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ata\Desktop\"/>
    </mc:Choice>
  </mc:AlternateContent>
  <bookViews>
    <workbookView xWindow="-120" yWindow="-120" windowWidth="29040" windowHeight="15840"/>
  </bookViews>
  <sheets>
    <sheet name="萬元以上冰箱 &amp; 冷凍櫃" sheetId="9" r:id="rId1"/>
    <sheet name="除濕機 &amp; 掃地機" sheetId="8" r:id="rId2"/>
    <sheet name="廠商聯絡清單" sheetId="7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9" l="1"/>
  <c r="D2" i="9"/>
  <c r="D35" i="8"/>
  <c r="F2" i="9"/>
  <c r="A2" i="9"/>
  <c r="B2" i="9"/>
  <c r="M2" i="9"/>
  <c r="K2" i="9"/>
  <c r="I2" i="9"/>
  <c r="E2" i="9"/>
  <c r="G2" i="9"/>
  <c r="L2" i="9"/>
  <c r="J2" i="9"/>
  <c r="H2" i="9"/>
  <c r="I2" i="8"/>
  <c r="Q32" i="8"/>
  <c r="D32" i="8"/>
  <c r="E32" i="8"/>
  <c r="AA36" i="8"/>
  <c r="Q36" i="8"/>
  <c r="L36" i="8"/>
  <c r="H36" i="8"/>
  <c r="D36" i="8"/>
  <c r="AA35" i="8"/>
  <c r="P35" i="8"/>
  <c r="L35" i="8"/>
  <c r="H35" i="8"/>
  <c r="C35" i="8"/>
  <c r="U34" i="8"/>
  <c r="N34" i="8"/>
  <c r="J34" i="8"/>
  <c r="F34" i="8"/>
  <c r="B34" i="8"/>
  <c r="U33" i="8"/>
  <c r="N33" i="8"/>
  <c r="J33" i="8"/>
  <c r="F33" i="8"/>
  <c r="B33" i="8"/>
  <c r="U32" i="8"/>
  <c r="N32" i="8"/>
  <c r="J32" i="8"/>
  <c r="F32" i="8"/>
  <c r="AA2" i="8"/>
  <c r="W2" i="8"/>
  <c r="S2" i="8"/>
  <c r="O2" i="8"/>
  <c r="K2" i="8"/>
  <c r="F2" i="8"/>
  <c r="B2" i="8"/>
  <c r="C79" i="7"/>
  <c r="B78" i="7"/>
  <c r="C77" i="7"/>
  <c r="B76" i="7"/>
  <c r="C75" i="7"/>
  <c r="D74" i="7"/>
  <c r="E73" i="7"/>
  <c r="D72" i="7"/>
  <c r="E71" i="7"/>
  <c r="D70" i="7"/>
  <c r="E68" i="7"/>
  <c r="D67" i="7"/>
  <c r="C66" i="7"/>
  <c r="E64" i="7"/>
  <c r="D63" i="7"/>
  <c r="C62" i="7"/>
  <c r="E60" i="7"/>
  <c r="D59" i="7"/>
  <c r="C58" i="7"/>
  <c r="D57" i="7"/>
  <c r="C56" i="7"/>
  <c r="D55" i="7"/>
  <c r="C54" i="7"/>
  <c r="D53" i="7"/>
  <c r="C52" i="7"/>
  <c r="D51" i="7"/>
  <c r="E50" i="7"/>
  <c r="D49" i="7"/>
  <c r="D48" i="7"/>
  <c r="C47" i="7"/>
  <c r="B46" i="7"/>
  <c r="D45" i="7"/>
  <c r="C44" i="7"/>
  <c r="F42" i="7"/>
  <c r="B42" i="7"/>
  <c r="C41" i="7"/>
  <c r="D40" i="7"/>
  <c r="E39" i="7"/>
  <c r="A39" i="7"/>
  <c r="C38" i="7"/>
  <c r="D37" i="7"/>
  <c r="C36" i="7"/>
  <c r="D35" i="7"/>
  <c r="E34" i="7"/>
  <c r="A34" i="7"/>
  <c r="E32" i="7"/>
  <c r="A32" i="7"/>
  <c r="E30" i="7"/>
  <c r="A30" i="7"/>
  <c r="E28" i="7"/>
  <c r="D27" i="7"/>
  <c r="C26" i="7"/>
  <c r="E24" i="7"/>
  <c r="A24" i="7"/>
  <c r="C22" i="7"/>
  <c r="B21" i="7"/>
  <c r="C20" i="7"/>
  <c r="B19" i="7"/>
  <c r="C18" i="7"/>
  <c r="E16" i="7"/>
  <c r="A16" i="7"/>
  <c r="E14" i="7"/>
  <c r="A14" i="7"/>
  <c r="B13" i="7"/>
  <c r="F11" i="7"/>
  <c r="E10" i="7"/>
  <c r="A10" i="7"/>
  <c r="E8" i="7"/>
  <c r="D7" i="7"/>
  <c r="C6" i="7"/>
  <c r="B5" i="7"/>
  <c r="E3" i="7"/>
  <c r="D2" i="7"/>
  <c r="E1" i="7"/>
  <c r="A1" i="7"/>
  <c r="I36" i="8"/>
  <c r="AA34" i="8"/>
  <c r="V33" i="8"/>
  <c r="C33" i="8"/>
  <c r="A32" i="8"/>
  <c r="P2" i="8"/>
  <c r="D79" i="7"/>
  <c r="D75" i="7"/>
  <c r="A74" i="7"/>
  <c r="E70" i="7"/>
  <c r="D66" i="7"/>
  <c r="D62" i="7"/>
  <c r="D58" i="7"/>
  <c r="E53" i="7"/>
  <c r="A51" i="7"/>
  <c r="D47" i="7"/>
  <c r="V36" i="8"/>
  <c r="O36" i="8"/>
  <c r="K36" i="8"/>
  <c r="G36" i="8"/>
  <c r="C36" i="8"/>
  <c r="U35" i="8"/>
  <c r="O35" i="8"/>
  <c r="K35" i="8"/>
  <c r="G35" i="8"/>
  <c r="B35" i="8"/>
  <c r="R34" i="8"/>
  <c r="M34" i="8"/>
  <c r="I34" i="8"/>
  <c r="E34" i="8"/>
  <c r="A34" i="8"/>
  <c r="R33" i="8"/>
  <c r="M33" i="8"/>
  <c r="I33" i="8"/>
  <c r="E33" i="8"/>
  <c r="A33" i="8"/>
  <c r="S32" i="8"/>
  <c r="M32" i="8"/>
  <c r="I32" i="8"/>
  <c r="C32" i="8"/>
  <c r="Z2" i="8"/>
  <c r="V2" i="8"/>
  <c r="R2" i="8"/>
  <c r="N2" i="8"/>
  <c r="J2" i="8"/>
  <c r="E2" i="8"/>
  <c r="A2" i="8"/>
  <c r="E78" i="7"/>
  <c r="A78" i="7"/>
  <c r="E76" i="7"/>
  <c r="A76" i="7"/>
  <c r="B75" i="7"/>
  <c r="C74" i="7"/>
  <c r="D73" i="7"/>
  <c r="C72" i="7"/>
  <c r="D71" i="7"/>
  <c r="C70" i="7"/>
  <c r="D68" i="7"/>
  <c r="C67" i="7"/>
  <c r="E65" i="7"/>
  <c r="D64" i="7"/>
  <c r="C63" i="7"/>
  <c r="E61" i="7"/>
  <c r="D60" i="7"/>
  <c r="C59" i="7"/>
  <c r="B58" i="7"/>
  <c r="C57" i="7"/>
  <c r="B56" i="7"/>
  <c r="C55" i="7"/>
  <c r="B54" i="7"/>
  <c r="C53" i="7"/>
  <c r="B52" i="7"/>
  <c r="C51" i="7"/>
  <c r="D50" i="7"/>
  <c r="C49" i="7"/>
  <c r="C48" i="7"/>
  <c r="E46" i="7"/>
  <c r="A46" i="7"/>
  <c r="C45" i="7"/>
  <c r="B44" i="7"/>
  <c r="E42" i="7"/>
  <c r="A42" i="7"/>
  <c r="B41" i="7"/>
  <c r="C40" i="7"/>
  <c r="D39" i="7"/>
  <c r="F38" i="7"/>
  <c r="B38" i="7"/>
  <c r="C37" i="7"/>
  <c r="B36" i="7"/>
  <c r="C35" i="7"/>
  <c r="D34" i="7"/>
  <c r="E33" i="7"/>
  <c r="D32" i="7"/>
  <c r="E31" i="7"/>
  <c r="D30" i="7"/>
  <c r="E29" i="7"/>
  <c r="D28" i="7"/>
  <c r="C27" i="7"/>
  <c r="E25" i="7"/>
  <c r="D24" i="7"/>
  <c r="C23" i="7"/>
  <c r="E21" i="7"/>
  <c r="A21" i="7"/>
  <c r="E19" i="7"/>
  <c r="A19" i="7"/>
  <c r="E17" i="7"/>
  <c r="D16" i="7"/>
  <c r="E15" i="7"/>
  <c r="D14" i="7"/>
  <c r="E13" i="7"/>
  <c r="A13" i="7"/>
  <c r="E11" i="7"/>
  <c r="D10" i="7"/>
  <c r="E9" i="7"/>
  <c r="D8" i="7"/>
  <c r="C7" i="7"/>
  <c r="E5" i="7"/>
  <c r="A5" i="7"/>
  <c r="D3" i="7"/>
  <c r="C2" i="7"/>
  <c r="D1" i="7"/>
  <c r="M36" i="8"/>
  <c r="A36" i="8"/>
  <c r="M35" i="8"/>
  <c r="E35" i="8"/>
  <c r="K34" i="8"/>
  <c r="C34" i="8"/>
  <c r="K33" i="8"/>
  <c r="V32" i="8"/>
  <c r="K32" i="8"/>
  <c r="X2" i="8"/>
  <c r="L2" i="8"/>
  <c r="C2" i="8"/>
  <c r="D77" i="7"/>
  <c r="E74" i="7"/>
  <c r="A72" i="7"/>
  <c r="E67" i="7"/>
  <c r="E63" i="7"/>
  <c r="E59" i="7"/>
  <c r="D56" i="7"/>
  <c r="D54" i="7"/>
  <c r="E51" i="7"/>
  <c r="E49" i="7"/>
  <c r="U36" i="8"/>
  <c r="N36" i="8"/>
  <c r="J36" i="8"/>
  <c r="F36" i="8"/>
  <c r="B36" i="8"/>
  <c r="R35" i="8"/>
  <c r="N35" i="8"/>
  <c r="J35" i="8"/>
  <c r="F35" i="8"/>
  <c r="A35" i="8"/>
  <c r="Q34" i="8"/>
  <c r="L34" i="8"/>
  <c r="H34" i="8"/>
  <c r="D34" i="8"/>
  <c r="AA33" i="8"/>
  <c r="Q33" i="8"/>
  <c r="L33" i="8"/>
  <c r="H33" i="8"/>
  <c r="D33" i="8"/>
  <c r="AA32" i="8"/>
  <c r="R32" i="8"/>
  <c r="L32" i="8"/>
  <c r="H32" i="8"/>
  <c r="B32" i="8"/>
  <c r="Y2" i="8"/>
  <c r="U2" i="8"/>
  <c r="Q2" i="8"/>
  <c r="M2" i="8"/>
  <c r="H2" i="8"/>
  <c r="D2" i="8"/>
  <c r="E79" i="7"/>
  <c r="D78" i="7"/>
  <c r="E77" i="7"/>
  <c r="D76" i="7"/>
  <c r="E75" i="7"/>
  <c r="A75" i="7"/>
  <c r="B74" i="7"/>
  <c r="C73" i="7"/>
  <c r="B72" i="7"/>
  <c r="C71" i="7"/>
  <c r="D69" i="7"/>
  <c r="C68" i="7"/>
  <c r="E66" i="7"/>
  <c r="D65" i="7"/>
  <c r="C64" i="7"/>
  <c r="E62" i="7"/>
  <c r="D61" i="7"/>
  <c r="C60" i="7"/>
  <c r="E58" i="7"/>
  <c r="A58" i="7"/>
  <c r="E56" i="7"/>
  <c r="A56" i="7"/>
  <c r="E54" i="7"/>
  <c r="A54" i="7"/>
  <c r="E52" i="7"/>
  <c r="A52" i="7"/>
  <c r="B51" i="7"/>
  <c r="C50" i="7"/>
  <c r="B49" i="7"/>
  <c r="E47" i="7"/>
  <c r="D46" i="7"/>
  <c r="F45" i="7"/>
  <c r="E44" i="7"/>
  <c r="A44" i="7"/>
  <c r="D42" i="7"/>
  <c r="E41" i="7"/>
  <c r="A41" i="7"/>
  <c r="B40" i="7"/>
  <c r="C39" i="7"/>
  <c r="E38" i="7"/>
  <c r="A38" i="7"/>
  <c r="E36" i="7"/>
  <c r="A36" i="7"/>
  <c r="B35" i="7"/>
  <c r="C34" i="7"/>
  <c r="D33" i="7"/>
  <c r="C32" i="7"/>
  <c r="D31" i="7"/>
  <c r="C30" i="7"/>
  <c r="D29" i="7"/>
  <c r="C28" i="7"/>
  <c r="E26" i="7"/>
  <c r="D25" i="7"/>
  <c r="C24" i="7"/>
  <c r="E22" i="7"/>
  <c r="D21" i="7"/>
  <c r="E20" i="7"/>
  <c r="D19" i="7"/>
  <c r="E18" i="7"/>
  <c r="D17" i="7"/>
  <c r="C16" i="7"/>
  <c r="D15" i="7"/>
  <c r="C14" i="7"/>
  <c r="D13" i="7"/>
  <c r="C12" i="7"/>
  <c r="D11" i="7"/>
  <c r="C10" i="7"/>
  <c r="D9" i="7"/>
  <c r="C8" i="7"/>
  <c r="E6" i="7"/>
  <c r="D5" i="7"/>
  <c r="C4" i="7"/>
  <c r="C3" i="7"/>
  <c r="B2" i="7"/>
  <c r="C1" i="7"/>
  <c r="R36" i="8"/>
  <c r="E36" i="8"/>
  <c r="Q35" i="8"/>
  <c r="I35" i="8"/>
  <c r="P34" i="8"/>
  <c r="G34" i="8"/>
  <c r="O33" i="8"/>
  <c r="G33" i="8"/>
  <c r="O32" i="8"/>
  <c r="G32" i="8"/>
  <c r="T2" i="8"/>
  <c r="G2" i="8"/>
  <c r="C78" i="7"/>
  <c r="C76" i="7"/>
  <c r="E72" i="7"/>
  <c r="C69" i="7"/>
  <c r="C65" i="7"/>
  <c r="C61" i="7"/>
  <c r="E57" i="7"/>
  <c r="E55" i="7"/>
  <c r="D52" i="7"/>
  <c r="A49" i="7"/>
  <c r="C46" i="7"/>
  <c r="C42" i="7"/>
  <c r="B39" i="7"/>
  <c r="E35" i="7"/>
  <c r="B32" i="7"/>
  <c r="E27" i="7"/>
  <c r="D22" i="7"/>
  <c r="D18" i="7"/>
  <c r="B14" i="7"/>
  <c r="B10" i="7"/>
  <c r="C5" i="7"/>
  <c r="B1" i="7"/>
  <c r="C17" i="7"/>
  <c r="C9" i="7"/>
  <c r="B24" i="7"/>
  <c r="E45" i="7"/>
  <c r="D41" i="7"/>
  <c r="D38" i="7"/>
  <c r="A35" i="7"/>
  <c r="C31" i="7"/>
  <c r="D26" i="7"/>
  <c r="C21" i="7"/>
  <c r="C13" i="7"/>
  <c r="B4" i="7"/>
  <c r="C15" i="7"/>
  <c r="D6" i="7"/>
  <c r="D44" i="7"/>
  <c r="E40" i="7"/>
  <c r="E37" i="7"/>
  <c r="B34" i="7"/>
  <c r="B30" i="7"/>
  <c r="C25" i="7"/>
  <c r="D20" i="7"/>
  <c r="B16" i="7"/>
  <c r="B12" i="7"/>
  <c r="E7" i="7"/>
  <c r="E2" i="7"/>
  <c r="C43" i="7"/>
  <c r="A40" i="7"/>
  <c r="D36" i="7"/>
  <c r="C33" i="7"/>
  <c r="C29" i="7"/>
  <c r="C19" i="7"/>
  <c r="C11" i="7"/>
  <c r="A2" i="7"/>
</calcChain>
</file>

<file path=xl/sharedStrings.xml><?xml version="1.0" encoding="utf-8"?>
<sst xmlns="http://schemas.openxmlformats.org/spreadsheetml/2006/main" count="1897" uniqueCount="626">
  <si>
    <t>促銷商品價格波動，依中華電信櫃台實際受理金額為準。</t>
  </si>
  <si>
    <t>旺德</t>
  </si>
  <si>
    <t>THOMSON</t>
  </si>
  <si>
    <t>中國</t>
  </si>
  <si>
    <t>1年</t>
  </si>
  <si>
    <t>短促</t>
  </si>
  <si>
    <t>上架中</t>
  </si>
  <si>
    <t>白</t>
  </si>
  <si>
    <t>展碁</t>
  </si>
  <si>
    <t>LG</t>
  </si>
  <si>
    <t>回價</t>
  </si>
  <si>
    <t>神腦</t>
  </si>
  <si>
    <t>新機上架</t>
  </si>
  <si>
    <t>除濕機</t>
  </si>
  <si>
    <t>Whirlpool</t>
  </si>
  <si>
    <t>Whirlpool惠而浦26.5L除濕機WDEE60AW</t>
  </si>
  <si>
    <t>WDEE60AW</t>
  </si>
  <si>
    <t>IGEM00ZA</t>
  </si>
  <si>
    <t>12/1短促，9/1短促，2019/6/25到貨上架</t>
  </si>
  <si>
    <t>典雅白</t>
  </si>
  <si>
    <t>30坪</t>
  </si>
  <si>
    <t>628*387*300mm</t>
  </si>
  <si>
    <t>v</t>
  </si>
  <si>
    <t>2級能效</t>
  </si>
  <si>
    <t>5年</t>
  </si>
  <si>
    <t>1200</t>
  </si>
  <si>
    <t>*6.5公升水箱容量*上吹式出風口*IPX1防水等級*0.5~24小時預約開關機*30%~80%除濕度設定*通過2000小時連續運轉與7200次開關機測試</t>
  </si>
  <si>
    <t>Whirlpool惠而浦32L除濕機WDEE70AW</t>
  </si>
  <si>
    <t>WDEE70AW</t>
  </si>
  <si>
    <t>IGEM00ZB</t>
  </si>
  <si>
    <t>2024/2/1短促，2024/1/1短促，8/1短促，2019/6/25到貨上架</t>
  </si>
  <si>
    <t>40坪</t>
  </si>
  <si>
    <t>*超大水箱&amp;便利手把設計*LED超大按鍵*通過耐用度測試*上吹式出風口*超長/短運轉設定時間*九項高規格防護系統(變壓器保護/防止過熱的F型壓接端子/過熱自動斷電的防爆電容/馬達過載保護器/耐125℃高溫之連接線/耐燃基材94V-0的PCB板/耐燃金屬電控盒/壓縮機防燃頂蓋/S2(P2)防爆電容)</t>
  </si>
  <si>
    <t>大同</t>
  </si>
  <si>
    <t>PANASONIC</t>
  </si>
  <si>
    <t>PANASONIC除濕機(CW/6公升)F-Y12EB</t>
  </si>
  <si>
    <t>F-Y12EB</t>
  </si>
  <si>
    <t>IGEM00AW</t>
  </si>
  <si>
    <t>永久降價</t>
  </si>
  <si>
    <t>2024/1/1 永久降價，2022/12/19回價+少量到貨，12/1下架，9/22 7台、9/7少量到貨5台、2021/4/1-4/30短促。</t>
  </si>
  <si>
    <t>8坪</t>
  </si>
  <si>
    <t>580*300*251mm</t>
  </si>
  <si>
    <t>台灣</t>
  </si>
  <si>
    <t>V</t>
  </si>
  <si>
    <t>1級能效</t>
  </si>
  <si>
    <t>3年</t>
  </si>
  <si>
    <t>(1/1-2/29)隨貨送SP-2407-PR萬用密封罐*1</t>
  </si>
  <si>
    <t>*15項安全裝置*4合1超密度濾網*水箱2.5L</t>
  </si>
  <si>
    <t>PANASONIC12公升除濕機_F-Y24GX</t>
  </si>
  <si>
    <t>F-Y24GX</t>
  </si>
  <si>
    <t>IGEM01L7</t>
  </si>
  <si>
    <t>2/7短促，2024/1/1 回價，12/1短促，2023/1/1回價，2022/12/1短促，11/1短促，10/1短促，9/22 到3台 9/7少量到4台、8/8缺貨，7/7少量到8台。5月缺貨回價、2/14缺貨、預計1月初到貨、2021/12/22缺貨、2021/7/1-8/31短促、2020/12/7到貨</t>
  </si>
  <si>
    <t>15坪</t>
  </si>
  <si>
    <t>650*370*310mm</t>
  </si>
  <si>
    <t>(1/1-2/29)隨貨送曬衣架SP-2017-PR*1</t>
  </si>
  <si>
    <t>*W-HEXS雙重除濕系統*nanoe™X健康科技*ECONAVI智慧節能科技*濕度數值設定*定時功能：1~12h*超廣角+下吹出風*前方+上方濕度雙顯示*25項安全裝置*奈米銀抗菌抗敏清淨濾網*全平面觸控按鍵"</t>
  </si>
  <si>
    <t>Panasonic10L清淨型除濕機F-Y20JH</t>
  </si>
  <si>
    <t>F-Y20JH</t>
  </si>
  <si>
    <t>IGEM030Q</t>
  </si>
  <si>
    <t>2024/1/1短促，3/1短促，2022/12/19少量到貨，2022/12/1下架，2022/10/7少量到貨，2022/9/22到貨1台、2022/7/7到貨1台。2022/5月缺貨回價、2022/2/14缺貨、2022/1月少量到10台、2021/12/23缺貨、預計一月初到貨，實際到貨日期依原廠通知為準7/1-7/31短促、2021/1/1新機上架</t>
  </si>
  <si>
    <t>白色</t>
  </si>
  <si>
    <t>650*370*322mm</t>
  </si>
  <si>
    <t>900</t>
  </si>
  <si>
    <t>*全彩液晶螢幕*PM2.5/1.0異味顯示*內建WIFI模組*聲控智慧操作*W-HEXS雙重除濕系統</t>
  </si>
  <si>
    <t>Panasonic13L清淨型除濕機F-Y26JH</t>
  </si>
  <si>
    <t>F-Y26JH</t>
  </si>
  <si>
    <t>IGEM030R</t>
  </si>
  <si>
    <t>2024/1/1短促，12/1回價，3/1短促，1/18短促，2022/12/19回價+少量到貨，2022/12/1下架，2022/11/1短促，2022/10/7少量到貨，2022/9/7少量貨1台、2022/9/1缺貨、2022/7/7到貨1台。2022/5月缺貨回價、2021/7/1-7/31短促、2021/4/1-4/30短促。2021/1/1新機上架</t>
  </si>
  <si>
    <t>*LED全彩液晶螢幕*PM2.5/1.0/異味顯示*AI舒適、聲控智慧操作*W-HEXS雙重除濕系統</t>
  </si>
  <si>
    <t>LG PuriCare™ UV抑菌 WiFi雙變頻除濕機-17公升/晶鑽銀 MD171QSE0</t>
  </si>
  <si>
    <t>MD171QSE0</t>
  </si>
  <si>
    <t>IGEM076G</t>
  </si>
  <si>
    <t>2024/2/1短促，2024/01/26到貨，12/29缺貨，5/1短促，4/10少量到貨</t>
  </si>
  <si>
    <t>晶鑽銀</t>
  </si>
  <si>
    <t>17-20坪</t>
  </si>
  <si>
    <t xml:space="preserve"> H685 x W415 xD296mm</t>
  </si>
  <si>
    <t xml:space="preserve">3年
</t>
  </si>
  <si>
    <t xml:space="preserve">"壓縮機10年保固
馬達10年保固"
</t>
  </si>
  <si>
    <t>*UV nano™紫外線淨化*符合除濕機能效一級*特殊烘鞋/烘衣櫥專用配件*奈米離子抑制細菌病毒生長*30項安全裝置 | WiFi遠控功能 | 17公升/日除濕量*機體自動乾燥功能</t>
  </si>
  <si>
    <t>LG PuriCare™ UV抑菌 WiFi雙變頻除濕機-18公升/白 MD181QWE0</t>
  </si>
  <si>
    <t>MD181QWE0</t>
  </si>
  <si>
    <t>IGEM076H</t>
  </si>
  <si>
    <t>8/1回價，7/24-7/31短促，5/1短促，4/10到貨</t>
  </si>
  <si>
    <t>18-21坪</t>
  </si>
  <si>
    <t>1073x373 x373  mm</t>
  </si>
  <si>
    <t>壓縮機10年保固
 馬達10年保固</t>
  </si>
  <si>
    <t>*UV nano™紫外線淨化*符合除濕機能效一級*特殊烘鞋/烘衣櫥專用配件*奈米離子抑制細菌病毒生長*30項安全裝置 | WiFi遠控功能 | 18公升/日除濕量*機體自動乾燥功能</t>
  </si>
  <si>
    <t>順發</t>
  </si>
  <si>
    <t>HITACHI</t>
  </si>
  <si>
    <t>日立10L除濕機_RD_200HS</t>
  </si>
  <si>
    <t>RD-200HS</t>
  </si>
  <si>
    <t>IGEM00UG</t>
  </si>
  <si>
    <t>2019/12/12少量到貨，售完為止</t>
  </si>
  <si>
    <t>銀</t>
  </si>
  <si>
    <t>12坪</t>
  </si>
  <si>
    <t>625*365*305mm</t>
  </si>
  <si>
    <t xml:space="preserve">(2/1~3/31)隨貨送日本岩崎耐熱冷水壺 3L
</t>
  </si>
  <si>
    <t>*鏡面觸控面板*雙吹出口導風*白光LED顯示*電源自動收線*聲光水位顯示*四輪萬向移動*負離子清淨快速除溼</t>
  </si>
  <si>
    <t>聲寶</t>
  </si>
  <si>
    <t>聲寶12LPICOPURE除濕機AD-W124P</t>
  </si>
  <si>
    <t>AD-W124P</t>
  </si>
  <si>
    <t>IGEM053M</t>
  </si>
  <si>
    <t>2024/2/1短促，4/26短促，3/1降價，2022/6/1短促(預購，預計6/15後發貨)，2022/4/18缺貨，2022/4/1短促，2022/1/1新機上架</t>
  </si>
  <si>
    <t>12公升、13坪</t>
  </si>
  <si>
    <t>590*342*242mm</t>
  </si>
  <si>
    <t>*十項安全防護，使用好安心*連續排水設計，免去倒水之困擾*1-8小時開/關機設定*9段濕度設定*PICOPURE功能+前置甲殼素濾網，清淨/抑菌/除塵多重保護*底部萬向滑輪，移動機體好輕鬆*微電腦控制按鍵；有自動除霜功能*強/弱風速自由選擇*智慧乾衣模式*出風自動導板，高效乾衣*安全鎖，防兒童誤觸</t>
  </si>
  <si>
    <t>聲寶16LPICOPURE除濕機AD-W132P</t>
  </si>
  <si>
    <t>AD-W132P</t>
  </si>
  <si>
    <t>IGEM053N</t>
  </si>
  <si>
    <t>4/26短促，3/1降價，2022/1/1新機上架</t>
  </si>
  <si>
    <t>16公升、15坪</t>
  </si>
  <si>
    <t>聲寶 8L 一級能效除濕機 AD-S116T</t>
  </si>
  <si>
    <t>AD-S116T</t>
  </si>
  <si>
    <t>IGEM070A</t>
  </si>
  <si>
    <t>2022/10/14 新機上架</t>
  </si>
  <si>
    <t>8公升、7-9坪</t>
  </si>
  <si>
    <t>580*365*230mm</t>
  </si>
  <si>
    <t>超大 7公升水箱 (水滿6.0L) ， 輕鬆少倒水國家一級能效標準認證，省 電又環保七項安全防護，使用好安心1 -24小時開 /關機設定13段濕度設定米銀濾網裝置，抑菌 /除塵 多重保護</t>
  </si>
  <si>
    <t>凱創</t>
  </si>
  <si>
    <t>奇美</t>
  </si>
  <si>
    <t>奇美6L時尚美型節能除濕機RH-06E0RM</t>
  </si>
  <si>
    <t>RH-06E0RM</t>
  </si>
  <si>
    <t>IGEM00FY</t>
  </si>
  <si>
    <t>3/1回價，2021/7/19到貨，5/3缺貨，2021/3/1重新上架，2021/1/5缺貨下架，2020/8/13降價，2018/4/2上架銷售</t>
  </si>
  <si>
    <t>525*320*189mm</t>
  </si>
  <si>
    <t>*水箱3.3L*ECO智能濕度控制*3種環境濕度模式設定*奈米銀清淨濾網</t>
  </si>
  <si>
    <t>奇美12L時尚美型節能除濕機RH-12E0RM</t>
  </si>
  <si>
    <t>RH-12E0RM</t>
  </si>
  <si>
    <t>IGEM00FZ</t>
  </si>
  <si>
    <t>2021/4/1短促，2021/1/26降價，2018/4/2上架銷售</t>
  </si>
  <si>
    <t>615*360*210mm</t>
  </si>
  <si>
    <t>*水箱5L*八重防護*智能除濕*空氣清淨*濕度設定</t>
  </si>
  <si>
    <t>TOSHIBA</t>
  </si>
  <si>
    <t>東芝TOSHIBA 10L一級能效高效型節能除濕機 RAD-B100T(W)</t>
  </si>
  <si>
    <t>RAD-B100T(W)</t>
  </si>
  <si>
    <t>IGEM087U</t>
  </si>
  <si>
    <t>8/23新機上架</t>
  </si>
  <si>
    <t>13坪
*額定電壓/額定頻率：110V/60Hz*機體淨重：12.6 kg
*除濕量(27°C RH60%)：10公升/日
*適用坪數：~13坪
*能源效率：第1級
*能源因數值：2.41L/kWh
*消耗功率：173W
*年耗電量：約93度
*最大水箱容量：4.2L(3.6L滿水停機)
*自動除霜：有
*冷媒種類/填充量：R134a/180g
*電源線長度：1.7公尺
*BSMI認證字號：R3D387</t>
  </si>
  <si>
    <t>546*335*265mm</t>
  </si>
  <si>
    <t>*39dB安靜過圖書館，不干擾工作睡眠*體積超輕巧，整體縮減20%*30%-80%超廣域濕度調整，可5%微調*半小時降20%濕度，速達人體最適濕*抑菌+去味+除醛3合1多效過濾*一級能效，一日電費僅6.8元*機內乾燥，內外同步防霉防臭*日本監製+21項防護+全機3年保固</t>
  </si>
  <si>
    <t>Panasonic 16L IoT變頻除濕機 F-YV32LX (銀白)</t>
  </si>
  <si>
    <t>F-YV32LX</t>
  </si>
  <si>
    <t>IGEM0813</t>
  </si>
  <si>
    <t>2024/1/1 回價，12/1短促，10/1短促，6/1短促，2023/5/1新機上架</t>
  </si>
  <si>
    <t>銀白</t>
  </si>
  <si>
    <t>20坪</t>
  </si>
  <si>
    <t>680*380*320mm</t>
  </si>
  <si>
    <t>* 除濕能力 16公升/日(室溫27°C/相對溼度60%)* INVERTER變頻雙轉子壓縮機* W-HEXS雙重除濕系統* nanoe™ X 健康科技*ECONAVI智慧節能科技* IoT智慧健康家電*35項安全裝置*烘鞋烘衣專用配件* 能源效率第一級* 除濕適用坪數：20坪</t>
  </si>
  <si>
    <t>大同27公升除濕機TDH-540B</t>
  </si>
  <si>
    <t>TDH-540B</t>
  </si>
  <si>
    <t>IGEM065N</t>
  </si>
  <si>
    <t>2022/11/1短促，2022/9/6新品上架</t>
  </si>
  <si>
    <t>H628 x W387 x D300</t>
  </si>
  <si>
    <t>*採環保冷媒R410A*九重安全保護裝置*除溼能力：27公升/日（DB27℃，RH60%)*水箱容量：5.2L*定時小幫手：0.5~24個小時開關機*三種除溼模式選擇：自動/連續/手動*除溼多段式：11段式溼度調整控制(30%~80%)*水滿自動停機</t>
  </si>
  <si>
    <t>大同6公升除濕機TDH-120MC</t>
  </si>
  <si>
    <t>TDH-120MC</t>
  </si>
  <si>
    <t>IGEM065O</t>
  </si>
  <si>
    <t>2022/8月短促、2022/7/1新品上架</t>
  </si>
  <si>
    <t>290*478*190mm</t>
  </si>
  <si>
    <t>*日除溼量6公升*可定時2/4/6小時*提把設計移動更方便 5. 9重安全保護</t>
  </si>
  <si>
    <t>3M</t>
  </si>
  <si>
    <t>9.5L雙效空氣清淨除濕機FD-A90W</t>
  </si>
  <si>
    <t>FD-A90W</t>
  </si>
  <si>
    <t>IGEM003P</t>
  </si>
  <si>
    <t>2022/10/1短促，4/26到貨，2022/4/15缺貨，2021/3/2到貨，12/24缺貨下架，2018/8/1售價調降</t>
  </si>
  <si>
    <t>596*373*225mm</t>
  </si>
  <si>
    <t>不符標準</t>
  </si>
  <si>
    <t>*雙效能空氣清淨除濕機，高效除濕與空氣濾淨雙效進化
*造型簡約優雅，符合摩登居家生活品味
*採用日本除濕輪科技，免冷媒、無壓縮機，優先符合環保觀念，輕巧又靜音
*除濕效能再升級，除濕能力9.5公升/每日，在低溫下除濕效能優於同等級壓縮機式2倍以上
*適用坪數：除濕能力12坪；清淨能力6坪(清淨功能依實際環境狀況可使用3-8坪之範圍)</t>
  </si>
  <si>
    <t>THOMSON_多功能環保除濕機_TM-SADE02</t>
  </si>
  <si>
    <t>IGEM0362</t>
  </si>
  <si>
    <t>2024/2/1回價2024/1/1短促2023/12/1回價112/11/1短促2022/8/3修約完成重新上架</t>
  </si>
  <si>
    <t>2L</t>
  </si>
  <si>
    <t>高312*寬225*深152.5mm</t>
  </si>
  <si>
    <t>*無壓縮機超靜音，35分貝睡眠模式*三段智能控制除濕強度，自動/睡眠/強力*七色氣氛燈，水滿亮紅燈自動停止*濕度顯示器*定時最長48小時*全拆式水箱清潔便利*超省電，一天不用一度電</t>
  </si>
  <si>
    <t>THOMSON環保除濕機(白)TM-SADE03</t>
  </si>
  <si>
    <t>TM-SADE03</t>
  </si>
  <si>
    <t>IGEM094D</t>
  </si>
  <si>
    <t>2023/11/28新機上架</t>
  </si>
  <si>
    <t>水箱容量：1.98L</t>
  </si>
  <si>
    <t>210X141X350(mm)</t>
  </si>
  <si>
    <t>*節電高效能，無壓縮機，安全輕巧 *1.98Ｌ大水箱，不用頻繁倒水*45~90%濕度設定、定時設定*使用安靜，不到50分貝*滿水自動停機，安全有保障*睡眠模式無光害</t>
  </si>
  <si>
    <t>台灣三洋</t>
  </si>
  <si>
    <t>台灣三洋12公升台製除濕機SDH-126M</t>
  </si>
  <si>
    <t>SDH-126M</t>
  </si>
  <si>
    <t>IGEM0612</t>
  </si>
  <si>
    <t>9/1短促，7/15降價，1/16到貨，2022/12/14缺貨，10/1回價，7/13新品上架</t>
  </si>
  <si>
    <t>12公升</t>
  </si>
  <si>
    <t>高590*寬346*深242mm</t>
  </si>
  <si>
    <t>*負離子清淨功能*日除溼12L*觸控按鍵*雙速切換</t>
  </si>
  <si>
    <t>台灣三洋14公升台製除濕機SDH-146M</t>
  </si>
  <si>
    <t>SDH-146M</t>
  </si>
  <si>
    <t>IGEM0613</t>
  </si>
  <si>
    <t>9/1短促，7/15降價，2022/10/1到貨，9月下單預購，10月中出貨。6/23限量10台，售完為止。4/19新機上架</t>
  </si>
  <si>
    <t>14公升</t>
  </si>
  <si>
    <t>*負離子清淨功能*日除溼14L*觸控按鍵*雙速切換</t>
  </si>
  <si>
    <t>台灣三洋16公升台製除濕機SDH-166M</t>
  </si>
  <si>
    <t>SDH-166M</t>
  </si>
  <si>
    <t>IGEM0614</t>
  </si>
  <si>
    <t>7/15降價，2022/10/1到貨，9月下單預購，10月中出貨。7/14缺貨、6/23限量15台，售完為止。4/19新機上架</t>
  </si>
  <si>
    <t>16公升</t>
  </si>
  <si>
    <t>*負離子清淨功能*日除溼16L*觸控按鍵*雙速切換</t>
  </si>
  <si>
    <t>Mitsubishi</t>
  </si>
  <si>
    <t>三菱 Mitsubishi MJ-E120AT-TW 12L日製清淨除濕機_767414</t>
  </si>
  <si>
    <t>MJ-E120AT-TW</t>
  </si>
  <si>
    <t>IGEM075S</t>
  </si>
  <si>
    <t>2024/02/07短促，5/2短促，4/1回價，3/1新機上架(少量到貨)</t>
  </si>
  <si>
    <t>12L
適用坪數：8~15坪</t>
  </si>
  <si>
    <t xml:space="preserve">594*372*281mm
 </t>
  </si>
  <si>
    <t>日本</t>
  </si>
  <si>
    <t>*除濕能力:12L/日 水箱:4.7L* 除溼能效:1級，空氣清淨能效:5級* 自動濕控*創新三重除濕*適用坪數約8~15坪*PM2.5 抗菌消臭濾網 *夜間乾衣模式 *90°廣角自動擺葉*三段可變式下吹出風口 *日本製造</t>
  </si>
  <si>
    <t>三菱 Mitsubishi MJ-E155HT-TW 15.5L日製清淨除濕機_767413</t>
  </si>
  <si>
    <t>MJ-E155HT-TW</t>
  </si>
  <si>
    <t>IGEM075T</t>
  </si>
  <si>
    <t>15.5L
適用坪數10~20坪</t>
  </si>
  <si>
    <t xml:space="preserve">630*410*299mm
 </t>
  </si>
  <si>
    <t>*除濕能力:15.5L/日 水箱:5.5L*除溼能效:1級，空氣清淨能效:5級*適用坪數約10~20坪*創新三重除濕*PM2.5 抗菌消臭濾網 /夜間乾衣模式*90°廣角自動擺葉*三段可變式下吹出風口 *定時開關機(1~12)小時*日本製造</t>
  </si>
  <si>
    <t>三菱 Mitsubishi MJ-E190HT-TW 19L日製清淨除濕機_767412</t>
  </si>
  <si>
    <t>MJ-E190HT-TW</t>
  </si>
  <si>
    <t>IGEM075U</t>
  </si>
  <si>
    <t>19L
適用坪數12~24坪</t>
  </si>
  <si>
    <t>*除濕能力:19L/日 水箱:5.5L*除溼能效:1級，空氣清淨能效:5級*適用坪數約12-24坪*創新三重除濕*PM2.5 抗菌消臭濾網 /夜間乾衣模式 *90°廣角自動擺葉*三段可變式下吹出風口 *定時開關機(1~12)小時*日本製造</t>
  </si>
  <si>
    <t>三菱 Mitsubishi MJ-EV240HT-TW 24L 日製變頻清淨除濕_767411</t>
  </si>
  <si>
    <t>MJ-EV240HT-TW</t>
  </si>
  <si>
    <t>IGEM075V</t>
  </si>
  <si>
    <t>2024/02/07短促，5/2短促，4/12新機上架</t>
  </si>
  <si>
    <t>24L
適用坪數15~30坪</t>
  </si>
  <si>
    <t>*除濕能力:24L/日 水箱:5.5L*除溼能效:1級，空氣清淨能效:5級*變頻壓縮機*背光液晶*適用坪數約15-30坪*創新三重除濕*PM2.5 抗菌消臭濾網 /夜間乾衣模式 *90°廣角自動擺葉
 ◆三段可變式下吹出風口 
 ◆定時開關機(1~12)小時
 ◆日本製造</t>
  </si>
  <si>
    <t>Sharp</t>
  </si>
  <si>
    <t>IGEM094Q</t>
  </si>
  <si>
    <t>12/9新機上架</t>
  </si>
  <si>
    <t>額定電壓/額定頻率：AC110V/60Hz
定額除濕能力(27°C/60%RH)：8.0公升/日
機體尺寸：寬314×深225×高527mm
機體重量：約10.6kg</t>
  </si>
  <si>
    <t>*除濕能力8.5L/日(B式/室溫27℃/相對濕度60%)*Plasmacluster自動除菌離子除菌脫臭/定點脫臭*濕度感知燈號(5段濕度情境顯示)*TouchPanel觸控面板操作*搭載溫濕度感應器自動偵測除濕*衣物乾燥/舒適除濕/連續除濕/自動除濕四種模式*多段精準除濕環境濕度控制設定(貼近消費者使用需求)40%、45%...60%、65%...75%、80%RH(濕度5%調整)*連續排水/自動除霜/滿水自動保護功能*定時關(1-8hr)</t>
  </si>
  <si>
    <r>
      <t>(1/1-2/29)</t>
    </r>
    <r>
      <rPr>
        <sz val="10"/>
        <color theme="1"/>
        <rFont val="微軟正黑體"/>
        <family val="2"/>
        <charset val="136"/>
      </rPr>
      <t>隨貨送曬衣架</t>
    </r>
    <r>
      <rPr>
        <sz val="10"/>
        <color theme="1"/>
        <rFont val="Arial"/>
        <family val="2"/>
        <scheme val="minor"/>
      </rPr>
      <t>SP-2017-PR*1</t>
    </r>
    <phoneticPr fontId="10" type="noConversion"/>
  </si>
  <si>
    <r>
      <t>(2/1~3/31)</t>
    </r>
    <r>
      <rPr>
        <sz val="10"/>
        <color theme="1"/>
        <rFont val="微軟正黑體"/>
        <family val="2"/>
        <charset val="136"/>
      </rPr>
      <t>隨貨送日本岩崎耐熱冷水壺</t>
    </r>
    <r>
      <rPr>
        <sz val="10"/>
        <color theme="1"/>
        <rFont val="Arial"/>
        <family val="2"/>
        <scheme val="minor"/>
      </rPr>
      <t xml:space="preserve"> 3L
</t>
    </r>
    <phoneticPr fontId="10" type="noConversion"/>
  </si>
  <si>
    <r>
      <t>SHARP 8L</t>
    </r>
    <r>
      <rPr>
        <sz val="10"/>
        <color theme="1"/>
        <rFont val="微軟正黑體"/>
        <family val="2"/>
        <charset val="136"/>
      </rPr>
      <t>自動除菌離子除濕機</t>
    </r>
    <r>
      <rPr>
        <sz val="10"/>
        <color theme="1"/>
        <rFont val="Arial"/>
        <family val="2"/>
        <scheme val="minor"/>
      </rPr>
      <t xml:space="preserve"> DW-L8HT-W(senao)</t>
    </r>
    <phoneticPr fontId="10" type="noConversion"/>
  </si>
  <si>
    <t>DW-L8HT-W(senao)</t>
    <phoneticPr fontId="10" type="noConversion"/>
  </si>
  <si>
    <t>527*314*225mm</t>
    <phoneticPr fontId="10" type="noConversion"/>
  </si>
  <si>
    <r>
      <rPr>
        <sz val="10"/>
        <color theme="1"/>
        <rFont val="微軟正黑體"/>
        <family val="2"/>
        <charset val="136"/>
      </rPr>
      <t>壓縮機</t>
    </r>
    <r>
      <rPr>
        <sz val="10"/>
        <color theme="1"/>
        <rFont val="Arial"/>
        <family val="2"/>
        <scheme val="minor"/>
      </rPr>
      <t>5</t>
    </r>
    <r>
      <rPr>
        <sz val="10"/>
        <color theme="1"/>
        <rFont val="微軟正黑體"/>
        <family val="2"/>
        <charset val="136"/>
      </rPr>
      <t>年</t>
    </r>
    <phoneticPr fontId="10" type="noConversion"/>
  </si>
  <si>
    <t>SAMSUNG</t>
  </si>
  <si>
    <t>雙門變頻</t>
  </si>
  <si>
    <t>泰國</t>
  </si>
  <si>
    <t>10年</t>
  </si>
  <si>
    <t>2000</t>
  </si>
  <si>
    <t>三星237L雙門變頻時尚銀冰箱_RT22M4015S8/TW</t>
  </si>
  <si>
    <t>時尚銀</t>
  </si>
  <si>
    <t>237L</t>
  </si>
  <si>
    <t>1545*555*637mm</t>
  </si>
  <si>
    <t>越南</t>
  </si>
  <si>
    <t>Samsung_466L雙門變頻冰箱(梔子白)_764806_RT47CB662A12TW</t>
  </si>
  <si>
    <t>梔子白</t>
  </si>
  <si>
    <t>466L</t>
  </si>
  <si>
    <t>1825x700x717(mm)</t>
  </si>
  <si>
    <t>20年</t>
  </si>
  <si>
    <t>Samsung_466L雙門變頻冰箱(雙色)_764807_RT47CB662A8ATW</t>
  </si>
  <si>
    <t>雙色
 上:梔子白 
 下:永夜藍</t>
  </si>
  <si>
    <t>MITSUBISHI</t>
  </si>
  <si>
    <t>三菱288L雙門變頻冰箱(太空銀)_764598_MR-FC31EP-SSL-C</t>
  </si>
  <si>
    <t>太空銀</t>
  </si>
  <si>
    <t>288L</t>
  </si>
  <si>
    <t>1693*555*662mm</t>
  </si>
  <si>
    <t>1年/3年</t>
  </si>
  <si>
    <t>三菱450L三門變頻冰箱(白)_764599_MR-CGX45EP-GWH-C</t>
  </si>
  <si>
    <t>三門變頻</t>
  </si>
  <si>
    <t>純淨白</t>
  </si>
  <si>
    <t>450L</t>
  </si>
  <si>
    <t>1798*699*709mm</t>
  </si>
  <si>
    <t>Panasonic610公升三門玻璃變頻冰箱(翡翠金)NR-C611XGS-N</t>
  </si>
  <si>
    <t>翡翠金</t>
  </si>
  <si>
    <t>610L</t>
  </si>
  <si>
    <t>1830*771*780mm</t>
  </si>
  <si>
    <t>Panasonic610公升三門玻璃變頻冰箱(曜石棕)NR-C611XGS-T</t>
  </si>
  <si>
    <t>翡翠棕</t>
  </si>
  <si>
    <t>Panasonic610公升四門玻璃變頻冰箱(曜石棕)NR-D611XGS-T</t>
  </si>
  <si>
    <t>四門變頻</t>
  </si>
  <si>
    <t>Panasonic610公升四門玻璃變頻冰箱(翡翠金)NR-D611XGS-N</t>
  </si>
  <si>
    <t>Panasonic500L玻璃變頻三門冰箱(翡翠棕)NR-C501XGS-T</t>
  </si>
  <si>
    <t>曜石棕</t>
  </si>
  <si>
    <t>500L</t>
  </si>
  <si>
    <t>1830*720*695mm</t>
  </si>
  <si>
    <t>Panasonic500L玻璃變頻三門冰箱(翡翠白)NR-C501XGS-W</t>
  </si>
  <si>
    <t>翡翠白</t>
  </si>
  <si>
    <t>Panasonic500L玻璃變頻四門冰箱(曜石棕)NR-D501XGS-T</t>
  </si>
  <si>
    <t>Panasonic500L玻璃變頻四門冰箱(翡翠白)NR-D501XGS-W</t>
  </si>
  <si>
    <t>PANASONIC_650公升雙門玻璃變頻冰箱_NR-B651TG-T(曜石棕)</t>
  </si>
  <si>
    <t>650L</t>
  </si>
  <si>
    <t>1830*805*780mm</t>
  </si>
  <si>
    <t>PANASONIC_650公升雙門玻璃變頻冰箱_NR-B651TG-N(翡翠金)</t>
  </si>
  <si>
    <t>PANASONIC_580公升雙門玻璃變頻冰箱_NR-B582TG-T(曜石棕)</t>
  </si>
  <si>
    <t>579L</t>
  </si>
  <si>
    <t>高1830x寬775x深780mm</t>
  </si>
  <si>
    <t>PANASONIC_580公升雙門玻璃變頻冰箱_NR-B582TG-N(翡翠金)</t>
  </si>
  <si>
    <t>PANASONIC_[鋼板系列]650公升雙門變頻冰箱_NR-B651TV-S(晶漾銀)</t>
  </si>
  <si>
    <t>晶漾銀</t>
  </si>
  <si>
    <t>高1830x寬805x深780mm</t>
  </si>
  <si>
    <t>PANASONIC_[鋼板系列]650公升雙門變頻冰箱_NR-B651TV-K(晶漾黑)</t>
  </si>
  <si>
    <t>晶漾黑</t>
  </si>
  <si>
    <t>Panasonic</t>
  </si>
  <si>
    <t>Panasonic_變頻498L玻璃雙門冰箱(翡翠白)_NR-B493TG-W</t>
  </si>
  <si>
    <t>496L</t>
  </si>
  <si>
    <t>高1834 X 寬695 X 深780 mm</t>
  </si>
  <si>
    <t>Panasonic_變頻498L玻璃雙門冰箱(曜石棕)_NR-B493TG-T</t>
  </si>
  <si>
    <t>Panasonic_變頻500L鋼板三門冰箱(雅士白)_NR-C501XV-W</t>
  </si>
  <si>
    <t>雅士白</t>
  </si>
  <si>
    <t>高1830 X 寬725 X 深695 mm</t>
  </si>
  <si>
    <t>Panasonic_變頻500L鋼板三門冰箱(皇家藍)_NR-C501XV-B</t>
  </si>
  <si>
    <t>皇家藍</t>
  </si>
  <si>
    <t>Panasonic_變頻610L鋼板三門冰箱(雅士白)_NR-C611XV-W</t>
  </si>
  <si>
    <t>高1830 X 寬775 X 深780 mm</t>
  </si>
  <si>
    <t>Panasonic_變頻610L鋼板三門冰箱(皇家藍)_NR-C611XV-B</t>
  </si>
  <si>
    <t>Panasonic_變頻500L鋼板四門冰箱(雅士白)_NR-D501XV-W</t>
  </si>
  <si>
    <t>Panasonic_變頻500L鋼板四門冰箱(皇家藍)_NR-D501XV-B</t>
  </si>
  <si>
    <t>Panasonic_變頻610L鋼板四門冰箱(雅士白)_NR-D611XV-W</t>
  </si>
  <si>
    <t>Panasonic_變頻610L鋼板四門冰箱(皇家藍)_NR-D611XV-B</t>
  </si>
  <si>
    <t>Panasonic_變頻498L鋼板雙門冰箱(晶漾銀)_NR-B493TV-S</t>
  </si>
  <si>
    <t>498L</t>
  </si>
  <si>
    <t>Panasonic_變頻498L鋼板雙門冰箱(晶漾黑)_NR-B493TV-K</t>
  </si>
  <si>
    <t>Mitsubishi_605L六門變頻日製冰箱(玫瑰金)_764B06_MR-JX61C-N-C1</t>
  </si>
  <si>
    <t>六門變頻</t>
  </si>
  <si>
    <t>玫瑰金</t>
  </si>
  <si>
    <t>605L</t>
  </si>
  <si>
    <t>1821*685*738mm</t>
  </si>
  <si>
    <t>Mitsubishi_605L六門變頻日製冰箱(絹絲白)_764B05_MR-JX61C-W-C1</t>
  </si>
  <si>
    <t>絹絲白</t>
  </si>
  <si>
    <t>LG 335L 變頻雙門冰箱(星夜黑) GN-L332BS</t>
  </si>
  <si>
    <t>星夜黑</t>
  </si>
  <si>
    <t>335L</t>
  </si>
  <si>
    <t>1720*600*710mm</t>
  </si>
  <si>
    <t>馬達1年/主機板3年/變頻壓縮機10年</t>
  </si>
  <si>
    <t>LG 525L雙門聯網變頻冰箱-不銹鋼(星辰銀)</t>
  </si>
  <si>
    <t>星辰銀</t>
  </si>
  <si>
    <t>525L</t>
  </si>
  <si>
    <t>1800*780*730mm</t>
  </si>
  <si>
    <t>印尼</t>
  </si>
  <si>
    <t>LG 653L敲敲看門中門WiFi對開冰箱(黑) GR-QL62MB</t>
  </si>
  <si>
    <t>對開變頻</t>
  </si>
  <si>
    <t>黑銅</t>
  </si>
  <si>
    <t>653L</t>
  </si>
  <si>
    <t>**mm</t>
  </si>
  <si>
    <t>LG 653L敲敲看門中門WiFi對開冰箱(銀) GR-QL62ST</t>
  </si>
  <si>
    <t xml:space="preserve">星辰銀 </t>
  </si>
  <si>
    <t>1790*912*735mm</t>
  </si>
  <si>
    <t>LG 734L敲敲看門中門WiFi對開冰箱(星夜黑) GR-QPLC82BS</t>
  </si>
  <si>
    <t>734L</t>
  </si>
  <si>
    <t>1790*912*850mm</t>
  </si>
  <si>
    <t>無</t>
  </si>
  <si>
    <t>LG 821公升敲敲看門中門冰箱_GR-QBFL87BS</t>
  </si>
  <si>
    <t>曜石黑</t>
  </si>
  <si>
    <t>821L</t>
  </si>
  <si>
    <t>1785*908*929mm</t>
  </si>
  <si>
    <t>韓國</t>
  </si>
  <si>
    <t>日立331L三門變頻冰箱(琉璃白)_R-G36BGPW</t>
  </si>
  <si>
    <t>琉璃白</t>
  </si>
  <si>
    <t>331L</t>
  </si>
  <si>
    <t>1735*540*655mm</t>
  </si>
  <si>
    <t>日立331L三門變頻冰箱(琉璃棕)_R-G36BGBW</t>
  </si>
  <si>
    <t>琉璃棕</t>
  </si>
  <si>
    <t>日立313L雙門變頻冰箱(琉璃黑)_764H71_RBX330XGR</t>
  </si>
  <si>
    <t>琉璃黑</t>
  </si>
  <si>
    <t>313L</t>
  </si>
  <si>
    <t>1900*595*650mm</t>
  </si>
  <si>
    <t>日立313L雙門變頻冰箱(琉璃白)_764H72_RBX330GPW</t>
  </si>
  <si>
    <t>日立394L三門變頻冰箱(琉璃白)_R-G41BG(PW)</t>
  </si>
  <si>
    <t>394L</t>
  </si>
  <si>
    <t>1810*600*655mm</t>
  </si>
  <si>
    <t>日立394L三門變頻冰箱(琉璃棕)_R-G41BG(BW)</t>
  </si>
  <si>
    <t>日立407L五門變頻冰箱(香檳不銹鋼)_RS42NJ(SN)</t>
  </si>
  <si>
    <t>五門變頻</t>
  </si>
  <si>
    <t>香檳不鏽鋼</t>
  </si>
  <si>
    <t>407L</t>
  </si>
  <si>
    <t>1798*600*669mm</t>
  </si>
  <si>
    <t>日立407L五門變頻冰箱(星燦白)_RS42NJ(W)</t>
  </si>
  <si>
    <t>星燦白</t>
  </si>
  <si>
    <t>日立RHS49NJ(CNX)475L五門變頻冰箱(星燦金)_764H74</t>
  </si>
  <si>
    <t>星燦金</t>
  </si>
  <si>
    <t>475L</t>
  </si>
  <si>
    <t>1833*650*651mm</t>
  </si>
  <si>
    <t>HITACHI_日立475L五門變頻冰箱(消光白)_764H75_RHS49NJ(SW)</t>
  </si>
  <si>
    <t>消光白</t>
  </si>
  <si>
    <t>日立RHSF53NJ(CNX)527L六門變頻冰箱(星燦金)_764H76</t>
  </si>
  <si>
    <t>527L</t>
  </si>
  <si>
    <t>1833*650*701mm</t>
  </si>
  <si>
    <t>日立RHSF53NJ(SW)527L六門變頻冰箱(消光白)_764H77</t>
  </si>
  <si>
    <t>日立RBX330X313L雙門變頻冰箱(琉璃鏡)_764H80</t>
  </si>
  <si>
    <t>琉璃鏡</t>
  </si>
  <si>
    <t>190*59.5*65</t>
  </si>
  <si>
    <t>日立RBX330LGPW313L雙門變頻左開冰箱(琉璃白)_764H79</t>
  </si>
  <si>
    <t>日立RBX330LXGR313L雙門變頻左開冰箱(琉璃黑)_764H81</t>
  </si>
  <si>
    <t>日立R-V469BSL460L雙門變頻冰箱(星燦銀)_764H82</t>
  </si>
  <si>
    <t>星燦銀</t>
  </si>
  <si>
    <t>460L</t>
  </si>
  <si>
    <t>1835*715*740mm</t>
  </si>
  <si>
    <t>日立R-V469PWH460L雙門變頻冰箱(典雅白)_764H83</t>
  </si>
  <si>
    <t>日立RS600PTWGS595L雙門對開冰箱(琉璃瓷)_764H84</t>
  </si>
  <si>
    <t>雙門對開</t>
  </si>
  <si>
    <t>琉璃瓷</t>
  </si>
  <si>
    <t>595L</t>
  </si>
  <si>
    <t>1795*920*720mm</t>
  </si>
  <si>
    <t>日立RS600PTWGBK595L雙門對開冰箱(琉璃黑)_764H85</t>
  </si>
  <si>
    <t>日立615L六門變頻冰箱(香檳不鏽鋼)RSF62NJ(SN)</t>
  </si>
  <si>
    <t>香檳不銹鋼</t>
  </si>
  <si>
    <t>615L</t>
  </si>
  <si>
    <t>1818*750*743mm</t>
  </si>
  <si>
    <t>日立615L六門變頻冰箱(星燦白)RSF62NJ(W)</t>
  </si>
  <si>
    <t>日立676L六門變頻冰箱(琉璃白)RXG680NJ(XW)</t>
  </si>
  <si>
    <t>676L</t>
  </si>
  <si>
    <t>1818*825*728mm</t>
  </si>
  <si>
    <t>日立676L六門變頻冰箱(琉璃黑)RXG680NJ(XK)</t>
  </si>
  <si>
    <t>日立676L六門變頻冰箱(琉璃金)RXG680NJ(XN)</t>
  </si>
  <si>
    <t>琉璃金</t>
  </si>
  <si>
    <t>日立676L六門變頻冰箱(琉璃鏡)RXG680NJ(X)</t>
  </si>
  <si>
    <t>日立230L雙門變頻冰箱(星燦銀)_764H73_R-V230BSL</t>
  </si>
  <si>
    <t>230L</t>
  </si>
  <si>
    <t xml:space="preserve">1585*540*585mm
</t>
  </si>
  <si>
    <t>日立537L六門日製變頻冰箱(琉璃金)RHW540RJ(XN)</t>
  </si>
  <si>
    <t>537L</t>
  </si>
  <si>
    <t>1833*650*699mm</t>
  </si>
  <si>
    <t>日立537L六門日製變頻冰箱(琉璃白)RHW540RJ(XW)</t>
  </si>
  <si>
    <t>1833**650*699mm</t>
  </si>
  <si>
    <t>日立537L六門日製變頻冰箱(琉璃鏡)RHW540RJ(X)</t>
  </si>
  <si>
    <t>日立614L六門日製變頻冰箱(琉璃金)RHW620RJ(XN)</t>
  </si>
  <si>
    <t>614L</t>
  </si>
  <si>
    <t>1833*685*738mm</t>
  </si>
  <si>
    <t>日立614L六門日製變頻冰箱(琉璃白)RHW620RJ(XW)</t>
  </si>
  <si>
    <t xml:space="preserve">日立614L六門日製變頻冰箱(琉璃鏡)RHW620RJ(X) </t>
  </si>
  <si>
    <t>聲寶140L雙門冰箱(晶鑽金)SR-C14Q(Y9)</t>
  </si>
  <si>
    <t>雙門定頻</t>
  </si>
  <si>
    <t>晶鑽金</t>
  </si>
  <si>
    <t>140L</t>
  </si>
  <si>
    <t>1282*471*549mm</t>
  </si>
  <si>
    <t>聲寶250L雙門冰箱(不鏽鋼色)SR-B25G(Y)</t>
  </si>
  <si>
    <t>不鏽鋼色</t>
  </si>
  <si>
    <t>250L</t>
  </si>
  <si>
    <t>1665*544*595mm</t>
  </si>
  <si>
    <t>聲寶480L雙門冰箱SR-C48G(Y9)</t>
  </si>
  <si>
    <t>480L</t>
  </si>
  <si>
    <t>1796*674*752mm</t>
  </si>
  <si>
    <t>聲寶250L雙門變頻冰箱(炫麥金)SR-A25D(Y2)</t>
  </si>
  <si>
    <t>炫麥金</t>
  </si>
  <si>
    <t>1660*594*597mm</t>
  </si>
  <si>
    <t>聲寶250L雙門變頻冰箱(星辰灰)SR-A25D(G)</t>
  </si>
  <si>
    <t>星辰灰</t>
  </si>
  <si>
    <t>聲寶455L三門變頻冰箱(紫燦銀)SR-B46DV(R6)</t>
  </si>
  <si>
    <t>紫燦銀</t>
  </si>
  <si>
    <t>455L</t>
  </si>
  <si>
    <t>1800*674*743mm</t>
  </si>
  <si>
    <t>聲寶530L三門變頻冰箱(香檳銀)SR-B53DV(Y6)</t>
  </si>
  <si>
    <t>香檳銀</t>
  </si>
  <si>
    <t>530L</t>
  </si>
  <si>
    <t>1855*754*766mm</t>
  </si>
  <si>
    <t>聲寶535L雙門變頻冰箱(漸層銀)SR-B53D(K3)</t>
  </si>
  <si>
    <t>漸層銀</t>
  </si>
  <si>
    <t>535L</t>
  </si>
  <si>
    <t>聲寶_370公升極光鈦星美滿雙門變頻冰箱_SR-C37D(K5)</t>
  </si>
  <si>
    <t>(K5)鈦金黑</t>
  </si>
  <si>
    <t>370L</t>
  </si>
  <si>
    <t xml:space="preserve"> 
1705*674*693mm</t>
  </si>
  <si>
    <t>聲寶_560公升四門變頻冰箱_SR-C56DD(Y5)</t>
  </si>
  <si>
    <t>560L</t>
  </si>
  <si>
    <t xml:space="preserve">
1853*804*788mm</t>
  </si>
  <si>
    <t>聲寶580L三門變頻冰箱(香檳銀)SR-B58DV(Y6)</t>
  </si>
  <si>
    <t>580L</t>
  </si>
  <si>
    <t>1836*752*766mm</t>
  </si>
  <si>
    <t>聲寶480L雙門變頻冰箱SR-C48D(S1)</t>
  </si>
  <si>
    <t>髮絲銀</t>
  </si>
  <si>
    <t>聲寶480L三門變頻冰箱SR-C48DV(Y1)</t>
  </si>
  <si>
    <t>彩紋金</t>
  </si>
  <si>
    <t>聲寶140公升雙門定頻冰箱(紫燦銀)SR-C14Q(R6)</t>
  </si>
  <si>
    <t>聲寶210公升歐風美型雙門變頻冰箱(緋麗紅)SR-C21D(R)</t>
  </si>
  <si>
    <t>緋麗紅</t>
  </si>
  <si>
    <t>210L</t>
  </si>
  <si>
    <t>1529*545*683mm</t>
  </si>
  <si>
    <t>聲寶610LAIE全平面鋼板雙門變頻冰箱(彩紋銀)SR-C61D(S9)</t>
  </si>
  <si>
    <t>彩紋銀</t>
  </si>
  <si>
    <t>1855*754*768mm</t>
  </si>
  <si>
    <t>聲寶_535公升一級能效極光鈦變頻雙門冰箱_SR-C53D(S9)</t>
  </si>
  <si>
    <t>聲寶_580公升一級能效極光鈦變頻雙門冰箱_SR-C58D(S9)</t>
  </si>
  <si>
    <t>聲寶_250公升極光鈦星美滿一級變頻冰箱_SR-C25D(G6)</t>
  </si>
  <si>
    <t>聲寶_250公升極光鈦星美滿一級變頻冰箱_SR-C25D(Y9)</t>
  </si>
  <si>
    <t>聲寶_580公升一級能效極光鈦變頻三門冰箱_SR-C58DV(Y7)</t>
  </si>
  <si>
    <t>聲寶_530公升一級能效極光鈦變頻三門冰箱_SR-C53DV(Y7)</t>
  </si>
  <si>
    <t>聲寶605L極光鈦三門變頻冰箱(香檳金)SR-C61DV(Y5)</t>
  </si>
  <si>
    <t>香檳金</t>
  </si>
  <si>
    <t>1854*752*760mm</t>
  </si>
  <si>
    <t>聲寶170L定頻單門直立冷凍櫃SRF-171F</t>
  </si>
  <si>
    <t>直立式冷凍櫃</t>
  </si>
  <si>
    <t>170L</t>
  </si>
  <si>
    <t>1443*544*641mm</t>
  </si>
  <si>
    <t>聲寶391L直立式冷凍櫃SRF-390F</t>
  </si>
  <si>
    <t>391L</t>
  </si>
  <si>
    <t>1570*715*825mm</t>
  </si>
  <si>
    <t>聲寶216公升單門定頻直立冷凍櫃(髮絲銀)SRF-220F</t>
  </si>
  <si>
    <t>216L</t>
  </si>
  <si>
    <t>1700*540*590mm</t>
  </si>
  <si>
    <t xml:space="preserve">聲寶455公升單門定頻直立冷凍櫃(白色)SRF-455F
</t>
  </si>
  <si>
    <t>1720*704*760mm</t>
  </si>
  <si>
    <t>聲寶_171公升變頻直立式風冷無霜冷凍櫃_SRF-171FD</t>
  </si>
  <si>
    <t xml:space="preserve">髮絲銀
</t>
  </si>
  <si>
    <t>171L</t>
  </si>
  <si>
    <t>1450*544*641(含把手)mm</t>
  </si>
  <si>
    <t>大陸</t>
  </si>
  <si>
    <t>聲寶297L上掀式冷凍櫃SRF-302</t>
  </si>
  <si>
    <t>上掀式冷凍櫃</t>
  </si>
  <si>
    <t>297L</t>
  </si>
  <si>
    <t>847*1117*685mm</t>
  </si>
  <si>
    <t>聲寶 325公升變頻直立式冷凍櫃(黑鋼色)SRF-325FD</t>
  </si>
  <si>
    <t>黑鋼色</t>
  </si>
  <si>
    <t>325L</t>
  </si>
  <si>
    <t>1570*717*770mm</t>
  </si>
  <si>
    <t>聲寶 285公升變頻直立式冷凍櫃(不鏽鋼色)SRF-285FD</t>
  </si>
  <si>
    <t>不銹鋼色</t>
  </si>
  <si>
    <t>285L</t>
  </si>
  <si>
    <t>1850*600*710mm</t>
  </si>
  <si>
    <t>東元</t>
  </si>
  <si>
    <t>東元_231公升雙門變頻冰箱(爵士灰)_R2311XHS</t>
  </si>
  <si>
    <t xml:space="preserve">爵士灰
</t>
  </si>
  <si>
    <t>231L</t>
  </si>
  <si>
    <t>1545*545*623mm</t>
  </si>
  <si>
    <t>東元_334公升雙門變頻冰箱(拉絲銀)_R3342XS</t>
  </si>
  <si>
    <t>拉絲銀</t>
  </si>
  <si>
    <t>334L</t>
  </si>
  <si>
    <t>1700*605*665mm</t>
  </si>
  <si>
    <t>東元_158L雙門定頻下冷凍冰箱(拉絲銀)_R1583TS</t>
  </si>
  <si>
    <t>158L</t>
  </si>
  <si>
    <t>1292*500*617mm</t>
  </si>
  <si>
    <t>東元_440L雙門變頻冰箱(拉絲銀)_R4402XN</t>
  </si>
  <si>
    <t>440L</t>
  </si>
  <si>
    <t>1780*710*685mm</t>
  </si>
  <si>
    <t>禾聯</t>
  </si>
  <si>
    <t>禾聯260L變頻直立式冷凍櫃HFZ-B2651FV</t>
  </si>
  <si>
    <t>AC110V/60HZ 消耗功率:85W 重量:64kg</t>
  </si>
  <si>
    <t>1850*595*625</t>
  </si>
  <si>
    <t>全機保固1年</t>
  </si>
  <si>
    <t>壓縮機保固5年</t>
  </si>
  <si>
    <t>禾聯383L變頻直立式冷凍櫃 HFZ-B3862FV</t>
  </si>
  <si>
    <t>AC110V/60HZ 消耗功率:330W 重量:86kg</t>
  </si>
  <si>
    <t>1850*700*700</t>
  </si>
  <si>
    <t>禾聯142L 變頻直立式冷凍櫃 HFZ-B14A1FV</t>
  </si>
  <si>
    <t>AC110V/60HZ 消耗功率:270W 重量:38kg</t>
  </si>
  <si>
    <t>1290*476*632</t>
  </si>
  <si>
    <t>禾聯206L變頻直立式冷凍櫃HFZ-B2061FV</t>
  </si>
  <si>
    <t>AC110V/60HZ 消耗功率:224W 重量:54kg</t>
  </si>
  <si>
    <t>1700*540*590</t>
  </si>
  <si>
    <t>台灣三洋480公升雙門變頻冰箱SR-C480BV1A</t>
  </si>
  <si>
    <t>閃耀銀</t>
  </si>
  <si>
    <t>1750*726*754mm</t>
  </si>
  <si>
    <t>台灣三洋321公升雙門定頻冰箱(星光銀)SR-C321B1B</t>
  </si>
  <si>
    <t>星光銀(L)</t>
  </si>
  <si>
    <t>321公升</t>
  </si>
  <si>
    <t>1605*616*719mm</t>
  </si>
  <si>
    <t>電冰箱冷媒路徑系統、壓縮機及主基板(不含顯示基板)保證三年</t>
  </si>
  <si>
    <t>台灣三洋380公升雙門變頻冰箱(香檳紫)SR-C380BV1B</t>
  </si>
  <si>
    <t>香檳紫(P)</t>
  </si>
  <si>
    <t>380公升</t>
  </si>
  <si>
    <t>1800*616*724mm</t>
  </si>
  <si>
    <t>台灣三洋_580公升雙門變頻冰箱_SR-V580B</t>
  </si>
  <si>
    <t>雅致金</t>
  </si>
  <si>
    <t>580公升</t>
  </si>
  <si>
    <t>高1828*寬766*深774mm</t>
  </si>
  <si>
    <t>台灣三洋_580公升三門變頻冰箱_SR-V580C</t>
  </si>
  <si>
    <t>台灣三洋528公升三門變頻冰箱(光耀銀)SR-C528CV1A</t>
  </si>
  <si>
    <t>光耀銀(A)</t>
  </si>
  <si>
    <t>528公升</t>
  </si>
  <si>
    <t>1825*766*754mm</t>
  </si>
  <si>
    <t>台灣三洋_460公升四門變頻冰箱_SR-C460DVGF</t>
  </si>
  <si>
    <t>460公升</t>
  </si>
  <si>
    <t>1900*720*703mm</t>
  </si>
  <si>
    <t>台灣三洋240公升變頻直立式冷凍櫃(銀)SCR-V240F</t>
  </si>
  <si>
    <t>灰</t>
  </si>
  <si>
    <t>240公升</t>
  </si>
  <si>
    <t>高1645*寬595*深645mm</t>
  </si>
  <si>
    <t>台灣三洋240公升變頻直立式冷凍櫃SCR-V248GF</t>
  </si>
  <si>
    <t>台灣三洋165公升變頻直立式冷凍櫃SCR-V168F</t>
  </si>
  <si>
    <t>165公升</t>
  </si>
  <si>
    <t>高1300*寬515*深620mm</t>
  </si>
  <si>
    <t>台灣三洋410公升變頻直立式冷凍櫃SCR-V420FA</t>
  </si>
  <si>
    <t>410L</t>
  </si>
  <si>
    <t>高1570*寬711*深810mm</t>
  </si>
  <si>
    <t>台灣三洋420公升五門變頻冰箱SR-C420EVGF</t>
  </si>
  <si>
    <t>420公升</t>
  </si>
  <si>
    <t>高1900*寬703*深720mm</t>
  </si>
  <si>
    <t>Panasonic_325公升下冷凍雙門變頻冰箱(鑽石黑)_NR-B331VG-X1</t>
  </si>
  <si>
    <t>黑</t>
  </si>
  <si>
    <t>325公升</t>
  </si>
  <si>
    <t>1790x601x653mm</t>
  </si>
  <si>
    <t>Panasonic_國際變頻三門冰箱500L(絲紋黑)_NR-C501XV-V1</t>
  </si>
  <si>
    <t>1830x725x695mm</t>
  </si>
  <si>
    <t>Panasonic_國際變頻四門冰箱500L(絲紋黑)_NR-D501XV-V1</t>
  </si>
  <si>
    <t>Panasonic_國際變頻三門冰箱610L(絲紋黑)_NR-C611XV-V1</t>
  </si>
  <si>
    <t>1830x775x780 mm</t>
  </si>
  <si>
    <t>Panasonic_國際變頻四門冰箱610L(絲紋黑)_NR-D611XV-V1</t>
  </si>
  <si>
    <t>Panasonic_國際變頻玻璃三門冰箱610L(翡翠白)_NR-C611XGS-W</t>
  </si>
  <si>
    <t>1830x771x780 mm</t>
  </si>
  <si>
    <t>Panasonic_國際變頻玻璃四門冰箱610L(翡翠白)_NR-D611XGS-W</t>
  </si>
  <si>
    <t>大同780L變頻對開三門冰箱(絲雅鋼) (自動製冰/內部飲水機)</t>
  </si>
  <si>
    <t>780L</t>
  </si>
  <si>
    <t>1788*914*854mm</t>
  </si>
  <si>
    <t>PANASONIC_385公升無邊框鋼板三門變頻冰箱(香檳金)_NR-C384HV-N1</t>
  </si>
  <si>
    <t>金</t>
  </si>
  <si>
    <t>385L</t>
  </si>
  <si>
    <t>高1830 X 寬600 X 深695mm</t>
  </si>
  <si>
    <t>PANASONIC_385公升無邊框鋼板三門變頻冰箱(晶鑽白)_NR-C384HV-W1</t>
  </si>
  <si>
    <t>TOSHIBA東芝601L六門變頻冰箱(極光鏡面)GR-ZP600TFW(X)</t>
  </si>
  <si>
    <t>極光鏡面</t>
  </si>
  <si>
    <t>601L</t>
  </si>
  <si>
    <t>1833*685*745mm</t>
  </si>
  <si>
    <t>TOSHIBA東芝608L雙門變頻冰箱(極光鏡面)GR-AG66T(X)</t>
  </si>
  <si>
    <t>608L</t>
  </si>
  <si>
    <t>1848*803*739mm</t>
  </si>
  <si>
    <t>台灣三洋129公升雙門變頻冰箱SR-C130BV1</t>
  </si>
  <si>
    <t>直立變頻</t>
  </si>
  <si>
    <t>129公升</t>
  </si>
  <si>
    <t>高1103*寬485*深569mm</t>
  </si>
  <si>
    <t>台灣三洋210公升雙門變頻冰箱SR-C210BV1A</t>
  </si>
  <si>
    <t>210公升</t>
  </si>
  <si>
    <t>高1465*寬545*深590mm</t>
  </si>
  <si>
    <t>台灣三洋250公升雙門變頻冰箱SR-C250BV1A</t>
  </si>
  <si>
    <t>250公升</t>
  </si>
  <si>
    <t>高1700*寬545*深590mm</t>
  </si>
  <si>
    <t>台灣三洋360公升雙門變頻冰箱SR-C360BV1A</t>
  </si>
  <si>
    <t>360公升</t>
  </si>
  <si>
    <t>高1700*寬595*深685mm</t>
  </si>
  <si>
    <t>台灣三洋606公升雙門變頻冰箱SR-V610B</t>
  </si>
  <si>
    <t>606公升</t>
  </si>
  <si>
    <t>高1848*寬766*深774mm</t>
  </si>
  <si>
    <t>台灣三洋606公升三門變頻冰箱SR-V610C</t>
  </si>
  <si>
    <t>TM-SADE02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</si>
</sst>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&quot;$&quot;#,##0_);[Red]\(&quot;$&quot;#,##0\)"/>
    <numFmt numFmtId="177" formatCode="_-* #,##0_-;\-* #,##0_-;_-* &quot;-&quot;??_-;_-@_-"/>
  </numFmts>
  <fonts count="15">
    <font>
      <sz val="10"/>
      <color rgb="FF000000"/>
      <name val="Arial"/>
      <scheme val="minor"/>
    </font>
    <font>
      <b/>
      <sz val="18"/>
      <color rgb="FFFF0000"/>
      <name val="Arial"/>
    </font>
    <font>
      <b/>
      <sz val="10"/>
      <color rgb="FF000000"/>
      <name val="Arial"/>
    </font>
    <font>
      <b/>
      <sz val="10"/>
      <color rgb="FFFF0000"/>
      <name val="Arial"/>
    </font>
    <font>
      <b/>
      <sz val="10"/>
      <color rgb="FF0000FF"/>
      <name val="Arial"/>
    </font>
    <font>
      <sz val="10"/>
      <color theme="1"/>
      <name val="Arial"/>
      <scheme val="minor"/>
    </font>
    <font>
      <sz val="10"/>
      <name val="Arial"/>
      <family val="2"/>
    </font>
    <font>
      <sz val="12"/>
      <color theme="1"/>
      <name val="Microsoft JhengHei"/>
      <family val="2"/>
      <charset val="136"/>
    </font>
    <font>
      <u/>
      <sz val="12"/>
      <color rgb="FF0000FF"/>
      <name val="Microsoft JhengHei"/>
      <family val="2"/>
      <charset val="136"/>
    </font>
    <font>
      <u/>
      <sz val="10"/>
      <color rgb="FF0000FF"/>
      <name val="Arial"/>
      <family val="2"/>
    </font>
    <font>
      <sz val="9"/>
      <name val="Arial"/>
      <family val="3"/>
      <charset val="136"/>
      <scheme val="minor"/>
    </font>
    <font>
      <sz val="10"/>
      <color theme="1"/>
      <name val="微軟正黑體"/>
      <family val="2"/>
      <charset val="136"/>
    </font>
    <font>
      <sz val="10"/>
      <color theme="1"/>
      <name val="Arial"/>
      <family val="2"/>
      <charset val="136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CE5CD"/>
        <bgColor rgb="FFFCE5CD"/>
      </patternFill>
    </fill>
    <fill>
      <patternFill patternType="solid">
        <fgColor rgb="FFC6D9F0"/>
        <bgColor rgb="FFC6D9F0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vertical="center"/>
    </xf>
    <xf numFmtId="14" fontId="5" fillId="0" borderId="2" xfId="0" applyNumberFormat="1" applyFont="1" applyBorder="1" applyAlignment="1">
      <alignment vertical="center"/>
    </xf>
    <xf numFmtId="0" fontId="5" fillId="0" borderId="0" xfId="0" applyFont="1"/>
    <xf numFmtId="176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0" fontId="5" fillId="0" borderId="2" xfId="0" applyFont="1" applyBorder="1"/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0" fontId="9" fillId="0" borderId="0" xfId="0" applyFont="1"/>
    <xf numFmtId="0" fontId="5" fillId="5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14" fontId="5" fillId="5" borderId="2" xfId="0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horizontal="left" vertical="center"/>
    </xf>
    <xf numFmtId="0" fontId="0" fillId="5" borderId="0" xfId="0" applyFill="1"/>
    <xf numFmtId="3" fontId="5" fillId="5" borderId="2" xfId="0" applyNumberFormat="1" applyFont="1" applyFill="1" applyBorder="1" applyAlignment="1">
      <alignment vertical="center"/>
    </xf>
    <xf numFmtId="49" fontId="5" fillId="5" borderId="2" xfId="0" applyNumberFormat="1" applyFont="1" applyFill="1" applyBorder="1" applyAlignment="1">
      <alignment vertical="center"/>
    </xf>
    <xf numFmtId="176" fontId="5" fillId="5" borderId="2" xfId="0" applyNumberFormat="1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14" fontId="5" fillId="6" borderId="2" xfId="0" applyNumberFormat="1" applyFont="1" applyFill="1" applyBorder="1" applyAlignment="1">
      <alignment vertical="center"/>
    </xf>
    <xf numFmtId="0" fontId="5" fillId="6" borderId="2" xfId="0" applyFont="1" applyFill="1" applyBorder="1" applyAlignment="1">
      <alignment horizontal="left" vertical="center"/>
    </xf>
    <xf numFmtId="0" fontId="0" fillId="6" borderId="0" xfId="0" applyFill="1"/>
    <xf numFmtId="0" fontId="13" fillId="5" borderId="2" xfId="0" applyFont="1" applyFill="1" applyBorder="1" applyAlignment="1">
      <alignment vertical="center"/>
    </xf>
    <xf numFmtId="0" fontId="13" fillId="5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vertical="center"/>
    </xf>
    <xf numFmtId="177" fontId="5" fillId="0" borderId="2" xfId="1" applyNumberFormat="1" applyFont="1" applyBorder="1" applyAlignment="1">
      <alignment vertical="center"/>
    </xf>
    <xf numFmtId="177" fontId="5" fillId="0" borderId="2" xfId="1" applyNumberFormat="1" applyFont="1" applyBorder="1" applyAlignment="1">
      <alignment horizontal="center" vertical="center"/>
    </xf>
    <xf numFmtId="177" fontId="5" fillId="5" borderId="2" xfId="1" applyNumberFormat="1" applyFont="1" applyFill="1" applyBorder="1" applyAlignment="1">
      <alignment vertical="center"/>
    </xf>
    <xf numFmtId="177" fontId="5" fillId="5" borderId="2" xfId="1" applyNumberFormat="1" applyFont="1" applyFill="1" applyBorder="1" applyAlignment="1">
      <alignment horizontal="center" vertical="center"/>
    </xf>
    <xf numFmtId="177" fontId="5" fillId="6" borderId="2" xfId="1" applyNumberFormat="1" applyFont="1" applyFill="1" applyBorder="1" applyAlignment="1">
      <alignment vertical="center"/>
    </xf>
    <xf numFmtId="177" fontId="5" fillId="6" borderId="2" xfId="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7" fillId="0" borderId="3" xfId="0" applyFont="1" applyBorder="1" applyAlignment="1">
      <alignment vertical="center"/>
    </xf>
    <xf numFmtId="0" fontId="6" fillId="0" borderId="1" xfId="0" applyFont="1" applyBorder="1"/>
    <xf numFmtId="0" fontId="6" fillId="0" borderId="4" xfId="0" applyFont="1" applyBorder="1"/>
    <xf numFmtId="0" fontId="3" fillId="4" borderId="1" xfId="0" applyFont="1" applyFill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kelly@wonder.tw" TargetMode="External"/><Relationship Id="rId18" Type="http://schemas.openxmlformats.org/officeDocument/2006/relationships/hyperlink" Target="mailto:cht.sunfar@mail.sunfar.com.tw" TargetMode="External"/><Relationship Id="rId26" Type="http://schemas.openxmlformats.org/officeDocument/2006/relationships/hyperlink" Target="mailto:bass01@b-a-s-s.com.tw" TargetMode="External"/><Relationship Id="rId39" Type="http://schemas.openxmlformats.org/officeDocument/2006/relationships/hyperlink" Target="mailto:william@quasi.com.tw" TargetMode="External"/><Relationship Id="rId21" Type="http://schemas.openxmlformats.org/officeDocument/2006/relationships/hyperlink" Target="mailto:tonlinserver@gmail.com" TargetMode="External"/><Relationship Id="rId34" Type="http://schemas.openxmlformats.org/officeDocument/2006/relationships/hyperlink" Target="mailto:htt.service@msa.hinet.net" TargetMode="External"/><Relationship Id="rId7" Type="http://schemas.openxmlformats.org/officeDocument/2006/relationships/hyperlink" Target="mailto:eve@ejoy.net.tw" TargetMode="External"/><Relationship Id="rId12" Type="http://schemas.openxmlformats.org/officeDocument/2006/relationships/hyperlink" Target="mailto:louis@wonder.tw" TargetMode="External"/><Relationship Id="rId17" Type="http://schemas.openxmlformats.org/officeDocument/2006/relationships/hyperlink" Target="mailto:cht.sunfar@mail.sunfar.com.tw" TargetMode="External"/><Relationship Id="rId25" Type="http://schemas.openxmlformats.org/officeDocument/2006/relationships/hyperlink" Target="mailto:sb7398@sanyo.com.tw" TargetMode="External"/><Relationship Id="rId33" Type="http://schemas.openxmlformats.org/officeDocument/2006/relationships/hyperlink" Target="mailto:maggie1225@htt.com.tw" TargetMode="External"/><Relationship Id="rId38" Type="http://schemas.openxmlformats.org/officeDocument/2006/relationships/hyperlink" Target="mailto:eric_yu@mail.nexgen.com.tw" TargetMode="External"/><Relationship Id="rId2" Type="http://schemas.openxmlformats.org/officeDocument/2006/relationships/hyperlink" Target="mailto:chlai@tcpc.tatung.com.tw" TargetMode="External"/><Relationship Id="rId16" Type="http://schemas.openxmlformats.org/officeDocument/2006/relationships/hyperlink" Target="mailto:cht.sunfar@mail.sunfar.com.tw" TargetMode="External"/><Relationship Id="rId20" Type="http://schemas.openxmlformats.org/officeDocument/2006/relationships/hyperlink" Target="mailto:sarahlai@hostan.com.tw" TargetMode="External"/><Relationship Id="rId29" Type="http://schemas.openxmlformats.org/officeDocument/2006/relationships/hyperlink" Target="mailto:philo1699@gmail.com" TargetMode="External"/><Relationship Id="rId1" Type="http://schemas.openxmlformats.org/officeDocument/2006/relationships/hyperlink" Target="mailto:iverson1008@tcpc.tatung.com.tw" TargetMode="External"/><Relationship Id="rId6" Type="http://schemas.openxmlformats.org/officeDocument/2006/relationships/hyperlink" Target="mailto:sume-wu@ejoy.net.tw" TargetMode="External"/><Relationship Id="rId11" Type="http://schemas.openxmlformats.org/officeDocument/2006/relationships/hyperlink" Target="mailto:anniezhan@synnex.com.tw" TargetMode="External"/><Relationship Id="rId24" Type="http://schemas.openxmlformats.org/officeDocument/2006/relationships/hyperlink" Target="mailto:Yuki@thebest.com.tw" TargetMode="External"/><Relationship Id="rId32" Type="http://schemas.openxmlformats.org/officeDocument/2006/relationships/hyperlink" Target="mailto:alex.chan@dpsmart.com.tw" TargetMode="External"/><Relationship Id="rId37" Type="http://schemas.openxmlformats.org/officeDocument/2006/relationships/hyperlink" Target="mailto:jill_yang@mail.nexgen.com.tw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0316@ejoy.net.tw" TargetMode="External"/><Relationship Id="rId15" Type="http://schemas.openxmlformats.org/officeDocument/2006/relationships/hyperlink" Target="mailto:cht.sunfar@mail.sunfar.com.tw" TargetMode="External"/><Relationship Id="rId23" Type="http://schemas.openxmlformats.org/officeDocument/2006/relationships/hyperlink" Target="mailto:jacky@taidoc.com.tw" TargetMode="External"/><Relationship Id="rId28" Type="http://schemas.openxmlformats.org/officeDocument/2006/relationships/hyperlink" Target="mailto:Hi-netplace@xander.com.tw" TargetMode="External"/><Relationship Id="rId36" Type="http://schemas.openxmlformats.org/officeDocument/2006/relationships/hyperlink" Target="mailto:eric_yu@mail.nexgen.com.tw" TargetMode="External"/><Relationship Id="rId10" Type="http://schemas.openxmlformats.org/officeDocument/2006/relationships/hyperlink" Target="mailto:jeneifer@synnex.com.tw" TargetMode="External"/><Relationship Id="rId19" Type="http://schemas.openxmlformats.org/officeDocument/2006/relationships/hyperlink" Target="mailto:09038@mail.sunfar.com.tw" TargetMode="External"/><Relationship Id="rId31" Type="http://schemas.openxmlformats.org/officeDocument/2006/relationships/hyperlink" Target="mailto:sales@dpsmart.com.tw" TargetMode="External"/><Relationship Id="rId4" Type="http://schemas.openxmlformats.org/officeDocument/2006/relationships/hyperlink" Target="mailto:win19820604@ejoy.net.tw" TargetMode="External"/><Relationship Id="rId9" Type="http://schemas.openxmlformats.org/officeDocument/2006/relationships/hyperlink" Target="https://apc01.safelinks.protection.outlook.com/?url=http%3A%2F%2F60.250.76.156%2FSmart-Query%2Fmainframes.aspx&amp;data=04%7C01%7Ctom_0316%40cht.com.tw%7C45ab76322b4f476c9cb608d9d65fe755%7C54eb9440cf0345fe835e61bd4ce515c8%7C0%7C0%7C637776529709118953%7CUnknown%7CTWFpbGZsb3d8eyJWIjoiMC4wLjAwMDAiLCJQIjoiV2luMzIiLCJBTiI6Ik1haWwiLCJXVCI6Mn0%3D%7C3000&amp;sdata=7Gvu8pk%2FKuDTKBLRQt6jVt7MFC7cLMnVG%2Fw%2FVBifisI%3D&amp;reserved=0" TargetMode="External"/><Relationship Id="rId14" Type="http://schemas.openxmlformats.org/officeDocument/2006/relationships/hyperlink" Target="mailto:Nick.cheng@weblink.com.tw" TargetMode="External"/><Relationship Id="rId22" Type="http://schemas.openxmlformats.org/officeDocument/2006/relationships/hyperlink" Target="mailto:Annie.Wang@taidoc.com.tw" TargetMode="External"/><Relationship Id="rId27" Type="http://schemas.openxmlformats.org/officeDocument/2006/relationships/hyperlink" Target="mailto:jia@b-a-s-s.com.tw" TargetMode="External"/><Relationship Id="rId30" Type="http://schemas.openxmlformats.org/officeDocument/2006/relationships/hyperlink" Target="mailto:momoarlink@gmail.com" TargetMode="External"/><Relationship Id="rId35" Type="http://schemas.openxmlformats.org/officeDocument/2006/relationships/hyperlink" Target="mailto:Beata_Lee@mail.nexgen.com.tw" TargetMode="External"/><Relationship Id="rId8" Type="http://schemas.openxmlformats.org/officeDocument/2006/relationships/hyperlink" Target="mailto:elfin@creata.com.tw" TargetMode="External"/><Relationship Id="rId3" Type="http://schemas.openxmlformats.org/officeDocument/2006/relationships/hyperlink" Target="http://tcpcscm1.tatung.com.tw/ProductionControlWeb/CI/CI_CHT_OrderQuery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tabSelected="1" workbookViewId="0">
      <selection activeCell="O5" sqref="O5"/>
    </sheetView>
  </sheetViews>
  <sheetFormatPr defaultColWidth="12.5546875" defaultRowHeight="13.2"/>
  <cols>
    <col min="1" max="1" width="11.88671875" customWidth="1"/>
    <col min="2" max="2" width="56.109375" customWidth="1"/>
    <col min="3" max="3" width="9.33203125" customWidth="1"/>
    <col min="4" max="4" width="10.77734375" customWidth="1"/>
    <col min="5" max="5" width="9.33203125" customWidth="1"/>
    <col min="6" max="6" width="9.44140625" customWidth="1"/>
    <col min="7" max="7" width="5.88671875" customWidth="1"/>
    <col min="8" max="8" width="16.77734375" customWidth="1"/>
    <col min="9" max="9" width="5.88671875" customWidth="1"/>
    <col min="10" max="10" width="6" customWidth="1"/>
    <col min="11" max="11" width="9.88671875" customWidth="1"/>
    <col min="12" max="12" width="7.5546875" customWidth="1"/>
    <col min="13" max="13" width="9.109375" customWidth="1"/>
  </cols>
  <sheetData>
    <row r="1" spans="1:13" ht="30.75" customHeight="1"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66">
      <c r="A2" s="2" t="str">
        <f ca="1">IFERROR(__xludf.DUMMYFUNCTION("""COMPUTED_VALUE"""),"#品牌")</f>
        <v>#品牌</v>
      </c>
      <c r="B2" s="3" t="str">
        <f ca="1">IFERROR(__xludf.DUMMYFUNCTION("""COMPUTED_VALUE"""),"#產品名稱")</f>
        <v>#產品名稱</v>
      </c>
      <c r="C2" s="2" t="str">
        <f ca="1">IFERROR(__xludf.DUMMYFUNCTION("""COMPUTED_VALUE"""),"市價")</f>
        <v>市價</v>
      </c>
      <c r="D2" s="50" t="str">
        <f ca="1">IFERROR(__xludf.DUMMYFUNCTION("""COMPUTED_VALUE"""),"寬頻優惠價
(以系統價格為準)")</f>
        <v>寬頻優惠價
(以系統價格為準)</v>
      </c>
      <c r="E2" s="3" t="str">
        <f ca="1">IFERROR(__xludf.DUMMYFUNCTION("""COMPUTED_VALUE"""),"細類")</f>
        <v>細類</v>
      </c>
      <c r="F2" s="2" t="str">
        <f ca="1">IFERROR(__xludf.DUMMYFUNCTION("""COMPUTED_VALUE"""),"顏色")</f>
        <v>顏色</v>
      </c>
      <c r="G2" s="2" t="str">
        <f ca="1">IFERROR(__xludf.DUMMYFUNCTION("""COMPUTED_VALUE"""),"規格")</f>
        <v>規格</v>
      </c>
      <c r="H2" s="6" t="str">
        <f ca="1">IFERROR(__xludf.DUMMYFUNCTION("""COMPUTED_VALUE"""),"尺吋
(高x寬x深)")</f>
        <v>尺吋
(高x寬x深)</v>
      </c>
      <c r="I2" s="2" t="str">
        <f ca="1">IFERROR(__xludf.DUMMYFUNCTION("""COMPUTED_VALUE"""),"產地")</f>
        <v>產地</v>
      </c>
      <c r="J2" s="6" t="str">
        <f ca="1">IFERROR(__xludf.DUMMYFUNCTION("""COMPUTED_VALUE"""),"全機保固")</f>
        <v>全機保固</v>
      </c>
      <c r="K2" s="6" t="str">
        <f ca="1">IFERROR(__xludf.DUMMYFUNCTION("""COMPUTED_VALUE"""),"馬達(主機板)/壓縮機保固")</f>
        <v>馬達(主機板)/壓縮機保固</v>
      </c>
      <c r="L2" s="6" t="str">
        <f ca="1">IFERROR(__xludf.DUMMYFUNCTION("""COMPUTED_VALUE"""),"級距規格")</f>
        <v>級距規格</v>
      </c>
      <c r="M2" s="7" t="str">
        <f ca="1">IFERROR(__xludf.DUMMYFUNCTION("""COMPUTED_VALUE"""),"貨物稅減免試算
(實際金額依政府與廠商公告資料為準)")</f>
        <v>貨物稅減免試算
(實際金額依政府與廠商公告資料為準)</v>
      </c>
    </row>
    <row r="3" spans="1:13" ht="19.5" customHeight="1">
      <c r="A3" s="9" t="s">
        <v>238</v>
      </c>
      <c r="B3" s="9" t="s">
        <v>243</v>
      </c>
      <c r="C3" s="38">
        <v>17900</v>
      </c>
      <c r="D3" s="39">
        <v>12900</v>
      </c>
      <c r="E3" s="9" t="s">
        <v>239</v>
      </c>
      <c r="F3" s="9" t="s">
        <v>244</v>
      </c>
      <c r="G3" s="9" t="s">
        <v>245</v>
      </c>
      <c r="H3" s="9" t="s">
        <v>246</v>
      </c>
      <c r="I3" s="9" t="s">
        <v>247</v>
      </c>
      <c r="J3" s="9" t="s">
        <v>4</v>
      </c>
      <c r="K3" s="9" t="s">
        <v>241</v>
      </c>
      <c r="L3" s="9">
        <v>237</v>
      </c>
      <c r="M3" s="10" t="s">
        <v>25</v>
      </c>
    </row>
    <row r="4" spans="1:13" ht="19.5" customHeight="1">
      <c r="A4" s="9" t="s">
        <v>238</v>
      </c>
      <c r="B4" s="9" t="s">
        <v>248</v>
      </c>
      <c r="C4" s="38">
        <v>32900</v>
      </c>
      <c r="D4" s="39">
        <v>25900</v>
      </c>
      <c r="E4" s="9" t="s">
        <v>239</v>
      </c>
      <c r="F4" s="9" t="s">
        <v>249</v>
      </c>
      <c r="G4" s="9" t="s">
        <v>250</v>
      </c>
      <c r="H4" s="9" t="s">
        <v>251</v>
      </c>
      <c r="I4" s="9" t="s">
        <v>240</v>
      </c>
      <c r="J4" s="9" t="s">
        <v>4</v>
      </c>
      <c r="K4" s="9" t="s">
        <v>252</v>
      </c>
      <c r="L4" s="9">
        <v>466</v>
      </c>
      <c r="M4" s="10" t="s">
        <v>242</v>
      </c>
    </row>
    <row r="5" spans="1:13" ht="19.5" customHeight="1">
      <c r="A5" s="9" t="s">
        <v>238</v>
      </c>
      <c r="B5" s="9" t="s">
        <v>253</v>
      </c>
      <c r="C5" s="38">
        <v>32900</v>
      </c>
      <c r="D5" s="39">
        <v>25900</v>
      </c>
      <c r="E5" s="9" t="s">
        <v>239</v>
      </c>
      <c r="F5" s="9" t="s">
        <v>254</v>
      </c>
      <c r="G5" s="9" t="s">
        <v>250</v>
      </c>
      <c r="H5" s="9" t="s">
        <v>251</v>
      </c>
      <c r="I5" s="9" t="s">
        <v>240</v>
      </c>
      <c r="J5" s="9" t="s">
        <v>4</v>
      </c>
      <c r="K5" s="9" t="s">
        <v>252</v>
      </c>
      <c r="L5" s="9">
        <v>466</v>
      </c>
      <c r="M5" s="10" t="s">
        <v>242</v>
      </c>
    </row>
    <row r="6" spans="1:13" ht="19.5" customHeight="1">
      <c r="A6" s="9" t="s">
        <v>255</v>
      </c>
      <c r="B6" s="9" t="s">
        <v>256</v>
      </c>
      <c r="C6" s="38">
        <v>17990</v>
      </c>
      <c r="D6" s="39">
        <v>17091</v>
      </c>
      <c r="E6" s="9" t="s">
        <v>239</v>
      </c>
      <c r="F6" s="9" t="s">
        <v>257</v>
      </c>
      <c r="G6" s="9" t="s">
        <v>258</v>
      </c>
      <c r="H6" s="9" t="s">
        <v>259</v>
      </c>
      <c r="I6" s="9" t="s">
        <v>240</v>
      </c>
      <c r="J6" s="9" t="s">
        <v>4</v>
      </c>
      <c r="K6" s="9" t="s">
        <v>260</v>
      </c>
      <c r="L6" s="9">
        <v>288</v>
      </c>
      <c r="M6" s="10" t="s">
        <v>25</v>
      </c>
    </row>
    <row r="7" spans="1:13" ht="19.5" customHeight="1">
      <c r="A7" s="9" t="s">
        <v>255</v>
      </c>
      <c r="B7" s="9" t="s">
        <v>261</v>
      </c>
      <c r="C7" s="38">
        <v>38900</v>
      </c>
      <c r="D7" s="39">
        <v>36955</v>
      </c>
      <c r="E7" s="9" t="s">
        <v>262</v>
      </c>
      <c r="F7" s="9" t="s">
        <v>263</v>
      </c>
      <c r="G7" s="9" t="s">
        <v>264</v>
      </c>
      <c r="H7" s="9" t="s">
        <v>265</v>
      </c>
      <c r="I7" s="9" t="s">
        <v>240</v>
      </c>
      <c r="J7" s="9" t="s">
        <v>4</v>
      </c>
      <c r="K7" s="9" t="s">
        <v>260</v>
      </c>
      <c r="L7" s="9">
        <v>450</v>
      </c>
      <c r="M7" s="10" t="s">
        <v>242</v>
      </c>
    </row>
    <row r="8" spans="1:13" ht="19.5" customHeight="1">
      <c r="A8" s="9" t="s">
        <v>34</v>
      </c>
      <c r="B8" s="9" t="s">
        <v>266</v>
      </c>
      <c r="C8" s="38">
        <v>45800</v>
      </c>
      <c r="D8" s="39">
        <v>42594</v>
      </c>
      <c r="E8" s="9" t="s">
        <v>262</v>
      </c>
      <c r="F8" s="9" t="s">
        <v>267</v>
      </c>
      <c r="G8" s="9" t="s">
        <v>268</v>
      </c>
      <c r="H8" s="9" t="s">
        <v>269</v>
      </c>
      <c r="I8" s="9" t="s">
        <v>42</v>
      </c>
      <c r="J8" s="9" t="s">
        <v>4</v>
      </c>
      <c r="K8" s="9" t="s">
        <v>24</v>
      </c>
      <c r="L8" s="9">
        <v>610</v>
      </c>
      <c r="M8" s="10" t="s">
        <v>242</v>
      </c>
    </row>
    <row r="9" spans="1:13" ht="19.5" customHeight="1">
      <c r="A9" s="9" t="s">
        <v>34</v>
      </c>
      <c r="B9" s="9" t="s">
        <v>270</v>
      </c>
      <c r="C9" s="38">
        <v>45800</v>
      </c>
      <c r="D9" s="39">
        <v>42594</v>
      </c>
      <c r="E9" s="9" t="s">
        <v>262</v>
      </c>
      <c r="F9" s="9" t="s">
        <v>271</v>
      </c>
      <c r="G9" s="9" t="s">
        <v>268</v>
      </c>
      <c r="H9" s="9" t="s">
        <v>269</v>
      </c>
      <c r="I9" s="9" t="s">
        <v>42</v>
      </c>
      <c r="J9" s="9" t="s">
        <v>4</v>
      </c>
      <c r="K9" s="9" t="s">
        <v>24</v>
      </c>
      <c r="L9" s="9">
        <v>610</v>
      </c>
      <c r="M9" s="10" t="s">
        <v>242</v>
      </c>
    </row>
    <row r="10" spans="1:13" ht="19.5" customHeight="1">
      <c r="A10" s="9" t="s">
        <v>34</v>
      </c>
      <c r="B10" s="9" t="s">
        <v>272</v>
      </c>
      <c r="C10" s="38">
        <v>47800</v>
      </c>
      <c r="D10" s="39">
        <v>43020</v>
      </c>
      <c r="E10" s="9" t="s">
        <v>273</v>
      </c>
      <c r="F10" s="9" t="s">
        <v>271</v>
      </c>
      <c r="G10" s="9" t="s">
        <v>268</v>
      </c>
      <c r="H10" s="9" t="s">
        <v>269</v>
      </c>
      <c r="I10" s="9" t="s">
        <v>42</v>
      </c>
      <c r="J10" s="9" t="s">
        <v>4</v>
      </c>
      <c r="K10" s="9" t="s">
        <v>24</v>
      </c>
      <c r="L10" s="9">
        <v>610</v>
      </c>
      <c r="M10" s="10" t="s">
        <v>242</v>
      </c>
    </row>
    <row r="11" spans="1:13" ht="19.5" customHeight="1">
      <c r="A11" s="9" t="s">
        <v>34</v>
      </c>
      <c r="B11" s="9" t="s">
        <v>274</v>
      </c>
      <c r="C11" s="38">
        <v>47800</v>
      </c>
      <c r="D11" s="39">
        <v>43020</v>
      </c>
      <c r="E11" s="9" t="s">
        <v>273</v>
      </c>
      <c r="F11" s="9" t="s">
        <v>267</v>
      </c>
      <c r="G11" s="9" t="s">
        <v>268</v>
      </c>
      <c r="H11" s="9" t="s">
        <v>269</v>
      </c>
      <c r="I11" s="9" t="s">
        <v>42</v>
      </c>
      <c r="J11" s="9" t="s">
        <v>4</v>
      </c>
      <c r="K11" s="9" t="s">
        <v>24</v>
      </c>
      <c r="L11" s="9">
        <v>610</v>
      </c>
      <c r="M11" s="10" t="s">
        <v>242</v>
      </c>
    </row>
    <row r="12" spans="1:13" ht="19.5" customHeight="1">
      <c r="A12" s="9" t="s">
        <v>34</v>
      </c>
      <c r="B12" s="9" t="s">
        <v>275</v>
      </c>
      <c r="C12" s="38">
        <v>44800</v>
      </c>
      <c r="D12" s="39">
        <v>41664</v>
      </c>
      <c r="E12" s="9" t="s">
        <v>262</v>
      </c>
      <c r="F12" s="9" t="s">
        <v>276</v>
      </c>
      <c r="G12" s="9" t="s">
        <v>277</v>
      </c>
      <c r="H12" s="9" t="s">
        <v>278</v>
      </c>
      <c r="I12" s="9" t="s">
        <v>42</v>
      </c>
      <c r="J12" s="9" t="s">
        <v>4</v>
      </c>
      <c r="K12" s="9" t="s">
        <v>24</v>
      </c>
      <c r="L12" s="9">
        <v>500</v>
      </c>
      <c r="M12" s="10" t="s">
        <v>242</v>
      </c>
    </row>
    <row r="13" spans="1:13" ht="19.5" customHeight="1">
      <c r="A13" s="9" t="s">
        <v>34</v>
      </c>
      <c r="B13" s="9" t="s">
        <v>279</v>
      </c>
      <c r="C13" s="38">
        <v>44800</v>
      </c>
      <c r="D13" s="39">
        <v>41664</v>
      </c>
      <c r="E13" s="9" t="s">
        <v>262</v>
      </c>
      <c r="F13" s="9" t="s">
        <v>280</v>
      </c>
      <c r="G13" s="9" t="s">
        <v>277</v>
      </c>
      <c r="H13" s="9" t="s">
        <v>278</v>
      </c>
      <c r="I13" s="9" t="s">
        <v>42</v>
      </c>
      <c r="J13" s="9" t="s">
        <v>4</v>
      </c>
      <c r="K13" s="9" t="s">
        <v>24</v>
      </c>
      <c r="L13" s="9">
        <v>500</v>
      </c>
      <c r="M13" s="10" t="s">
        <v>242</v>
      </c>
    </row>
    <row r="14" spans="1:13" ht="19.5" customHeight="1">
      <c r="A14" s="9" t="s">
        <v>34</v>
      </c>
      <c r="B14" s="9" t="s">
        <v>281</v>
      </c>
      <c r="C14" s="38">
        <v>46800</v>
      </c>
      <c r="D14" s="39">
        <v>43524</v>
      </c>
      <c r="E14" s="9" t="s">
        <v>273</v>
      </c>
      <c r="F14" s="9" t="s">
        <v>276</v>
      </c>
      <c r="G14" s="9" t="s">
        <v>277</v>
      </c>
      <c r="H14" s="9" t="s">
        <v>278</v>
      </c>
      <c r="I14" s="9" t="s">
        <v>42</v>
      </c>
      <c r="J14" s="9" t="s">
        <v>4</v>
      </c>
      <c r="K14" s="9" t="s">
        <v>24</v>
      </c>
      <c r="L14" s="9">
        <v>500</v>
      </c>
      <c r="M14" s="10" t="s">
        <v>242</v>
      </c>
    </row>
    <row r="15" spans="1:13" ht="19.5" customHeight="1">
      <c r="A15" s="9" t="s">
        <v>34</v>
      </c>
      <c r="B15" s="9" t="s">
        <v>282</v>
      </c>
      <c r="C15" s="38">
        <v>46800</v>
      </c>
      <c r="D15" s="39">
        <v>43524</v>
      </c>
      <c r="E15" s="9" t="s">
        <v>273</v>
      </c>
      <c r="F15" s="9" t="s">
        <v>280</v>
      </c>
      <c r="G15" s="9" t="s">
        <v>277</v>
      </c>
      <c r="H15" s="9" t="s">
        <v>278</v>
      </c>
      <c r="I15" s="9" t="s">
        <v>42</v>
      </c>
      <c r="J15" s="9" t="s">
        <v>4</v>
      </c>
      <c r="K15" s="9" t="s">
        <v>24</v>
      </c>
      <c r="L15" s="9">
        <v>500</v>
      </c>
      <c r="M15" s="10" t="s">
        <v>242</v>
      </c>
    </row>
    <row r="16" spans="1:13" ht="19.5" customHeight="1">
      <c r="A16" s="9" t="s">
        <v>34</v>
      </c>
      <c r="B16" s="9" t="s">
        <v>283</v>
      </c>
      <c r="C16" s="38">
        <v>36500</v>
      </c>
      <c r="D16" s="39">
        <v>33945</v>
      </c>
      <c r="E16" s="9" t="s">
        <v>239</v>
      </c>
      <c r="F16" s="9" t="s">
        <v>276</v>
      </c>
      <c r="G16" s="9" t="s">
        <v>284</v>
      </c>
      <c r="H16" s="9" t="s">
        <v>285</v>
      </c>
      <c r="I16" s="9" t="s">
        <v>42</v>
      </c>
      <c r="J16" s="9" t="s">
        <v>4</v>
      </c>
      <c r="K16" s="9" t="s">
        <v>24</v>
      </c>
      <c r="L16" s="9">
        <v>650</v>
      </c>
      <c r="M16" s="10" t="s">
        <v>242</v>
      </c>
    </row>
    <row r="17" spans="1:13" ht="19.5" customHeight="1">
      <c r="A17" s="9" t="s">
        <v>34</v>
      </c>
      <c r="B17" s="9" t="s">
        <v>286</v>
      </c>
      <c r="C17" s="38">
        <v>36500</v>
      </c>
      <c r="D17" s="39">
        <v>33945</v>
      </c>
      <c r="E17" s="9" t="s">
        <v>239</v>
      </c>
      <c r="F17" s="9" t="s">
        <v>267</v>
      </c>
      <c r="G17" s="9" t="s">
        <v>284</v>
      </c>
      <c r="H17" s="9" t="s">
        <v>285</v>
      </c>
      <c r="I17" s="9" t="s">
        <v>42</v>
      </c>
      <c r="J17" s="9" t="s">
        <v>4</v>
      </c>
      <c r="K17" s="9" t="s">
        <v>24</v>
      </c>
      <c r="L17" s="9">
        <v>650</v>
      </c>
      <c r="M17" s="10" t="s">
        <v>242</v>
      </c>
    </row>
    <row r="18" spans="1:13" ht="19.5" customHeight="1">
      <c r="A18" s="9" t="s">
        <v>34</v>
      </c>
      <c r="B18" s="9" t="s">
        <v>287</v>
      </c>
      <c r="C18" s="38">
        <v>34090</v>
      </c>
      <c r="D18" s="39">
        <v>31704</v>
      </c>
      <c r="E18" s="9" t="s">
        <v>239</v>
      </c>
      <c r="F18" s="9" t="s">
        <v>276</v>
      </c>
      <c r="G18" s="9" t="s">
        <v>288</v>
      </c>
      <c r="H18" s="9" t="s">
        <v>289</v>
      </c>
      <c r="I18" s="9" t="s">
        <v>42</v>
      </c>
      <c r="J18" s="9" t="s">
        <v>4</v>
      </c>
      <c r="K18" s="9" t="s">
        <v>24</v>
      </c>
      <c r="L18" s="9">
        <v>580</v>
      </c>
      <c r="M18" s="10" t="s">
        <v>242</v>
      </c>
    </row>
    <row r="19" spans="1:13" ht="19.5" customHeight="1">
      <c r="A19" s="9" t="s">
        <v>34</v>
      </c>
      <c r="B19" s="9" t="s">
        <v>290</v>
      </c>
      <c r="C19" s="38">
        <v>34090</v>
      </c>
      <c r="D19" s="39">
        <v>31704</v>
      </c>
      <c r="E19" s="9" t="s">
        <v>239</v>
      </c>
      <c r="F19" s="9" t="s">
        <v>267</v>
      </c>
      <c r="G19" s="9" t="s">
        <v>288</v>
      </c>
      <c r="H19" s="9" t="s">
        <v>289</v>
      </c>
      <c r="I19" s="9" t="s">
        <v>42</v>
      </c>
      <c r="J19" s="9" t="s">
        <v>4</v>
      </c>
      <c r="K19" s="9" t="s">
        <v>24</v>
      </c>
      <c r="L19" s="9">
        <v>580</v>
      </c>
      <c r="M19" s="10" t="s">
        <v>242</v>
      </c>
    </row>
    <row r="20" spans="1:13" ht="19.5" customHeight="1">
      <c r="A20" s="9" t="s">
        <v>34</v>
      </c>
      <c r="B20" s="9" t="s">
        <v>291</v>
      </c>
      <c r="C20" s="38">
        <v>33500</v>
      </c>
      <c r="D20" s="39">
        <v>31155</v>
      </c>
      <c r="E20" s="9" t="s">
        <v>239</v>
      </c>
      <c r="F20" s="9" t="s">
        <v>292</v>
      </c>
      <c r="G20" s="9" t="s">
        <v>284</v>
      </c>
      <c r="H20" s="9" t="s">
        <v>293</v>
      </c>
      <c r="I20" s="9" t="s">
        <v>42</v>
      </c>
      <c r="J20" s="9" t="s">
        <v>4</v>
      </c>
      <c r="K20" s="9" t="s">
        <v>24</v>
      </c>
      <c r="L20" s="9">
        <v>650</v>
      </c>
      <c r="M20" s="10" t="s">
        <v>242</v>
      </c>
    </row>
    <row r="21" spans="1:13" ht="19.5" customHeight="1">
      <c r="A21" s="9" t="s">
        <v>34</v>
      </c>
      <c r="B21" s="9" t="s">
        <v>294</v>
      </c>
      <c r="C21" s="38">
        <v>33500</v>
      </c>
      <c r="D21" s="39">
        <v>31155</v>
      </c>
      <c r="E21" s="9" t="s">
        <v>239</v>
      </c>
      <c r="F21" s="9" t="s">
        <v>295</v>
      </c>
      <c r="G21" s="9" t="s">
        <v>284</v>
      </c>
      <c r="H21" s="9" t="s">
        <v>293</v>
      </c>
      <c r="I21" s="9" t="s">
        <v>42</v>
      </c>
      <c r="J21" s="9" t="s">
        <v>4</v>
      </c>
      <c r="K21" s="9" t="s">
        <v>24</v>
      </c>
      <c r="L21" s="9">
        <v>650</v>
      </c>
      <c r="M21" s="10" t="s">
        <v>242</v>
      </c>
    </row>
    <row r="22" spans="1:13" ht="19.5" customHeight="1">
      <c r="A22" s="9" t="s">
        <v>296</v>
      </c>
      <c r="B22" s="9" t="s">
        <v>297</v>
      </c>
      <c r="C22" s="38">
        <v>30590</v>
      </c>
      <c r="D22" s="39">
        <v>27531</v>
      </c>
      <c r="E22" s="9" t="s">
        <v>239</v>
      </c>
      <c r="F22" s="9" t="s">
        <v>280</v>
      </c>
      <c r="G22" s="9" t="s">
        <v>298</v>
      </c>
      <c r="H22" s="9" t="s">
        <v>299</v>
      </c>
      <c r="I22" s="9" t="s">
        <v>42</v>
      </c>
      <c r="J22" s="9" t="s">
        <v>4</v>
      </c>
      <c r="K22" s="9"/>
      <c r="L22" s="9">
        <v>498</v>
      </c>
      <c r="M22" s="10" t="s">
        <v>242</v>
      </c>
    </row>
    <row r="23" spans="1:13" ht="19.5" customHeight="1">
      <c r="A23" s="9" t="s">
        <v>296</v>
      </c>
      <c r="B23" s="9" t="s">
        <v>300</v>
      </c>
      <c r="C23" s="38">
        <v>30590</v>
      </c>
      <c r="D23" s="39">
        <v>27531</v>
      </c>
      <c r="E23" s="9" t="s">
        <v>239</v>
      </c>
      <c r="F23" s="9" t="s">
        <v>276</v>
      </c>
      <c r="G23" s="9" t="s">
        <v>298</v>
      </c>
      <c r="H23" s="9" t="s">
        <v>299</v>
      </c>
      <c r="I23" s="9" t="s">
        <v>42</v>
      </c>
      <c r="J23" s="9" t="s">
        <v>4</v>
      </c>
      <c r="K23" s="9"/>
      <c r="L23" s="9">
        <v>498</v>
      </c>
      <c r="M23" s="10" t="s">
        <v>242</v>
      </c>
    </row>
    <row r="24" spans="1:13" ht="19.5" customHeight="1">
      <c r="A24" s="9" t="s">
        <v>296</v>
      </c>
      <c r="B24" s="9" t="s">
        <v>301</v>
      </c>
      <c r="C24" s="38">
        <v>39800</v>
      </c>
      <c r="D24" s="39">
        <v>37014</v>
      </c>
      <c r="E24" s="9" t="s">
        <v>262</v>
      </c>
      <c r="F24" s="9" t="s">
        <v>302</v>
      </c>
      <c r="G24" s="9" t="s">
        <v>277</v>
      </c>
      <c r="H24" s="9" t="s">
        <v>303</v>
      </c>
      <c r="I24" s="9" t="s">
        <v>42</v>
      </c>
      <c r="J24" s="9" t="s">
        <v>4</v>
      </c>
      <c r="K24" s="9"/>
      <c r="L24" s="9">
        <v>500</v>
      </c>
      <c r="M24" s="10" t="s">
        <v>242</v>
      </c>
    </row>
    <row r="25" spans="1:13" ht="19.5" customHeight="1">
      <c r="A25" s="9" t="s">
        <v>296</v>
      </c>
      <c r="B25" s="9" t="s">
        <v>304</v>
      </c>
      <c r="C25" s="38">
        <v>39800</v>
      </c>
      <c r="D25" s="39">
        <v>37014</v>
      </c>
      <c r="E25" s="9" t="s">
        <v>262</v>
      </c>
      <c r="F25" s="9" t="s">
        <v>305</v>
      </c>
      <c r="G25" s="9" t="s">
        <v>277</v>
      </c>
      <c r="H25" s="9" t="s">
        <v>303</v>
      </c>
      <c r="I25" s="9" t="s">
        <v>42</v>
      </c>
      <c r="J25" s="9" t="s">
        <v>4</v>
      </c>
      <c r="K25" s="9"/>
      <c r="L25" s="9">
        <v>500</v>
      </c>
      <c r="M25" s="10" t="s">
        <v>242</v>
      </c>
    </row>
    <row r="26" spans="1:13" ht="19.5" customHeight="1">
      <c r="A26" s="9" t="s">
        <v>296</v>
      </c>
      <c r="B26" s="9" t="s">
        <v>306</v>
      </c>
      <c r="C26" s="38">
        <v>40800</v>
      </c>
      <c r="D26" s="39">
        <v>37944</v>
      </c>
      <c r="E26" s="9" t="s">
        <v>262</v>
      </c>
      <c r="F26" s="9" t="s">
        <v>302</v>
      </c>
      <c r="G26" s="9" t="s">
        <v>268</v>
      </c>
      <c r="H26" s="9" t="s">
        <v>307</v>
      </c>
      <c r="I26" s="9" t="s">
        <v>42</v>
      </c>
      <c r="J26" s="9" t="s">
        <v>4</v>
      </c>
      <c r="K26" s="9"/>
      <c r="L26" s="9">
        <v>610</v>
      </c>
      <c r="M26" s="10" t="s">
        <v>242</v>
      </c>
    </row>
    <row r="27" spans="1:13" ht="19.5" customHeight="1">
      <c r="A27" s="9" t="s">
        <v>296</v>
      </c>
      <c r="B27" s="9" t="s">
        <v>308</v>
      </c>
      <c r="C27" s="38">
        <v>40800</v>
      </c>
      <c r="D27" s="39">
        <v>37944</v>
      </c>
      <c r="E27" s="9" t="s">
        <v>262</v>
      </c>
      <c r="F27" s="9" t="s">
        <v>305</v>
      </c>
      <c r="G27" s="9" t="s">
        <v>268</v>
      </c>
      <c r="H27" s="9" t="s">
        <v>307</v>
      </c>
      <c r="I27" s="9" t="s">
        <v>42</v>
      </c>
      <c r="J27" s="9" t="s">
        <v>4</v>
      </c>
      <c r="K27" s="9"/>
      <c r="L27" s="9">
        <v>610</v>
      </c>
      <c r="M27" s="10" t="s">
        <v>242</v>
      </c>
    </row>
    <row r="28" spans="1:13" ht="19.5" customHeight="1">
      <c r="A28" s="9" t="s">
        <v>296</v>
      </c>
      <c r="B28" s="9" t="s">
        <v>309</v>
      </c>
      <c r="C28" s="38">
        <v>41800</v>
      </c>
      <c r="D28" s="39">
        <v>38874</v>
      </c>
      <c r="E28" s="9" t="s">
        <v>273</v>
      </c>
      <c r="F28" s="9" t="s">
        <v>302</v>
      </c>
      <c r="G28" s="9" t="s">
        <v>277</v>
      </c>
      <c r="H28" s="9" t="s">
        <v>303</v>
      </c>
      <c r="I28" s="9" t="s">
        <v>42</v>
      </c>
      <c r="J28" s="9" t="s">
        <v>4</v>
      </c>
      <c r="K28" s="9"/>
      <c r="L28" s="9">
        <v>500</v>
      </c>
      <c r="M28" s="10" t="s">
        <v>242</v>
      </c>
    </row>
    <row r="29" spans="1:13" ht="19.5" customHeight="1">
      <c r="A29" s="9" t="s">
        <v>296</v>
      </c>
      <c r="B29" s="9" t="s">
        <v>310</v>
      </c>
      <c r="C29" s="38">
        <v>41800</v>
      </c>
      <c r="D29" s="39">
        <v>38874</v>
      </c>
      <c r="E29" s="9" t="s">
        <v>273</v>
      </c>
      <c r="F29" s="9" t="s">
        <v>305</v>
      </c>
      <c r="G29" s="9" t="s">
        <v>277</v>
      </c>
      <c r="H29" s="9" t="s">
        <v>303</v>
      </c>
      <c r="I29" s="9" t="s">
        <v>42</v>
      </c>
      <c r="J29" s="9" t="s">
        <v>4</v>
      </c>
      <c r="K29" s="9"/>
      <c r="L29" s="9">
        <v>500</v>
      </c>
      <c r="M29" s="10" t="s">
        <v>242</v>
      </c>
    </row>
    <row r="30" spans="1:13" ht="19.5" customHeight="1">
      <c r="A30" s="9" t="s">
        <v>296</v>
      </c>
      <c r="B30" s="9" t="s">
        <v>311</v>
      </c>
      <c r="C30" s="38">
        <v>42800</v>
      </c>
      <c r="D30" s="39">
        <v>39804</v>
      </c>
      <c r="E30" s="9" t="s">
        <v>273</v>
      </c>
      <c r="F30" s="9" t="s">
        <v>302</v>
      </c>
      <c r="G30" s="9" t="s">
        <v>268</v>
      </c>
      <c r="H30" s="9" t="s">
        <v>307</v>
      </c>
      <c r="I30" s="9" t="s">
        <v>42</v>
      </c>
      <c r="J30" s="9" t="s">
        <v>4</v>
      </c>
      <c r="K30" s="9"/>
      <c r="L30" s="9">
        <v>610</v>
      </c>
      <c r="M30" s="10" t="s">
        <v>242</v>
      </c>
    </row>
    <row r="31" spans="1:13" ht="19.5" customHeight="1">
      <c r="A31" s="9" t="s">
        <v>296</v>
      </c>
      <c r="B31" s="9" t="s">
        <v>312</v>
      </c>
      <c r="C31" s="38">
        <v>42800</v>
      </c>
      <c r="D31" s="39">
        <v>39804</v>
      </c>
      <c r="E31" s="9" t="s">
        <v>273</v>
      </c>
      <c r="F31" s="9" t="s">
        <v>305</v>
      </c>
      <c r="G31" s="9" t="s">
        <v>268</v>
      </c>
      <c r="H31" s="9" t="s">
        <v>307</v>
      </c>
      <c r="I31" s="9" t="s">
        <v>42</v>
      </c>
      <c r="J31" s="9" t="s">
        <v>4</v>
      </c>
      <c r="K31" s="9"/>
      <c r="L31" s="9">
        <v>610</v>
      </c>
      <c r="M31" s="10" t="s">
        <v>242</v>
      </c>
    </row>
    <row r="32" spans="1:13" ht="19.5" customHeight="1">
      <c r="A32" s="9" t="s">
        <v>296</v>
      </c>
      <c r="B32" s="9" t="s">
        <v>313</v>
      </c>
      <c r="C32" s="38">
        <v>27590</v>
      </c>
      <c r="D32" s="39">
        <v>25659</v>
      </c>
      <c r="E32" s="9" t="s">
        <v>239</v>
      </c>
      <c r="F32" s="9" t="s">
        <v>292</v>
      </c>
      <c r="G32" s="9" t="s">
        <v>314</v>
      </c>
      <c r="H32" s="9" t="s">
        <v>299</v>
      </c>
      <c r="I32" s="9" t="s">
        <v>42</v>
      </c>
      <c r="J32" s="9" t="s">
        <v>4</v>
      </c>
      <c r="K32" s="9"/>
      <c r="L32" s="9">
        <v>498</v>
      </c>
      <c r="M32" s="10" t="s">
        <v>242</v>
      </c>
    </row>
    <row r="33" spans="1:13" ht="19.5" customHeight="1">
      <c r="A33" s="9" t="s">
        <v>296</v>
      </c>
      <c r="B33" s="9" t="s">
        <v>315</v>
      </c>
      <c r="C33" s="38">
        <v>27590</v>
      </c>
      <c r="D33" s="39">
        <v>25659</v>
      </c>
      <c r="E33" s="9" t="s">
        <v>239</v>
      </c>
      <c r="F33" s="9" t="s">
        <v>295</v>
      </c>
      <c r="G33" s="9" t="s">
        <v>314</v>
      </c>
      <c r="H33" s="9" t="s">
        <v>299</v>
      </c>
      <c r="I33" s="9" t="s">
        <v>42</v>
      </c>
      <c r="J33" s="9" t="s">
        <v>4</v>
      </c>
      <c r="K33" s="9"/>
      <c r="L33" s="9">
        <v>498</v>
      </c>
      <c r="M33" s="10" t="s">
        <v>242</v>
      </c>
    </row>
    <row r="34" spans="1:13" ht="19.5" customHeight="1">
      <c r="A34" s="9" t="s">
        <v>255</v>
      </c>
      <c r="B34" s="9" t="s">
        <v>316</v>
      </c>
      <c r="C34" s="38">
        <v>74900</v>
      </c>
      <c r="D34" s="39">
        <v>67410</v>
      </c>
      <c r="E34" s="9" t="s">
        <v>317</v>
      </c>
      <c r="F34" s="9" t="s">
        <v>318</v>
      </c>
      <c r="G34" s="9" t="s">
        <v>319</v>
      </c>
      <c r="H34" s="9" t="s">
        <v>320</v>
      </c>
      <c r="I34" s="9" t="s">
        <v>208</v>
      </c>
      <c r="J34" s="9" t="s">
        <v>4</v>
      </c>
      <c r="K34" s="9" t="s">
        <v>45</v>
      </c>
      <c r="L34" s="9">
        <v>605</v>
      </c>
      <c r="M34" s="10" t="s">
        <v>242</v>
      </c>
    </row>
    <row r="35" spans="1:13" ht="19.5" customHeight="1">
      <c r="A35" s="9" t="s">
        <v>255</v>
      </c>
      <c r="B35" s="9" t="s">
        <v>321</v>
      </c>
      <c r="C35" s="38">
        <v>74900</v>
      </c>
      <c r="D35" s="39">
        <v>67410</v>
      </c>
      <c r="E35" s="9" t="s">
        <v>317</v>
      </c>
      <c r="F35" s="9" t="s">
        <v>322</v>
      </c>
      <c r="G35" s="9" t="s">
        <v>319</v>
      </c>
      <c r="H35" s="9" t="s">
        <v>320</v>
      </c>
      <c r="I35" s="9" t="s">
        <v>208</v>
      </c>
      <c r="J35" s="9" t="s">
        <v>4</v>
      </c>
      <c r="K35" s="9" t="s">
        <v>45</v>
      </c>
      <c r="L35" s="9">
        <v>605</v>
      </c>
      <c r="M35" s="10" t="s">
        <v>242</v>
      </c>
    </row>
    <row r="36" spans="1:13" ht="19.5" customHeight="1">
      <c r="A36" s="9" t="s">
        <v>9</v>
      </c>
      <c r="B36" s="9" t="s">
        <v>323</v>
      </c>
      <c r="C36" s="38">
        <v>25900</v>
      </c>
      <c r="D36" s="39">
        <v>20900</v>
      </c>
      <c r="E36" s="9" t="s">
        <v>239</v>
      </c>
      <c r="F36" s="9" t="s">
        <v>324</v>
      </c>
      <c r="G36" s="9" t="s">
        <v>325</v>
      </c>
      <c r="H36" s="9" t="s">
        <v>326</v>
      </c>
      <c r="I36" s="9"/>
      <c r="J36" s="15" t="s">
        <v>4</v>
      </c>
      <c r="K36" s="9" t="s">
        <v>327</v>
      </c>
      <c r="L36" s="9">
        <v>335</v>
      </c>
      <c r="M36" s="10" t="s">
        <v>25</v>
      </c>
    </row>
    <row r="37" spans="1:13" ht="19.5" customHeight="1">
      <c r="A37" s="9" t="s">
        <v>9</v>
      </c>
      <c r="B37" s="9" t="s">
        <v>328</v>
      </c>
      <c r="C37" s="38">
        <v>30900</v>
      </c>
      <c r="D37" s="39">
        <v>25110</v>
      </c>
      <c r="E37" s="9" t="s">
        <v>239</v>
      </c>
      <c r="F37" s="9" t="s">
        <v>329</v>
      </c>
      <c r="G37" s="9" t="s">
        <v>330</v>
      </c>
      <c r="H37" s="9" t="s">
        <v>331</v>
      </c>
      <c r="I37" s="9" t="s">
        <v>332</v>
      </c>
      <c r="J37" s="15" t="s">
        <v>4</v>
      </c>
      <c r="K37" s="9" t="s">
        <v>241</v>
      </c>
      <c r="L37" s="9">
        <v>525</v>
      </c>
      <c r="M37" s="10" t="s">
        <v>242</v>
      </c>
    </row>
    <row r="38" spans="1:13" ht="19.5" customHeight="1">
      <c r="A38" s="9" t="s">
        <v>9</v>
      </c>
      <c r="B38" s="9" t="s">
        <v>333</v>
      </c>
      <c r="C38" s="38">
        <v>77900</v>
      </c>
      <c r="D38" s="39">
        <v>72200</v>
      </c>
      <c r="E38" s="9" t="s">
        <v>334</v>
      </c>
      <c r="F38" s="9" t="s">
        <v>335</v>
      </c>
      <c r="G38" s="9" t="s">
        <v>336</v>
      </c>
      <c r="H38" s="9" t="s">
        <v>337</v>
      </c>
      <c r="I38" s="9"/>
      <c r="J38" s="15" t="s">
        <v>4</v>
      </c>
      <c r="K38" s="9" t="s">
        <v>327</v>
      </c>
      <c r="L38" s="9"/>
      <c r="M38" s="10"/>
    </row>
    <row r="39" spans="1:13" ht="19.5" customHeight="1">
      <c r="A39" s="9" t="s">
        <v>9</v>
      </c>
      <c r="B39" s="9" t="s">
        <v>338</v>
      </c>
      <c r="C39" s="38">
        <v>75900</v>
      </c>
      <c r="D39" s="39">
        <v>70000</v>
      </c>
      <c r="E39" s="9" t="s">
        <v>334</v>
      </c>
      <c r="F39" s="9" t="s">
        <v>339</v>
      </c>
      <c r="G39" s="9" t="s">
        <v>336</v>
      </c>
      <c r="H39" s="9" t="s">
        <v>340</v>
      </c>
      <c r="I39" s="9"/>
      <c r="J39" s="15" t="s">
        <v>4</v>
      </c>
      <c r="K39" s="9" t="s">
        <v>327</v>
      </c>
      <c r="L39" s="9"/>
      <c r="M39" s="10"/>
    </row>
    <row r="40" spans="1:13" ht="19.5" customHeight="1">
      <c r="A40" s="9" t="s">
        <v>9</v>
      </c>
      <c r="B40" s="9" t="s">
        <v>341</v>
      </c>
      <c r="C40" s="38">
        <v>89900</v>
      </c>
      <c r="D40" s="39">
        <v>83310</v>
      </c>
      <c r="E40" s="9" t="s">
        <v>334</v>
      </c>
      <c r="F40" s="9" t="s">
        <v>324</v>
      </c>
      <c r="G40" s="9" t="s">
        <v>342</v>
      </c>
      <c r="H40" s="9" t="s">
        <v>343</v>
      </c>
      <c r="I40" s="9"/>
      <c r="J40" s="15" t="s">
        <v>4</v>
      </c>
      <c r="K40" s="9" t="s">
        <v>327</v>
      </c>
      <c r="L40" s="9"/>
      <c r="M40" s="10"/>
    </row>
    <row r="41" spans="1:13" ht="19.5" customHeight="1">
      <c r="A41" s="9" t="s">
        <v>9</v>
      </c>
      <c r="B41" s="9" t="s">
        <v>345</v>
      </c>
      <c r="C41" s="38">
        <v>142900</v>
      </c>
      <c r="D41" s="39">
        <v>128000</v>
      </c>
      <c r="E41" s="9" t="s">
        <v>334</v>
      </c>
      <c r="F41" s="9" t="s">
        <v>346</v>
      </c>
      <c r="G41" s="9" t="s">
        <v>347</v>
      </c>
      <c r="H41" s="9" t="s">
        <v>348</v>
      </c>
      <c r="I41" s="9" t="s">
        <v>349</v>
      </c>
      <c r="J41" s="15" t="s">
        <v>4</v>
      </c>
      <c r="K41" s="9" t="s">
        <v>327</v>
      </c>
      <c r="L41" s="9"/>
      <c r="M41" s="10"/>
    </row>
    <row r="42" spans="1:13" ht="19.5" customHeight="1">
      <c r="A42" s="9" t="s">
        <v>88</v>
      </c>
      <c r="B42" s="9" t="s">
        <v>350</v>
      </c>
      <c r="C42" s="38">
        <v>32400</v>
      </c>
      <c r="D42" s="39">
        <v>29808</v>
      </c>
      <c r="E42" s="9" t="s">
        <v>262</v>
      </c>
      <c r="F42" s="9" t="s">
        <v>351</v>
      </c>
      <c r="G42" s="9" t="s">
        <v>352</v>
      </c>
      <c r="H42" s="9" t="s">
        <v>353</v>
      </c>
      <c r="I42" s="9" t="s">
        <v>240</v>
      </c>
      <c r="J42" s="15" t="s">
        <v>4</v>
      </c>
      <c r="K42" s="9" t="s">
        <v>24</v>
      </c>
      <c r="L42" s="9">
        <v>331</v>
      </c>
      <c r="M42" s="10" t="s">
        <v>25</v>
      </c>
    </row>
    <row r="43" spans="1:13" ht="19.5" customHeight="1">
      <c r="A43" s="9" t="s">
        <v>88</v>
      </c>
      <c r="B43" s="9" t="s">
        <v>354</v>
      </c>
      <c r="C43" s="38">
        <v>32400</v>
      </c>
      <c r="D43" s="39">
        <v>29808</v>
      </c>
      <c r="E43" s="9" t="s">
        <v>262</v>
      </c>
      <c r="F43" s="9" t="s">
        <v>355</v>
      </c>
      <c r="G43" s="9" t="s">
        <v>352</v>
      </c>
      <c r="H43" s="9" t="s">
        <v>353</v>
      </c>
      <c r="I43" s="9" t="s">
        <v>240</v>
      </c>
      <c r="J43" s="15" t="s">
        <v>4</v>
      </c>
      <c r="K43" s="9" t="s">
        <v>24</v>
      </c>
      <c r="L43" s="9">
        <v>331</v>
      </c>
      <c r="M43" s="10" t="s">
        <v>25</v>
      </c>
    </row>
    <row r="44" spans="1:13" ht="19.5" customHeight="1">
      <c r="A44" s="9" t="s">
        <v>88</v>
      </c>
      <c r="B44" s="9" t="s">
        <v>356</v>
      </c>
      <c r="C44" s="38">
        <v>26400</v>
      </c>
      <c r="D44" s="39">
        <v>23500</v>
      </c>
      <c r="E44" s="9" t="s">
        <v>239</v>
      </c>
      <c r="F44" s="9" t="s">
        <v>357</v>
      </c>
      <c r="G44" s="9" t="s">
        <v>358</v>
      </c>
      <c r="H44" s="9" t="s">
        <v>359</v>
      </c>
      <c r="I44" s="9" t="s">
        <v>240</v>
      </c>
      <c r="J44" s="9" t="s">
        <v>4</v>
      </c>
      <c r="K44" s="9" t="s">
        <v>24</v>
      </c>
      <c r="L44" s="9">
        <v>313</v>
      </c>
      <c r="M44" s="10" t="s">
        <v>25</v>
      </c>
    </row>
    <row r="45" spans="1:13" ht="19.5" customHeight="1">
      <c r="A45" s="9" t="s">
        <v>88</v>
      </c>
      <c r="B45" s="9" t="s">
        <v>360</v>
      </c>
      <c r="C45" s="38">
        <v>26400</v>
      </c>
      <c r="D45" s="39">
        <v>23500</v>
      </c>
      <c r="E45" s="9" t="s">
        <v>239</v>
      </c>
      <c r="F45" s="9" t="s">
        <v>351</v>
      </c>
      <c r="G45" s="9" t="s">
        <v>358</v>
      </c>
      <c r="H45" s="9" t="s">
        <v>359</v>
      </c>
      <c r="I45" s="9" t="s">
        <v>240</v>
      </c>
      <c r="J45" s="9" t="s">
        <v>4</v>
      </c>
      <c r="K45" s="9" t="s">
        <v>24</v>
      </c>
      <c r="L45" s="9">
        <v>313</v>
      </c>
      <c r="M45" s="10" t="s">
        <v>25</v>
      </c>
    </row>
    <row r="46" spans="1:13" ht="19.5" customHeight="1">
      <c r="A46" s="9" t="s">
        <v>88</v>
      </c>
      <c r="B46" s="9" t="s">
        <v>361</v>
      </c>
      <c r="C46" s="38">
        <v>35400</v>
      </c>
      <c r="D46" s="39">
        <v>32568</v>
      </c>
      <c r="E46" s="9" t="s">
        <v>262</v>
      </c>
      <c r="F46" s="9" t="s">
        <v>351</v>
      </c>
      <c r="G46" s="9" t="s">
        <v>362</v>
      </c>
      <c r="H46" s="9" t="s">
        <v>363</v>
      </c>
      <c r="I46" s="9" t="s">
        <v>240</v>
      </c>
      <c r="J46" s="15" t="s">
        <v>4</v>
      </c>
      <c r="K46" s="9" t="s">
        <v>24</v>
      </c>
      <c r="L46" s="9">
        <v>394</v>
      </c>
      <c r="M46" s="10" t="s">
        <v>25</v>
      </c>
    </row>
    <row r="47" spans="1:13" ht="19.5" customHeight="1">
      <c r="A47" s="9" t="s">
        <v>88</v>
      </c>
      <c r="B47" s="9" t="s">
        <v>364</v>
      </c>
      <c r="C47" s="38">
        <v>35400</v>
      </c>
      <c r="D47" s="39">
        <v>32568</v>
      </c>
      <c r="E47" s="9" t="s">
        <v>262</v>
      </c>
      <c r="F47" s="9" t="s">
        <v>355</v>
      </c>
      <c r="G47" s="9" t="s">
        <v>362</v>
      </c>
      <c r="H47" s="9" t="s">
        <v>363</v>
      </c>
      <c r="I47" s="9" t="s">
        <v>240</v>
      </c>
      <c r="J47" s="15" t="s">
        <v>4</v>
      </c>
      <c r="K47" s="9" t="s">
        <v>24</v>
      </c>
      <c r="L47" s="9">
        <v>394</v>
      </c>
      <c r="M47" s="10" t="s">
        <v>25</v>
      </c>
    </row>
    <row r="48" spans="1:13" ht="19.5" customHeight="1">
      <c r="A48" s="9" t="s">
        <v>88</v>
      </c>
      <c r="B48" s="9" t="s">
        <v>365</v>
      </c>
      <c r="C48" s="38">
        <v>47900</v>
      </c>
      <c r="D48" s="39">
        <v>42900</v>
      </c>
      <c r="E48" s="9" t="s">
        <v>366</v>
      </c>
      <c r="F48" s="9" t="s">
        <v>367</v>
      </c>
      <c r="G48" s="9" t="s">
        <v>368</v>
      </c>
      <c r="H48" s="9" t="s">
        <v>369</v>
      </c>
      <c r="I48" s="9" t="s">
        <v>208</v>
      </c>
      <c r="J48" s="9" t="s">
        <v>4</v>
      </c>
      <c r="K48" s="9" t="s">
        <v>24</v>
      </c>
      <c r="L48" s="9">
        <v>407</v>
      </c>
      <c r="M48" s="10" t="s">
        <v>242</v>
      </c>
    </row>
    <row r="49" spans="1:13" ht="19.5" customHeight="1">
      <c r="A49" s="9" t="s">
        <v>88</v>
      </c>
      <c r="B49" s="9" t="s">
        <v>370</v>
      </c>
      <c r="C49" s="38">
        <v>47900</v>
      </c>
      <c r="D49" s="39">
        <v>42900</v>
      </c>
      <c r="E49" s="9" t="s">
        <v>366</v>
      </c>
      <c r="F49" s="9" t="s">
        <v>371</v>
      </c>
      <c r="G49" s="9" t="s">
        <v>368</v>
      </c>
      <c r="H49" s="9" t="s">
        <v>369</v>
      </c>
      <c r="I49" s="9" t="s">
        <v>208</v>
      </c>
      <c r="J49" s="9" t="s">
        <v>4</v>
      </c>
      <c r="K49" s="9" t="s">
        <v>24</v>
      </c>
      <c r="L49" s="9">
        <v>407</v>
      </c>
      <c r="M49" s="10" t="s">
        <v>242</v>
      </c>
    </row>
    <row r="50" spans="1:13" ht="19.5" customHeight="1">
      <c r="A50" s="9" t="s">
        <v>88</v>
      </c>
      <c r="B50" s="9" t="s">
        <v>372</v>
      </c>
      <c r="C50" s="38">
        <v>55900</v>
      </c>
      <c r="D50" s="39">
        <v>48900</v>
      </c>
      <c r="E50" s="9" t="s">
        <v>366</v>
      </c>
      <c r="F50" s="9" t="s">
        <v>373</v>
      </c>
      <c r="G50" s="9" t="s">
        <v>374</v>
      </c>
      <c r="H50" s="9" t="s">
        <v>375</v>
      </c>
      <c r="I50" s="9" t="s">
        <v>208</v>
      </c>
      <c r="J50" s="9" t="s">
        <v>4</v>
      </c>
      <c r="K50" s="9" t="s">
        <v>24</v>
      </c>
      <c r="L50" s="9">
        <v>475</v>
      </c>
      <c r="M50" s="10" t="s">
        <v>242</v>
      </c>
    </row>
    <row r="51" spans="1:13" ht="19.5" customHeight="1">
      <c r="A51" s="9" t="s">
        <v>88</v>
      </c>
      <c r="B51" s="9" t="s">
        <v>376</v>
      </c>
      <c r="C51" s="38">
        <v>55900</v>
      </c>
      <c r="D51" s="39">
        <v>48900</v>
      </c>
      <c r="E51" s="9" t="s">
        <v>366</v>
      </c>
      <c r="F51" s="9" t="s">
        <v>377</v>
      </c>
      <c r="G51" s="9" t="s">
        <v>374</v>
      </c>
      <c r="H51" s="9" t="s">
        <v>375</v>
      </c>
      <c r="I51" s="9" t="s">
        <v>208</v>
      </c>
      <c r="J51" s="9" t="s">
        <v>4</v>
      </c>
      <c r="K51" s="9" t="s">
        <v>24</v>
      </c>
      <c r="L51" s="9">
        <v>475</v>
      </c>
      <c r="M51" s="10" t="s">
        <v>242</v>
      </c>
    </row>
    <row r="52" spans="1:13" ht="19.5" customHeight="1">
      <c r="A52" s="9" t="s">
        <v>88</v>
      </c>
      <c r="B52" s="9" t="s">
        <v>378</v>
      </c>
      <c r="C52" s="38">
        <v>62400</v>
      </c>
      <c r="D52" s="39">
        <v>55900</v>
      </c>
      <c r="E52" s="9" t="s">
        <v>317</v>
      </c>
      <c r="F52" s="9" t="s">
        <v>373</v>
      </c>
      <c r="G52" s="9" t="s">
        <v>379</v>
      </c>
      <c r="H52" s="9" t="s">
        <v>380</v>
      </c>
      <c r="I52" s="9" t="s">
        <v>208</v>
      </c>
      <c r="J52" s="9" t="s">
        <v>4</v>
      </c>
      <c r="K52" s="9" t="s">
        <v>24</v>
      </c>
      <c r="L52" s="9">
        <v>527</v>
      </c>
      <c r="M52" s="10" t="s">
        <v>242</v>
      </c>
    </row>
    <row r="53" spans="1:13" ht="19.5" customHeight="1">
      <c r="A53" s="9" t="s">
        <v>88</v>
      </c>
      <c r="B53" s="9" t="s">
        <v>381</v>
      </c>
      <c r="C53" s="38">
        <v>62400</v>
      </c>
      <c r="D53" s="39">
        <v>55900</v>
      </c>
      <c r="E53" s="9" t="s">
        <v>317</v>
      </c>
      <c r="F53" s="9" t="s">
        <v>377</v>
      </c>
      <c r="G53" s="9" t="s">
        <v>379</v>
      </c>
      <c r="H53" s="9" t="s">
        <v>380</v>
      </c>
      <c r="I53" s="9" t="s">
        <v>208</v>
      </c>
      <c r="J53" s="9" t="s">
        <v>4</v>
      </c>
      <c r="K53" s="9" t="s">
        <v>24</v>
      </c>
      <c r="L53" s="9">
        <v>527</v>
      </c>
      <c r="M53" s="10" t="s">
        <v>242</v>
      </c>
    </row>
    <row r="54" spans="1:13" ht="19.5" customHeight="1">
      <c r="A54" s="9" t="s">
        <v>88</v>
      </c>
      <c r="B54" s="9" t="s">
        <v>382</v>
      </c>
      <c r="C54" s="38">
        <v>28400</v>
      </c>
      <c r="D54" s="39">
        <v>26128</v>
      </c>
      <c r="E54" s="9" t="s">
        <v>239</v>
      </c>
      <c r="F54" s="9" t="s">
        <v>383</v>
      </c>
      <c r="G54" s="9" t="s">
        <v>358</v>
      </c>
      <c r="H54" s="9" t="s">
        <v>384</v>
      </c>
      <c r="I54" s="9" t="s">
        <v>240</v>
      </c>
      <c r="J54" s="9" t="s">
        <v>4</v>
      </c>
      <c r="K54" s="9" t="s">
        <v>24</v>
      </c>
      <c r="L54" s="9">
        <v>313</v>
      </c>
      <c r="M54" s="10" t="s">
        <v>25</v>
      </c>
    </row>
    <row r="55" spans="1:13" ht="19.5" customHeight="1">
      <c r="A55" s="9" t="s">
        <v>88</v>
      </c>
      <c r="B55" s="9" t="s">
        <v>385</v>
      </c>
      <c r="C55" s="38">
        <v>27400</v>
      </c>
      <c r="D55" s="39">
        <v>25208</v>
      </c>
      <c r="E55" s="9" t="s">
        <v>239</v>
      </c>
      <c r="F55" s="9" t="s">
        <v>351</v>
      </c>
      <c r="G55" s="9" t="s">
        <v>358</v>
      </c>
      <c r="H55" s="9" t="s">
        <v>384</v>
      </c>
      <c r="I55" s="9" t="s">
        <v>240</v>
      </c>
      <c r="J55" s="9" t="s">
        <v>4</v>
      </c>
      <c r="K55" s="9" t="s">
        <v>24</v>
      </c>
      <c r="L55" s="9">
        <v>313</v>
      </c>
      <c r="M55" s="10" t="s">
        <v>25</v>
      </c>
    </row>
    <row r="56" spans="1:13" ht="19.5" customHeight="1">
      <c r="A56" s="9" t="s">
        <v>88</v>
      </c>
      <c r="B56" s="9" t="s">
        <v>386</v>
      </c>
      <c r="C56" s="38">
        <v>27400</v>
      </c>
      <c r="D56" s="39">
        <v>25208</v>
      </c>
      <c r="E56" s="9" t="s">
        <v>239</v>
      </c>
      <c r="F56" s="9" t="s">
        <v>357</v>
      </c>
      <c r="G56" s="9" t="s">
        <v>358</v>
      </c>
      <c r="H56" s="9" t="s">
        <v>384</v>
      </c>
      <c r="I56" s="9" t="s">
        <v>240</v>
      </c>
      <c r="J56" s="9" t="s">
        <v>4</v>
      </c>
      <c r="K56" s="9" t="s">
        <v>24</v>
      </c>
      <c r="L56" s="9">
        <v>313</v>
      </c>
      <c r="M56" s="10" t="s">
        <v>25</v>
      </c>
    </row>
    <row r="57" spans="1:13" ht="19.5" customHeight="1">
      <c r="A57" s="9" t="s">
        <v>88</v>
      </c>
      <c r="B57" s="9" t="s">
        <v>387</v>
      </c>
      <c r="C57" s="38">
        <v>27490</v>
      </c>
      <c r="D57" s="39">
        <v>24490</v>
      </c>
      <c r="E57" s="9" t="s">
        <v>239</v>
      </c>
      <c r="F57" s="9" t="s">
        <v>388</v>
      </c>
      <c r="G57" s="9" t="s">
        <v>389</v>
      </c>
      <c r="H57" s="9" t="s">
        <v>390</v>
      </c>
      <c r="I57" s="9" t="s">
        <v>240</v>
      </c>
      <c r="J57" s="9" t="s">
        <v>4</v>
      </c>
      <c r="K57" s="9"/>
      <c r="L57" s="9">
        <v>460</v>
      </c>
      <c r="M57" s="10" t="s">
        <v>242</v>
      </c>
    </row>
    <row r="58" spans="1:13" ht="19.5" customHeight="1">
      <c r="A58" s="9" t="s">
        <v>88</v>
      </c>
      <c r="B58" s="9" t="s">
        <v>391</v>
      </c>
      <c r="C58" s="38">
        <v>27490</v>
      </c>
      <c r="D58" s="39">
        <v>24490</v>
      </c>
      <c r="E58" s="9" t="s">
        <v>239</v>
      </c>
      <c r="F58" s="9" t="s">
        <v>19</v>
      </c>
      <c r="G58" s="9" t="s">
        <v>389</v>
      </c>
      <c r="H58" s="9" t="s">
        <v>390</v>
      </c>
      <c r="I58" s="9" t="s">
        <v>240</v>
      </c>
      <c r="J58" s="9" t="s">
        <v>4</v>
      </c>
      <c r="K58" s="9"/>
      <c r="L58" s="9">
        <v>460</v>
      </c>
      <c r="M58" s="10" t="s">
        <v>242</v>
      </c>
    </row>
    <row r="59" spans="1:13" ht="19.5" customHeight="1">
      <c r="A59" s="9" t="s">
        <v>88</v>
      </c>
      <c r="B59" s="9" t="s">
        <v>392</v>
      </c>
      <c r="C59" s="38">
        <v>48900</v>
      </c>
      <c r="D59" s="39">
        <v>44988</v>
      </c>
      <c r="E59" s="9" t="s">
        <v>393</v>
      </c>
      <c r="F59" s="9" t="s">
        <v>394</v>
      </c>
      <c r="G59" s="9" t="s">
        <v>395</v>
      </c>
      <c r="H59" s="9" t="s">
        <v>396</v>
      </c>
      <c r="I59" s="9" t="s">
        <v>240</v>
      </c>
      <c r="J59" s="9" t="s">
        <v>4</v>
      </c>
      <c r="K59" s="9"/>
      <c r="L59" s="9">
        <v>595</v>
      </c>
      <c r="M59" s="10" t="s">
        <v>242</v>
      </c>
    </row>
    <row r="60" spans="1:13" ht="19.5" customHeight="1">
      <c r="A60" s="9" t="s">
        <v>88</v>
      </c>
      <c r="B60" s="9" t="s">
        <v>397</v>
      </c>
      <c r="C60" s="38">
        <v>48900</v>
      </c>
      <c r="D60" s="39">
        <v>44988</v>
      </c>
      <c r="E60" s="9" t="s">
        <v>393</v>
      </c>
      <c r="F60" s="9" t="s">
        <v>357</v>
      </c>
      <c r="G60" s="9" t="s">
        <v>395</v>
      </c>
      <c r="H60" s="9" t="s">
        <v>396</v>
      </c>
      <c r="I60" s="9" t="s">
        <v>240</v>
      </c>
      <c r="J60" s="9" t="s">
        <v>4</v>
      </c>
      <c r="K60" s="9"/>
      <c r="L60" s="9">
        <v>595</v>
      </c>
      <c r="M60" s="10" t="s">
        <v>242</v>
      </c>
    </row>
    <row r="61" spans="1:13" ht="19.5" customHeight="1">
      <c r="A61" s="9" t="s">
        <v>88</v>
      </c>
      <c r="B61" s="9" t="s">
        <v>398</v>
      </c>
      <c r="C61" s="38">
        <v>78900</v>
      </c>
      <c r="D61" s="39">
        <v>72588</v>
      </c>
      <c r="E61" s="9" t="s">
        <v>317</v>
      </c>
      <c r="F61" s="9" t="s">
        <v>399</v>
      </c>
      <c r="G61" s="9" t="s">
        <v>400</v>
      </c>
      <c r="H61" s="9" t="s">
        <v>401</v>
      </c>
      <c r="I61" s="9" t="s">
        <v>208</v>
      </c>
      <c r="J61" s="9" t="s">
        <v>4</v>
      </c>
      <c r="K61" s="9" t="s">
        <v>24</v>
      </c>
      <c r="L61" s="9">
        <v>615</v>
      </c>
      <c r="M61" s="10" t="s">
        <v>242</v>
      </c>
    </row>
    <row r="62" spans="1:13" ht="19.5" customHeight="1">
      <c r="A62" s="9" t="s">
        <v>88</v>
      </c>
      <c r="B62" s="9" t="s">
        <v>402</v>
      </c>
      <c r="C62" s="38">
        <v>78900</v>
      </c>
      <c r="D62" s="39">
        <v>72588</v>
      </c>
      <c r="E62" s="9" t="s">
        <v>317</v>
      </c>
      <c r="F62" s="9" t="s">
        <v>371</v>
      </c>
      <c r="G62" s="9" t="s">
        <v>400</v>
      </c>
      <c r="H62" s="9" t="s">
        <v>401</v>
      </c>
      <c r="I62" s="9" t="s">
        <v>208</v>
      </c>
      <c r="J62" s="9" t="s">
        <v>4</v>
      </c>
      <c r="K62" s="9" t="s">
        <v>24</v>
      </c>
      <c r="L62" s="9">
        <v>615</v>
      </c>
      <c r="M62" s="10" t="s">
        <v>242</v>
      </c>
    </row>
    <row r="63" spans="1:13" ht="19.5" customHeight="1">
      <c r="A63" s="9" t="s">
        <v>88</v>
      </c>
      <c r="B63" s="9" t="s">
        <v>403</v>
      </c>
      <c r="C63" s="38">
        <v>97400</v>
      </c>
      <c r="D63" s="39">
        <v>89608</v>
      </c>
      <c r="E63" s="9" t="s">
        <v>317</v>
      </c>
      <c r="F63" s="9" t="s">
        <v>351</v>
      </c>
      <c r="G63" s="9" t="s">
        <v>404</v>
      </c>
      <c r="H63" s="9" t="s">
        <v>405</v>
      </c>
      <c r="I63" s="9" t="s">
        <v>208</v>
      </c>
      <c r="J63" s="9" t="s">
        <v>4</v>
      </c>
      <c r="K63" s="9" t="s">
        <v>24</v>
      </c>
      <c r="L63" s="9">
        <v>676</v>
      </c>
      <c r="M63" s="10" t="s">
        <v>242</v>
      </c>
    </row>
    <row r="64" spans="1:13" ht="19.5" customHeight="1">
      <c r="A64" s="9" t="s">
        <v>88</v>
      </c>
      <c r="B64" s="9" t="s">
        <v>406</v>
      </c>
      <c r="C64" s="38">
        <v>97400</v>
      </c>
      <c r="D64" s="39">
        <v>89608</v>
      </c>
      <c r="E64" s="9" t="s">
        <v>317</v>
      </c>
      <c r="F64" s="9" t="s">
        <v>357</v>
      </c>
      <c r="G64" s="9" t="s">
        <v>404</v>
      </c>
      <c r="H64" s="9" t="s">
        <v>405</v>
      </c>
      <c r="I64" s="9" t="s">
        <v>208</v>
      </c>
      <c r="J64" s="9" t="s">
        <v>4</v>
      </c>
      <c r="K64" s="9" t="s">
        <v>24</v>
      </c>
      <c r="L64" s="9">
        <v>676</v>
      </c>
      <c r="M64" s="10" t="s">
        <v>242</v>
      </c>
    </row>
    <row r="65" spans="1:13" ht="19.5" customHeight="1">
      <c r="A65" s="9" t="s">
        <v>88</v>
      </c>
      <c r="B65" s="9" t="s">
        <v>407</v>
      </c>
      <c r="C65" s="38">
        <v>97400</v>
      </c>
      <c r="D65" s="39">
        <v>89608</v>
      </c>
      <c r="E65" s="9" t="s">
        <v>317</v>
      </c>
      <c r="F65" s="9" t="s">
        <v>408</v>
      </c>
      <c r="G65" s="9" t="s">
        <v>404</v>
      </c>
      <c r="H65" s="9" t="s">
        <v>405</v>
      </c>
      <c r="I65" s="9" t="s">
        <v>208</v>
      </c>
      <c r="J65" s="9" t="s">
        <v>4</v>
      </c>
      <c r="K65" s="9" t="s">
        <v>24</v>
      </c>
      <c r="L65" s="9">
        <v>676</v>
      </c>
      <c r="M65" s="10" t="s">
        <v>242</v>
      </c>
    </row>
    <row r="66" spans="1:13" ht="19.5" customHeight="1">
      <c r="A66" s="9" t="s">
        <v>88</v>
      </c>
      <c r="B66" s="9" t="s">
        <v>409</v>
      </c>
      <c r="C66" s="38">
        <v>97400</v>
      </c>
      <c r="D66" s="39">
        <v>89608</v>
      </c>
      <c r="E66" s="9" t="s">
        <v>317</v>
      </c>
      <c r="F66" s="9" t="s">
        <v>383</v>
      </c>
      <c r="G66" s="9" t="s">
        <v>404</v>
      </c>
      <c r="H66" s="9" t="s">
        <v>405</v>
      </c>
      <c r="I66" s="9" t="s">
        <v>208</v>
      </c>
      <c r="J66" s="9" t="s">
        <v>4</v>
      </c>
      <c r="K66" s="9" t="s">
        <v>24</v>
      </c>
      <c r="L66" s="9">
        <v>676</v>
      </c>
      <c r="M66" s="10" t="s">
        <v>242</v>
      </c>
    </row>
    <row r="67" spans="1:13" ht="19.5" customHeight="1">
      <c r="A67" s="9" t="s">
        <v>88</v>
      </c>
      <c r="B67" s="9" t="s">
        <v>410</v>
      </c>
      <c r="C67" s="38">
        <v>18400</v>
      </c>
      <c r="D67" s="39">
        <v>16928</v>
      </c>
      <c r="E67" s="9" t="s">
        <v>239</v>
      </c>
      <c r="F67" s="9" t="s">
        <v>388</v>
      </c>
      <c r="G67" s="9" t="s">
        <v>411</v>
      </c>
      <c r="H67" s="9" t="s">
        <v>412</v>
      </c>
      <c r="I67" s="9" t="s">
        <v>240</v>
      </c>
      <c r="J67" s="9" t="s">
        <v>4</v>
      </c>
      <c r="K67" s="9" t="s">
        <v>24</v>
      </c>
      <c r="L67" s="9">
        <v>230</v>
      </c>
      <c r="M67" s="10" t="s">
        <v>25</v>
      </c>
    </row>
    <row r="68" spans="1:13" ht="19.5" customHeight="1">
      <c r="A68" s="9" t="s">
        <v>88</v>
      </c>
      <c r="B68" s="9" t="s">
        <v>413</v>
      </c>
      <c r="C68" s="38">
        <v>73900</v>
      </c>
      <c r="D68" s="39">
        <v>67988</v>
      </c>
      <c r="E68" s="9" t="s">
        <v>317</v>
      </c>
      <c r="F68" s="9" t="s">
        <v>408</v>
      </c>
      <c r="G68" s="9" t="s">
        <v>414</v>
      </c>
      <c r="H68" s="9" t="s">
        <v>415</v>
      </c>
      <c r="I68" s="9" t="s">
        <v>208</v>
      </c>
      <c r="J68" s="9" t="s">
        <v>4</v>
      </c>
      <c r="K68" s="9" t="s">
        <v>24</v>
      </c>
      <c r="L68" s="9">
        <v>537</v>
      </c>
      <c r="M68" s="10" t="s">
        <v>242</v>
      </c>
    </row>
    <row r="69" spans="1:13" ht="19.5" customHeight="1">
      <c r="A69" s="9" t="s">
        <v>88</v>
      </c>
      <c r="B69" s="9" t="s">
        <v>416</v>
      </c>
      <c r="C69" s="38">
        <v>73900</v>
      </c>
      <c r="D69" s="39">
        <v>67988</v>
      </c>
      <c r="E69" s="9" t="s">
        <v>317</v>
      </c>
      <c r="F69" s="9" t="s">
        <v>351</v>
      </c>
      <c r="G69" s="9" t="s">
        <v>414</v>
      </c>
      <c r="H69" s="9" t="s">
        <v>417</v>
      </c>
      <c r="I69" s="9" t="s">
        <v>208</v>
      </c>
      <c r="J69" s="9" t="s">
        <v>4</v>
      </c>
      <c r="K69" s="9" t="s">
        <v>24</v>
      </c>
      <c r="L69" s="9">
        <v>537</v>
      </c>
      <c r="M69" s="10" t="s">
        <v>242</v>
      </c>
    </row>
    <row r="70" spans="1:13" ht="19.5" customHeight="1">
      <c r="A70" s="9" t="s">
        <v>88</v>
      </c>
      <c r="B70" s="9" t="s">
        <v>418</v>
      </c>
      <c r="C70" s="38">
        <v>73900</v>
      </c>
      <c r="D70" s="39">
        <v>67988</v>
      </c>
      <c r="E70" s="9" t="s">
        <v>317</v>
      </c>
      <c r="F70" s="9" t="s">
        <v>383</v>
      </c>
      <c r="G70" s="9" t="s">
        <v>414</v>
      </c>
      <c r="H70" s="9" t="s">
        <v>415</v>
      </c>
      <c r="I70" s="9" t="s">
        <v>208</v>
      </c>
      <c r="J70" s="9" t="s">
        <v>4</v>
      </c>
      <c r="K70" s="9" t="s">
        <v>24</v>
      </c>
      <c r="L70" s="9">
        <v>537</v>
      </c>
      <c r="M70" s="10" t="s">
        <v>242</v>
      </c>
    </row>
    <row r="71" spans="1:13" ht="19.5" customHeight="1">
      <c r="A71" s="9" t="s">
        <v>88</v>
      </c>
      <c r="B71" s="9" t="s">
        <v>419</v>
      </c>
      <c r="C71" s="38">
        <v>87900</v>
      </c>
      <c r="D71" s="39">
        <v>80868</v>
      </c>
      <c r="E71" s="9" t="s">
        <v>317</v>
      </c>
      <c r="F71" s="9" t="s">
        <v>408</v>
      </c>
      <c r="G71" s="9" t="s">
        <v>420</v>
      </c>
      <c r="H71" s="9" t="s">
        <v>421</v>
      </c>
      <c r="I71" s="9" t="s">
        <v>208</v>
      </c>
      <c r="J71" s="9" t="s">
        <v>4</v>
      </c>
      <c r="K71" s="9" t="s">
        <v>24</v>
      </c>
      <c r="L71" s="9">
        <v>614</v>
      </c>
      <c r="M71" s="10" t="s">
        <v>242</v>
      </c>
    </row>
    <row r="72" spans="1:13" ht="19.5" customHeight="1">
      <c r="A72" s="9" t="s">
        <v>88</v>
      </c>
      <c r="B72" s="9" t="s">
        <v>422</v>
      </c>
      <c r="C72" s="38">
        <v>87900</v>
      </c>
      <c r="D72" s="39">
        <v>80868</v>
      </c>
      <c r="E72" s="9" t="s">
        <v>317</v>
      </c>
      <c r="F72" s="9" t="s">
        <v>351</v>
      </c>
      <c r="G72" s="9" t="s">
        <v>420</v>
      </c>
      <c r="H72" s="9" t="s">
        <v>421</v>
      </c>
      <c r="I72" s="9" t="s">
        <v>208</v>
      </c>
      <c r="J72" s="9" t="s">
        <v>4</v>
      </c>
      <c r="K72" s="9" t="s">
        <v>24</v>
      </c>
      <c r="L72" s="9">
        <v>614</v>
      </c>
      <c r="M72" s="10" t="s">
        <v>242</v>
      </c>
    </row>
    <row r="73" spans="1:13" ht="19.5" customHeight="1">
      <c r="A73" s="9" t="s">
        <v>88</v>
      </c>
      <c r="B73" s="9" t="s">
        <v>423</v>
      </c>
      <c r="C73" s="38">
        <v>87900</v>
      </c>
      <c r="D73" s="39">
        <v>80868</v>
      </c>
      <c r="E73" s="9" t="s">
        <v>317</v>
      </c>
      <c r="F73" s="9" t="s">
        <v>383</v>
      </c>
      <c r="G73" s="9" t="s">
        <v>420</v>
      </c>
      <c r="H73" s="9" t="s">
        <v>421</v>
      </c>
      <c r="I73" s="9" t="s">
        <v>208</v>
      </c>
      <c r="J73" s="9" t="s">
        <v>4</v>
      </c>
      <c r="K73" s="9" t="s">
        <v>24</v>
      </c>
      <c r="L73" s="9" t="s">
        <v>420</v>
      </c>
      <c r="M73" s="10" t="s">
        <v>242</v>
      </c>
    </row>
    <row r="74" spans="1:13" ht="19.5" customHeight="1">
      <c r="A74" s="9" t="s">
        <v>98</v>
      </c>
      <c r="B74" s="9" t="s">
        <v>424</v>
      </c>
      <c r="C74" s="38">
        <v>14900</v>
      </c>
      <c r="D74" s="39">
        <v>10700</v>
      </c>
      <c r="E74" s="9" t="s">
        <v>425</v>
      </c>
      <c r="F74" s="9" t="s">
        <v>426</v>
      </c>
      <c r="G74" s="9" t="s">
        <v>427</v>
      </c>
      <c r="H74" s="9" t="s">
        <v>428</v>
      </c>
      <c r="I74" s="9" t="s">
        <v>42</v>
      </c>
      <c r="J74" s="9" t="s">
        <v>4</v>
      </c>
      <c r="K74" s="9" t="s">
        <v>45</v>
      </c>
      <c r="L74" s="9">
        <v>140</v>
      </c>
      <c r="M74" s="10">
        <v>500</v>
      </c>
    </row>
    <row r="75" spans="1:13" ht="19.5" customHeight="1">
      <c r="A75" s="9" t="s">
        <v>98</v>
      </c>
      <c r="B75" s="9" t="s">
        <v>429</v>
      </c>
      <c r="C75" s="38">
        <v>18500</v>
      </c>
      <c r="D75" s="39">
        <v>13888</v>
      </c>
      <c r="E75" s="9" t="s">
        <v>425</v>
      </c>
      <c r="F75" s="9" t="s">
        <v>430</v>
      </c>
      <c r="G75" s="9" t="s">
        <v>431</v>
      </c>
      <c r="H75" s="9" t="s">
        <v>432</v>
      </c>
      <c r="I75" s="9" t="s">
        <v>42</v>
      </c>
      <c r="J75" s="15" t="s">
        <v>4</v>
      </c>
      <c r="K75" s="15" t="s">
        <v>45</v>
      </c>
      <c r="L75" s="9">
        <v>250</v>
      </c>
      <c r="M75" s="10" t="s">
        <v>25</v>
      </c>
    </row>
    <row r="76" spans="1:13" ht="19.5" customHeight="1">
      <c r="A76" s="9" t="s">
        <v>98</v>
      </c>
      <c r="B76" s="9" t="s">
        <v>433</v>
      </c>
      <c r="C76" s="38">
        <v>22900</v>
      </c>
      <c r="D76" s="39">
        <v>20200</v>
      </c>
      <c r="E76" s="9" t="s">
        <v>425</v>
      </c>
      <c r="F76" s="9" t="s">
        <v>426</v>
      </c>
      <c r="G76" s="9" t="s">
        <v>434</v>
      </c>
      <c r="H76" s="9" t="s">
        <v>435</v>
      </c>
      <c r="I76" s="9" t="s">
        <v>42</v>
      </c>
      <c r="J76" s="9" t="s">
        <v>4</v>
      </c>
      <c r="K76" s="9" t="s">
        <v>45</v>
      </c>
      <c r="L76" s="9">
        <v>480</v>
      </c>
      <c r="M76" s="10" t="s">
        <v>242</v>
      </c>
    </row>
    <row r="77" spans="1:13" ht="19.5" customHeight="1">
      <c r="A77" s="9" t="s">
        <v>98</v>
      </c>
      <c r="B77" s="9" t="s">
        <v>436</v>
      </c>
      <c r="C77" s="38">
        <v>18900</v>
      </c>
      <c r="D77" s="39">
        <v>15600</v>
      </c>
      <c r="E77" s="9" t="s">
        <v>239</v>
      </c>
      <c r="F77" s="9" t="s">
        <v>437</v>
      </c>
      <c r="G77" s="9" t="s">
        <v>431</v>
      </c>
      <c r="H77" s="9" t="s">
        <v>438</v>
      </c>
      <c r="I77" s="9" t="s">
        <v>42</v>
      </c>
      <c r="J77" s="15" t="s">
        <v>4</v>
      </c>
      <c r="K77" s="15" t="s">
        <v>45</v>
      </c>
      <c r="L77" s="9">
        <v>250</v>
      </c>
      <c r="M77" s="10" t="s">
        <v>25</v>
      </c>
    </row>
    <row r="78" spans="1:13" ht="19.5" customHeight="1">
      <c r="A78" s="9" t="s">
        <v>98</v>
      </c>
      <c r="B78" s="9" t="s">
        <v>439</v>
      </c>
      <c r="C78" s="38">
        <v>18900</v>
      </c>
      <c r="D78" s="39">
        <v>15600</v>
      </c>
      <c r="E78" s="9" t="s">
        <v>239</v>
      </c>
      <c r="F78" s="9" t="s">
        <v>440</v>
      </c>
      <c r="G78" s="9" t="s">
        <v>431</v>
      </c>
      <c r="H78" s="9" t="s">
        <v>438</v>
      </c>
      <c r="I78" s="9" t="s">
        <v>42</v>
      </c>
      <c r="J78" s="9" t="s">
        <v>4</v>
      </c>
      <c r="K78" s="9" t="s">
        <v>45</v>
      </c>
      <c r="L78" s="9">
        <v>250</v>
      </c>
      <c r="M78" s="10" t="s">
        <v>25</v>
      </c>
    </row>
    <row r="79" spans="1:13" ht="19.5" customHeight="1">
      <c r="A79" s="9" t="s">
        <v>98</v>
      </c>
      <c r="B79" s="9" t="s">
        <v>441</v>
      </c>
      <c r="C79" s="38">
        <v>27900</v>
      </c>
      <c r="D79" s="39">
        <v>23400</v>
      </c>
      <c r="E79" s="9" t="s">
        <v>262</v>
      </c>
      <c r="F79" s="9" t="s">
        <v>442</v>
      </c>
      <c r="G79" s="9" t="s">
        <v>443</v>
      </c>
      <c r="H79" s="9" t="s">
        <v>444</v>
      </c>
      <c r="I79" s="9" t="s">
        <v>42</v>
      </c>
      <c r="J79" s="9" t="s">
        <v>4</v>
      </c>
      <c r="K79" s="9" t="s">
        <v>45</v>
      </c>
      <c r="L79" s="9">
        <v>455</v>
      </c>
      <c r="M79" s="10" t="s">
        <v>242</v>
      </c>
    </row>
    <row r="80" spans="1:13" ht="19.5" customHeight="1">
      <c r="A80" s="9" t="s">
        <v>98</v>
      </c>
      <c r="B80" s="9" t="s">
        <v>445</v>
      </c>
      <c r="C80" s="38">
        <v>35900</v>
      </c>
      <c r="D80" s="39">
        <v>27450</v>
      </c>
      <c r="E80" s="9" t="s">
        <v>262</v>
      </c>
      <c r="F80" s="9" t="s">
        <v>446</v>
      </c>
      <c r="G80" s="9" t="s">
        <v>447</v>
      </c>
      <c r="H80" s="9" t="s">
        <v>448</v>
      </c>
      <c r="I80" s="9" t="s">
        <v>42</v>
      </c>
      <c r="J80" s="15" t="s">
        <v>4</v>
      </c>
      <c r="K80" s="15" t="s">
        <v>45</v>
      </c>
      <c r="L80" s="9">
        <v>530</v>
      </c>
      <c r="M80" s="10" t="s">
        <v>242</v>
      </c>
    </row>
    <row r="81" spans="1:13" ht="19.5" customHeight="1">
      <c r="A81" s="9" t="s">
        <v>98</v>
      </c>
      <c r="B81" s="9" t="s">
        <v>449</v>
      </c>
      <c r="C81" s="38">
        <v>33900</v>
      </c>
      <c r="D81" s="39">
        <v>25640</v>
      </c>
      <c r="E81" s="9" t="s">
        <v>239</v>
      </c>
      <c r="F81" s="9" t="s">
        <v>450</v>
      </c>
      <c r="G81" s="9" t="s">
        <v>451</v>
      </c>
      <c r="H81" s="9" t="s">
        <v>448</v>
      </c>
      <c r="I81" s="9" t="s">
        <v>42</v>
      </c>
      <c r="J81" s="9" t="s">
        <v>4</v>
      </c>
      <c r="K81" s="9" t="s">
        <v>45</v>
      </c>
      <c r="L81" s="9">
        <v>535</v>
      </c>
      <c r="M81" s="10" t="s">
        <v>242</v>
      </c>
    </row>
    <row r="82" spans="1:13" ht="19.5" customHeight="1">
      <c r="A82" s="9" t="s">
        <v>98</v>
      </c>
      <c r="B82" s="9" t="s">
        <v>452</v>
      </c>
      <c r="C82" s="38">
        <v>24900</v>
      </c>
      <c r="D82" s="39">
        <v>22000</v>
      </c>
      <c r="E82" s="9" t="s">
        <v>239</v>
      </c>
      <c r="F82" s="9" t="s">
        <v>453</v>
      </c>
      <c r="G82" s="9" t="s">
        <v>454</v>
      </c>
      <c r="H82" s="9" t="s">
        <v>455</v>
      </c>
      <c r="I82" s="9" t="s">
        <v>42</v>
      </c>
      <c r="J82" s="9" t="s">
        <v>4</v>
      </c>
      <c r="K82" s="9" t="s">
        <v>45</v>
      </c>
      <c r="L82" s="9">
        <v>370</v>
      </c>
      <c r="M82" s="10" t="s">
        <v>25</v>
      </c>
    </row>
    <row r="83" spans="1:13" ht="19.5" customHeight="1">
      <c r="A83" s="9" t="s">
        <v>98</v>
      </c>
      <c r="B83" s="9" t="s">
        <v>456</v>
      </c>
      <c r="C83" s="38">
        <v>43900</v>
      </c>
      <c r="D83" s="39">
        <v>36000</v>
      </c>
      <c r="E83" s="9" t="s">
        <v>273</v>
      </c>
      <c r="F83" s="9" t="s">
        <v>437</v>
      </c>
      <c r="G83" s="9" t="s">
        <v>457</v>
      </c>
      <c r="H83" s="9" t="s">
        <v>458</v>
      </c>
      <c r="I83" s="9" t="s">
        <v>42</v>
      </c>
      <c r="J83" s="9" t="s">
        <v>4</v>
      </c>
      <c r="K83" s="9" t="s">
        <v>45</v>
      </c>
      <c r="L83" s="9">
        <v>560</v>
      </c>
      <c r="M83" s="10" t="s">
        <v>242</v>
      </c>
    </row>
    <row r="84" spans="1:13" ht="19.5" customHeight="1">
      <c r="A84" s="9" t="s">
        <v>98</v>
      </c>
      <c r="B84" s="9" t="s">
        <v>459</v>
      </c>
      <c r="C84" s="38">
        <v>36900</v>
      </c>
      <c r="D84" s="39">
        <v>27900</v>
      </c>
      <c r="E84" s="9" t="s">
        <v>262</v>
      </c>
      <c r="F84" s="9" t="s">
        <v>446</v>
      </c>
      <c r="G84" s="9" t="s">
        <v>460</v>
      </c>
      <c r="H84" s="9" t="s">
        <v>461</v>
      </c>
      <c r="I84" s="9" t="s">
        <v>42</v>
      </c>
      <c r="J84" s="9" t="s">
        <v>4</v>
      </c>
      <c r="K84" s="9" t="s">
        <v>45</v>
      </c>
      <c r="L84" s="9">
        <v>580</v>
      </c>
      <c r="M84" s="10" t="s">
        <v>242</v>
      </c>
    </row>
    <row r="85" spans="1:13" ht="19.5" customHeight="1">
      <c r="A85" s="9" t="s">
        <v>98</v>
      </c>
      <c r="B85" s="9" t="s">
        <v>462</v>
      </c>
      <c r="C85" s="38">
        <v>28490</v>
      </c>
      <c r="D85" s="39">
        <v>23900</v>
      </c>
      <c r="E85" s="9" t="s">
        <v>239</v>
      </c>
      <c r="F85" s="9" t="s">
        <v>463</v>
      </c>
      <c r="G85" s="9" t="s">
        <v>434</v>
      </c>
      <c r="H85" s="9" t="s">
        <v>435</v>
      </c>
      <c r="I85" s="9" t="s">
        <v>42</v>
      </c>
      <c r="J85" s="9" t="s">
        <v>4</v>
      </c>
      <c r="K85" s="9"/>
      <c r="L85" s="9">
        <v>480</v>
      </c>
      <c r="M85" s="10" t="s">
        <v>242</v>
      </c>
    </row>
    <row r="86" spans="1:13" ht="19.5" customHeight="1">
      <c r="A86" s="9" t="s">
        <v>98</v>
      </c>
      <c r="B86" s="9" t="s">
        <v>464</v>
      </c>
      <c r="C86" s="38">
        <v>29900</v>
      </c>
      <c r="D86" s="39">
        <v>25200</v>
      </c>
      <c r="E86" s="9" t="s">
        <v>262</v>
      </c>
      <c r="F86" s="9" t="s">
        <v>465</v>
      </c>
      <c r="G86" s="9" t="s">
        <v>374</v>
      </c>
      <c r="H86" s="9" t="s">
        <v>435</v>
      </c>
      <c r="I86" s="9" t="s">
        <v>42</v>
      </c>
      <c r="J86" s="9" t="s">
        <v>4</v>
      </c>
      <c r="K86" s="9" t="s">
        <v>45</v>
      </c>
      <c r="L86" s="9">
        <v>480</v>
      </c>
      <c r="M86" s="10" t="s">
        <v>242</v>
      </c>
    </row>
    <row r="87" spans="1:13" ht="19.5" customHeight="1">
      <c r="A87" s="9" t="s">
        <v>98</v>
      </c>
      <c r="B87" s="9" t="s">
        <v>466</v>
      </c>
      <c r="C87" s="38">
        <v>14900</v>
      </c>
      <c r="D87" s="39">
        <v>10700</v>
      </c>
      <c r="E87" s="9" t="s">
        <v>425</v>
      </c>
      <c r="F87" s="9" t="s">
        <v>442</v>
      </c>
      <c r="G87" s="9" t="s">
        <v>427</v>
      </c>
      <c r="H87" s="9" t="s">
        <v>428</v>
      </c>
      <c r="I87" s="9" t="s">
        <v>42</v>
      </c>
      <c r="J87" s="9" t="s">
        <v>4</v>
      </c>
      <c r="K87" s="9" t="s">
        <v>45</v>
      </c>
      <c r="L87" s="9">
        <v>140</v>
      </c>
      <c r="M87" s="10">
        <v>500</v>
      </c>
    </row>
    <row r="88" spans="1:13" ht="19.5" customHeight="1">
      <c r="A88" s="9" t="s">
        <v>98</v>
      </c>
      <c r="B88" s="9" t="s">
        <v>467</v>
      </c>
      <c r="C88" s="38">
        <v>29900</v>
      </c>
      <c r="D88" s="39">
        <v>19200</v>
      </c>
      <c r="E88" s="9" t="s">
        <v>239</v>
      </c>
      <c r="F88" s="9" t="s">
        <v>468</v>
      </c>
      <c r="G88" s="9" t="s">
        <v>469</v>
      </c>
      <c r="H88" s="9" t="s">
        <v>470</v>
      </c>
      <c r="I88" s="9" t="s">
        <v>42</v>
      </c>
      <c r="J88" s="9" t="s">
        <v>4</v>
      </c>
      <c r="K88" s="9" t="s">
        <v>45</v>
      </c>
      <c r="L88" s="9">
        <v>210</v>
      </c>
      <c r="M88" s="10" t="s">
        <v>25</v>
      </c>
    </row>
    <row r="89" spans="1:13" ht="19.5" customHeight="1">
      <c r="A89" s="9" t="s">
        <v>98</v>
      </c>
      <c r="B89" s="9" t="s">
        <v>471</v>
      </c>
      <c r="C89" s="38">
        <v>37900</v>
      </c>
      <c r="D89" s="39">
        <v>30300</v>
      </c>
      <c r="E89" s="9" t="s">
        <v>239</v>
      </c>
      <c r="F89" s="9" t="s">
        <v>472</v>
      </c>
      <c r="G89" s="9" t="s">
        <v>268</v>
      </c>
      <c r="H89" s="9" t="s">
        <v>473</v>
      </c>
      <c r="I89" s="9" t="s">
        <v>42</v>
      </c>
      <c r="J89" s="9" t="s">
        <v>4</v>
      </c>
      <c r="K89" s="9" t="s">
        <v>45</v>
      </c>
      <c r="L89" s="9">
        <v>610</v>
      </c>
      <c r="M89" s="10" t="s">
        <v>242</v>
      </c>
    </row>
    <row r="90" spans="1:13" ht="19.5" customHeight="1">
      <c r="A90" s="9" t="s">
        <v>98</v>
      </c>
      <c r="B90" s="9" t="s">
        <v>474</v>
      </c>
      <c r="C90" s="38">
        <v>36900</v>
      </c>
      <c r="D90" s="39">
        <v>29990</v>
      </c>
      <c r="E90" s="9" t="s">
        <v>239</v>
      </c>
      <c r="F90" s="9" t="s">
        <v>472</v>
      </c>
      <c r="G90" s="9" t="s">
        <v>451</v>
      </c>
      <c r="H90" s="9" t="s">
        <v>473</v>
      </c>
      <c r="I90" s="9" t="s">
        <v>42</v>
      </c>
      <c r="J90" s="9" t="s">
        <v>4</v>
      </c>
      <c r="K90" s="9" t="s">
        <v>45</v>
      </c>
      <c r="L90" s="9">
        <v>535</v>
      </c>
      <c r="M90" s="10" t="s">
        <v>242</v>
      </c>
    </row>
    <row r="91" spans="1:13" ht="19.5" customHeight="1">
      <c r="A91" s="9" t="s">
        <v>98</v>
      </c>
      <c r="B91" s="9" t="s">
        <v>475</v>
      </c>
      <c r="C91" s="38">
        <v>38900</v>
      </c>
      <c r="D91" s="39">
        <v>31990</v>
      </c>
      <c r="E91" s="9" t="s">
        <v>239</v>
      </c>
      <c r="F91" s="9" t="s">
        <v>472</v>
      </c>
      <c r="G91" s="9" t="s">
        <v>460</v>
      </c>
      <c r="H91" s="9" t="s">
        <v>461</v>
      </c>
      <c r="I91" s="9" t="s">
        <v>42</v>
      </c>
      <c r="J91" s="9" t="s">
        <v>4</v>
      </c>
      <c r="K91" s="9" t="s">
        <v>45</v>
      </c>
      <c r="L91" s="9">
        <v>580</v>
      </c>
      <c r="M91" s="10" t="s">
        <v>242</v>
      </c>
    </row>
    <row r="92" spans="1:13" ht="19.5" customHeight="1">
      <c r="A92" s="9" t="s">
        <v>98</v>
      </c>
      <c r="B92" s="9" t="s">
        <v>476</v>
      </c>
      <c r="C92" s="38">
        <v>21490</v>
      </c>
      <c r="D92" s="39">
        <v>19490</v>
      </c>
      <c r="E92" s="9" t="s">
        <v>239</v>
      </c>
      <c r="F92" s="9" t="s">
        <v>440</v>
      </c>
      <c r="G92" s="9" t="s">
        <v>431</v>
      </c>
      <c r="H92" s="9" t="s">
        <v>438</v>
      </c>
      <c r="I92" s="9" t="s">
        <v>42</v>
      </c>
      <c r="J92" s="9" t="s">
        <v>4</v>
      </c>
      <c r="K92" s="9" t="s">
        <v>45</v>
      </c>
      <c r="L92" s="9">
        <v>250</v>
      </c>
      <c r="M92" s="10" t="s">
        <v>25</v>
      </c>
    </row>
    <row r="93" spans="1:13" ht="19.5" customHeight="1">
      <c r="A93" s="9" t="s">
        <v>98</v>
      </c>
      <c r="B93" s="9" t="s">
        <v>477</v>
      </c>
      <c r="C93" s="38">
        <v>21490</v>
      </c>
      <c r="D93" s="39">
        <v>19490</v>
      </c>
      <c r="E93" s="9" t="s">
        <v>239</v>
      </c>
      <c r="F93" s="9" t="s">
        <v>426</v>
      </c>
      <c r="G93" s="9" t="s">
        <v>431</v>
      </c>
      <c r="H93" s="9" t="s">
        <v>438</v>
      </c>
      <c r="I93" s="9" t="s">
        <v>42</v>
      </c>
      <c r="J93" s="9" t="s">
        <v>4</v>
      </c>
      <c r="K93" s="9" t="s">
        <v>45</v>
      </c>
      <c r="L93" s="9">
        <v>250</v>
      </c>
      <c r="M93" s="10" t="s">
        <v>25</v>
      </c>
    </row>
    <row r="94" spans="1:13" ht="19.5" customHeight="1">
      <c r="A94" s="9" t="s">
        <v>98</v>
      </c>
      <c r="B94" s="9" t="s">
        <v>478</v>
      </c>
      <c r="C94" s="38">
        <v>39900</v>
      </c>
      <c r="D94" s="39">
        <v>32990</v>
      </c>
      <c r="E94" s="9" t="s">
        <v>262</v>
      </c>
      <c r="F94" s="9" t="s">
        <v>437</v>
      </c>
      <c r="G94" s="9" t="s">
        <v>460</v>
      </c>
      <c r="H94" s="9" t="s">
        <v>461</v>
      </c>
      <c r="I94" s="9" t="s">
        <v>42</v>
      </c>
      <c r="J94" s="9" t="s">
        <v>4</v>
      </c>
      <c r="K94" s="9" t="s">
        <v>45</v>
      </c>
      <c r="L94" s="9">
        <v>580</v>
      </c>
      <c r="M94" s="10" t="s">
        <v>242</v>
      </c>
    </row>
    <row r="95" spans="1:13" ht="19.5" customHeight="1">
      <c r="A95" s="9" t="s">
        <v>98</v>
      </c>
      <c r="B95" s="9" t="s">
        <v>479</v>
      </c>
      <c r="C95" s="38">
        <v>38900</v>
      </c>
      <c r="D95" s="39">
        <v>31990</v>
      </c>
      <c r="E95" s="9" t="s">
        <v>262</v>
      </c>
      <c r="F95" s="9" t="s">
        <v>437</v>
      </c>
      <c r="G95" s="9" t="s">
        <v>447</v>
      </c>
      <c r="H95" s="9" t="s">
        <v>473</v>
      </c>
      <c r="I95" s="9" t="s">
        <v>42</v>
      </c>
      <c r="J95" s="9" t="s">
        <v>4</v>
      </c>
      <c r="K95" s="9" t="s">
        <v>45</v>
      </c>
      <c r="L95" s="9">
        <v>530</v>
      </c>
      <c r="M95" s="10" t="s">
        <v>242</v>
      </c>
    </row>
    <row r="96" spans="1:13" ht="19.5" customHeight="1">
      <c r="A96" s="9" t="s">
        <v>98</v>
      </c>
      <c r="B96" s="9" t="s">
        <v>480</v>
      </c>
      <c r="C96" s="38">
        <v>42900</v>
      </c>
      <c r="D96" s="39">
        <v>32000</v>
      </c>
      <c r="E96" s="9" t="s">
        <v>262</v>
      </c>
      <c r="F96" s="9" t="s">
        <v>481</v>
      </c>
      <c r="G96" s="9" t="s">
        <v>319</v>
      </c>
      <c r="H96" s="9" t="s">
        <v>482</v>
      </c>
      <c r="I96" s="9" t="s">
        <v>42</v>
      </c>
      <c r="J96" s="9" t="s">
        <v>4</v>
      </c>
      <c r="K96" s="9" t="s">
        <v>45</v>
      </c>
      <c r="L96" s="9">
        <v>605</v>
      </c>
      <c r="M96" s="10" t="s">
        <v>242</v>
      </c>
    </row>
    <row r="97" spans="1:13" ht="19.5" customHeight="1">
      <c r="A97" s="9" t="s">
        <v>98</v>
      </c>
      <c r="B97" s="9" t="s">
        <v>483</v>
      </c>
      <c r="C97" s="38">
        <v>14500</v>
      </c>
      <c r="D97" s="39">
        <v>10490</v>
      </c>
      <c r="E97" s="9" t="s">
        <v>484</v>
      </c>
      <c r="F97" s="9" t="s">
        <v>463</v>
      </c>
      <c r="G97" s="9" t="s">
        <v>485</v>
      </c>
      <c r="H97" s="9" t="s">
        <v>486</v>
      </c>
      <c r="I97" s="9" t="s">
        <v>3</v>
      </c>
      <c r="J97" s="9" t="s">
        <v>4</v>
      </c>
      <c r="K97" s="9" t="s">
        <v>45</v>
      </c>
      <c r="L97" s="9"/>
      <c r="M97" s="10" t="s">
        <v>344</v>
      </c>
    </row>
    <row r="98" spans="1:13" ht="19.5" customHeight="1">
      <c r="A98" s="9" t="s">
        <v>98</v>
      </c>
      <c r="B98" s="9" t="s">
        <v>487</v>
      </c>
      <c r="C98" s="38">
        <v>25900</v>
      </c>
      <c r="D98" s="39">
        <v>18900</v>
      </c>
      <c r="E98" s="9" t="s">
        <v>484</v>
      </c>
      <c r="F98" s="9" t="s">
        <v>7</v>
      </c>
      <c r="G98" s="9" t="s">
        <v>488</v>
      </c>
      <c r="H98" s="9" t="s">
        <v>489</v>
      </c>
      <c r="I98" s="9" t="s">
        <v>3</v>
      </c>
      <c r="J98" s="15" t="s">
        <v>4</v>
      </c>
      <c r="K98" s="15" t="s">
        <v>45</v>
      </c>
      <c r="L98" s="9" t="s">
        <v>166</v>
      </c>
      <c r="M98" s="10" t="s">
        <v>344</v>
      </c>
    </row>
    <row r="99" spans="1:13" ht="19.5" customHeight="1">
      <c r="A99" s="9" t="s">
        <v>98</v>
      </c>
      <c r="B99" s="9" t="s">
        <v>490</v>
      </c>
      <c r="C99" s="38">
        <v>16900</v>
      </c>
      <c r="D99" s="39">
        <v>14500</v>
      </c>
      <c r="E99" s="9" t="s">
        <v>484</v>
      </c>
      <c r="F99" s="9" t="s">
        <v>463</v>
      </c>
      <c r="G99" s="9" t="s">
        <v>491</v>
      </c>
      <c r="H99" s="9" t="s">
        <v>492</v>
      </c>
      <c r="I99" s="9" t="s">
        <v>3</v>
      </c>
      <c r="J99" s="15" t="s">
        <v>4</v>
      </c>
      <c r="K99" s="15" t="s">
        <v>45</v>
      </c>
      <c r="L99" s="9"/>
      <c r="M99" s="10"/>
    </row>
    <row r="100" spans="1:13" ht="19.5" customHeight="1">
      <c r="A100" s="9" t="s">
        <v>98</v>
      </c>
      <c r="B100" s="9" t="s">
        <v>493</v>
      </c>
      <c r="C100" s="38">
        <v>21900</v>
      </c>
      <c r="D100" s="39">
        <v>20490</v>
      </c>
      <c r="E100" s="9" t="s">
        <v>484</v>
      </c>
      <c r="F100" s="9" t="s">
        <v>60</v>
      </c>
      <c r="G100" s="9" t="s">
        <v>443</v>
      </c>
      <c r="H100" s="9" t="s">
        <v>494</v>
      </c>
      <c r="I100" s="9" t="s">
        <v>3</v>
      </c>
      <c r="J100" s="15" t="s">
        <v>4</v>
      </c>
      <c r="K100" s="15" t="s">
        <v>45</v>
      </c>
      <c r="L100" s="9"/>
      <c r="M100" s="10"/>
    </row>
    <row r="101" spans="1:13" ht="19.5" customHeight="1">
      <c r="A101" s="9" t="s">
        <v>98</v>
      </c>
      <c r="B101" s="9" t="s">
        <v>495</v>
      </c>
      <c r="C101" s="38">
        <v>17900</v>
      </c>
      <c r="D101" s="39">
        <v>14900</v>
      </c>
      <c r="E101" s="9" t="s">
        <v>484</v>
      </c>
      <c r="F101" s="9" t="s">
        <v>496</v>
      </c>
      <c r="G101" s="9" t="s">
        <v>497</v>
      </c>
      <c r="H101" s="9" t="s">
        <v>498</v>
      </c>
      <c r="I101" s="9" t="s">
        <v>499</v>
      </c>
      <c r="J101" s="15" t="s">
        <v>4</v>
      </c>
      <c r="K101" s="15" t="s">
        <v>45</v>
      </c>
      <c r="L101" s="9"/>
      <c r="M101" s="10"/>
    </row>
    <row r="102" spans="1:13" ht="19.5" customHeight="1">
      <c r="A102" s="9" t="s">
        <v>98</v>
      </c>
      <c r="B102" s="9" t="s">
        <v>500</v>
      </c>
      <c r="C102" s="38">
        <v>13990</v>
      </c>
      <c r="D102" s="39">
        <v>11790</v>
      </c>
      <c r="E102" s="9" t="s">
        <v>501</v>
      </c>
      <c r="F102" s="9" t="s">
        <v>60</v>
      </c>
      <c r="G102" s="9" t="s">
        <v>502</v>
      </c>
      <c r="H102" s="9" t="s">
        <v>503</v>
      </c>
      <c r="I102" s="9" t="s">
        <v>3</v>
      </c>
      <c r="J102" s="15" t="s">
        <v>4</v>
      </c>
      <c r="K102" s="15" t="s">
        <v>45</v>
      </c>
      <c r="L102" s="9"/>
      <c r="M102" s="10"/>
    </row>
    <row r="103" spans="1:13" ht="19.5" customHeight="1">
      <c r="A103" s="9" t="s">
        <v>98</v>
      </c>
      <c r="B103" s="9" t="s">
        <v>504</v>
      </c>
      <c r="C103" s="38">
        <v>28490</v>
      </c>
      <c r="D103" s="39">
        <v>20500</v>
      </c>
      <c r="E103" s="9" t="s">
        <v>484</v>
      </c>
      <c r="F103" s="9" t="s">
        <v>505</v>
      </c>
      <c r="G103" s="9" t="s">
        <v>506</v>
      </c>
      <c r="H103" s="9" t="s">
        <v>507</v>
      </c>
      <c r="I103" s="9" t="s">
        <v>3</v>
      </c>
      <c r="J103" s="15" t="s">
        <v>4</v>
      </c>
      <c r="K103" s="15" t="s">
        <v>45</v>
      </c>
      <c r="L103" s="9"/>
      <c r="M103" s="10"/>
    </row>
    <row r="104" spans="1:13" ht="19.5" customHeight="1">
      <c r="A104" s="9" t="s">
        <v>98</v>
      </c>
      <c r="B104" s="9" t="s">
        <v>508</v>
      </c>
      <c r="C104" s="38">
        <v>26490</v>
      </c>
      <c r="D104" s="39">
        <v>20650</v>
      </c>
      <c r="E104" s="9" t="s">
        <v>484</v>
      </c>
      <c r="F104" s="9" t="s">
        <v>509</v>
      </c>
      <c r="G104" s="9" t="s">
        <v>510</v>
      </c>
      <c r="H104" s="9" t="s">
        <v>511</v>
      </c>
      <c r="I104" s="9" t="s">
        <v>3</v>
      </c>
      <c r="J104" s="15" t="s">
        <v>4</v>
      </c>
      <c r="K104" s="15" t="s">
        <v>45</v>
      </c>
      <c r="L104" s="9"/>
      <c r="M104" s="10"/>
    </row>
    <row r="105" spans="1:13" ht="19.5" customHeight="1">
      <c r="A105" s="9" t="s">
        <v>512</v>
      </c>
      <c r="B105" s="9" t="s">
        <v>513</v>
      </c>
      <c r="C105" s="38">
        <v>16990</v>
      </c>
      <c r="D105" s="39">
        <v>15500</v>
      </c>
      <c r="E105" s="9" t="s">
        <v>239</v>
      </c>
      <c r="F105" s="9" t="s">
        <v>514</v>
      </c>
      <c r="G105" s="9" t="s">
        <v>515</v>
      </c>
      <c r="H105" s="9" t="s">
        <v>516</v>
      </c>
      <c r="I105" s="9" t="s">
        <v>240</v>
      </c>
      <c r="J105" s="15" t="s">
        <v>4</v>
      </c>
      <c r="K105" s="9" t="s">
        <v>45</v>
      </c>
      <c r="L105" s="9">
        <v>231</v>
      </c>
      <c r="M105" s="10" t="s">
        <v>25</v>
      </c>
    </row>
    <row r="106" spans="1:13" ht="19.5" customHeight="1">
      <c r="A106" s="9" t="s">
        <v>512</v>
      </c>
      <c r="B106" s="9" t="s">
        <v>517</v>
      </c>
      <c r="C106" s="38">
        <v>19400</v>
      </c>
      <c r="D106" s="39">
        <v>18500</v>
      </c>
      <c r="E106" s="9" t="s">
        <v>239</v>
      </c>
      <c r="F106" s="9" t="s">
        <v>518</v>
      </c>
      <c r="G106" s="9" t="s">
        <v>519</v>
      </c>
      <c r="H106" s="9" t="s">
        <v>520</v>
      </c>
      <c r="I106" s="9" t="s">
        <v>42</v>
      </c>
      <c r="J106" s="15" t="s">
        <v>4</v>
      </c>
      <c r="K106" s="9" t="s">
        <v>45</v>
      </c>
      <c r="L106" s="9">
        <v>334</v>
      </c>
      <c r="M106" s="10" t="s">
        <v>25</v>
      </c>
    </row>
    <row r="107" spans="1:13" ht="19.5" customHeight="1">
      <c r="A107" s="9" t="s">
        <v>512</v>
      </c>
      <c r="B107" s="9" t="s">
        <v>521</v>
      </c>
      <c r="C107" s="38">
        <v>16900</v>
      </c>
      <c r="D107" s="39">
        <v>13900</v>
      </c>
      <c r="E107" s="9" t="s">
        <v>425</v>
      </c>
      <c r="F107" s="9" t="s">
        <v>518</v>
      </c>
      <c r="G107" s="9" t="s">
        <v>522</v>
      </c>
      <c r="H107" s="9" t="s">
        <v>523</v>
      </c>
      <c r="I107" s="9" t="s">
        <v>42</v>
      </c>
      <c r="J107" s="15" t="s">
        <v>4</v>
      </c>
      <c r="K107" s="9" t="s">
        <v>45</v>
      </c>
      <c r="L107" s="9">
        <v>158</v>
      </c>
      <c r="M107" s="10">
        <v>500</v>
      </c>
    </row>
    <row r="108" spans="1:13" ht="19.5" customHeight="1">
      <c r="A108" s="9" t="s">
        <v>512</v>
      </c>
      <c r="B108" s="9" t="s">
        <v>524</v>
      </c>
      <c r="C108" s="38">
        <v>22900</v>
      </c>
      <c r="D108" s="39">
        <v>19900</v>
      </c>
      <c r="E108" s="9" t="s">
        <v>239</v>
      </c>
      <c r="F108" s="9" t="s">
        <v>518</v>
      </c>
      <c r="G108" s="9" t="s">
        <v>525</v>
      </c>
      <c r="H108" s="9" t="s">
        <v>526</v>
      </c>
      <c r="I108" s="9" t="s">
        <v>42</v>
      </c>
      <c r="J108" s="15" t="s">
        <v>4</v>
      </c>
      <c r="K108" s="9" t="s">
        <v>45</v>
      </c>
      <c r="L108" s="9">
        <v>440</v>
      </c>
      <c r="M108" s="10" t="s">
        <v>242</v>
      </c>
    </row>
    <row r="109" spans="1:13" ht="19.5" customHeight="1">
      <c r="A109" s="9" t="s">
        <v>527</v>
      </c>
      <c r="B109" s="9" t="s">
        <v>528</v>
      </c>
      <c r="C109" s="38">
        <v>20400</v>
      </c>
      <c r="D109" s="39">
        <v>18500</v>
      </c>
      <c r="E109" s="9" t="s">
        <v>484</v>
      </c>
      <c r="F109" s="9"/>
      <c r="G109" s="9" t="s">
        <v>529</v>
      </c>
      <c r="H109" s="9" t="s">
        <v>530</v>
      </c>
      <c r="I109" s="9" t="s">
        <v>3</v>
      </c>
      <c r="J109" s="15" t="s">
        <v>531</v>
      </c>
      <c r="K109" s="15" t="s">
        <v>532</v>
      </c>
      <c r="L109" s="9"/>
      <c r="M109" s="10"/>
    </row>
    <row r="110" spans="1:13" ht="19.5" customHeight="1">
      <c r="A110" s="9" t="s">
        <v>527</v>
      </c>
      <c r="B110" s="9" t="s">
        <v>533</v>
      </c>
      <c r="C110" s="38">
        <v>25490</v>
      </c>
      <c r="D110" s="39">
        <v>22900</v>
      </c>
      <c r="E110" s="9" t="s">
        <v>484</v>
      </c>
      <c r="F110" s="9"/>
      <c r="G110" s="9" t="s">
        <v>534</v>
      </c>
      <c r="H110" s="9" t="s">
        <v>535</v>
      </c>
      <c r="I110" s="9" t="s">
        <v>3</v>
      </c>
      <c r="J110" s="15" t="s">
        <v>531</v>
      </c>
      <c r="K110" s="15" t="s">
        <v>532</v>
      </c>
      <c r="L110" s="9"/>
      <c r="M110" s="10"/>
    </row>
    <row r="111" spans="1:13" ht="19.5" customHeight="1">
      <c r="A111" s="9" t="s">
        <v>527</v>
      </c>
      <c r="B111" s="9" t="s">
        <v>536</v>
      </c>
      <c r="C111" s="38">
        <v>14900</v>
      </c>
      <c r="D111" s="39">
        <v>13400</v>
      </c>
      <c r="E111" s="9" t="s">
        <v>484</v>
      </c>
      <c r="F111" s="9"/>
      <c r="G111" s="9" t="s">
        <v>537</v>
      </c>
      <c r="H111" s="9" t="s">
        <v>538</v>
      </c>
      <c r="I111" s="9" t="s">
        <v>3</v>
      </c>
      <c r="J111" s="15" t="s">
        <v>531</v>
      </c>
      <c r="K111" s="15" t="s">
        <v>532</v>
      </c>
      <c r="L111" s="9"/>
      <c r="M111" s="10"/>
    </row>
    <row r="112" spans="1:13" ht="19.5" customHeight="1">
      <c r="A112" s="9" t="s">
        <v>527</v>
      </c>
      <c r="B112" s="9" t="s">
        <v>539</v>
      </c>
      <c r="C112" s="38">
        <v>19900</v>
      </c>
      <c r="D112" s="39">
        <v>17900</v>
      </c>
      <c r="E112" s="9" t="s">
        <v>484</v>
      </c>
      <c r="F112" s="9"/>
      <c r="G112" s="9" t="s">
        <v>540</v>
      </c>
      <c r="H112" s="9" t="s">
        <v>541</v>
      </c>
      <c r="I112" s="9" t="s">
        <v>3</v>
      </c>
      <c r="J112" s="15" t="s">
        <v>531</v>
      </c>
      <c r="K112" s="15" t="s">
        <v>532</v>
      </c>
      <c r="L112" s="9"/>
      <c r="M112" s="10"/>
    </row>
    <row r="113" spans="1:13" ht="19.5" customHeight="1">
      <c r="A113" s="9" t="s">
        <v>181</v>
      </c>
      <c r="B113" s="9" t="s">
        <v>542</v>
      </c>
      <c r="C113" s="38">
        <v>28200</v>
      </c>
      <c r="D113" s="39">
        <v>25400</v>
      </c>
      <c r="E113" s="9" t="s">
        <v>239</v>
      </c>
      <c r="F113" s="9" t="s">
        <v>543</v>
      </c>
      <c r="G113" s="9" t="s">
        <v>434</v>
      </c>
      <c r="H113" s="9" t="s">
        <v>544</v>
      </c>
      <c r="I113" s="9" t="s">
        <v>42</v>
      </c>
      <c r="J113" s="9" t="s">
        <v>4</v>
      </c>
      <c r="K113" s="15" t="s">
        <v>45</v>
      </c>
      <c r="L113" s="9">
        <v>480</v>
      </c>
      <c r="M113" s="10" t="s">
        <v>242</v>
      </c>
    </row>
    <row r="114" spans="1:13" ht="19.5" customHeight="1">
      <c r="A114" s="9" t="s">
        <v>181</v>
      </c>
      <c r="B114" s="9" t="s">
        <v>545</v>
      </c>
      <c r="C114" s="38">
        <v>20800</v>
      </c>
      <c r="D114" s="39">
        <v>19300</v>
      </c>
      <c r="E114" s="9" t="s">
        <v>425</v>
      </c>
      <c r="F114" s="9" t="s">
        <v>546</v>
      </c>
      <c r="G114" s="9" t="s">
        <v>547</v>
      </c>
      <c r="H114" s="9" t="s">
        <v>548</v>
      </c>
      <c r="I114" s="9" t="s">
        <v>42</v>
      </c>
      <c r="J114" s="15" t="s">
        <v>4</v>
      </c>
      <c r="K114" s="15" t="s">
        <v>549</v>
      </c>
      <c r="L114" s="9">
        <v>321</v>
      </c>
      <c r="M114" s="10" t="s">
        <v>25</v>
      </c>
    </row>
    <row r="115" spans="1:13" ht="19.5" customHeight="1">
      <c r="A115" s="9" t="s">
        <v>181</v>
      </c>
      <c r="B115" s="9" t="s">
        <v>550</v>
      </c>
      <c r="C115" s="38">
        <v>24800</v>
      </c>
      <c r="D115" s="39">
        <v>22300</v>
      </c>
      <c r="E115" s="9" t="s">
        <v>239</v>
      </c>
      <c r="F115" s="9" t="s">
        <v>551</v>
      </c>
      <c r="G115" s="9" t="s">
        <v>552</v>
      </c>
      <c r="H115" s="9" t="s">
        <v>553</v>
      </c>
      <c r="I115" s="9"/>
      <c r="J115" s="15" t="s">
        <v>4</v>
      </c>
      <c r="K115" s="15" t="s">
        <v>549</v>
      </c>
      <c r="L115" s="9">
        <v>380</v>
      </c>
      <c r="M115" s="10" t="s">
        <v>25</v>
      </c>
    </row>
    <row r="116" spans="1:13" ht="19.5" customHeight="1">
      <c r="A116" s="9" t="s">
        <v>181</v>
      </c>
      <c r="B116" s="9" t="s">
        <v>554</v>
      </c>
      <c r="C116" s="38">
        <v>31900</v>
      </c>
      <c r="D116" s="39">
        <v>28700</v>
      </c>
      <c r="E116" s="9" t="s">
        <v>239</v>
      </c>
      <c r="F116" s="9" t="s">
        <v>555</v>
      </c>
      <c r="G116" s="9" t="s">
        <v>556</v>
      </c>
      <c r="H116" s="9" t="s">
        <v>557</v>
      </c>
      <c r="I116" s="9" t="s">
        <v>42</v>
      </c>
      <c r="J116" s="15" t="s">
        <v>4</v>
      </c>
      <c r="K116" s="15" t="s">
        <v>4</v>
      </c>
      <c r="L116" s="9">
        <v>580</v>
      </c>
      <c r="M116" s="10" t="s">
        <v>242</v>
      </c>
    </row>
    <row r="117" spans="1:13" ht="19.5" customHeight="1">
      <c r="A117" s="9" t="s">
        <v>181</v>
      </c>
      <c r="B117" s="9" t="s">
        <v>558</v>
      </c>
      <c r="C117" s="38">
        <v>33800</v>
      </c>
      <c r="D117" s="39">
        <v>30400</v>
      </c>
      <c r="E117" s="9" t="s">
        <v>262</v>
      </c>
      <c r="F117" s="9" t="s">
        <v>555</v>
      </c>
      <c r="G117" s="9" t="s">
        <v>556</v>
      </c>
      <c r="H117" s="9" t="s">
        <v>557</v>
      </c>
      <c r="I117" s="9" t="s">
        <v>42</v>
      </c>
      <c r="J117" s="15" t="s">
        <v>4</v>
      </c>
      <c r="K117" s="15" t="s">
        <v>4</v>
      </c>
      <c r="L117" s="9">
        <v>580</v>
      </c>
      <c r="M117" s="10" t="s">
        <v>242</v>
      </c>
    </row>
    <row r="118" spans="1:13" ht="19.5" customHeight="1">
      <c r="A118" s="9" t="s">
        <v>181</v>
      </c>
      <c r="B118" s="9" t="s">
        <v>559</v>
      </c>
      <c r="C118" s="38">
        <v>32800</v>
      </c>
      <c r="D118" s="39">
        <v>28000</v>
      </c>
      <c r="E118" s="9" t="s">
        <v>262</v>
      </c>
      <c r="F118" s="9" t="s">
        <v>560</v>
      </c>
      <c r="G118" s="9" t="s">
        <v>561</v>
      </c>
      <c r="H118" s="9" t="s">
        <v>562</v>
      </c>
      <c r="I118" s="9" t="s">
        <v>42</v>
      </c>
      <c r="J118" s="15" t="s">
        <v>4</v>
      </c>
      <c r="K118" s="15" t="s">
        <v>549</v>
      </c>
      <c r="L118" s="9">
        <v>528</v>
      </c>
      <c r="M118" s="10" t="s">
        <v>242</v>
      </c>
    </row>
    <row r="119" spans="1:13" ht="19.5" customHeight="1">
      <c r="A119" s="9" t="s">
        <v>181</v>
      </c>
      <c r="B119" s="9" t="s">
        <v>563</v>
      </c>
      <c r="C119" s="38">
        <v>44500</v>
      </c>
      <c r="D119" s="39">
        <v>37990</v>
      </c>
      <c r="E119" s="9" t="s">
        <v>273</v>
      </c>
      <c r="F119" s="9" t="s">
        <v>7</v>
      </c>
      <c r="G119" s="9" t="s">
        <v>564</v>
      </c>
      <c r="H119" s="9" t="s">
        <v>565</v>
      </c>
      <c r="I119" s="9" t="s">
        <v>42</v>
      </c>
      <c r="J119" s="15" t="s">
        <v>4</v>
      </c>
      <c r="K119" s="15" t="s">
        <v>4</v>
      </c>
      <c r="L119" s="9">
        <v>460</v>
      </c>
      <c r="M119" s="10" t="s">
        <v>242</v>
      </c>
    </row>
    <row r="120" spans="1:13" ht="19.5" customHeight="1">
      <c r="A120" s="9" t="s">
        <v>181</v>
      </c>
      <c r="B120" s="9" t="s">
        <v>566</v>
      </c>
      <c r="C120" s="38">
        <v>21500</v>
      </c>
      <c r="D120" s="39">
        <v>18200</v>
      </c>
      <c r="E120" s="9" t="s">
        <v>484</v>
      </c>
      <c r="F120" s="9" t="s">
        <v>567</v>
      </c>
      <c r="G120" s="9" t="s">
        <v>568</v>
      </c>
      <c r="H120" s="9" t="s">
        <v>569</v>
      </c>
      <c r="I120" s="9" t="s">
        <v>3</v>
      </c>
      <c r="J120" s="15" t="s">
        <v>4</v>
      </c>
      <c r="K120" s="15" t="s">
        <v>4</v>
      </c>
      <c r="L120" s="9"/>
      <c r="M120" s="10"/>
    </row>
    <row r="121" spans="1:13" ht="19.5" customHeight="1">
      <c r="A121" s="9" t="s">
        <v>181</v>
      </c>
      <c r="B121" s="9" t="s">
        <v>570</v>
      </c>
      <c r="C121" s="38">
        <v>21600</v>
      </c>
      <c r="D121" s="39">
        <v>19300</v>
      </c>
      <c r="E121" s="9" t="s">
        <v>484</v>
      </c>
      <c r="F121" s="9" t="s">
        <v>7</v>
      </c>
      <c r="G121" s="9" t="s">
        <v>568</v>
      </c>
      <c r="H121" s="9" t="s">
        <v>569</v>
      </c>
      <c r="I121" s="9" t="s">
        <v>3</v>
      </c>
      <c r="J121" s="15" t="s">
        <v>4</v>
      </c>
      <c r="K121" s="15" t="s">
        <v>4</v>
      </c>
      <c r="L121" s="9"/>
      <c r="M121" s="10"/>
    </row>
    <row r="122" spans="1:13" ht="19.5" customHeight="1">
      <c r="A122" s="9" t="s">
        <v>181</v>
      </c>
      <c r="B122" s="9" t="s">
        <v>571</v>
      </c>
      <c r="C122" s="38">
        <v>16600</v>
      </c>
      <c r="D122" s="39">
        <v>14500</v>
      </c>
      <c r="E122" s="9" t="s">
        <v>484</v>
      </c>
      <c r="F122" s="9" t="s">
        <v>7</v>
      </c>
      <c r="G122" s="9" t="s">
        <v>572</v>
      </c>
      <c r="H122" s="9" t="s">
        <v>573</v>
      </c>
      <c r="I122" s="9" t="s">
        <v>3</v>
      </c>
      <c r="J122" s="15" t="s">
        <v>4</v>
      </c>
      <c r="K122" s="15" t="s">
        <v>4</v>
      </c>
      <c r="L122" s="9"/>
      <c r="M122" s="10"/>
    </row>
    <row r="123" spans="1:13" ht="19.5" customHeight="1">
      <c r="A123" s="9" t="s">
        <v>181</v>
      </c>
      <c r="B123" s="9" t="s">
        <v>574</v>
      </c>
      <c r="C123" s="38">
        <v>27900</v>
      </c>
      <c r="D123" s="39">
        <v>23300</v>
      </c>
      <c r="E123" s="9" t="s">
        <v>484</v>
      </c>
      <c r="F123" s="9" t="s">
        <v>93</v>
      </c>
      <c r="G123" s="9" t="s">
        <v>575</v>
      </c>
      <c r="H123" s="9" t="s">
        <v>576</v>
      </c>
      <c r="I123" s="9" t="s">
        <v>3</v>
      </c>
      <c r="J123" s="15" t="s">
        <v>4</v>
      </c>
      <c r="K123" s="15" t="s">
        <v>4</v>
      </c>
      <c r="L123" s="9"/>
      <c r="M123" s="10"/>
    </row>
    <row r="124" spans="1:13" ht="19.5" customHeight="1">
      <c r="A124" s="9" t="s">
        <v>181</v>
      </c>
      <c r="B124" s="9" t="s">
        <v>577</v>
      </c>
      <c r="C124" s="38">
        <v>42400</v>
      </c>
      <c r="D124" s="39">
        <v>36500</v>
      </c>
      <c r="E124" s="9" t="s">
        <v>366</v>
      </c>
      <c r="F124" s="9" t="s">
        <v>93</v>
      </c>
      <c r="G124" s="9" t="s">
        <v>578</v>
      </c>
      <c r="H124" s="9" t="s">
        <v>579</v>
      </c>
      <c r="I124" s="9" t="s">
        <v>42</v>
      </c>
      <c r="J124" s="15" t="s">
        <v>4</v>
      </c>
      <c r="K124" s="15" t="s">
        <v>4</v>
      </c>
      <c r="L124" s="9">
        <v>420</v>
      </c>
      <c r="M124" s="10" t="s">
        <v>242</v>
      </c>
    </row>
    <row r="125" spans="1:13" ht="19.5" customHeight="1">
      <c r="A125" s="9" t="s">
        <v>34</v>
      </c>
      <c r="B125" s="9" t="s">
        <v>580</v>
      </c>
      <c r="C125" s="38">
        <v>26900</v>
      </c>
      <c r="D125" s="39">
        <v>24990</v>
      </c>
      <c r="E125" s="9" t="s">
        <v>239</v>
      </c>
      <c r="F125" s="9" t="s">
        <v>581</v>
      </c>
      <c r="G125" s="9" t="s">
        <v>582</v>
      </c>
      <c r="H125" s="9" t="s">
        <v>583</v>
      </c>
      <c r="I125" s="9" t="s">
        <v>247</v>
      </c>
      <c r="J125" s="15" t="s">
        <v>4</v>
      </c>
      <c r="K125" s="15" t="s">
        <v>45</v>
      </c>
      <c r="L125" s="9">
        <v>325</v>
      </c>
      <c r="M125" s="10" t="s">
        <v>25</v>
      </c>
    </row>
    <row r="126" spans="1:13" ht="19.5" customHeight="1">
      <c r="A126" s="9" t="s">
        <v>296</v>
      </c>
      <c r="B126" s="9" t="s">
        <v>584</v>
      </c>
      <c r="C126" s="38">
        <v>39800</v>
      </c>
      <c r="D126" s="39">
        <v>37014</v>
      </c>
      <c r="E126" s="9" t="s">
        <v>262</v>
      </c>
      <c r="F126" s="9" t="s">
        <v>581</v>
      </c>
      <c r="G126" s="9" t="s">
        <v>277</v>
      </c>
      <c r="H126" s="9" t="s">
        <v>585</v>
      </c>
      <c r="I126" s="9" t="s">
        <v>42</v>
      </c>
      <c r="J126" s="9" t="s">
        <v>4</v>
      </c>
      <c r="K126" s="9" t="s">
        <v>45</v>
      </c>
      <c r="L126" s="9">
        <v>500</v>
      </c>
      <c r="M126" s="10" t="s">
        <v>242</v>
      </c>
    </row>
    <row r="127" spans="1:13" ht="19.5" customHeight="1">
      <c r="A127" s="9" t="s">
        <v>296</v>
      </c>
      <c r="B127" s="9" t="s">
        <v>586</v>
      </c>
      <c r="C127" s="38">
        <v>41800</v>
      </c>
      <c r="D127" s="39">
        <v>38874</v>
      </c>
      <c r="E127" s="9" t="s">
        <v>273</v>
      </c>
      <c r="F127" s="9" t="s">
        <v>581</v>
      </c>
      <c r="G127" s="9" t="s">
        <v>277</v>
      </c>
      <c r="H127" s="9" t="s">
        <v>585</v>
      </c>
      <c r="I127" s="9" t="s">
        <v>42</v>
      </c>
      <c r="J127" s="9" t="s">
        <v>4</v>
      </c>
      <c r="K127" s="9" t="s">
        <v>45</v>
      </c>
      <c r="L127" s="9">
        <v>500</v>
      </c>
      <c r="M127" s="10" t="s">
        <v>242</v>
      </c>
    </row>
    <row r="128" spans="1:13" ht="19.5" customHeight="1">
      <c r="A128" s="9" t="s">
        <v>296</v>
      </c>
      <c r="B128" s="9" t="s">
        <v>587</v>
      </c>
      <c r="C128" s="38">
        <v>40800</v>
      </c>
      <c r="D128" s="39">
        <v>37944</v>
      </c>
      <c r="E128" s="9" t="s">
        <v>262</v>
      </c>
      <c r="F128" s="9" t="s">
        <v>581</v>
      </c>
      <c r="G128" s="9" t="s">
        <v>268</v>
      </c>
      <c r="H128" s="9" t="s">
        <v>588</v>
      </c>
      <c r="I128" s="9" t="s">
        <v>42</v>
      </c>
      <c r="J128" s="9" t="s">
        <v>4</v>
      </c>
      <c r="K128" s="9" t="s">
        <v>45</v>
      </c>
      <c r="L128" s="9">
        <v>610</v>
      </c>
      <c r="M128" s="10" t="s">
        <v>242</v>
      </c>
    </row>
    <row r="129" spans="1:13" ht="19.5" customHeight="1">
      <c r="A129" s="9" t="s">
        <v>296</v>
      </c>
      <c r="B129" s="9" t="s">
        <v>589</v>
      </c>
      <c r="C129" s="38">
        <v>42800</v>
      </c>
      <c r="D129" s="39">
        <v>39804</v>
      </c>
      <c r="E129" s="9" t="s">
        <v>273</v>
      </c>
      <c r="F129" s="9" t="s">
        <v>581</v>
      </c>
      <c r="G129" s="9" t="s">
        <v>268</v>
      </c>
      <c r="H129" s="9" t="s">
        <v>588</v>
      </c>
      <c r="I129" s="9" t="s">
        <v>42</v>
      </c>
      <c r="J129" s="9" t="s">
        <v>4</v>
      </c>
      <c r="K129" s="9" t="s">
        <v>45</v>
      </c>
      <c r="L129" s="9">
        <v>610</v>
      </c>
      <c r="M129" s="10" t="s">
        <v>242</v>
      </c>
    </row>
    <row r="130" spans="1:13" ht="19.5" customHeight="1">
      <c r="A130" s="9" t="s">
        <v>296</v>
      </c>
      <c r="B130" s="9" t="s">
        <v>590</v>
      </c>
      <c r="C130" s="38">
        <v>45800</v>
      </c>
      <c r="D130" s="39">
        <v>42594</v>
      </c>
      <c r="E130" s="9" t="s">
        <v>262</v>
      </c>
      <c r="F130" s="9" t="s">
        <v>7</v>
      </c>
      <c r="G130" s="9" t="s">
        <v>268</v>
      </c>
      <c r="H130" s="9" t="s">
        <v>591</v>
      </c>
      <c r="I130" s="9" t="s">
        <v>42</v>
      </c>
      <c r="J130" s="9" t="s">
        <v>4</v>
      </c>
      <c r="K130" s="9" t="s">
        <v>45</v>
      </c>
      <c r="L130" s="9">
        <v>610</v>
      </c>
      <c r="M130" s="10" t="s">
        <v>242</v>
      </c>
    </row>
    <row r="131" spans="1:13" ht="19.5" customHeight="1">
      <c r="A131" s="9" t="s">
        <v>296</v>
      </c>
      <c r="B131" s="9" t="s">
        <v>592</v>
      </c>
      <c r="C131" s="38">
        <v>47800</v>
      </c>
      <c r="D131" s="39">
        <v>43020</v>
      </c>
      <c r="E131" s="9" t="s">
        <v>273</v>
      </c>
      <c r="F131" s="9" t="s">
        <v>7</v>
      </c>
      <c r="G131" s="9" t="s">
        <v>268</v>
      </c>
      <c r="H131" s="9" t="s">
        <v>591</v>
      </c>
      <c r="I131" s="9" t="s">
        <v>42</v>
      </c>
      <c r="J131" s="9" t="s">
        <v>4</v>
      </c>
      <c r="K131" s="9" t="s">
        <v>45</v>
      </c>
      <c r="L131" s="9">
        <v>610</v>
      </c>
      <c r="M131" s="10" t="s">
        <v>242</v>
      </c>
    </row>
    <row r="132" spans="1:13" ht="19.5" customHeight="1">
      <c r="A132" s="9" t="s">
        <v>33</v>
      </c>
      <c r="B132" s="9" t="s">
        <v>593</v>
      </c>
      <c r="C132" s="38">
        <v>69900</v>
      </c>
      <c r="D132" s="39">
        <v>48500</v>
      </c>
      <c r="E132" s="9" t="s">
        <v>262</v>
      </c>
      <c r="F132" s="9" t="s">
        <v>93</v>
      </c>
      <c r="G132" s="9" t="s">
        <v>594</v>
      </c>
      <c r="H132" s="9" t="s">
        <v>595</v>
      </c>
      <c r="I132" s="9" t="s">
        <v>3</v>
      </c>
      <c r="J132" s="15" t="s">
        <v>4</v>
      </c>
      <c r="K132" s="9"/>
      <c r="L132" s="9"/>
      <c r="M132" s="10"/>
    </row>
    <row r="133" spans="1:13" ht="19.5" customHeight="1">
      <c r="A133" s="9" t="s">
        <v>34</v>
      </c>
      <c r="B133" s="9" t="s">
        <v>596</v>
      </c>
      <c r="C133" s="38">
        <v>32800</v>
      </c>
      <c r="D133" s="39">
        <v>29520</v>
      </c>
      <c r="E133" s="9" t="s">
        <v>262</v>
      </c>
      <c r="F133" s="9" t="s">
        <v>597</v>
      </c>
      <c r="G133" s="9" t="s">
        <v>598</v>
      </c>
      <c r="H133" s="9" t="s">
        <v>599</v>
      </c>
      <c r="I133" s="9" t="s">
        <v>42</v>
      </c>
      <c r="J133" s="15" t="s">
        <v>4</v>
      </c>
      <c r="K133" s="15" t="s">
        <v>45</v>
      </c>
      <c r="L133" s="9">
        <v>385</v>
      </c>
      <c r="M133" s="10" t="s">
        <v>25</v>
      </c>
    </row>
    <row r="134" spans="1:13" ht="19.5" customHeight="1">
      <c r="A134" s="9" t="s">
        <v>34</v>
      </c>
      <c r="B134" s="9" t="s">
        <v>600</v>
      </c>
      <c r="C134" s="38">
        <v>32800</v>
      </c>
      <c r="D134" s="39">
        <v>29520</v>
      </c>
      <c r="E134" s="9" t="s">
        <v>262</v>
      </c>
      <c r="F134" s="9" t="s">
        <v>7</v>
      </c>
      <c r="G134" s="9" t="s">
        <v>598</v>
      </c>
      <c r="H134" s="9" t="s">
        <v>599</v>
      </c>
      <c r="I134" s="9" t="s">
        <v>42</v>
      </c>
      <c r="J134" s="15" t="s">
        <v>4</v>
      </c>
      <c r="K134" s="15" t="s">
        <v>45</v>
      </c>
      <c r="L134" s="9">
        <v>385</v>
      </c>
      <c r="M134" s="10" t="s">
        <v>25</v>
      </c>
    </row>
    <row r="135" spans="1:13" ht="19.5" customHeight="1">
      <c r="A135" s="9" t="s">
        <v>132</v>
      </c>
      <c r="B135" s="9" t="s">
        <v>601</v>
      </c>
      <c r="C135" s="38">
        <v>77900</v>
      </c>
      <c r="D135" s="39">
        <v>68000</v>
      </c>
      <c r="E135" s="9" t="s">
        <v>317</v>
      </c>
      <c r="F135" s="9" t="s">
        <v>602</v>
      </c>
      <c r="G135" s="9" t="s">
        <v>603</v>
      </c>
      <c r="H135" s="9" t="s">
        <v>604</v>
      </c>
      <c r="I135" s="9" t="s">
        <v>240</v>
      </c>
      <c r="J135" s="15" t="s">
        <v>4</v>
      </c>
      <c r="K135" s="15" t="s">
        <v>241</v>
      </c>
      <c r="L135" s="9">
        <v>601</v>
      </c>
      <c r="M135" s="10" t="s">
        <v>242</v>
      </c>
    </row>
    <row r="136" spans="1:13" ht="19.5" customHeight="1">
      <c r="A136" s="9" t="s">
        <v>132</v>
      </c>
      <c r="B136" s="9" t="s">
        <v>605</v>
      </c>
      <c r="C136" s="38">
        <v>47900</v>
      </c>
      <c r="D136" s="39">
        <v>39000</v>
      </c>
      <c r="E136" s="9" t="s">
        <v>239</v>
      </c>
      <c r="F136" s="9" t="s">
        <v>602</v>
      </c>
      <c r="G136" s="9" t="s">
        <v>606</v>
      </c>
      <c r="H136" s="9" t="s">
        <v>607</v>
      </c>
      <c r="I136" s="9" t="s">
        <v>240</v>
      </c>
      <c r="J136" s="15" t="s">
        <v>4</v>
      </c>
      <c r="K136" s="15" t="s">
        <v>241</v>
      </c>
      <c r="L136" s="9">
        <v>608</v>
      </c>
      <c r="M136" s="10" t="s">
        <v>242</v>
      </c>
    </row>
    <row r="137" spans="1:13" ht="19.5" customHeight="1">
      <c r="A137" s="9" t="s">
        <v>181</v>
      </c>
      <c r="B137" s="9" t="s">
        <v>608</v>
      </c>
      <c r="C137" s="38">
        <v>12890</v>
      </c>
      <c r="D137" s="39">
        <v>10900</v>
      </c>
      <c r="E137" s="9" t="s">
        <v>609</v>
      </c>
      <c r="F137" s="9" t="s">
        <v>7</v>
      </c>
      <c r="G137" s="9" t="s">
        <v>610</v>
      </c>
      <c r="H137" s="9" t="s">
        <v>611</v>
      </c>
      <c r="I137" s="9" t="s">
        <v>42</v>
      </c>
      <c r="J137" s="15" t="s">
        <v>4</v>
      </c>
      <c r="K137" s="15" t="s">
        <v>4</v>
      </c>
      <c r="L137" s="9">
        <v>129</v>
      </c>
      <c r="M137" s="10">
        <v>500</v>
      </c>
    </row>
    <row r="138" spans="1:13" ht="19.5" customHeight="1">
      <c r="A138" s="9" t="s">
        <v>181</v>
      </c>
      <c r="B138" s="9" t="s">
        <v>612</v>
      </c>
      <c r="C138" s="38">
        <v>17390</v>
      </c>
      <c r="D138" s="39">
        <v>15200</v>
      </c>
      <c r="E138" s="9" t="s">
        <v>609</v>
      </c>
      <c r="F138" s="9" t="s">
        <v>567</v>
      </c>
      <c r="G138" s="9" t="s">
        <v>613</v>
      </c>
      <c r="H138" s="9" t="s">
        <v>614</v>
      </c>
      <c r="I138" s="9" t="s">
        <v>42</v>
      </c>
      <c r="J138" s="15" t="s">
        <v>4</v>
      </c>
      <c r="K138" s="15" t="s">
        <v>4</v>
      </c>
      <c r="L138" s="9">
        <v>210</v>
      </c>
      <c r="M138" s="10" t="s">
        <v>25</v>
      </c>
    </row>
    <row r="139" spans="1:13" ht="19.5" customHeight="1">
      <c r="A139" s="9" t="s">
        <v>181</v>
      </c>
      <c r="B139" s="9" t="s">
        <v>615</v>
      </c>
      <c r="C139" s="38">
        <v>18390</v>
      </c>
      <c r="D139" s="39">
        <v>16600</v>
      </c>
      <c r="E139" s="9" t="s">
        <v>609</v>
      </c>
      <c r="F139" s="9" t="s">
        <v>567</v>
      </c>
      <c r="G139" s="9" t="s">
        <v>616</v>
      </c>
      <c r="H139" s="9" t="s">
        <v>617</v>
      </c>
      <c r="I139" s="9" t="s">
        <v>42</v>
      </c>
      <c r="J139" s="15" t="s">
        <v>4</v>
      </c>
      <c r="K139" s="15" t="s">
        <v>4</v>
      </c>
      <c r="L139" s="9">
        <v>250</v>
      </c>
      <c r="M139" s="10" t="s">
        <v>25</v>
      </c>
    </row>
    <row r="140" spans="1:13" ht="19.5" customHeight="1">
      <c r="A140" s="9" t="s">
        <v>181</v>
      </c>
      <c r="B140" s="9" t="s">
        <v>618</v>
      </c>
      <c r="C140" s="38">
        <v>22900</v>
      </c>
      <c r="D140" s="39">
        <v>21200</v>
      </c>
      <c r="E140" s="9" t="s">
        <v>609</v>
      </c>
      <c r="F140" s="9" t="s">
        <v>93</v>
      </c>
      <c r="G140" s="9" t="s">
        <v>619</v>
      </c>
      <c r="H140" s="9" t="s">
        <v>620</v>
      </c>
      <c r="I140" s="9" t="s">
        <v>42</v>
      </c>
      <c r="J140" s="15" t="s">
        <v>4</v>
      </c>
      <c r="K140" s="15" t="s">
        <v>4</v>
      </c>
      <c r="L140" s="9">
        <v>360</v>
      </c>
      <c r="M140" s="10" t="s">
        <v>25</v>
      </c>
    </row>
    <row r="141" spans="1:13" ht="19.5" customHeight="1">
      <c r="A141" s="9" t="s">
        <v>181</v>
      </c>
      <c r="B141" s="9" t="s">
        <v>621</v>
      </c>
      <c r="C141" s="38">
        <v>35900</v>
      </c>
      <c r="D141" s="39">
        <v>31400</v>
      </c>
      <c r="E141" s="9" t="s">
        <v>609</v>
      </c>
      <c r="F141" s="9" t="s">
        <v>93</v>
      </c>
      <c r="G141" s="9" t="s">
        <v>622</v>
      </c>
      <c r="H141" s="9" t="s">
        <v>623</v>
      </c>
      <c r="I141" s="9" t="s">
        <v>42</v>
      </c>
      <c r="J141" s="15" t="s">
        <v>4</v>
      </c>
      <c r="K141" s="15" t="s">
        <v>4</v>
      </c>
      <c r="L141" s="9">
        <v>606</v>
      </c>
      <c r="M141" s="10" t="s">
        <v>242</v>
      </c>
    </row>
    <row r="142" spans="1:13" ht="19.5" customHeight="1">
      <c r="A142" s="9" t="s">
        <v>181</v>
      </c>
      <c r="B142" s="9" t="s">
        <v>624</v>
      </c>
      <c r="C142" s="38">
        <v>38500</v>
      </c>
      <c r="D142" s="39">
        <v>33800</v>
      </c>
      <c r="E142" s="9" t="s">
        <v>609</v>
      </c>
      <c r="F142" s="9" t="s">
        <v>93</v>
      </c>
      <c r="G142" s="9" t="s">
        <v>622</v>
      </c>
      <c r="H142" s="9" t="s">
        <v>623</v>
      </c>
      <c r="I142" s="9" t="s">
        <v>42</v>
      </c>
      <c r="J142" s="15" t="s">
        <v>4</v>
      </c>
      <c r="K142" s="15" t="s">
        <v>4</v>
      </c>
      <c r="L142" s="9">
        <v>606</v>
      </c>
      <c r="M142" s="10" t="s">
        <v>242</v>
      </c>
    </row>
  </sheetData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opLeftCell="A22" workbookViewId="0">
      <selection activeCell="A17" sqref="A17:XFD17"/>
    </sheetView>
  </sheetViews>
  <sheetFormatPr defaultColWidth="12.5546875" defaultRowHeight="13.2"/>
  <cols>
    <col min="4" max="4" width="66.33203125" customWidth="1"/>
    <col min="5" max="5" width="15.5546875" customWidth="1"/>
    <col min="9" max="9" width="25.6640625" customWidth="1"/>
    <col min="17" max="17" width="19.44140625" customWidth="1"/>
    <col min="22" max="22" width="22.88671875" customWidth="1"/>
    <col min="25" max="25" width="17.5546875" customWidth="1"/>
    <col min="27" max="27" width="16.109375" customWidth="1"/>
  </cols>
  <sheetData>
    <row r="1" spans="1:27" ht="30.75" customHeight="1">
      <c r="A1" s="45" t="s">
        <v>0</v>
      </c>
      <c r="B1" s="46"/>
      <c r="C1" s="46"/>
      <c r="D1" s="46"/>
      <c r="E1" s="46"/>
      <c r="F1" s="46"/>
      <c r="G1" s="4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66">
      <c r="A2" s="2" t="str">
        <f ca="1">IFERROR(__xludf.DUMMYFUNCTION("IMPORTRANGE(""1L6CKA1ELegp2FAVqDr6MqXj9L1AM_sM_-mT2HKEO0Ok"",""節能家電(公告連動)!A1:AA8000"")"),"類別")</f>
        <v>類別</v>
      </c>
      <c r="B2" s="2" t="str">
        <f ca="1">IFERROR(__xludf.DUMMYFUNCTION("""COMPUTED_VALUE"""),"廠商")</f>
        <v>廠商</v>
      </c>
      <c r="C2" s="2" t="str">
        <f ca="1">IFERROR(__xludf.DUMMYFUNCTION("""COMPUTED_VALUE"""),"#品牌")</f>
        <v>#品牌</v>
      </c>
      <c r="D2" s="3" t="str">
        <f ca="1">IFERROR(__xludf.DUMMYFUNCTION("""COMPUTED_VALUE"""),"#產品名稱")</f>
        <v>#產品名稱</v>
      </c>
      <c r="E2" s="3" t="str">
        <f ca="1">IFERROR(__xludf.DUMMYFUNCTION("""COMPUTED_VALUE"""),"#型號")</f>
        <v>#型號</v>
      </c>
      <c r="F2" s="2" t="str">
        <f ca="1">IFERROR(__xludf.DUMMYFUNCTION("""COMPUTED_VALUE"""),"材料編號*")</f>
        <v>材料編號*</v>
      </c>
      <c r="G2" s="2" t="str">
        <f ca="1">IFERROR(__xludf.DUMMYFUNCTION("""COMPUTED_VALUE"""),"贈品代碼*")</f>
        <v>贈品代碼*</v>
      </c>
      <c r="H2" s="2" t="str">
        <f ca="1">IFERROR(__xludf.DUMMYFUNCTION("""COMPUTED_VALUE"""),"市價")</f>
        <v>市價</v>
      </c>
      <c r="I2" s="4" t="str">
        <f ca="1">IFERROR(__xludf.DUMMYFUNCTION("""COMPUTED_VALUE"""),"寬頻優惠價
(以系統價格為準)")</f>
        <v>寬頻優惠價
(以系統價格為準)</v>
      </c>
      <c r="J2" s="5" t="str">
        <f ca="1">IFERROR(__xludf.DUMMYFUNCTION("""COMPUTED_VALUE"""),"生效日期*")</f>
        <v>生效日期*</v>
      </c>
      <c r="K2" s="5" t="str">
        <f ca="1">IFERROR(__xludf.DUMMYFUNCTION("""COMPUTED_VALUE"""),"異動項目")</f>
        <v>異動項目</v>
      </c>
      <c r="L2" s="2" t="str">
        <f ca="1">IFERROR(__xludf.DUMMYFUNCTION("""COMPUTED_VALUE"""),"貨況")</f>
        <v>貨況</v>
      </c>
      <c r="M2" s="2" t="str">
        <f ca="1">IFERROR(__xludf.DUMMYFUNCTION("""COMPUTED_VALUE"""),"供貨")</f>
        <v>供貨</v>
      </c>
      <c r="N2" s="3" t="str">
        <f ca="1">IFERROR(__xludf.DUMMYFUNCTION("""COMPUTED_VALUE"""),"細類")</f>
        <v>細類</v>
      </c>
      <c r="O2" s="2" t="str">
        <f ca="1">IFERROR(__xludf.DUMMYFUNCTION("""COMPUTED_VALUE"""),"顏色")</f>
        <v>顏色</v>
      </c>
      <c r="P2" s="2" t="str">
        <f ca="1">IFERROR(__xludf.DUMMYFUNCTION("""COMPUTED_VALUE"""),"規格")</f>
        <v>規格</v>
      </c>
      <c r="Q2" s="6" t="str">
        <f ca="1">IFERROR(__xludf.DUMMYFUNCTION("""COMPUTED_VALUE"""),"尺吋
(高x寬x深)")</f>
        <v>尺吋
(高x寬x深)</v>
      </c>
      <c r="R2" s="2" t="str">
        <f ca="1">IFERROR(__xludf.DUMMYFUNCTION("""COMPUTED_VALUE"""),"產地")</f>
        <v>產地</v>
      </c>
      <c r="S2" s="6" t="str">
        <f ca="1">IFERROR(__xludf.DUMMYFUNCTION("""COMPUTED_VALUE"""),"節能標章與其他標章")</f>
        <v>節能標章與其他標章</v>
      </c>
      <c r="T2" s="6" t="str">
        <f ca="1">IFERROR(__xludf.DUMMYFUNCTION("""COMPUTED_VALUE"""),"能效等級")</f>
        <v>能效等級</v>
      </c>
      <c r="U2" s="2" t="str">
        <f ca="1">IFERROR(__xludf.DUMMYFUNCTION("""COMPUTED_VALUE"""),"全機保固")</f>
        <v>全機保固</v>
      </c>
      <c r="V2" s="2" t="str">
        <f ca="1">IFERROR(__xludf.DUMMYFUNCTION("""COMPUTED_VALUE"""),"馬達(主機板)/壓縮機保固")</f>
        <v>馬達(主機板)/壓縮機保固</v>
      </c>
      <c r="W2" s="2" t="str">
        <f ca="1">IFERROR(__xludf.DUMMYFUNCTION("""COMPUTED_VALUE"""),"原廠贈品")</f>
        <v>原廠贈品</v>
      </c>
      <c r="X2" s="3" t="str">
        <f ca="1">IFERROR(__xludf.DUMMYFUNCTION("""COMPUTED_VALUE"""),"中華獨家送(隨貨送)")</f>
        <v>中華獨家送(隨貨送)</v>
      </c>
      <c r="Y2" s="6" t="str">
        <f ca="1">IFERROR(__xludf.DUMMYFUNCTION("""COMPUTED_VALUE"""),"級距規格")</f>
        <v>級距規格</v>
      </c>
      <c r="Z2" s="7" t="str">
        <f ca="1">IFERROR(__xludf.DUMMYFUNCTION("""COMPUTED_VALUE"""),"貨物稅減免試算
(實際金額依政府與廠商公告資料為準)")</f>
        <v>貨物稅減免試算
(實際金額依政府與廠商公告資料為準)</v>
      </c>
      <c r="AA2" s="8" t="str">
        <f ca="1">IFERROR(__xludf.DUMMYFUNCTION("""COMPUTED_VALUE"""),"特色*")</f>
        <v>特色*</v>
      </c>
    </row>
    <row r="3" spans="1:27" s="26" customFormat="1" ht="19.5" customHeight="1">
      <c r="A3" s="22" t="s">
        <v>13</v>
      </c>
      <c r="B3" s="22" t="s">
        <v>8</v>
      </c>
      <c r="C3" s="22" t="s">
        <v>14</v>
      </c>
      <c r="D3" s="22" t="s">
        <v>15</v>
      </c>
      <c r="E3" s="22" t="s">
        <v>16</v>
      </c>
      <c r="F3" s="22">
        <v>51091087</v>
      </c>
      <c r="G3" s="22" t="s">
        <v>17</v>
      </c>
      <c r="H3" s="40">
        <v>16200</v>
      </c>
      <c r="I3" s="41">
        <v>9900</v>
      </c>
      <c r="J3" s="24">
        <v>45261</v>
      </c>
      <c r="K3" s="22" t="s">
        <v>5</v>
      </c>
      <c r="L3" s="22" t="s">
        <v>6</v>
      </c>
      <c r="M3" s="22" t="s">
        <v>18</v>
      </c>
      <c r="N3" s="22" t="s">
        <v>13</v>
      </c>
      <c r="O3" s="22" t="s">
        <v>19</v>
      </c>
      <c r="P3" s="28" t="s">
        <v>20</v>
      </c>
      <c r="Q3" s="22" t="s">
        <v>21</v>
      </c>
      <c r="R3" s="22" t="s">
        <v>3</v>
      </c>
      <c r="S3" s="22" t="s">
        <v>22</v>
      </c>
      <c r="T3" s="27" t="s">
        <v>23</v>
      </c>
      <c r="U3" s="22" t="s">
        <v>4</v>
      </c>
      <c r="V3" s="22" t="s">
        <v>24</v>
      </c>
      <c r="W3" s="22"/>
      <c r="X3" s="22"/>
      <c r="Y3" s="22">
        <v>26.5</v>
      </c>
      <c r="Z3" s="23" t="s">
        <v>25</v>
      </c>
      <c r="AA3" s="25" t="s">
        <v>26</v>
      </c>
    </row>
    <row r="4" spans="1:27" ht="19.5" customHeight="1">
      <c r="A4" s="9" t="s">
        <v>13</v>
      </c>
      <c r="B4" s="9" t="s">
        <v>8</v>
      </c>
      <c r="C4" s="9" t="s">
        <v>14</v>
      </c>
      <c r="D4" s="9" t="s">
        <v>27</v>
      </c>
      <c r="E4" s="9" t="s">
        <v>28</v>
      </c>
      <c r="F4" s="9">
        <v>51091088</v>
      </c>
      <c r="G4" s="9" t="s">
        <v>29</v>
      </c>
      <c r="H4" s="38">
        <v>20200</v>
      </c>
      <c r="I4" s="39">
        <v>10900</v>
      </c>
      <c r="J4" s="13">
        <v>45383</v>
      </c>
      <c r="K4" s="9" t="s">
        <v>10</v>
      </c>
      <c r="L4" s="9" t="s">
        <v>6</v>
      </c>
      <c r="M4" s="9" t="s">
        <v>30</v>
      </c>
      <c r="N4" s="9" t="s">
        <v>13</v>
      </c>
      <c r="O4" s="9" t="s">
        <v>19</v>
      </c>
      <c r="P4" s="16" t="s">
        <v>31</v>
      </c>
      <c r="Q4" s="9" t="s">
        <v>21</v>
      </c>
      <c r="R4" s="9" t="s">
        <v>3</v>
      </c>
      <c r="S4" s="9" t="s">
        <v>22</v>
      </c>
      <c r="T4" s="12" t="s">
        <v>23</v>
      </c>
      <c r="U4" s="9" t="s">
        <v>4</v>
      </c>
      <c r="V4" s="9" t="s">
        <v>24</v>
      </c>
      <c r="W4" s="9"/>
      <c r="X4" s="9"/>
      <c r="Y4" s="9">
        <v>32</v>
      </c>
      <c r="Z4" s="10" t="s">
        <v>25</v>
      </c>
      <c r="AA4" s="11" t="s">
        <v>32</v>
      </c>
    </row>
    <row r="5" spans="1:27" ht="19.5" customHeight="1">
      <c r="A5" s="9" t="s">
        <v>13</v>
      </c>
      <c r="B5" s="9" t="s">
        <v>33</v>
      </c>
      <c r="C5" s="9" t="s">
        <v>34</v>
      </c>
      <c r="D5" s="9" t="s">
        <v>35</v>
      </c>
      <c r="E5" s="9" t="s">
        <v>36</v>
      </c>
      <c r="F5" s="9">
        <v>51083036</v>
      </c>
      <c r="G5" s="9" t="s">
        <v>37</v>
      </c>
      <c r="H5" s="38">
        <v>7790</v>
      </c>
      <c r="I5" s="39">
        <v>7050</v>
      </c>
      <c r="J5" s="13">
        <v>45292</v>
      </c>
      <c r="K5" s="9" t="s">
        <v>38</v>
      </c>
      <c r="L5" s="9" t="s">
        <v>6</v>
      </c>
      <c r="M5" s="9" t="s">
        <v>39</v>
      </c>
      <c r="N5" s="9" t="s">
        <v>13</v>
      </c>
      <c r="O5" s="9" t="s">
        <v>7</v>
      </c>
      <c r="P5" s="16" t="s">
        <v>40</v>
      </c>
      <c r="Q5" s="9" t="s">
        <v>41</v>
      </c>
      <c r="R5" s="9" t="s">
        <v>42</v>
      </c>
      <c r="S5" s="9" t="s">
        <v>43</v>
      </c>
      <c r="T5" s="12" t="s">
        <v>44</v>
      </c>
      <c r="U5" s="15" t="s">
        <v>45</v>
      </c>
      <c r="V5" s="15" t="s">
        <v>24</v>
      </c>
      <c r="W5" s="9" t="s">
        <v>46</v>
      </c>
      <c r="X5" s="9"/>
      <c r="Y5" s="9">
        <v>6.09</v>
      </c>
      <c r="Z5" s="10">
        <v>500</v>
      </c>
      <c r="AA5" s="11" t="s">
        <v>47</v>
      </c>
    </row>
    <row r="6" spans="1:27" s="26" customFormat="1" ht="19.5" customHeight="1">
      <c r="A6" s="22" t="s">
        <v>13</v>
      </c>
      <c r="B6" s="22" t="s">
        <v>33</v>
      </c>
      <c r="C6" s="22" t="s">
        <v>34</v>
      </c>
      <c r="D6" s="22" t="s">
        <v>48</v>
      </c>
      <c r="E6" s="22" t="s">
        <v>49</v>
      </c>
      <c r="F6" s="22">
        <v>51089262</v>
      </c>
      <c r="G6" s="22" t="s">
        <v>50</v>
      </c>
      <c r="H6" s="40">
        <v>13790</v>
      </c>
      <c r="I6" s="41">
        <v>12350</v>
      </c>
      <c r="J6" s="24">
        <v>45383</v>
      </c>
      <c r="K6" s="22" t="s">
        <v>10</v>
      </c>
      <c r="L6" s="22" t="s">
        <v>6</v>
      </c>
      <c r="M6" s="22" t="s">
        <v>51</v>
      </c>
      <c r="N6" s="22" t="s">
        <v>13</v>
      </c>
      <c r="O6" s="22" t="s">
        <v>7</v>
      </c>
      <c r="P6" s="28" t="s">
        <v>52</v>
      </c>
      <c r="Q6" s="22" t="s">
        <v>53</v>
      </c>
      <c r="R6" s="22" t="s">
        <v>42</v>
      </c>
      <c r="S6" s="22" t="s">
        <v>43</v>
      </c>
      <c r="T6" s="27" t="s">
        <v>44</v>
      </c>
      <c r="U6" s="22" t="s">
        <v>45</v>
      </c>
      <c r="V6" s="29" t="s">
        <v>24</v>
      </c>
      <c r="W6" s="35" t="s">
        <v>232</v>
      </c>
      <c r="X6" s="22"/>
      <c r="Y6" s="22">
        <v>12</v>
      </c>
      <c r="Z6" s="23" t="s">
        <v>25</v>
      </c>
      <c r="AA6" s="25" t="s">
        <v>55</v>
      </c>
    </row>
    <row r="7" spans="1:27" ht="19.5" customHeight="1">
      <c r="A7" s="9" t="s">
        <v>13</v>
      </c>
      <c r="B7" s="9" t="s">
        <v>33</v>
      </c>
      <c r="C7" s="9" t="s">
        <v>34</v>
      </c>
      <c r="D7" s="9" t="s">
        <v>56</v>
      </c>
      <c r="E7" s="9" t="s">
        <v>57</v>
      </c>
      <c r="F7" s="9">
        <v>51089351</v>
      </c>
      <c r="G7" s="9" t="s">
        <v>58</v>
      </c>
      <c r="H7" s="38">
        <v>14390</v>
      </c>
      <c r="I7" s="39">
        <v>13640</v>
      </c>
      <c r="J7" s="13">
        <v>45292</v>
      </c>
      <c r="K7" s="9" t="s">
        <v>5</v>
      </c>
      <c r="L7" s="9" t="s">
        <v>6</v>
      </c>
      <c r="M7" s="9" t="s">
        <v>59</v>
      </c>
      <c r="N7" s="9" t="s">
        <v>13</v>
      </c>
      <c r="O7" s="9" t="s">
        <v>60</v>
      </c>
      <c r="P7" s="9"/>
      <c r="Q7" s="9" t="s">
        <v>61</v>
      </c>
      <c r="R7" s="9" t="s">
        <v>42</v>
      </c>
      <c r="S7" s="9" t="s">
        <v>43</v>
      </c>
      <c r="T7" s="12" t="s">
        <v>44</v>
      </c>
      <c r="U7" s="15" t="s">
        <v>45</v>
      </c>
      <c r="V7" s="15" t="s">
        <v>24</v>
      </c>
      <c r="W7" s="9" t="s">
        <v>54</v>
      </c>
      <c r="X7" s="9"/>
      <c r="Y7" s="9">
        <v>10</v>
      </c>
      <c r="Z7" s="10" t="s">
        <v>62</v>
      </c>
      <c r="AA7" s="11" t="s">
        <v>63</v>
      </c>
    </row>
    <row r="8" spans="1:27" ht="19.5" customHeight="1">
      <c r="A8" s="9" t="s">
        <v>13</v>
      </c>
      <c r="B8" s="9" t="s">
        <v>33</v>
      </c>
      <c r="C8" s="9" t="s">
        <v>34</v>
      </c>
      <c r="D8" s="9" t="s">
        <v>64</v>
      </c>
      <c r="E8" s="9" t="s">
        <v>65</v>
      </c>
      <c r="F8" s="9">
        <v>51089352</v>
      </c>
      <c r="G8" s="9" t="s">
        <v>66</v>
      </c>
      <c r="H8" s="38">
        <v>17390</v>
      </c>
      <c r="I8" s="39">
        <v>15600</v>
      </c>
      <c r="J8" s="13">
        <v>45292</v>
      </c>
      <c r="K8" s="9" t="s">
        <v>5</v>
      </c>
      <c r="L8" s="9" t="s">
        <v>6</v>
      </c>
      <c r="M8" s="9" t="s">
        <v>67</v>
      </c>
      <c r="N8" s="9" t="s">
        <v>13</v>
      </c>
      <c r="O8" s="9" t="s">
        <v>60</v>
      </c>
      <c r="P8" s="9"/>
      <c r="Q8" s="9" t="s">
        <v>61</v>
      </c>
      <c r="R8" s="9" t="s">
        <v>42</v>
      </c>
      <c r="S8" s="9" t="s">
        <v>43</v>
      </c>
      <c r="T8" s="12" t="s">
        <v>44</v>
      </c>
      <c r="U8" s="15" t="s">
        <v>45</v>
      </c>
      <c r="V8" s="15" t="s">
        <v>24</v>
      </c>
      <c r="W8" s="9" t="s">
        <v>54</v>
      </c>
      <c r="X8" s="9"/>
      <c r="Y8" s="9">
        <v>13</v>
      </c>
      <c r="Z8" s="10" t="s">
        <v>25</v>
      </c>
      <c r="AA8" s="11" t="s">
        <v>68</v>
      </c>
    </row>
    <row r="9" spans="1:27" ht="19.5" customHeight="1">
      <c r="A9" s="9" t="s">
        <v>13</v>
      </c>
      <c r="B9" s="9" t="s">
        <v>8</v>
      </c>
      <c r="C9" s="9" t="s">
        <v>9</v>
      </c>
      <c r="D9" s="9" t="s">
        <v>69</v>
      </c>
      <c r="E9" s="9" t="s">
        <v>70</v>
      </c>
      <c r="F9" s="9">
        <v>51091421</v>
      </c>
      <c r="G9" s="9" t="s">
        <v>71</v>
      </c>
      <c r="H9" s="38">
        <v>21900</v>
      </c>
      <c r="I9" s="39">
        <v>17900</v>
      </c>
      <c r="J9" s="13">
        <v>45383</v>
      </c>
      <c r="K9" s="9" t="s">
        <v>10</v>
      </c>
      <c r="L9" s="9" t="s">
        <v>6</v>
      </c>
      <c r="M9" s="9" t="s">
        <v>72</v>
      </c>
      <c r="N9" s="9" t="s">
        <v>13</v>
      </c>
      <c r="O9" s="9" t="s">
        <v>73</v>
      </c>
      <c r="P9" s="16" t="s">
        <v>74</v>
      </c>
      <c r="Q9" s="9" t="s">
        <v>75</v>
      </c>
      <c r="R9" s="9" t="s">
        <v>3</v>
      </c>
      <c r="S9" s="9"/>
      <c r="T9" s="12" t="s">
        <v>44</v>
      </c>
      <c r="U9" s="9" t="s">
        <v>76</v>
      </c>
      <c r="V9" s="9" t="s">
        <v>77</v>
      </c>
      <c r="W9" s="9"/>
      <c r="X9" s="9"/>
      <c r="Y9" s="9">
        <v>17</v>
      </c>
      <c r="Z9" s="10" t="s">
        <v>25</v>
      </c>
      <c r="AA9" s="11" t="s">
        <v>78</v>
      </c>
    </row>
    <row r="10" spans="1:27" ht="19.5" customHeight="1">
      <c r="A10" s="9" t="s">
        <v>13</v>
      </c>
      <c r="B10" s="9" t="s">
        <v>8</v>
      </c>
      <c r="C10" s="9" t="s">
        <v>9</v>
      </c>
      <c r="D10" s="9" t="s">
        <v>79</v>
      </c>
      <c r="E10" s="9" t="s">
        <v>80</v>
      </c>
      <c r="F10" s="9">
        <v>51091422</v>
      </c>
      <c r="G10" s="9" t="s">
        <v>81</v>
      </c>
      <c r="H10" s="38">
        <v>22900</v>
      </c>
      <c r="I10" s="39">
        <v>18900</v>
      </c>
      <c r="J10" s="13">
        <v>45139</v>
      </c>
      <c r="K10" s="9" t="s">
        <v>10</v>
      </c>
      <c r="L10" s="9" t="s">
        <v>6</v>
      </c>
      <c r="M10" s="9" t="s">
        <v>82</v>
      </c>
      <c r="N10" s="9" t="s">
        <v>13</v>
      </c>
      <c r="O10" s="9" t="s">
        <v>7</v>
      </c>
      <c r="P10" s="16" t="s">
        <v>83</v>
      </c>
      <c r="Q10" s="9" t="s">
        <v>84</v>
      </c>
      <c r="R10" s="9" t="s">
        <v>3</v>
      </c>
      <c r="S10" s="9"/>
      <c r="T10" s="12" t="s">
        <v>44</v>
      </c>
      <c r="U10" s="9" t="s">
        <v>45</v>
      </c>
      <c r="V10" s="9" t="s">
        <v>85</v>
      </c>
      <c r="W10" s="9"/>
      <c r="X10" s="9"/>
      <c r="Y10" s="9">
        <v>18</v>
      </c>
      <c r="Z10" s="10" t="s">
        <v>25</v>
      </c>
      <c r="AA10" s="11" t="s">
        <v>86</v>
      </c>
    </row>
    <row r="11" spans="1:27" s="26" customFormat="1" ht="19.5" customHeight="1">
      <c r="A11" s="22" t="s">
        <v>13</v>
      </c>
      <c r="B11" s="22" t="s">
        <v>87</v>
      </c>
      <c r="C11" s="22" t="s">
        <v>88</v>
      </c>
      <c r="D11" s="22" t="s">
        <v>89</v>
      </c>
      <c r="E11" s="22" t="s">
        <v>90</v>
      </c>
      <c r="F11" s="22">
        <v>51095028</v>
      </c>
      <c r="G11" s="22" t="s">
        <v>91</v>
      </c>
      <c r="H11" s="40">
        <v>12990</v>
      </c>
      <c r="I11" s="41">
        <v>11000</v>
      </c>
      <c r="J11" s="22"/>
      <c r="K11" s="22"/>
      <c r="L11" s="22" t="s">
        <v>6</v>
      </c>
      <c r="M11" s="22" t="s">
        <v>92</v>
      </c>
      <c r="N11" s="22" t="s">
        <v>13</v>
      </c>
      <c r="O11" s="22" t="s">
        <v>93</v>
      </c>
      <c r="P11" s="28" t="s">
        <v>94</v>
      </c>
      <c r="Q11" s="22" t="s">
        <v>95</v>
      </c>
      <c r="R11" s="22" t="s">
        <v>42</v>
      </c>
      <c r="S11" s="22" t="s">
        <v>22</v>
      </c>
      <c r="T11" s="27" t="s">
        <v>44</v>
      </c>
      <c r="U11" s="22" t="s">
        <v>45</v>
      </c>
      <c r="V11" s="22"/>
      <c r="W11" s="22"/>
      <c r="X11" s="36" t="s">
        <v>233</v>
      </c>
      <c r="Y11" s="22">
        <v>10</v>
      </c>
      <c r="Z11" s="23" t="s">
        <v>62</v>
      </c>
      <c r="AA11" s="25" t="s">
        <v>97</v>
      </c>
    </row>
    <row r="12" spans="1:27" ht="19.5" customHeight="1">
      <c r="A12" s="9" t="s">
        <v>13</v>
      </c>
      <c r="B12" s="9" t="s">
        <v>98</v>
      </c>
      <c r="C12" s="9" t="s">
        <v>98</v>
      </c>
      <c r="D12" s="9" t="s">
        <v>99</v>
      </c>
      <c r="E12" s="9" t="s">
        <v>100</v>
      </c>
      <c r="F12" s="9">
        <v>51086208</v>
      </c>
      <c r="G12" s="9" t="s">
        <v>101</v>
      </c>
      <c r="H12" s="38">
        <v>11900</v>
      </c>
      <c r="I12" s="39">
        <v>9890</v>
      </c>
      <c r="J12" s="13">
        <v>45383</v>
      </c>
      <c r="K12" s="9" t="s">
        <v>10</v>
      </c>
      <c r="L12" s="9" t="s">
        <v>6</v>
      </c>
      <c r="M12" s="9" t="s">
        <v>102</v>
      </c>
      <c r="N12" s="9" t="s">
        <v>13</v>
      </c>
      <c r="O12" s="9" t="s">
        <v>60</v>
      </c>
      <c r="P12" s="16" t="s">
        <v>103</v>
      </c>
      <c r="Q12" s="9" t="s">
        <v>104</v>
      </c>
      <c r="R12" s="9" t="s">
        <v>42</v>
      </c>
      <c r="S12" s="15" t="s">
        <v>22</v>
      </c>
      <c r="T12" s="12" t="s">
        <v>44</v>
      </c>
      <c r="U12" s="9" t="s">
        <v>45</v>
      </c>
      <c r="V12" s="9" t="s">
        <v>45</v>
      </c>
      <c r="W12" s="9"/>
      <c r="X12" s="9"/>
      <c r="Y12" s="9">
        <v>12</v>
      </c>
      <c r="Z12" s="10" t="s">
        <v>25</v>
      </c>
      <c r="AA12" s="11" t="s">
        <v>105</v>
      </c>
    </row>
    <row r="13" spans="1:27" ht="19.5" customHeight="1">
      <c r="A13" s="9" t="s">
        <v>13</v>
      </c>
      <c r="B13" s="9" t="s">
        <v>98</v>
      </c>
      <c r="C13" s="9" t="s">
        <v>98</v>
      </c>
      <c r="D13" s="9" t="s">
        <v>106</v>
      </c>
      <c r="E13" s="9" t="s">
        <v>107</v>
      </c>
      <c r="F13" s="9">
        <v>51086209</v>
      </c>
      <c r="G13" s="9" t="s">
        <v>108</v>
      </c>
      <c r="H13" s="38">
        <v>13990</v>
      </c>
      <c r="I13" s="39">
        <v>11590</v>
      </c>
      <c r="J13" s="9"/>
      <c r="K13" s="9"/>
      <c r="L13" s="9" t="s">
        <v>6</v>
      </c>
      <c r="M13" s="9" t="s">
        <v>109</v>
      </c>
      <c r="N13" s="9" t="s">
        <v>13</v>
      </c>
      <c r="O13" s="9" t="s">
        <v>60</v>
      </c>
      <c r="P13" s="16" t="s">
        <v>110</v>
      </c>
      <c r="Q13" s="9" t="s">
        <v>104</v>
      </c>
      <c r="R13" s="9" t="s">
        <v>42</v>
      </c>
      <c r="S13" s="15" t="s">
        <v>22</v>
      </c>
      <c r="T13" s="12" t="s">
        <v>44</v>
      </c>
      <c r="U13" s="9" t="s">
        <v>45</v>
      </c>
      <c r="V13" s="9" t="s">
        <v>45</v>
      </c>
      <c r="W13" s="9"/>
      <c r="X13" s="9"/>
      <c r="Y13" s="9">
        <v>16</v>
      </c>
      <c r="Z13" s="10" t="s">
        <v>25</v>
      </c>
      <c r="AA13" s="11" t="s">
        <v>105</v>
      </c>
    </row>
    <row r="14" spans="1:27" ht="19.5" customHeight="1">
      <c r="A14" s="9" t="s">
        <v>13</v>
      </c>
      <c r="B14" s="9" t="s">
        <v>98</v>
      </c>
      <c r="C14" s="9" t="s">
        <v>98</v>
      </c>
      <c r="D14" s="9" t="s">
        <v>111</v>
      </c>
      <c r="E14" s="9" t="s">
        <v>112</v>
      </c>
      <c r="F14" s="9">
        <v>51086275</v>
      </c>
      <c r="G14" s="9" t="s">
        <v>113</v>
      </c>
      <c r="H14" s="38">
        <v>7690</v>
      </c>
      <c r="I14" s="39">
        <v>6990</v>
      </c>
      <c r="J14" s="9"/>
      <c r="K14" s="9"/>
      <c r="L14" s="9" t="s">
        <v>6</v>
      </c>
      <c r="M14" s="9" t="s">
        <v>114</v>
      </c>
      <c r="N14" s="9" t="s">
        <v>13</v>
      </c>
      <c r="O14" s="9" t="s">
        <v>60</v>
      </c>
      <c r="P14" s="16" t="s">
        <v>115</v>
      </c>
      <c r="Q14" s="9" t="s">
        <v>116</v>
      </c>
      <c r="R14" s="9" t="s">
        <v>3</v>
      </c>
      <c r="S14" s="15" t="s">
        <v>22</v>
      </c>
      <c r="T14" s="12" t="s">
        <v>44</v>
      </c>
      <c r="U14" s="9" t="s">
        <v>45</v>
      </c>
      <c r="V14" s="9" t="s">
        <v>45</v>
      </c>
      <c r="W14" s="9"/>
      <c r="X14" s="9"/>
      <c r="Y14" s="9">
        <v>8</v>
      </c>
      <c r="Z14" s="10">
        <v>500</v>
      </c>
      <c r="AA14" s="11" t="s">
        <v>117</v>
      </c>
    </row>
    <row r="15" spans="1:27" ht="19.5" customHeight="1">
      <c r="A15" s="9" t="s">
        <v>13</v>
      </c>
      <c r="B15" s="9" t="s">
        <v>118</v>
      </c>
      <c r="C15" s="9" t="s">
        <v>119</v>
      </c>
      <c r="D15" s="9" t="s">
        <v>120</v>
      </c>
      <c r="E15" s="9" t="s">
        <v>121</v>
      </c>
      <c r="F15" s="9">
        <v>51084068</v>
      </c>
      <c r="G15" s="9" t="s">
        <v>122</v>
      </c>
      <c r="H15" s="38">
        <v>6990</v>
      </c>
      <c r="I15" s="39">
        <v>5188</v>
      </c>
      <c r="J15" s="9"/>
      <c r="K15" s="9"/>
      <c r="L15" s="9" t="s">
        <v>6</v>
      </c>
      <c r="M15" s="9" t="s">
        <v>123</v>
      </c>
      <c r="N15" s="9" t="s">
        <v>13</v>
      </c>
      <c r="O15" s="9" t="s">
        <v>7</v>
      </c>
      <c r="P15" s="16" t="s">
        <v>40</v>
      </c>
      <c r="Q15" s="9" t="s">
        <v>124</v>
      </c>
      <c r="R15" s="9" t="s">
        <v>42</v>
      </c>
      <c r="S15" s="15" t="s">
        <v>22</v>
      </c>
      <c r="T15" s="12" t="s">
        <v>44</v>
      </c>
      <c r="U15" s="9" t="s">
        <v>4</v>
      </c>
      <c r="V15" s="9"/>
      <c r="W15" s="9"/>
      <c r="X15" s="9"/>
      <c r="Y15" s="9">
        <v>6</v>
      </c>
      <c r="Z15" s="10">
        <v>500</v>
      </c>
      <c r="AA15" s="11" t="s">
        <v>125</v>
      </c>
    </row>
    <row r="16" spans="1:27" ht="19.5" customHeight="1">
      <c r="A16" s="9" t="s">
        <v>13</v>
      </c>
      <c r="B16" s="9" t="s">
        <v>118</v>
      </c>
      <c r="C16" s="9" t="s">
        <v>119</v>
      </c>
      <c r="D16" s="9" t="s">
        <v>126</v>
      </c>
      <c r="E16" s="9" t="s">
        <v>127</v>
      </c>
      <c r="F16" s="9">
        <v>51084069</v>
      </c>
      <c r="G16" s="9" t="s">
        <v>128</v>
      </c>
      <c r="H16" s="38">
        <v>12980</v>
      </c>
      <c r="I16" s="39">
        <v>8888</v>
      </c>
      <c r="J16" s="9"/>
      <c r="K16" s="9"/>
      <c r="L16" s="9" t="s">
        <v>6</v>
      </c>
      <c r="M16" s="9" t="s">
        <v>129</v>
      </c>
      <c r="N16" s="9" t="s">
        <v>13</v>
      </c>
      <c r="O16" s="9" t="s">
        <v>7</v>
      </c>
      <c r="P16" s="16" t="s">
        <v>94</v>
      </c>
      <c r="Q16" s="9" t="s">
        <v>130</v>
      </c>
      <c r="R16" s="9" t="s">
        <v>42</v>
      </c>
      <c r="S16" s="9" t="s">
        <v>43</v>
      </c>
      <c r="T16" s="12" t="s">
        <v>44</v>
      </c>
      <c r="U16" s="9" t="s">
        <v>4</v>
      </c>
      <c r="V16" s="9" t="s">
        <v>45</v>
      </c>
      <c r="W16" s="9"/>
      <c r="X16" s="9"/>
      <c r="Y16" s="9">
        <v>12</v>
      </c>
      <c r="Z16" s="10" t="s">
        <v>25</v>
      </c>
      <c r="AA16" s="11" t="s">
        <v>131</v>
      </c>
    </row>
    <row r="17" spans="1:27" ht="19.5" customHeight="1">
      <c r="A17" s="9" t="s">
        <v>13</v>
      </c>
      <c r="B17" s="9" t="s">
        <v>118</v>
      </c>
      <c r="C17" s="9" t="s">
        <v>132</v>
      </c>
      <c r="D17" s="9" t="s">
        <v>133</v>
      </c>
      <c r="E17" s="9" t="s">
        <v>134</v>
      </c>
      <c r="F17" s="9">
        <v>51084309</v>
      </c>
      <c r="G17" s="9" t="s">
        <v>135</v>
      </c>
      <c r="H17" s="38">
        <v>14900</v>
      </c>
      <c r="I17" s="39">
        <v>8800</v>
      </c>
      <c r="J17" s="13">
        <v>45231</v>
      </c>
      <c r="K17" s="9" t="s">
        <v>5</v>
      </c>
      <c r="L17" s="9" t="s">
        <v>6</v>
      </c>
      <c r="M17" s="9" t="s">
        <v>136</v>
      </c>
      <c r="N17" s="9" t="s">
        <v>13</v>
      </c>
      <c r="O17" s="9" t="s">
        <v>7</v>
      </c>
      <c r="P17" s="16" t="s">
        <v>137</v>
      </c>
      <c r="Q17" s="9" t="s">
        <v>138</v>
      </c>
      <c r="R17" s="9" t="s">
        <v>3</v>
      </c>
      <c r="S17" s="9" t="s">
        <v>43</v>
      </c>
      <c r="T17" s="12" t="s">
        <v>44</v>
      </c>
      <c r="U17" s="9" t="s">
        <v>45</v>
      </c>
      <c r="V17" s="9"/>
      <c r="W17" s="9"/>
      <c r="X17" s="9"/>
      <c r="Y17" s="9">
        <v>10</v>
      </c>
      <c r="Z17" s="10" t="s">
        <v>62</v>
      </c>
      <c r="AA17" s="11" t="s">
        <v>139</v>
      </c>
    </row>
    <row r="18" spans="1:27" ht="19.5" customHeight="1">
      <c r="A18" s="9" t="s">
        <v>13</v>
      </c>
      <c r="B18" s="9" t="s">
        <v>33</v>
      </c>
      <c r="C18" s="9" t="s">
        <v>34</v>
      </c>
      <c r="D18" s="9" t="s">
        <v>140</v>
      </c>
      <c r="E18" s="9" t="s">
        <v>141</v>
      </c>
      <c r="F18" s="9">
        <v>51012214</v>
      </c>
      <c r="G18" s="9" t="s">
        <v>142</v>
      </c>
      <c r="H18" s="38">
        <v>19590</v>
      </c>
      <c r="I18" s="39">
        <v>17630</v>
      </c>
      <c r="J18" s="13">
        <v>45292</v>
      </c>
      <c r="K18" s="9" t="s">
        <v>10</v>
      </c>
      <c r="L18" s="9" t="s">
        <v>6</v>
      </c>
      <c r="M18" s="9" t="s">
        <v>143</v>
      </c>
      <c r="N18" s="9" t="s">
        <v>13</v>
      </c>
      <c r="O18" s="9" t="s">
        <v>144</v>
      </c>
      <c r="P18" s="16" t="s">
        <v>145</v>
      </c>
      <c r="Q18" s="9" t="s">
        <v>146</v>
      </c>
      <c r="R18" s="9" t="s">
        <v>42</v>
      </c>
      <c r="S18" s="15" t="s">
        <v>43</v>
      </c>
      <c r="T18" s="12" t="s">
        <v>44</v>
      </c>
      <c r="U18" s="15" t="s">
        <v>4</v>
      </c>
      <c r="V18" s="9" t="s">
        <v>45</v>
      </c>
      <c r="W18" s="9" t="s">
        <v>54</v>
      </c>
      <c r="X18" s="9"/>
      <c r="Y18" s="9">
        <v>16</v>
      </c>
      <c r="Z18" s="10" t="s">
        <v>25</v>
      </c>
      <c r="AA18" s="11" t="s">
        <v>147</v>
      </c>
    </row>
    <row r="19" spans="1:27" ht="19.5" customHeight="1">
      <c r="A19" s="9" t="s">
        <v>13</v>
      </c>
      <c r="B19" s="9" t="s">
        <v>33</v>
      </c>
      <c r="C19" s="9" t="s">
        <v>33</v>
      </c>
      <c r="D19" s="9" t="s">
        <v>148</v>
      </c>
      <c r="E19" s="9" t="s">
        <v>149</v>
      </c>
      <c r="F19" s="9">
        <v>51012184</v>
      </c>
      <c r="G19" s="9" t="s">
        <v>150</v>
      </c>
      <c r="H19" s="38">
        <v>13900</v>
      </c>
      <c r="I19" s="39">
        <v>10000</v>
      </c>
      <c r="J19" s="9"/>
      <c r="K19" s="9"/>
      <c r="L19" s="9" t="s">
        <v>6</v>
      </c>
      <c r="M19" s="9" t="s">
        <v>151</v>
      </c>
      <c r="N19" s="9" t="s">
        <v>13</v>
      </c>
      <c r="O19" s="9" t="s">
        <v>7</v>
      </c>
      <c r="P19" s="9"/>
      <c r="Q19" s="9" t="s">
        <v>152</v>
      </c>
      <c r="R19" s="9" t="s">
        <v>3</v>
      </c>
      <c r="S19" s="9"/>
      <c r="T19" s="12" t="s">
        <v>23</v>
      </c>
      <c r="U19" s="9" t="s">
        <v>4</v>
      </c>
      <c r="V19" s="9"/>
      <c r="W19" s="9"/>
      <c r="X19" s="9"/>
      <c r="Y19" s="9">
        <v>27</v>
      </c>
      <c r="Z19" s="10" t="s">
        <v>25</v>
      </c>
      <c r="AA19" s="11" t="s">
        <v>153</v>
      </c>
    </row>
    <row r="20" spans="1:27" ht="19.5" customHeight="1">
      <c r="A20" s="9" t="s">
        <v>13</v>
      </c>
      <c r="B20" s="9" t="s">
        <v>33</v>
      </c>
      <c r="C20" s="9" t="s">
        <v>33</v>
      </c>
      <c r="D20" s="9" t="s">
        <v>154</v>
      </c>
      <c r="E20" s="9" t="s">
        <v>155</v>
      </c>
      <c r="F20" s="9">
        <v>51012185</v>
      </c>
      <c r="G20" s="9" t="s">
        <v>156</v>
      </c>
      <c r="H20" s="38">
        <v>6990</v>
      </c>
      <c r="I20" s="39">
        <v>6450</v>
      </c>
      <c r="J20" s="9"/>
      <c r="K20" s="9"/>
      <c r="L20" s="9" t="s">
        <v>6</v>
      </c>
      <c r="M20" s="9" t="s">
        <v>157</v>
      </c>
      <c r="N20" s="9" t="s">
        <v>13</v>
      </c>
      <c r="O20" s="9" t="s">
        <v>7</v>
      </c>
      <c r="P20" s="9"/>
      <c r="Q20" s="9" t="s">
        <v>158</v>
      </c>
      <c r="R20" s="9" t="s">
        <v>3</v>
      </c>
      <c r="S20" s="9"/>
      <c r="T20" s="12" t="s">
        <v>44</v>
      </c>
      <c r="U20" s="9" t="s">
        <v>4</v>
      </c>
      <c r="V20" s="9"/>
      <c r="W20" s="9"/>
      <c r="X20" s="9"/>
      <c r="Y20" s="9">
        <v>6</v>
      </c>
      <c r="Z20" s="10">
        <v>500</v>
      </c>
      <c r="AA20" s="11" t="s">
        <v>159</v>
      </c>
    </row>
    <row r="21" spans="1:27" ht="19.5" customHeight="1">
      <c r="A21" s="9" t="s">
        <v>13</v>
      </c>
      <c r="B21" s="9" t="s">
        <v>118</v>
      </c>
      <c r="C21" s="9" t="s">
        <v>160</v>
      </c>
      <c r="D21" s="9" t="s">
        <v>161</v>
      </c>
      <c r="E21" s="9" t="s">
        <v>162</v>
      </c>
      <c r="F21" s="9">
        <v>51084005</v>
      </c>
      <c r="G21" s="9" t="s">
        <v>163</v>
      </c>
      <c r="H21" s="38">
        <v>16900</v>
      </c>
      <c r="I21" s="39">
        <v>9900</v>
      </c>
      <c r="J21" s="9"/>
      <c r="K21" s="9"/>
      <c r="L21" s="9" t="s">
        <v>6</v>
      </c>
      <c r="M21" s="9" t="s">
        <v>164</v>
      </c>
      <c r="N21" s="9" t="s">
        <v>13</v>
      </c>
      <c r="O21" s="9" t="s">
        <v>7</v>
      </c>
      <c r="P21" s="16" t="s">
        <v>94</v>
      </c>
      <c r="Q21" s="9" t="s">
        <v>165</v>
      </c>
      <c r="R21" s="9" t="s">
        <v>3</v>
      </c>
      <c r="S21" s="9"/>
      <c r="T21" s="9"/>
      <c r="U21" s="9" t="s">
        <v>4</v>
      </c>
      <c r="V21" s="9"/>
      <c r="W21" s="9"/>
      <c r="X21" s="9"/>
      <c r="Y21" s="9" t="s">
        <v>166</v>
      </c>
      <c r="Z21" s="10"/>
      <c r="AA21" s="11" t="s">
        <v>167</v>
      </c>
    </row>
    <row r="22" spans="1:27" ht="19.5" customHeight="1">
      <c r="A22" s="9" t="s">
        <v>13</v>
      </c>
      <c r="B22" s="9" t="s">
        <v>1</v>
      </c>
      <c r="C22" s="9" t="s">
        <v>2</v>
      </c>
      <c r="D22" s="9" t="s">
        <v>168</v>
      </c>
      <c r="E22" s="44" t="s">
        <v>625</v>
      </c>
      <c r="F22" s="9">
        <v>51092061</v>
      </c>
      <c r="G22" s="9" t="s">
        <v>169</v>
      </c>
      <c r="H22" s="38">
        <v>3290</v>
      </c>
      <c r="I22" s="39">
        <v>2490</v>
      </c>
      <c r="J22" s="13">
        <v>45323</v>
      </c>
      <c r="K22" s="9" t="s">
        <v>10</v>
      </c>
      <c r="L22" s="9" t="s">
        <v>6</v>
      </c>
      <c r="M22" s="9" t="s">
        <v>170</v>
      </c>
      <c r="N22" s="9" t="s">
        <v>13</v>
      </c>
      <c r="O22" s="9" t="s">
        <v>7</v>
      </c>
      <c r="P22" s="9" t="s">
        <v>171</v>
      </c>
      <c r="Q22" s="9" t="s">
        <v>172</v>
      </c>
      <c r="R22" s="9" t="s">
        <v>3</v>
      </c>
      <c r="S22" s="9"/>
      <c r="T22" s="9"/>
      <c r="U22" s="9" t="s">
        <v>4</v>
      </c>
      <c r="V22" s="9"/>
      <c r="W22" s="9"/>
      <c r="X22" s="9"/>
      <c r="Y22" s="9"/>
      <c r="Z22" s="10"/>
      <c r="AA22" s="11" t="s">
        <v>173</v>
      </c>
    </row>
    <row r="23" spans="1:27" ht="19.5" customHeight="1">
      <c r="A23" s="9" t="s">
        <v>13</v>
      </c>
      <c r="B23" s="9" t="s">
        <v>1</v>
      </c>
      <c r="C23" s="9" t="s">
        <v>2</v>
      </c>
      <c r="D23" s="9" t="s">
        <v>174</v>
      </c>
      <c r="E23" s="9" t="s">
        <v>175</v>
      </c>
      <c r="F23" s="9">
        <v>51092115</v>
      </c>
      <c r="G23" s="9" t="s">
        <v>176</v>
      </c>
      <c r="H23" s="38">
        <v>2990</v>
      </c>
      <c r="I23" s="39">
        <v>2690</v>
      </c>
      <c r="J23" s="13">
        <v>45258</v>
      </c>
      <c r="K23" s="9" t="s">
        <v>12</v>
      </c>
      <c r="L23" s="9" t="s">
        <v>6</v>
      </c>
      <c r="M23" s="9" t="s">
        <v>177</v>
      </c>
      <c r="N23" s="9" t="s">
        <v>13</v>
      </c>
      <c r="O23" s="9" t="s">
        <v>7</v>
      </c>
      <c r="P23" s="9" t="s">
        <v>178</v>
      </c>
      <c r="Q23" s="9" t="s">
        <v>179</v>
      </c>
      <c r="R23" s="9" t="s">
        <v>3</v>
      </c>
      <c r="S23" s="9"/>
      <c r="T23" s="9"/>
      <c r="U23" s="9" t="s">
        <v>4</v>
      </c>
      <c r="V23" s="9"/>
      <c r="W23" s="9"/>
      <c r="X23" s="9"/>
      <c r="Y23" s="9"/>
      <c r="Z23" s="10"/>
      <c r="AA23" s="11" t="s">
        <v>180</v>
      </c>
    </row>
    <row r="24" spans="1:27" ht="19.5" customHeight="1">
      <c r="A24" s="9" t="s">
        <v>13</v>
      </c>
      <c r="B24" s="9" t="s">
        <v>181</v>
      </c>
      <c r="C24" s="9" t="s">
        <v>181</v>
      </c>
      <c r="D24" s="9" t="s">
        <v>182</v>
      </c>
      <c r="E24" s="9" t="s">
        <v>183</v>
      </c>
      <c r="F24" s="9">
        <v>51075056</v>
      </c>
      <c r="G24" s="9" t="s">
        <v>184</v>
      </c>
      <c r="H24" s="38">
        <v>8590</v>
      </c>
      <c r="I24" s="39">
        <v>7990</v>
      </c>
      <c r="J24" s="13">
        <v>45170</v>
      </c>
      <c r="K24" s="9" t="s">
        <v>5</v>
      </c>
      <c r="L24" s="9" t="s">
        <v>6</v>
      </c>
      <c r="M24" s="9" t="s">
        <v>185</v>
      </c>
      <c r="N24" s="9" t="s">
        <v>13</v>
      </c>
      <c r="O24" s="9" t="s">
        <v>7</v>
      </c>
      <c r="P24" s="9" t="s">
        <v>186</v>
      </c>
      <c r="Q24" s="9" t="s">
        <v>187</v>
      </c>
      <c r="R24" s="9" t="s">
        <v>42</v>
      </c>
      <c r="S24" s="9" t="s">
        <v>43</v>
      </c>
      <c r="T24" s="9" t="s">
        <v>44</v>
      </c>
      <c r="U24" s="9" t="s">
        <v>4</v>
      </c>
      <c r="V24" s="9" t="s">
        <v>4</v>
      </c>
      <c r="W24" s="9"/>
      <c r="X24" s="9"/>
      <c r="Y24" s="9">
        <v>12</v>
      </c>
      <c r="Z24" s="10" t="s">
        <v>25</v>
      </c>
      <c r="AA24" s="11" t="s">
        <v>188</v>
      </c>
    </row>
    <row r="25" spans="1:27" ht="19.5" customHeight="1">
      <c r="A25" s="9" t="s">
        <v>13</v>
      </c>
      <c r="B25" s="9" t="s">
        <v>181</v>
      </c>
      <c r="C25" s="9" t="s">
        <v>181</v>
      </c>
      <c r="D25" s="9" t="s">
        <v>189</v>
      </c>
      <c r="E25" s="9" t="s">
        <v>190</v>
      </c>
      <c r="F25" s="9">
        <v>51075057</v>
      </c>
      <c r="G25" s="9" t="s">
        <v>191</v>
      </c>
      <c r="H25" s="38">
        <v>9900</v>
      </c>
      <c r="I25" s="39">
        <v>8990</v>
      </c>
      <c r="J25" s="13">
        <v>45170</v>
      </c>
      <c r="K25" s="9" t="s">
        <v>5</v>
      </c>
      <c r="L25" s="9" t="s">
        <v>6</v>
      </c>
      <c r="M25" s="9" t="s">
        <v>192</v>
      </c>
      <c r="N25" s="9" t="s">
        <v>13</v>
      </c>
      <c r="O25" s="9" t="s">
        <v>7</v>
      </c>
      <c r="P25" s="9" t="s">
        <v>193</v>
      </c>
      <c r="Q25" s="9" t="s">
        <v>187</v>
      </c>
      <c r="R25" s="9" t="s">
        <v>42</v>
      </c>
      <c r="S25" s="9" t="s">
        <v>43</v>
      </c>
      <c r="T25" s="9" t="s">
        <v>44</v>
      </c>
      <c r="U25" s="9" t="s">
        <v>4</v>
      </c>
      <c r="V25" s="9" t="s">
        <v>4</v>
      </c>
      <c r="W25" s="9"/>
      <c r="X25" s="9"/>
      <c r="Y25" s="9">
        <v>14</v>
      </c>
      <c r="Z25" s="10" t="s">
        <v>25</v>
      </c>
      <c r="AA25" s="11" t="s">
        <v>194</v>
      </c>
    </row>
    <row r="26" spans="1:27" ht="19.5" customHeight="1">
      <c r="A26" s="9" t="s">
        <v>13</v>
      </c>
      <c r="B26" s="9" t="s">
        <v>181</v>
      </c>
      <c r="C26" s="9" t="s">
        <v>181</v>
      </c>
      <c r="D26" s="9" t="s">
        <v>195</v>
      </c>
      <c r="E26" s="9" t="s">
        <v>196</v>
      </c>
      <c r="F26" s="9">
        <v>51075058</v>
      </c>
      <c r="G26" s="9" t="s">
        <v>197</v>
      </c>
      <c r="H26" s="38">
        <v>10900</v>
      </c>
      <c r="I26" s="39">
        <v>9900</v>
      </c>
      <c r="J26" s="13">
        <v>45122</v>
      </c>
      <c r="K26" s="9" t="s">
        <v>38</v>
      </c>
      <c r="L26" s="9" t="s">
        <v>6</v>
      </c>
      <c r="M26" s="9" t="s">
        <v>198</v>
      </c>
      <c r="N26" s="9" t="s">
        <v>13</v>
      </c>
      <c r="O26" s="9" t="s">
        <v>7</v>
      </c>
      <c r="P26" s="9" t="s">
        <v>199</v>
      </c>
      <c r="Q26" s="9" t="s">
        <v>187</v>
      </c>
      <c r="R26" s="9" t="s">
        <v>42</v>
      </c>
      <c r="S26" s="9" t="s">
        <v>43</v>
      </c>
      <c r="T26" s="9" t="s">
        <v>44</v>
      </c>
      <c r="U26" s="9" t="s">
        <v>4</v>
      </c>
      <c r="V26" s="9" t="s">
        <v>4</v>
      </c>
      <c r="W26" s="9"/>
      <c r="X26" s="9"/>
      <c r="Y26" s="9">
        <v>16</v>
      </c>
      <c r="Z26" s="10" t="s">
        <v>25</v>
      </c>
      <c r="AA26" s="11" t="s">
        <v>200</v>
      </c>
    </row>
    <row r="27" spans="1:27" ht="19.5" customHeight="1">
      <c r="A27" s="9" t="s">
        <v>13</v>
      </c>
      <c r="B27" s="9" t="s">
        <v>87</v>
      </c>
      <c r="C27" s="9" t="s">
        <v>201</v>
      </c>
      <c r="D27" s="9" t="s">
        <v>202</v>
      </c>
      <c r="E27" s="9" t="s">
        <v>203</v>
      </c>
      <c r="F27" s="9">
        <v>51095619</v>
      </c>
      <c r="G27" s="9" t="s">
        <v>204</v>
      </c>
      <c r="H27" s="38">
        <v>17900</v>
      </c>
      <c r="I27" s="39">
        <v>15700</v>
      </c>
      <c r="J27" s="9"/>
      <c r="K27" s="9"/>
      <c r="L27" s="9" t="s">
        <v>6</v>
      </c>
      <c r="M27" s="9" t="s">
        <v>205</v>
      </c>
      <c r="N27" s="9" t="s">
        <v>13</v>
      </c>
      <c r="O27" s="9" t="s">
        <v>7</v>
      </c>
      <c r="P27" s="9" t="s">
        <v>206</v>
      </c>
      <c r="Q27" s="9" t="s">
        <v>207</v>
      </c>
      <c r="R27" s="9" t="s">
        <v>208</v>
      </c>
      <c r="S27" s="9"/>
      <c r="T27" s="12" t="s">
        <v>44</v>
      </c>
      <c r="U27" s="9" t="s">
        <v>45</v>
      </c>
      <c r="V27" s="9" t="s">
        <v>45</v>
      </c>
      <c r="W27" s="9"/>
      <c r="X27" s="9" t="s">
        <v>96</v>
      </c>
      <c r="Y27" s="9">
        <v>12</v>
      </c>
      <c r="Z27" s="10" t="s">
        <v>25</v>
      </c>
      <c r="AA27" s="11" t="s">
        <v>209</v>
      </c>
    </row>
    <row r="28" spans="1:27" ht="19.5" customHeight="1">
      <c r="A28" s="9" t="s">
        <v>13</v>
      </c>
      <c r="B28" s="9" t="s">
        <v>87</v>
      </c>
      <c r="C28" s="9" t="s">
        <v>201</v>
      </c>
      <c r="D28" s="9" t="s">
        <v>210</v>
      </c>
      <c r="E28" s="9" t="s">
        <v>211</v>
      </c>
      <c r="F28" s="9">
        <v>51095620</v>
      </c>
      <c r="G28" s="9" t="s">
        <v>212</v>
      </c>
      <c r="H28" s="38">
        <v>20900</v>
      </c>
      <c r="I28" s="39">
        <v>19600</v>
      </c>
      <c r="J28" s="9"/>
      <c r="K28" s="9"/>
      <c r="L28" s="9" t="s">
        <v>6</v>
      </c>
      <c r="M28" s="9" t="s">
        <v>205</v>
      </c>
      <c r="N28" s="9" t="s">
        <v>13</v>
      </c>
      <c r="O28" s="9" t="s">
        <v>7</v>
      </c>
      <c r="P28" s="9" t="s">
        <v>213</v>
      </c>
      <c r="Q28" s="9" t="s">
        <v>214</v>
      </c>
      <c r="R28" s="9" t="s">
        <v>208</v>
      </c>
      <c r="S28" s="9"/>
      <c r="T28" s="12" t="s">
        <v>44</v>
      </c>
      <c r="U28" s="9" t="s">
        <v>45</v>
      </c>
      <c r="V28" s="9" t="s">
        <v>45</v>
      </c>
      <c r="W28" s="9"/>
      <c r="X28" s="9" t="s">
        <v>96</v>
      </c>
      <c r="Y28" s="9">
        <v>15.5</v>
      </c>
      <c r="Z28" s="10" t="s">
        <v>25</v>
      </c>
      <c r="AA28" s="11" t="s">
        <v>215</v>
      </c>
    </row>
    <row r="29" spans="1:27" ht="19.5" customHeight="1">
      <c r="A29" s="9" t="s">
        <v>13</v>
      </c>
      <c r="B29" s="9" t="s">
        <v>87</v>
      </c>
      <c r="C29" s="9" t="s">
        <v>201</v>
      </c>
      <c r="D29" s="9" t="s">
        <v>216</v>
      </c>
      <c r="E29" s="9" t="s">
        <v>217</v>
      </c>
      <c r="F29" s="9">
        <v>51095621</v>
      </c>
      <c r="G29" s="9" t="s">
        <v>218</v>
      </c>
      <c r="H29" s="38">
        <v>23900</v>
      </c>
      <c r="I29" s="39">
        <v>22200</v>
      </c>
      <c r="J29" s="9"/>
      <c r="K29" s="9"/>
      <c r="L29" s="9" t="s">
        <v>6</v>
      </c>
      <c r="M29" s="9" t="s">
        <v>205</v>
      </c>
      <c r="N29" s="9" t="s">
        <v>13</v>
      </c>
      <c r="O29" s="9" t="s">
        <v>7</v>
      </c>
      <c r="P29" s="9" t="s">
        <v>219</v>
      </c>
      <c r="Q29" s="9" t="s">
        <v>214</v>
      </c>
      <c r="R29" s="9" t="s">
        <v>208</v>
      </c>
      <c r="S29" s="9"/>
      <c r="T29" s="12" t="s">
        <v>44</v>
      </c>
      <c r="U29" s="9" t="s">
        <v>45</v>
      </c>
      <c r="V29" s="9" t="s">
        <v>45</v>
      </c>
      <c r="W29" s="9"/>
      <c r="X29" s="9" t="s">
        <v>96</v>
      </c>
      <c r="Y29" s="9">
        <v>19</v>
      </c>
      <c r="Z29" s="10" t="s">
        <v>25</v>
      </c>
      <c r="AA29" s="11" t="s">
        <v>220</v>
      </c>
    </row>
    <row r="30" spans="1:27" ht="19.5" customHeight="1">
      <c r="A30" s="9" t="s">
        <v>13</v>
      </c>
      <c r="B30" s="9" t="s">
        <v>87</v>
      </c>
      <c r="C30" s="9" t="s">
        <v>201</v>
      </c>
      <c r="D30" s="9" t="s">
        <v>221</v>
      </c>
      <c r="E30" s="9" t="s">
        <v>222</v>
      </c>
      <c r="F30" s="9">
        <v>51095622</v>
      </c>
      <c r="G30" s="9" t="s">
        <v>223</v>
      </c>
      <c r="H30" s="38">
        <v>27900</v>
      </c>
      <c r="I30" s="39">
        <v>24600</v>
      </c>
      <c r="J30" s="9"/>
      <c r="K30" s="9"/>
      <c r="L30" s="9" t="s">
        <v>6</v>
      </c>
      <c r="M30" s="9" t="s">
        <v>224</v>
      </c>
      <c r="N30" s="9" t="s">
        <v>13</v>
      </c>
      <c r="O30" s="9" t="s">
        <v>7</v>
      </c>
      <c r="P30" s="9" t="s">
        <v>225</v>
      </c>
      <c r="Q30" s="9" t="s">
        <v>214</v>
      </c>
      <c r="R30" s="9" t="s">
        <v>208</v>
      </c>
      <c r="S30" s="9"/>
      <c r="T30" s="12" t="s">
        <v>44</v>
      </c>
      <c r="U30" s="9" t="s">
        <v>45</v>
      </c>
      <c r="V30" s="9" t="s">
        <v>45</v>
      </c>
      <c r="W30" s="9"/>
      <c r="X30" s="9" t="s">
        <v>96</v>
      </c>
      <c r="Y30" s="9">
        <v>24</v>
      </c>
      <c r="Z30" s="10" t="s">
        <v>25</v>
      </c>
      <c r="AA30" s="11" t="s">
        <v>226</v>
      </c>
    </row>
    <row r="31" spans="1:27" s="26" customFormat="1" ht="19.5" customHeight="1">
      <c r="A31" s="22" t="s">
        <v>13</v>
      </c>
      <c r="B31" s="22" t="s">
        <v>11</v>
      </c>
      <c r="C31" s="22" t="s">
        <v>227</v>
      </c>
      <c r="D31" s="35" t="s">
        <v>234</v>
      </c>
      <c r="E31" s="35" t="s">
        <v>235</v>
      </c>
      <c r="F31" s="22">
        <v>51016393</v>
      </c>
      <c r="G31" s="22" t="s">
        <v>228</v>
      </c>
      <c r="H31" s="40">
        <v>8990</v>
      </c>
      <c r="I31" s="41">
        <v>6990</v>
      </c>
      <c r="J31" s="24">
        <v>45269</v>
      </c>
      <c r="K31" s="22" t="s">
        <v>12</v>
      </c>
      <c r="L31" s="22" t="s">
        <v>6</v>
      </c>
      <c r="M31" s="22" t="s">
        <v>229</v>
      </c>
      <c r="N31" s="22" t="s">
        <v>13</v>
      </c>
      <c r="O31" s="22" t="s">
        <v>7</v>
      </c>
      <c r="P31" s="28" t="s">
        <v>230</v>
      </c>
      <c r="Q31" s="35" t="s">
        <v>236</v>
      </c>
      <c r="R31" s="22" t="s">
        <v>42</v>
      </c>
      <c r="S31" s="22"/>
      <c r="T31" s="27" t="s">
        <v>44</v>
      </c>
      <c r="U31" s="22" t="s">
        <v>45</v>
      </c>
      <c r="V31" s="37" t="s">
        <v>237</v>
      </c>
      <c r="W31" s="22"/>
      <c r="X31" s="22"/>
      <c r="Y31" s="22">
        <v>8</v>
      </c>
      <c r="Z31" s="23">
        <v>500</v>
      </c>
      <c r="AA31" s="25" t="s">
        <v>231</v>
      </c>
    </row>
    <row r="32" spans="1:27" s="34" customFormat="1" ht="19.5" customHeight="1">
      <c r="A32" s="30" t="str">
        <f ca="1">IFERROR(__xludf.DUMMYFUNCTION("""COMPUTED_VALUE"""),"生活家電")</f>
        <v>生活家電</v>
      </c>
      <c r="B32" s="30" t="str">
        <f ca="1">IFERROR(__xludf.DUMMYFUNCTION("""COMPUTED_VALUE"""),"可易")</f>
        <v>可易</v>
      </c>
      <c r="C32" s="30" t="str">
        <f ca="1">IFERROR(__xludf.DUMMYFUNCTION("""COMPUTED_VALUE"""),"雲米VOIMI")</f>
        <v>雲米VOIMI</v>
      </c>
      <c r="D32" s="30" t="str">
        <f ca="1">IFERROR(__xludf.DUMMYFUNCTION("""COMPUTED_VALUE"""),"雲米VOIMI免清理集塵盒掃拖機器人_S9")</f>
        <v>雲米VOIMI免清理集塵盒掃拖機器人_S9</v>
      </c>
      <c r="E32" s="30" t="str">
        <f ca="1">IFERROR(__xludf.DUMMYFUNCTION("""COMPUTED_VALUE"""),"VIOMI-S9")</f>
        <v>VIOMI-S9</v>
      </c>
      <c r="F32" s="30">
        <f ca="1">IFERROR(__xludf.DUMMYFUNCTION("""COMPUTED_VALUE"""),51075046)</f>
        <v>51075046</v>
      </c>
      <c r="G32" s="30" t="str">
        <f ca="1">IFERROR(__xludf.DUMMYFUNCTION("""COMPUTED_VALUE"""),"IGEM050H")</f>
        <v>IGEM050H</v>
      </c>
      <c r="H32" s="42">
        <f ca="1">IFERROR(__xludf.DUMMYFUNCTION("""COMPUTED_VALUE"""),15900)</f>
        <v>15900</v>
      </c>
      <c r="I32" s="43">
        <f ca="1">IFERROR(__xludf.DUMMYFUNCTION("""COMPUTED_VALUE"""),9999)</f>
        <v>9999</v>
      </c>
      <c r="J32" s="32">
        <f ca="1">IFERROR(__xludf.DUMMYFUNCTION("""COMPUTED_VALUE"""),44991)</f>
        <v>44991</v>
      </c>
      <c r="K32" s="30" t="str">
        <f ca="1">IFERROR(__xludf.DUMMYFUNCTION("""COMPUTED_VALUE"""),"短促")</f>
        <v>短促</v>
      </c>
      <c r="L32" s="30" t="str">
        <f ca="1">IFERROR(__xludf.DUMMYFUNCTION("""COMPUTED_VALUE"""),"上架中")</f>
        <v>上架中</v>
      </c>
      <c r="M32" s="30" t="str">
        <f ca="1">IFERROR(__xludf.DUMMYFUNCTION("""COMPUTED_VALUE"""),"112/3/1-113/3/31短促，2023/1/18短促")</f>
        <v>112/3/1-113/3/31短促，2023/1/18短促</v>
      </c>
      <c r="N32" s="30" t="str">
        <f ca="1">IFERROR(__xludf.DUMMYFUNCTION("""COMPUTED_VALUE"""),"掃地機器人")</f>
        <v>掃地機器人</v>
      </c>
      <c r="O32" s="30" t="str">
        <f ca="1">IFERROR(__xludf.DUMMYFUNCTION("""COMPUTED_VALUE"""),"白")</f>
        <v>白</v>
      </c>
      <c r="P32" s="30"/>
      <c r="Q32" s="30" t="str">
        <f ca="1">IFERROR(__xludf.DUMMYFUNCTION("""COMPUTED_VALUE"""),"掃地機器人:350*350*98mm
集塵座:356*250*193mm")</f>
        <v>掃地機器人:350*350*98mm
集塵座:356*250*193mm</v>
      </c>
      <c r="R32" s="30" t="str">
        <f ca="1">IFERROR(__xludf.DUMMYFUNCTION("""COMPUTED_VALUE"""),"中國")</f>
        <v>中國</v>
      </c>
      <c r="S32" s="30" t="str">
        <f ca="1">IFERROR(__xludf.DUMMYFUNCTION("""COMPUTED_VALUE"""),"BSMI:R3B770")</f>
        <v>BSMI:R3B770</v>
      </c>
      <c r="T32" s="30"/>
      <c r="U32" s="30" t="str">
        <f ca="1">IFERROR(__xludf.DUMMYFUNCTION("""COMPUTED_VALUE"""),"1年")</f>
        <v>1年</v>
      </c>
      <c r="V32" s="30" t="str">
        <f ca="1">IFERROR(__xludf.DUMMYFUNCTION("""COMPUTED_VALUE"""),"1年")</f>
        <v>1年</v>
      </c>
      <c r="W32" s="30"/>
      <c r="X32" s="30"/>
      <c r="Y32" s="30"/>
      <c r="Z32" s="31"/>
      <c r="AA32" s="33" t="str">
        <f ca="1">IFERROR(__xludf.DUMMYFUNCTION("""COMPUTED_VALUE"""),"*吸掃拖一體，頑固污漬輕鬆清*3200mAh大容量電池，續航力3小時*Lds雷射導航2.0+slam地圖建構系統*1.2GHz智慧運算晶片*恆壓電控水箱，濕度始終剛剛好*Y-Mopping2.0路線規劃，升級潔淨新姿態*輕鬆越障2公分*3種風力調整使用更省電*懸崖感應，避免高處墜落，脫困能力佳*遠端操控功能，使用app輕鬆設置欲清掃範圍及禁區""
")</f>
        <v xml:space="preserve">*吸掃拖一體，頑固污漬輕鬆清*3200mAh大容量電池，續航力3小時*Lds雷射導航2.0+slam地圖建構系統*1.2GHz智慧運算晶片*恆壓電控水箱，濕度始終剛剛好*Y-Mopping2.0路線規劃，升級潔淨新姿態*輕鬆越障2公分*3種風力調整使用更省電*懸崖感應，避免高處墜落，脫困能力佳*遠端操控功能，使用app輕鬆設置欲清掃範圍及禁區"
</v>
      </c>
    </row>
    <row r="33" spans="1:27" ht="19.5" customHeight="1">
      <c r="A33" s="9" t="str">
        <f ca="1">IFERROR(__xludf.DUMMYFUNCTION("""COMPUTED_VALUE"""),"生活家電")</f>
        <v>生活家電</v>
      </c>
      <c r="B33" s="9" t="str">
        <f ca="1">IFERROR(__xludf.DUMMYFUNCTION("""COMPUTED_VALUE"""),"展碁")</f>
        <v>展碁</v>
      </c>
      <c r="C33" s="9" t="str">
        <f ca="1">IFERROR(__xludf.DUMMYFUNCTION("""COMPUTED_VALUE"""),"LG")</f>
        <v>LG</v>
      </c>
      <c r="D33" s="9" t="str">
        <f ca="1">IFERROR(__xludf.DUMMYFUNCTION("""COMPUTED_VALUE"""),"LG CordZero™ R5 濕拖清潔機器人 R5-PROPLUS")</f>
        <v>LG CordZero™ R5 濕拖清潔機器人 R5-PROPLUS</v>
      </c>
      <c r="E33" s="9" t="str">
        <f ca="1">IFERROR(__xludf.DUMMYFUNCTION("""COMPUTED_VALUE"""),"R5-PROPLUS")</f>
        <v>R5-PROPLUS</v>
      </c>
      <c r="F33" s="9">
        <f ca="1">IFERROR(__xludf.DUMMYFUNCTION("""COMPUTED_VALUE"""),51091424)</f>
        <v>51091424</v>
      </c>
      <c r="G33" s="9" t="str">
        <f ca="1">IFERROR(__xludf.DUMMYFUNCTION("""COMPUTED_VALUE"""),"IGEM076J")</f>
        <v>IGEM076J</v>
      </c>
      <c r="H33" s="38">
        <f ca="1">IFERROR(__xludf.DUMMYFUNCTION("""COMPUTED_VALUE"""),12900)</f>
        <v>12900</v>
      </c>
      <c r="I33" s="39">
        <f ca="1">IFERROR(__xludf.DUMMYFUNCTION("""COMPUTED_VALUE"""),10900)</f>
        <v>10900</v>
      </c>
      <c r="J33" s="13">
        <f ca="1">IFERROR(__xludf.DUMMYFUNCTION("""COMPUTED_VALUE"""),45302)</f>
        <v>45302</v>
      </c>
      <c r="K33" s="9" t="str">
        <f ca="1">IFERROR(__xludf.DUMMYFUNCTION("""COMPUTED_VALUE"""),"到貨")</f>
        <v>到貨</v>
      </c>
      <c r="L33" s="9" t="str">
        <f ca="1">IFERROR(__xludf.DUMMYFUNCTION("""COMPUTED_VALUE"""),"上架中")</f>
        <v>上架中</v>
      </c>
      <c r="M33" s="9" t="str">
        <f ca="1">IFERROR(__xludf.DUMMYFUNCTION("""COMPUTED_VALUE"""),"1/11少量到貨，11/20缺貨，7/24短促")</f>
        <v>1/11少量到貨，11/20缺貨，7/24短促</v>
      </c>
      <c r="N33" s="9" t="str">
        <f ca="1">IFERROR(__xludf.DUMMYFUNCTION("""COMPUTED_VALUE"""),"掃地機器人")</f>
        <v>掃地機器人</v>
      </c>
      <c r="O33" s="9" t="str">
        <f ca="1">IFERROR(__xludf.DUMMYFUNCTION("""COMPUTED_VALUE"""),"雲朵白")</f>
        <v>雲朵白</v>
      </c>
      <c r="P33" s="9"/>
      <c r="Q33" s="9" t="str">
        <f ca="1">IFERROR(__xludf.DUMMYFUNCTION("""COMPUTED_VALUE"""),"高94.5*寬342*深342mm")</f>
        <v>高94.5*寬342*深342mm</v>
      </c>
      <c r="R33" s="9" t="str">
        <f ca="1">IFERROR(__xludf.DUMMYFUNCTION("""COMPUTED_VALUE"""),"中國")</f>
        <v>中國</v>
      </c>
      <c r="S33" s="9"/>
      <c r="T33" s="9"/>
      <c r="U33" s="9" t="str">
        <f ca="1">IFERROR(__xludf.DUMMYFUNCTION("""COMPUTED_VALUE"""),"1年")</f>
        <v>1年</v>
      </c>
      <c r="V33" s="9" t="str">
        <f ca="1">IFERROR(__xludf.DUMMYFUNCTION("""COMPUTED_VALUE"""),"馬達1年保固")</f>
        <v>馬達1年保固</v>
      </c>
      <c r="W33" s="9"/>
      <c r="X33" s="9"/>
      <c r="Y33" s="9"/>
      <c r="Z33" s="10"/>
      <c r="AA33" s="11" t="str">
        <f ca="1">IFERROR(__xludf.DUMMYFUNCTION("""COMPUTED_VALUE"""),"*乾吸濕拖 一次完成*360 LiDAR 雷射偵測並繪製環境圖面*ThinQ App 遠端控制、設定禁區、或限定打掃區域 *智慧吸力調整，偵測到地毯時吸力自動增強*懸崖感測器偵測並避開階差*全自動智慧給水裝置")</f>
        <v>*乾吸濕拖 一次完成*360 LiDAR 雷射偵測並繪製環境圖面*ThinQ App 遠端控制、設定禁區、或限定打掃區域 *智慧吸力調整，偵測到地毯時吸力自動增強*懸崖感測器偵測並避開階差*全自動智慧給水裝置</v>
      </c>
    </row>
    <row r="34" spans="1:27" ht="19.5" customHeight="1">
      <c r="A34" s="9" t="str">
        <f ca="1">IFERROR(__xludf.DUMMYFUNCTION("""COMPUTED_VALUE"""),"生活家電")</f>
        <v>生活家電</v>
      </c>
      <c r="B34" s="9" t="str">
        <f ca="1">IFERROR(__xludf.DUMMYFUNCTION("""COMPUTED_VALUE"""),"旺德")</f>
        <v>旺德</v>
      </c>
      <c r="C34" s="9" t="str">
        <f ca="1">IFERROR(__xludf.DUMMYFUNCTION("""COMPUTED_VALUE"""),"THOMSON")</f>
        <v>THOMSON</v>
      </c>
      <c r="D34" s="9" t="str">
        <f ca="1">IFERROR(__xludf.DUMMYFUNCTION("""COMPUTED_VALUE"""),"THOMSON路徑導航掃地機器人TM-SAV22DS")</f>
        <v>THOMSON路徑導航掃地機器人TM-SAV22DS</v>
      </c>
      <c r="E34" s="9" t="str">
        <f ca="1">IFERROR(__xludf.DUMMYFUNCTION("""COMPUTED_VALUE"""),"TM-SAV22DS")</f>
        <v>TM-SAV22DS</v>
      </c>
      <c r="F34" s="9">
        <f ca="1">IFERROR(__xludf.DUMMYFUNCTION("""COMPUTED_VALUE"""),51092114)</f>
        <v>51092114</v>
      </c>
      <c r="G34" s="9" t="str">
        <f ca="1">IFERROR(__xludf.DUMMYFUNCTION("""COMPUTED_VALUE"""),"IGEM094C")</f>
        <v>IGEM094C</v>
      </c>
      <c r="H34" s="38">
        <f ca="1">IFERROR(__xludf.DUMMYFUNCTION("""COMPUTED_VALUE"""),9900)</f>
        <v>9900</v>
      </c>
      <c r="I34" s="39">
        <f ca="1">IFERROR(__xludf.DUMMYFUNCTION("""COMPUTED_VALUE"""),7990)</f>
        <v>7990</v>
      </c>
      <c r="J34" s="13">
        <f ca="1">IFERROR(__xludf.DUMMYFUNCTION("""COMPUTED_VALUE"""),45323)</f>
        <v>45323</v>
      </c>
      <c r="K34" s="9" t="str">
        <f ca="1">IFERROR(__xludf.DUMMYFUNCTION("""COMPUTED_VALUE"""),"回價")</f>
        <v>回價</v>
      </c>
      <c r="L34" s="9" t="str">
        <f ca="1">IFERROR(__xludf.DUMMYFUNCTION("""COMPUTED_VALUE"""),"上架中")</f>
        <v>上架中</v>
      </c>
      <c r="M34" s="9" t="str">
        <f ca="1">IFERROR(__xludf.DUMMYFUNCTION("""COMPUTED_VALUE"""),"2024/2/1回價2024/1/1短促2023/11/28新機上架")</f>
        <v>2024/2/1回價2024/1/1短促2023/11/28新機上架</v>
      </c>
      <c r="N34" s="9" t="str">
        <f ca="1">IFERROR(__xludf.DUMMYFUNCTION("""COMPUTED_VALUE"""),"掃地機器人")</f>
        <v>掃地機器人</v>
      </c>
      <c r="O34" s="9"/>
      <c r="P34" s="9" t="str">
        <f ca="1">IFERROR(__xludf.DUMMYFUNCTION("""COMPUTED_VALUE"""),"水箱容量:300ml")</f>
        <v>水箱容量:300ml</v>
      </c>
      <c r="Q34" s="9" t="str">
        <f ca="1">IFERROR(__xludf.DUMMYFUNCTION("""COMPUTED_VALUE"""),"310X310X72(mm)")</f>
        <v>310X310X72(mm)</v>
      </c>
      <c r="R34" s="9" t="str">
        <f ca="1">IFERROR(__xludf.DUMMYFUNCTION("""COMPUTED_VALUE"""),"中國")</f>
        <v>中國</v>
      </c>
      <c r="S34" s="9"/>
      <c r="T34" s="9"/>
      <c r="U34" s="9" t="str">
        <f ca="1">IFERROR(__xludf.DUMMYFUNCTION("""COMPUTED_VALUE"""),"1年")</f>
        <v>1年</v>
      </c>
      <c r="V34" s="9"/>
      <c r="W34" s="9"/>
      <c r="X34" s="9"/>
      <c r="Y34" s="9"/>
      <c r="Z34" s="10"/>
      <c r="AA34" s="11" t="str">
        <f ca="1">IFERROR(__xludf.DUMMYFUNCTION("""COMPUTED_VALUE"""),"*自動認路並規畫路徑清掃及分區清掃功能*ARM 核心芯片空間地圖建立運算規劃清掃 *內置陀螺儀定位精準 清掃效率高*7.2cm超薄機身設計 *自動返航回充功能 *緩衝防撞牆及防掉落感應*智能防卡脫困設計")</f>
        <v>*自動認路並規畫路徑清掃及分區清掃功能*ARM 核心芯片空間地圖建立運算規劃清掃 *內置陀螺儀定位精準 清掃效率高*7.2cm超薄機身設計 *自動返航回充功能 *緩衝防撞牆及防掉落感應*智能防卡脫困設計</v>
      </c>
    </row>
    <row r="35" spans="1:27" ht="19.5" customHeight="1">
      <c r="A35" s="9" t="str">
        <f ca="1">IFERROR(__xludf.DUMMYFUNCTION("""COMPUTED_VALUE"""),"生活家電")</f>
        <v>生活家電</v>
      </c>
      <c r="B35" s="9" t="str">
        <f ca="1">IFERROR(__xludf.DUMMYFUNCTION("""COMPUTED_VALUE"""),"旺德")</f>
        <v>旺德</v>
      </c>
      <c r="C35" s="9" t="str">
        <f ca="1">IFERROR(__xludf.DUMMYFUNCTION("""COMPUTED_VALUE"""),"THOMSON")</f>
        <v>THOMSON</v>
      </c>
      <c r="D35" s="9" t="str">
        <f ca="1">IFERROR(__xludf.DUMMYFUNCTION("""COMPUTED_VALUE"""),"THOMSON ＷIFI智能掃地機器人(白)TM-SAV57DS")</f>
        <v>THOMSON ＷIFI智能掃地機器人(白)TM-SAV57DS</v>
      </c>
      <c r="E35" s="9" t="str">
        <f ca="1">IFERROR(__xludf.DUMMYFUNCTION("""COMPUTED_VALUE"""),"TM-SAV57DS")</f>
        <v>TM-SAV57DS</v>
      </c>
      <c r="F35" s="9">
        <f ca="1">IFERROR(__xludf.DUMMYFUNCTION("""COMPUTED_VALUE"""),51092117)</f>
        <v>51092117</v>
      </c>
      <c r="G35" s="9" t="str">
        <f ca="1">IFERROR(__xludf.DUMMYFUNCTION("""COMPUTED_VALUE"""),"IGEM094G")</f>
        <v>IGEM094G</v>
      </c>
      <c r="H35" s="38">
        <f ca="1">IFERROR(__xludf.DUMMYFUNCTION("""COMPUTED_VALUE"""),5990)</f>
        <v>5990</v>
      </c>
      <c r="I35" s="39">
        <f ca="1">IFERROR(__xludf.DUMMYFUNCTION("""COMPUTED_VALUE"""),4990)</f>
        <v>4990</v>
      </c>
      <c r="J35" s="13">
        <f ca="1">IFERROR(__xludf.DUMMYFUNCTION("""COMPUTED_VALUE"""),45323)</f>
        <v>45323</v>
      </c>
      <c r="K35" s="9" t="str">
        <f ca="1">IFERROR(__xludf.DUMMYFUNCTION("""COMPUTED_VALUE"""),"回價")</f>
        <v>回價</v>
      </c>
      <c r="L35" s="9" t="str">
        <f ca="1">IFERROR(__xludf.DUMMYFUNCTION("""COMPUTED_VALUE"""),"上架中")</f>
        <v>上架中</v>
      </c>
      <c r="M35" s="9" t="str">
        <f ca="1">IFERROR(__xludf.DUMMYFUNCTION("""COMPUTED_VALUE"""),"2024/2/1回價2024/1/1短促2023/11/28新機上架")</f>
        <v>2024/2/1回價2024/1/1短促2023/11/28新機上架</v>
      </c>
      <c r="N35" s="9" t="str">
        <f ca="1">IFERROR(__xludf.DUMMYFUNCTION("""COMPUTED_VALUE"""),"掃地機器人")</f>
        <v>掃地機器人</v>
      </c>
      <c r="O35" s="9" t="str">
        <f ca="1">IFERROR(__xludf.DUMMYFUNCTION("""COMPUTED_VALUE"""),"白")</f>
        <v>白</v>
      </c>
      <c r="P35" s="9" t="str">
        <f ca="1">IFERROR(__xludf.DUMMYFUNCTION("""COMPUTED_VALUE"""),"塵桶容量：0.4L")</f>
        <v>塵桶容量：0.4L</v>
      </c>
      <c r="Q35" s="9" t="str">
        <f ca="1">IFERROR(__xludf.DUMMYFUNCTION("""COMPUTED_VALUE"""),"300X300X80(mm)")</f>
        <v>300X300X80(mm)</v>
      </c>
      <c r="R35" s="9" t="str">
        <f ca="1">IFERROR(__xludf.DUMMYFUNCTION("""COMPUTED_VALUE"""),"中國")</f>
        <v>中國</v>
      </c>
      <c r="S35" s="9"/>
      <c r="T35" s="9"/>
      <c r="U35" s="9" t="str">
        <f ca="1">IFERROR(__xludf.DUMMYFUNCTION("""COMPUTED_VALUE"""),"1年")</f>
        <v>1年</v>
      </c>
      <c r="V35" s="9"/>
      <c r="W35" s="9"/>
      <c r="X35" s="9"/>
      <c r="Y35" s="9"/>
      <c r="Z35" s="10"/>
      <c r="AA35" s="11" t="str">
        <f ca="1">IFERROR(__xludf.DUMMYFUNCTION("""COMPUTED_VALUE"""),"*輕巧超薄設計*WIFI遠端控制，遠端監控*吸拖合一，一次搞定*專用拖地布，清潔力超強*0.４L大容量，減少清潔頻率")</f>
        <v>*輕巧超薄設計*WIFI遠端控制，遠端監控*吸拖合一，一次搞定*專用拖地布，清潔力超強*0.４L大容量，減少清潔頻率</v>
      </c>
    </row>
    <row r="36" spans="1:27" ht="19.5" customHeight="1">
      <c r="A36" s="9" t="str">
        <f ca="1">IFERROR(__xludf.DUMMYFUNCTION("""COMPUTED_VALUE"""),"生活家電")</f>
        <v>生活家電</v>
      </c>
      <c r="B36" s="9" t="str">
        <f ca="1">IFERROR(__xludf.DUMMYFUNCTION("""COMPUTED_VALUE"""),"神腦")</f>
        <v>神腦</v>
      </c>
      <c r="C36" s="9" t="str">
        <f ca="1">IFERROR(__xludf.DUMMYFUNCTION("""COMPUTED_VALUE"""),"iRobot")</f>
        <v>iRobot</v>
      </c>
      <c r="D36" s="9" t="str">
        <f ca="1">IFERROR(__xludf.DUMMYFUNCTION("""COMPUTED_VALUE"""),"iRobot 掃地機器人Roomba i2")</f>
        <v>iRobot 掃地機器人Roomba i2</v>
      </c>
      <c r="E36" s="9" t="str">
        <f ca="1">IFERROR(__xludf.DUMMYFUNCTION("""COMPUTED_VALUE"""),"Roomba i2")</f>
        <v>Roomba i2</v>
      </c>
      <c r="F36" s="9">
        <f ca="1">IFERROR(__xludf.DUMMYFUNCTION("""COMPUTED_VALUE"""),51016413)</f>
        <v>51016413</v>
      </c>
      <c r="G36" s="9" t="str">
        <f ca="1">IFERROR(__xludf.DUMMYFUNCTION("""COMPUTED_VALUE"""),"IGEM096K")</f>
        <v>IGEM096K</v>
      </c>
      <c r="H36" s="38">
        <f ca="1">IFERROR(__xludf.DUMMYFUNCTION("""COMPUTED_VALUE"""),19880)</f>
        <v>19880</v>
      </c>
      <c r="I36" s="39">
        <f ca="1">IFERROR(__xludf.DUMMYFUNCTION("""COMPUTED_VALUE"""),9599)</f>
        <v>9599</v>
      </c>
      <c r="J36" s="13">
        <f ca="1">IFERROR(__xludf.DUMMYFUNCTION("""COMPUTED_VALUE"""),45316)</f>
        <v>45316</v>
      </c>
      <c r="K36" s="9" t="str">
        <f ca="1">IFERROR(__xludf.DUMMYFUNCTION("""COMPUTED_VALUE"""),"新機上架")</f>
        <v>新機上架</v>
      </c>
      <c r="L36" s="9" t="str">
        <f ca="1">IFERROR(__xludf.DUMMYFUNCTION("""COMPUTED_VALUE"""),"上架中")</f>
        <v>上架中</v>
      </c>
      <c r="M36" s="9" t="str">
        <f ca="1">IFERROR(__xludf.DUMMYFUNCTION("""COMPUTED_VALUE"""),"1/25新機上架")</f>
        <v>1/25新機上架</v>
      </c>
      <c r="N36" s="9" t="str">
        <f ca="1">IFERROR(__xludf.DUMMYFUNCTION("""COMPUTED_VALUE"""),"掃地機器人")</f>
        <v>掃地機器人</v>
      </c>
      <c r="O36" s="9" t="str">
        <f ca="1">IFERROR(__xludf.DUMMYFUNCTION("""COMPUTED_VALUE"""),"黑灰")</f>
        <v>黑灰</v>
      </c>
      <c r="P36" s="9"/>
      <c r="Q36" s="9" t="str">
        <f ca="1">IFERROR(__xludf.DUMMYFUNCTION("""COMPUTED_VALUE"""),"930x3370x3370mm")</f>
        <v>930x3370x3370mm</v>
      </c>
      <c r="R36" s="9" t="str">
        <f ca="1">IFERROR(__xludf.DUMMYFUNCTION("""COMPUTED_VALUE"""),"中國")</f>
        <v>中國</v>
      </c>
      <c r="S36" s="9"/>
      <c r="T36" s="9"/>
      <c r="U36" s="9" t="str">
        <f ca="1">IFERROR(__xludf.DUMMYFUNCTION("""COMPUTED_VALUE"""),"1年+官網登入再送1年")</f>
        <v>1年+官網登入再送1年</v>
      </c>
      <c r="V36" s="12" t="str">
        <f ca="1">IFERROR(__xludf.DUMMYFUNCTION("""COMPUTED_VALUE"""),"1年+官網登入再送1年")</f>
        <v>1年+官網登入再送1年</v>
      </c>
      <c r="W36" s="9"/>
      <c r="X36" s="9"/>
      <c r="Y36" s="9"/>
      <c r="Z36" s="10"/>
      <c r="AA36" s="11" t="str">
        <f ca="1">IFERROR(__xludf.DUMMYFUNCTION("""COMPUTED_VALUE"""),"*串接Google語音助理*APP遠端連線*獨家髒汙偵測*智慧型記憶地圖*個人化清掃需求")</f>
        <v>*串接Google語音助理*APP遠端連線*獨家髒汙偵測*智慧型記憶地圖*個人化清掃需求</v>
      </c>
    </row>
  </sheetData>
  <mergeCells count="1">
    <mergeCell ref="A1:G1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88"/>
  <sheetViews>
    <sheetView workbookViewId="0"/>
  </sheetViews>
  <sheetFormatPr defaultColWidth="12.5546875" defaultRowHeight="15.75" customHeight="1"/>
  <cols>
    <col min="2" max="2" width="48.44140625" customWidth="1"/>
    <col min="3" max="3" width="78.109375" customWidth="1"/>
    <col min="4" max="4" width="27.33203125" customWidth="1"/>
    <col min="5" max="5" width="35.6640625" customWidth="1"/>
  </cols>
  <sheetData>
    <row r="1" spans="1:26" ht="15.6">
      <c r="A1" s="18" t="str">
        <f ca="1">IFERROR(__xludf.DUMMYFUNCTION("IMPORTRANGE(""1L6CKA1ELegp2FAVqDr6MqXj9L1AM_sM_-mT2HKEO0Ok"",""廠商聯絡清單!A1:AG8000"")"),"廠商")</f>
        <v>廠商</v>
      </c>
      <c r="B1" s="18" t="str">
        <f ca="1">IFERROR(__xludf.DUMMYFUNCTION("""COMPUTED_VALUE"""),"負責品牌")</f>
        <v>負責品牌</v>
      </c>
      <c r="C1" s="18" t="str">
        <f ca="1">IFERROR(__xludf.DUMMYFUNCTION("""COMPUTED_VALUE"""),"聯絡人")</f>
        <v>聯絡人</v>
      </c>
      <c r="D1" s="18" t="str">
        <f ca="1">IFERROR(__xludf.DUMMYFUNCTION("""COMPUTED_VALUE"""),"聯絡電話")</f>
        <v>聯絡電話</v>
      </c>
      <c r="E1" s="18" t="str">
        <f ca="1">IFERROR(__xludf.DUMMYFUNCTION("""COMPUTED_VALUE"""),"信箱")</f>
        <v>信箱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6">
      <c r="A2" s="47" t="str">
        <f ca="1">IFERROR(__xludf.DUMMYFUNCTION("""COMPUTED_VALUE"""),"大同")</f>
        <v>大同</v>
      </c>
      <c r="B2" s="47" t="str">
        <f ca="1">IFERROR(__xludf.DUMMYFUNCTION("""COMPUTED_VALUE"""),"家電(大同、國際、象印)
空調 (日立、國際、大金)
電視(大同)")</f>
        <v>家電(大同、國際、象印)
空調 (日立、國際、大金)
電視(大同)</v>
      </c>
      <c r="C2" s="18" t="str">
        <f ca="1">IFERROR(__xludf.DUMMYFUNCTION("""COMPUTED_VALUE"""),"林象魁")</f>
        <v>林象魁</v>
      </c>
      <c r="D2" s="18" t="str">
        <f ca="1">IFERROR(__xludf.DUMMYFUNCTION("""COMPUTED_VALUE"""),"02-2592-5252#2329
0958-971552")</f>
        <v>02-2592-5252#2329
0958-971552</v>
      </c>
      <c r="E2" s="19" t="str">
        <f ca="1">IFERROR(__xludf.DUMMYFUNCTION("""COMPUTED_VALUE"""),"iverson1008@tcpc.tatung.com.tw")</f>
        <v>iverson1008@tcpc.tatung.com.tw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5.6">
      <c r="A3" s="49"/>
      <c r="B3" s="48"/>
      <c r="C3" s="18" t="str">
        <f ca="1">IFERROR(__xludf.DUMMYFUNCTION("""COMPUTED_VALUE"""),"賴家賢")</f>
        <v>賴家賢</v>
      </c>
      <c r="D3" s="18" t="str">
        <f ca="1">IFERROR(__xludf.DUMMYFUNCTION("""COMPUTED_VALUE"""),"02-2592-5252#2363、2568
0922-750-168")</f>
        <v>02-2592-5252#2363、2568
0922-750-168</v>
      </c>
      <c r="E3" s="19" t="str">
        <f ca="1">IFERROR(__xludf.DUMMYFUNCTION("""COMPUTED_VALUE"""),"chlai@tcpc.tatung.com.tw")</f>
        <v>chlai@tcpc.tatung.com.tw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6">
      <c r="A4" s="48"/>
      <c r="B4" s="18" t="str">
        <f ca="1">IFERROR(__xludf.DUMMYFUNCTION("""COMPUTED_VALUE"""),"訂單查詢系統")</f>
        <v>訂單查詢系統</v>
      </c>
      <c r="C4" s="19" t="str">
        <f ca="1">IFERROR(__xludf.DUMMYFUNCTION("""COMPUTED_VALUE"""),"http://tcpcscm1.tatung.com.tw/ProductionControlWeb/CI/CI_CHT_OrderQuery.jsp")</f>
        <v>http://tcpcscm1.tatung.com.tw/ProductionControlWeb/CI/CI_CHT_OrderQuery.jsp</v>
      </c>
      <c r="D4" s="18"/>
      <c r="E4" s="18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6">
      <c r="A5" s="47" t="str">
        <f ca="1">IFERROR(__xludf.DUMMYFUNCTION("""COMPUTED_VALUE"""),"東元")</f>
        <v>東元</v>
      </c>
      <c r="B5" s="47" t="str">
        <f ca="1">IFERROR(__xludf.DUMMYFUNCTION("""COMPUTED_VALUE"""),"東元空調、洗冰
 (小家電請洽凱創)")</f>
        <v>東元空調、洗冰
 (小家電請洽凱創)</v>
      </c>
      <c r="C5" s="18" t="str">
        <f ca="1">IFERROR(__xludf.DUMMYFUNCTION("""COMPUTED_VALUE"""),"北部 (宜蘭、北北基、桃園、新竹、苗栗、花蓮) 
吳宜穎(產品詢問/客訴處理)")</f>
        <v>北部 (宜蘭、北北基、桃園、新竹、苗栗、花蓮) 
吳宜穎(產品詢問/客訴處理)</v>
      </c>
      <c r="D5" s="18" t="str">
        <f ca="1">IFERROR(__xludf.DUMMYFUNCTION("""COMPUTED_VALUE"""),"02-26553333#2721")</f>
        <v>02-26553333#2721</v>
      </c>
      <c r="E5" s="19" t="str">
        <f ca="1">IFERROR(__xludf.DUMMYFUNCTION("""COMPUTED_VALUE"""),"win19820604@ejoy.net.tw")</f>
        <v>win19820604@ejoy.net.tw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5.6">
      <c r="A6" s="49"/>
      <c r="B6" s="49"/>
      <c r="C6" s="18" t="str">
        <f ca="1">IFERROR(__xludf.DUMMYFUNCTION("""COMPUTED_VALUE"""),"中部 (台中、彰化、南投、雲林)
吳佩玲(產品詢問/客訴處理)")</f>
        <v>中部 (台中、彰化、南投、雲林)
吳佩玲(產品詢問/客訴處理)</v>
      </c>
      <c r="D6" s="18" t="str">
        <f ca="1">IFERROR(__xludf.DUMMYFUNCTION("""COMPUTED_VALUE"""),"0977-039-231")</f>
        <v>0977-039-231</v>
      </c>
      <c r="E6" s="19" t="str">
        <f ca="1">IFERROR(__xludf.DUMMYFUNCTION("""COMPUTED_VALUE"""),"0316@ejoy.net.tw")</f>
        <v>0316@ejoy.net.tw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6">
      <c r="A7" s="49"/>
      <c r="B7" s="49"/>
      <c r="C7" s="18" t="str">
        <f ca="1">IFERROR(__xludf.DUMMYFUNCTION("""COMPUTED_VALUE"""),"南部 (嘉義、台南、高雄、屏東、台東) 
吳婉宜 (產品詢問/客訴處理)")</f>
        <v>南部 (嘉義、台南、高雄、屏東、台東) 
吳婉宜 (產品詢問/客訴處理)</v>
      </c>
      <c r="D7" s="18" t="str">
        <f ca="1">IFERROR(__xludf.DUMMYFUNCTION("""COMPUTED_VALUE"""),"0977-039226")</f>
        <v>0977-039226</v>
      </c>
      <c r="E7" s="19" t="str">
        <f ca="1">IFERROR(__xludf.DUMMYFUNCTION("""COMPUTED_VALUE"""),"sume-wu@ejoy.net.tw")</f>
        <v>sume-wu@ejoy.net.tw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6">
      <c r="A8" s="49"/>
      <c r="B8" s="49"/>
      <c r="C8" s="18" t="str">
        <f ca="1">IFERROR(__xludf.DUMMYFUNCTION("""COMPUTED_VALUE"""),"李心純 (總訂單查詢/簽收單/客訴處理/報修)")</f>
        <v>李心純 (總訂單查詢/簽收單/客訴處理/報修)</v>
      </c>
      <c r="D8" s="18" t="str">
        <f ca="1">IFERROR(__xludf.DUMMYFUNCTION("""COMPUTED_VALUE"""),"02-2655-3333#3606")</f>
        <v>02-2655-3333#3606</v>
      </c>
      <c r="E8" s="19" t="str">
        <f ca="1">IFERROR(__xludf.DUMMYFUNCTION("""COMPUTED_VALUE"""),"eve@ejoy.net.tw")</f>
        <v>eve@ejoy.net.tw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6">
      <c r="A9" s="48"/>
      <c r="B9" s="48"/>
      <c r="C9" s="18" t="str">
        <f ca="1">IFERROR(__xludf.DUMMYFUNCTION("""COMPUTED_VALUE"""),"鍾昌珮 全區業務總窗口(產品詢問/客訴處理)")</f>
        <v>鍾昌珮 全區業務總窗口(產品詢問/客訴處理)</v>
      </c>
      <c r="D9" s="18" t="str">
        <f ca="1">IFERROR(__xludf.DUMMYFUNCTION("""COMPUTED_VALUE"""),"02-26553333#3243")</f>
        <v>02-26553333#3243</v>
      </c>
      <c r="E9" s="18" t="str">
        <f ca="1">IFERROR(__xludf.DUMMYFUNCTION("""COMPUTED_VALUE"""),"mandy@ejoy.net.tw")</f>
        <v>mandy@ejoy.net.tw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6.25" customHeight="1">
      <c r="A10" s="47" t="str">
        <f ca="1">IFERROR(__xludf.DUMMYFUNCTION("""COMPUTED_VALUE"""),"凱創")</f>
        <v>凱創</v>
      </c>
      <c r="B10" s="47" t="str">
        <f ca="1">IFERROR(__xludf.DUMMYFUNCTION("""COMPUTED_VALUE""")," 3M、奇美小電、聲寶小電、東元小電、
Toshiba小電、Cuisinart、Siroca、Matsutek
※無販售任何品牌的大電(電視、空調、洗冰)家電")</f>
        <v xml:space="preserve"> 3M、奇美小電、聲寶小電、東元小電、
Toshiba小電、Cuisinart、Siroca、Matsutek
※無販售任何品牌的大電(電視、空調、洗冰)家電</v>
      </c>
      <c r="C10" s="18" t="str">
        <f ca="1">IFERROR(__xludf.DUMMYFUNCTION("""COMPUTED_VALUE"""),"李宛青(訂單查詢)")</f>
        <v>李宛青(訂單查詢)</v>
      </c>
      <c r="D10" s="18" t="str">
        <f ca="1">IFERROR(__xludf.DUMMYFUNCTION("""COMPUTED_VALUE"""),"02-8935-2255#164")</f>
        <v>02-8935-2255#164</v>
      </c>
      <c r="E10" s="19" t="str">
        <f ca="1">IFERROR(__xludf.DUMMYFUNCTION("""COMPUTED_VALUE"""),"elfin@creata.com.tw")</f>
        <v>elfin@creata.com.tw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6.25" customHeight="1">
      <c r="A11" s="49"/>
      <c r="B11" s="48"/>
      <c r="C11" s="18" t="str">
        <f ca="1">IFERROR(__xludf.DUMMYFUNCTION("""COMPUTED_VALUE"""),"洪靜慈(業務窗口)")</f>
        <v>洪靜慈(業務窗口)</v>
      </c>
      <c r="D11" s="18" t="str">
        <f ca="1">IFERROR(__xludf.DUMMYFUNCTION("""COMPUTED_VALUE"""),"02-8935-2255#165")</f>
        <v>02-8935-2255#165</v>
      </c>
      <c r="E11" s="18" t="str">
        <f ca="1">IFERROR(__xludf.DUMMYFUNCTION("""COMPUTED_VALUE"""),"joanne@creata.com.tw")</f>
        <v>joanne@creata.com.tw</v>
      </c>
      <c r="F11" s="14" t="str">
        <f ca="1">IFERROR(__xludf.DUMMYFUNCTION("""COMPUTED_VALUE"""),"1/31改")</f>
        <v>1/31改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5.6">
      <c r="A12" s="48"/>
      <c r="B12" s="18" t="str">
        <f ca="1">IFERROR(__xludf.DUMMYFUNCTION("""COMPUTED_VALUE"""),"訂單查詢系統")</f>
        <v>訂單查詢系統</v>
      </c>
      <c r="C12" s="19" t="str">
        <f ca="1">IFERROR(__xludf.DUMMYFUNCTION("""COMPUTED_VALUE"""),"網址: http://60.250.76.156/Smart-Query/mainframes.aspx
 帳號：hinet01 密碼：hi0401net")</f>
        <v>網址: http://60.250.76.156/Smart-Query/mainframes.aspx
 帳號：hinet01 密碼：hi0401net</v>
      </c>
      <c r="D12" s="18"/>
      <c r="E12" s="18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5.6">
      <c r="A13" s="18" t="str">
        <f ca="1">IFERROR(__xludf.DUMMYFUNCTION("""COMPUTED_VALUE"""),"聲寶")</f>
        <v>聲寶</v>
      </c>
      <c r="B13" s="18" t="str">
        <f ca="1">IFERROR(__xludf.DUMMYFUNCTION("""COMPUTED_VALUE"""),"聲寶")</f>
        <v>聲寶</v>
      </c>
      <c r="C13" s="18" t="str">
        <f ca="1">IFERROR(__xludf.DUMMYFUNCTION("""COMPUTED_VALUE"""),"吳如蘭(洗衣機、空調、冰箱、電視、Claire)")</f>
        <v>吳如蘭(洗衣機、空調、冰箱、電視、Claire)</v>
      </c>
      <c r="D13" s="18" t="str">
        <f ca="1">IFERROR(__xludf.DUMMYFUNCTION("""COMPUTED_VALUE"""),"03-397-5151 # 1154
0936-090-186")</f>
        <v>03-397-5151 # 1154
0936-090-186</v>
      </c>
      <c r="E13" s="18" t="str">
        <f ca="1">IFERROR(__xludf.DUMMYFUNCTION("""COMPUTED_VALUE"""),"ella@sampo.com.tw")</f>
        <v>ella@sampo.com.tw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6">
      <c r="A14" s="47" t="str">
        <f ca="1">IFERROR(__xludf.DUMMYFUNCTION("""COMPUTED_VALUE"""),"聯強")</f>
        <v>聯強</v>
      </c>
      <c r="B14" s="47" t="str">
        <f ca="1">IFERROR(__xludf.DUMMYFUNCTION("""COMPUTED_VALUE"""),"ASUS路由器、DJI、Ecovacs、 Gateman電子鎖")</f>
        <v>ASUS路由器、DJI、Ecovacs、 Gateman電子鎖</v>
      </c>
      <c r="C14" s="18" t="str">
        <f ca="1">IFERROR(__xludf.DUMMYFUNCTION("""COMPUTED_VALUE"""),"葉姿君(訂單查詢)")</f>
        <v>葉姿君(訂單查詢)</v>
      </c>
      <c r="D14" s="18" t="str">
        <f ca="1">IFERROR(__xludf.DUMMYFUNCTION("""COMPUTED_VALUE"""),"02-2506-3320#2645
 Line ID: joyce7302")</f>
        <v>02-2506-3320#2645
 Line ID: joyce7302</v>
      </c>
      <c r="E14" s="19" t="str">
        <f ca="1">IFERROR(__xludf.DUMMYFUNCTION("""COMPUTED_VALUE"""),"jeneifer@synnex.com.tw")</f>
        <v>jeneifer@synnex.com.tw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5.6">
      <c r="A15" s="48"/>
      <c r="B15" s="48"/>
      <c r="C15" s="18" t="str">
        <f ca="1">IFERROR(__xludf.DUMMYFUNCTION("""COMPUTED_VALUE"""),"詹芷懿(業務窗口)")</f>
        <v>詹芷懿(業務窗口)</v>
      </c>
      <c r="D15" s="18" t="str">
        <f ca="1">IFERROR(__xludf.DUMMYFUNCTION("""COMPUTED_VALUE"""),"02-2506-3320 #2622")</f>
        <v>02-2506-3320 #2622</v>
      </c>
      <c r="E15" s="19" t="str">
        <f ca="1">IFERROR(__xludf.DUMMYFUNCTION("""COMPUTED_VALUE"""),"anniezhan@synnex.com.tw")</f>
        <v>anniezhan@synnex.com.tw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5.6">
      <c r="A16" s="47" t="str">
        <f ca="1">IFERROR(__xludf.DUMMYFUNCTION("""COMPUTED_VALUE"""),"旺德")</f>
        <v>旺德</v>
      </c>
      <c r="B16" s="47" t="str">
        <f ca="1">IFERROR(__xludf.DUMMYFUNCTION("""COMPUTED_VALUE"""),"THOMSON/ SABA/wonder")</f>
        <v>THOMSON/ SABA/wonder</v>
      </c>
      <c r="C16" s="18" t="str">
        <f ca="1">IFERROR(__xludf.DUMMYFUNCTION("""COMPUTED_VALUE"""),"吳金泉(產品經理)")</f>
        <v>吳金泉(產品經理)</v>
      </c>
      <c r="D16" s="18" t="str">
        <f ca="1">IFERROR(__xludf.DUMMYFUNCTION("""COMPUTED_VALUE"""),"0936-142-166")</f>
        <v>0936-142-166</v>
      </c>
      <c r="E16" s="19" t="str">
        <f ca="1">IFERROR(__xludf.DUMMYFUNCTION("""COMPUTED_VALUE"""),"louis@wonder.tw")</f>
        <v>louis@wonder.tw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.6">
      <c r="A17" s="49"/>
      <c r="B17" s="49"/>
      <c r="C17" s="18" t="str">
        <f ca="1">IFERROR(__xludf.DUMMYFUNCTION("""COMPUTED_VALUE"""),"何文卿(訂單處理)")</f>
        <v>何文卿(訂單處理)</v>
      </c>
      <c r="D17" s="18" t="str">
        <f ca="1">IFERROR(__xludf.DUMMYFUNCTION("""COMPUTED_VALUE"""),"02-2298-4188#652")</f>
        <v>02-2298-4188#652</v>
      </c>
      <c r="E17" s="19" t="str">
        <f ca="1">IFERROR(__xludf.DUMMYFUNCTION("""COMPUTED_VALUE"""),"wendy@wonder.tw")</f>
        <v>wendy@wonder.tw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6">
      <c r="A18" s="48"/>
      <c r="B18" s="48"/>
      <c r="C18" s="18" t="str">
        <f ca="1">IFERROR(__xludf.DUMMYFUNCTION("""COMPUTED_VALUE"""),"產品問題/ 保固維修/ 諮詢小組")</f>
        <v>產品問題/ 保固維修/ 諮詢小組</v>
      </c>
      <c r="D18" s="18" t="str">
        <f ca="1">IFERROR(__xludf.DUMMYFUNCTION("""COMPUTED_VALUE"""),"02-8990-4440")</f>
        <v>02-8990-4440</v>
      </c>
      <c r="E18" s="18" t="str">
        <f ca="1">IFERROR(__xludf.DUMMYFUNCTION("""COMPUTED_VALUE"""),"alice@wonder.tw
 selina@wonder.tw")</f>
        <v>alice@wonder.tw
 selina@wonder.tw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5.6">
      <c r="A19" s="47" t="str">
        <f ca="1">IFERROR(__xludf.DUMMYFUNCTION("""COMPUTED_VALUE"""),"展碁")</f>
        <v>展碁</v>
      </c>
      <c r="B19" s="47" t="str">
        <f ca="1">IFERROR(__xludf.DUMMYFUNCTION("""COMPUTED_VALUE"""),"訂單與客訴處理")</f>
        <v>訂單與客訴處理</v>
      </c>
      <c r="C19" s="18" t="str">
        <f ca="1">IFERROR(__xludf.DUMMYFUNCTION("""COMPUTED_VALUE"""),"林宥均(訂單查詢)")</f>
        <v>林宥均(訂單查詢)</v>
      </c>
      <c r="D19" s="18" t="str">
        <f ca="1">IFERROR(__xludf.DUMMYFUNCTION("""COMPUTED_VALUE"""),"02-2371-6000#715")</f>
        <v>02-2371-6000#715</v>
      </c>
      <c r="E19" s="18" t="str">
        <f ca="1">IFERROR(__xludf.DUMMYFUNCTION("""COMPUTED_VALUE"""),"moni.lin@weblink.com.tw")</f>
        <v>moni.lin@weblink.com.tw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5.6">
      <c r="A20" s="48"/>
      <c r="B20" s="48"/>
      <c r="C20" s="18" t="str">
        <f ca="1">IFERROR(__xludf.DUMMYFUNCTION("""COMPUTED_VALUE"""),"鄭子揚(客訴與產品問題)")</f>
        <v>鄭子揚(客訴與產品問題)</v>
      </c>
      <c r="D20" s="18" t="str">
        <f ca="1">IFERROR(__xludf.DUMMYFUNCTION("""COMPUTED_VALUE"""),"02-2371-6000#726
0987-080-259")</f>
        <v>02-2371-6000#726
0987-080-259</v>
      </c>
      <c r="E20" s="19" t="str">
        <f ca="1">IFERROR(__xludf.DUMMYFUNCTION("""COMPUTED_VALUE"""),"Nick.cheng@weblink.com.tw")</f>
        <v>Nick.cheng@weblink.com.tw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6">
      <c r="A21" s="47" t="str">
        <f ca="1">IFERROR(__xludf.DUMMYFUNCTION("""COMPUTED_VALUE"""),"禾聯")</f>
        <v>禾聯</v>
      </c>
      <c r="B21" s="47" t="str">
        <f ca="1">IFERROR(__xludf.DUMMYFUNCTION("""COMPUTED_VALUE"""),"禾聯")</f>
        <v>禾聯</v>
      </c>
      <c r="C21" s="18" t="str">
        <f ca="1">IFERROR(__xludf.DUMMYFUNCTION("""COMPUTED_VALUE"""),"蕭鳳儀
 (訂單查詢)")</f>
        <v>蕭鳳儀
 (訂單查詢)</v>
      </c>
      <c r="D21" s="18" t="str">
        <f ca="1">IFERROR(__xludf.DUMMYFUNCTION("""COMPUTED_VALUE"""),"03-396-1188#2228")</f>
        <v>03-396-1188#2228</v>
      </c>
      <c r="E21" s="18" t="str">
        <f ca="1">IFERROR(__xludf.DUMMYFUNCTION("""COMPUTED_VALUE"""),"fengyi@heran.com.tw")</f>
        <v>fengyi@heran.com.tw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6">
      <c r="A22" s="49"/>
      <c r="B22" s="49"/>
      <c r="C22" s="18" t="str">
        <f ca="1">IFERROR(__xludf.DUMMYFUNCTION("""COMPUTED_VALUE"""),"吳明益
 (業務窗口)")</f>
        <v>吳明益
 (業務窗口)</v>
      </c>
      <c r="D22" s="18" t="str">
        <f ca="1">IFERROR(__xludf.DUMMYFUNCTION("""COMPUTED_VALUE"""),"03-3961188 #5502
0955-783-290")</f>
        <v>03-3961188 #5502
0955-783-290</v>
      </c>
      <c r="E22" s="18" t="str">
        <f ca="1">IFERROR(__xludf.DUMMYFUNCTION("""COMPUTED_VALUE"""),"lkk@heran.com.tw")</f>
        <v>lkk@heran.com.tw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6">
      <c r="A23" s="48"/>
      <c r="B23" s="48"/>
      <c r="C23" s="18" t="str">
        <f ca="1">IFERROR(__xludf.DUMMYFUNCTION("""COMPUTED_VALUE"""),"l 訂單查詢系統：http://61.218.122.130/tops/f_admin/Login.aspx
l 帳號/密碼：customer/customer")</f>
        <v>l 訂單查詢系統：http://61.218.122.130/tops/f_admin/Login.aspx
l 帳號/密碼：customer/customer</v>
      </c>
      <c r="D23" s="18"/>
      <c r="E23" s="18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6">
      <c r="A24" s="47" t="str">
        <f ca="1">IFERROR(__xludf.DUMMYFUNCTION("""COMPUTED_VALUE"""),"順發")</f>
        <v>順發</v>
      </c>
      <c r="B24" s="47" t="str">
        <f ca="1">IFERROR(__xludf.DUMMYFUNCTION("""COMPUTED_VALUE"""),"家電: Mitsubishi、SAMSUNG、日立、Sharp、Iris風扇、北方電暖器、嘉儀電暖器…
3C : 所有筆電(LG除外)、螢幕(ASUS/三星/BneQ/ViewSonic/DELL)")</f>
        <v>家電: Mitsubishi、SAMSUNG、日立、Sharp、Iris風扇、北方電暖器、嘉儀電暖器…
3C : 所有筆電(LG除外)、螢幕(ASUS/三星/BneQ/ViewSonic/DELL)</v>
      </c>
      <c r="C24" s="18" t="str">
        <f ca="1">IFERROR(__xludf.DUMMYFUNCTION("""COMPUTED_VALUE"""),"蔡瑩榛(大家電)(訂單查詢)")</f>
        <v>蔡瑩榛(大家電)(訂單查詢)</v>
      </c>
      <c r="D24" s="18" t="str">
        <f ca="1">IFERROR(__xludf.DUMMYFUNCTION("""COMPUTED_VALUE"""),"02-2322-1818#621
0922-858-987")</f>
        <v>02-2322-1818#621
0922-858-987</v>
      </c>
      <c r="E24" s="19" t="str">
        <f ca="1">IFERROR(__xludf.DUMMYFUNCTION("""COMPUTED_VALUE"""),"cht.sunfar@mail.sunfar.com.tw")</f>
        <v>cht.sunfar@mail.sunfar.com.tw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6">
      <c r="A25" s="49"/>
      <c r="B25" s="49"/>
      <c r="C25" s="18" t="str">
        <f ca="1">IFERROR(__xludf.DUMMYFUNCTION("""COMPUTED_VALUE"""),"黃雅瑜(小家電)(訂單查詢)")</f>
        <v>黃雅瑜(小家電)(訂單查詢)</v>
      </c>
      <c r="D25" s="18" t="str">
        <f ca="1">IFERROR(__xludf.DUMMYFUNCTION("""COMPUTED_VALUE"""),"07-236-6221#911
0955-309-226")</f>
        <v>07-236-6221#911
0955-309-226</v>
      </c>
      <c r="E25" s="19" t="str">
        <f ca="1">IFERROR(__xludf.DUMMYFUNCTION("""COMPUTED_VALUE"""),"cht.sunfar@mail.sunfar.com.tw")</f>
        <v>cht.sunfar@mail.sunfar.com.tw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6">
      <c r="A26" s="49"/>
      <c r="B26" s="49"/>
      <c r="C26" s="18" t="str">
        <f ca="1">IFERROR(__xludf.DUMMYFUNCTION("""COMPUTED_VALUE"""),"劉俊麟(家電PM)")</f>
        <v>劉俊麟(家電PM)</v>
      </c>
      <c r="D26" s="18" t="str">
        <f ca="1">IFERROR(__xludf.DUMMYFUNCTION("""COMPUTED_VALUE"""),"02-2322-1818#623
0981-820-526")</f>
        <v>02-2322-1818#623
0981-820-526</v>
      </c>
      <c r="E26" s="19" t="str">
        <f ca="1">IFERROR(__xludf.DUMMYFUNCTION("""COMPUTED_VALUE"""),"cht.sunfar@mail.sunfar.com.tw")</f>
        <v>cht.sunfar@mail.sunfar.com.tw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6">
      <c r="A27" s="49"/>
      <c r="B27" s="49"/>
      <c r="C27" s="18" t="str">
        <f ca="1">IFERROR(__xludf.DUMMYFUNCTION("""COMPUTED_VALUE"""),"許晉斌(家電PM)")</f>
        <v>許晉斌(家電PM)</v>
      </c>
      <c r="D27" s="18" t="str">
        <f ca="1">IFERROR(__xludf.DUMMYFUNCTION("""COMPUTED_VALUE"""),"02-2322-1818#622
0922-213-831")</f>
        <v>02-2322-1818#622
0922-213-831</v>
      </c>
      <c r="E27" s="19" t="str">
        <f ca="1">IFERROR(__xludf.DUMMYFUNCTION("""COMPUTED_VALUE"""),"cht.sunfar@mail.sunfar.com.tw")</f>
        <v>cht.sunfar@mail.sunfar.com.tw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6">
      <c r="A28" s="49"/>
      <c r="B28" s="49"/>
      <c r="C28" s="18" t="str">
        <f ca="1">IFERROR(__xludf.DUMMYFUNCTION("""COMPUTED_VALUE"""),"鄭婉嫕(螢幕PM)")</f>
        <v>鄭婉嫕(螢幕PM)</v>
      </c>
      <c r="D28" s="18" t="str">
        <f ca="1">IFERROR(__xludf.DUMMYFUNCTION("""COMPUTED_VALUE"""),"07-236-6221#582")</f>
        <v>07-236-6221#582</v>
      </c>
      <c r="E28" s="19" t="str">
        <f ca="1">IFERROR(__xludf.DUMMYFUNCTION("""COMPUTED_VALUE"""),"11201@ sunfar.com.tｗ")</f>
        <v>11201@ sunfar.com.tｗ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6">
      <c r="A29" s="48"/>
      <c r="B29" s="48"/>
      <c r="C29" s="18" t="str">
        <f ca="1">IFERROR(__xludf.DUMMYFUNCTION("""COMPUTED_VALUE"""),"洪紫璇(筆電PM)")</f>
        <v>洪紫璇(筆電PM)</v>
      </c>
      <c r="D29" s="18" t="str">
        <f ca="1">IFERROR(__xludf.DUMMYFUNCTION("""COMPUTED_VALUE"""),"07-236-6221#581
0915-212-032")</f>
        <v>07-236-6221#581
0915-212-032</v>
      </c>
      <c r="E29" s="18" t="str">
        <f ca="1">IFERROR(__xludf.DUMMYFUNCTION("""COMPUTED_VALUE"""),"10780@mail.sunfar.com.tw")</f>
        <v>10780@mail.sunfar.com.tw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6">
      <c r="A30" s="47" t="str">
        <f ca="1">IFERROR(__xludf.DUMMYFUNCTION("""COMPUTED_VALUE"""),"城欣")</f>
        <v>城欣</v>
      </c>
      <c r="B30" s="47" t="str">
        <f ca="1">IFERROR(__xludf.DUMMYFUNCTION("""COMPUTED_VALUE"""),"輝葉、JHT、HYD")</f>
        <v>輝葉、JHT、HYD</v>
      </c>
      <c r="C30" s="18" t="str">
        <f ca="1">IFERROR(__xludf.DUMMYFUNCTION("""COMPUTED_VALUE"""),"訂單查詢/保固維修")</f>
        <v>訂單查詢/保固維修</v>
      </c>
      <c r="D30" s="20" t="str">
        <f ca="1">IFERROR(__xludf.DUMMYFUNCTION("""COMPUTED_VALUE"""),"0800-001-176")</f>
        <v>0800-001-176</v>
      </c>
      <c r="E30" s="18" t="str">
        <f ca="1">IFERROR(__xludf.DUMMYFUNCTION("""COMPUTED_VALUE"""),"service@hueiyeh.com.tw")</f>
        <v>service@hueiyeh.com.tw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6">
      <c r="A31" s="48"/>
      <c r="B31" s="48"/>
      <c r="C31" s="18" t="str">
        <f ca="1">IFERROR(__xludf.DUMMYFUNCTION("""COMPUTED_VALUE"""),"劉依融(產品PM)")</f>
        <v>劉依融(產品PM)</v>
      </c>
      <c r="D31" s="18" t="str">
        <f ca="1">IFERROR(__xludf.DUMMYFUNCTION("""COMPUTED_VALUE"""),"02-2765-1880 #608")</f>
        <v>02-2765-1880 #608</v>
      </c>
      <c r="E31" s="18" t="str">
        <f ca="1">IFERROR(__xludf.DUMMYFUNCTION("""COMPUTED_VALUE"""),"hanna@hueiyeh.com.tw")</f>
        <v>hanna@hueiyeh.com.tw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33.75" customHeight="1">
      <c r="A32" s="47" t="str">
        <f ca="1">IFERROR(__xludf.DUMMYFUNCTION("""COMPUTED_VALUE"""),"和成")</f>
        <v>和成</v>
      </c>
      <c r="B32" s="47" t="str">
        <f ca="1">IFERROR(__xludf.DUMMYFUNCTION("""COMPUTED_VALUE"""),"ＨＣＧ和成
 免治便座
 二段式配貨:商品先到後施工
 平日18:00後(晚間)及假日約裝有額外施工費需另付750元，額外施工費師傅出門就有車馬費用，不管是否有裝成功")</f>
        <v>ＨＣＧ和成
 免治便座
 二段式配貨:商品先到後施工
 平日18:00後(晚間)及假日約裝有額外施工費需另付750元，額外施工費師傅出門就有車馬費用，不管是否有裝成功</v>
      </c>
      <c r="C32" s="18" t="str">
        <f ca="1">IFERROR(__xludf.DUMMYFUNCTION("""COMPUTED_VALUE"""),"萬亜倩(貨況查詢)")</f>
        <v>萬亜倩(貨況查詢)</v>
      </c>
      <c r="D32" s="18" t="str">
        <f ca="1">IFERROR(__xludf.DUMMYFUNCTION("""COMPUTED_VALUE"""),"(03)3623105#1831")</f>
        <v>(03)3623105#1831</v>
      </c>
      <c r="E32" s="18" t="str">
        <f ca="1">IFERROR(__xludf.DUMMYFUNCTION("""COMPUTED_VALUE"""),"20463@hcgnet.com.tw")</f>
        <v>20463@hcgnet.com.tw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33.75" customHeight="1">
      <c r="A33" s="48"/>
      <c r="B33" s="48"/>
      <c r="C33" s="18" t="str">
        <f ca="1">IFERROR(__xludf.DUMMYFUNCTION("""COMPUTED_VALUE"""),"李翰林(業務窗口)")</f>
        <v>李翰林(業務窗口)</v>
      </c>
      <c r="D33" s="18" t="str">
        <f ca="1">IFERROR(__xludf.DUMMYFUNCTION("""COMPUTED_VALUE"""),"(03)362-3105 #1211")</f>
        <v>(03)362-3105 #1211</v>
      </c>
      <c r="E33" s="18" t="str">
        <f ca="1">IFERROR(__xludf.DUMMYFUNCTION("""COMPUTED_VALUE"""),"hcg20300@gmail.com")</f>
        <v>hcg20300@gmail.com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6">
      <c r="A34" s="18" t="str">
        <f ca="1">IFERROR(__xludf.DUMMYFUNCTION("""COMPUTED_VALUE"""),"豪士多")</f>
        <v>豪士多</v>
      </c>
      <c r="B34" s="18" t="str">
        <f ca="1">IFERROR(__xludf.DUMMYFUNCTION("""COMPUTED_VALUE"""),"HCG(和成) 熱水器、瓦斯爐
二段式配貨(無舊機回收)
商品先到後施工
平日18:00後(晚間)及假日約裝有額外施工費需另付750元，額外施工費師傅出門就有車馬費用，不管是否有裝成功
(部分地區不配送詳QA)")</f>
        <v>HCG(和成) 熱水器、瓦斯爐
二段式配貨(無舊機回收)
商品先到後施工
平日18:00後(晚間)及假日約裝有額外施工費需另付750元，額外施工費師傅出門就有車馬費用，不管是否有裝成功
(部分地區不配送詳QA)</v>
      </c>
      <c r="C34" s="18" t="str">
        <f ca="1">IFERROR(__xludf.DUMMYFUNCTION("""COMPUTED_VALUE"""),"賴巧珊(貨況查詢)")</f>
        <v>賴巧珊(貨況查詢)</v>
      </c>
      <c r="D34" s="18" t="str">
        <f ca="1">IFERROR(__xludf.DUMMYFUNCTION("""COMPUTED_VALUE"""),"02-32345785#807")</f>
        <v>02-32345785#807</v>
      </c>
      <c r="E34" s="19" t="str">
        <f ca="1">IFERROR(__xludf.DUMMYFUNCTION("""COMPUTED_VALUE"""),"sarahlai@hostan.com.tw")</f>
        <v>sarahlai@hostan.com.tw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6">
      <c r="A35" s="18" t="str">
        <f ca="1">IFERROR(__xludf.DUMMYFUNCTION("""COMPUTED_VALUE"""),"統領")</f>
        <v>統領</v>
      </c>
      <c r="B35" s="18" t="str">
        <f ca="1">IFERROR(__xludf.DUMMYFUNCTION("""COMPUTED_VALUE"""),"莊頭北、林內、喜特麗、豪山
 (熱水器、瓦斯爐)
 (偏遠/山區加收運費400元，部分地區不配送詳QA)(安裝不成功收取空趟費300元)
可舊機回收請在TOPS備註清楚")</f>
        <v>莊頭北、林內、喜特麗、豪山
 (熱水器、瓦斯爐)
 (偏遠/山區加收運費400元，部分地區不配送詳QA)(安裝不成功收取空趟費300元)
可舊機回收請在TOPS備註清楚</v>
      </c>
      <c r="C35" s="18" t="str">
        <f ca="1">IFERROR(__xludf.DUMMYFUNCTION("""COMPUTED_VALUE"""),"張庭萱(訂單/貨況查詢)")</f>
        <v>張庭萱(訂單/貨況查詢)</v>
      </c>
      <c r="D35" s="18" t="str">
        <f ca="1">IFERROR(__xludf.DUMMYFUNCTION("""COMPUTED_VALUE"""),"02-22689333")</f>
        <v>02-22689333</v>
      </c>
      <c r="E35" s="19" t="str">
        <f ca="1">IFERROR(__xludf.DUMMYFUNCTION("""COMPUTED_VALUE"""),"tonlinserver@gmail.com")</f>
        <v>tonlinserver@gmail.com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6">
      <c r="A36" s="47" t="str">
        <f ca="1">IFERROR(__xludf.DUMMYFUNCTION("""COMPUTED_VALUE"""),"泰博")</f>
        <v>泰博</v>
      </c>
      <c r="B36" s="47" t="str">
        <f ca="1">IFERROR(__xludf.DUMMYFUNCTION("""COMPUTED_VALUE"""),"福爾
血壓血糖計、額溫槍")</f>
        <v>福爾
血壓血糖計、額溫槍</v>
      </c>
      <c r="C36" s="18" t="str">
        <f ca="1">IFERROR(__xludf.DUMMYFUNCTION("""COMPUTED_VALUE"""),"王安妮&amp;張維邦 
 (貨況查詢、產品諮詢)")</f>
        <v>王安妮&amp;張維邦 
 (貨況查詢、產品諮詢)</v>
      </c>
      <c r="D36" s="18" t="str">
        <f ca="1">IFERROR(__xludf.DUMMYFUNCTION("""COMPUTED_VALUE"""),"02-6625-8188#2178
02-6625-8188#2172")</f>
        <v>02-6625-8188#2178
02-6625-8188#2172</v>
      </c>
      <c r="E36" s="19" t="str">
        <f ca="1">IFERROR(__xludf.DUMMYFUNCTION("""COMPUTED_VALUE"""),"Annie.Wang@taidoc.com.tw
 weipang.chang@taidoc.com.tw")</f>
        <v>Annie.Wang@taidoc.com.tw
 weipang.chang@taidoc.com.tw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6">
      <c r="A37" s="48"/>
      <c r="B37" s="48"/>
      <c r="C37" s="18" t="str">
        <f ca="1">IFERROR(__xludf.DUMMYFUNCTION("""COMPUTED_VALUE"""),"陳信宏(業務窗口)")</f>
        <v>陳信宏(業務窗口)</v>
      </c>
      <c r="D37" s="18" t="str">
        <f ca="1">IFERROR(__xludf.DUMMYFUNCTION("""COMPUTED_VALUE"""),"02-6625-8188#6118")</f>
        <v>02-6625-8188#6118</v>
      </c>
      <c r="E37" s="19" t="str">
        <f ca="1">IFERROR(__xludf.DUMMYFUNCTION("""COMPUTED_VALUE"""),"jacky@taidoc.com.tw")</f>
        <v>jacky@taidoc.com.tw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6">
      <c r="A38" s="18" t="str">
        <f ca="1">IFERROR(__xludf.DUMMYFUNCTION("""COMPUTED_VALUE"""),"可易家電")</f>
        <v>可易家電</v>
      </c>
      <c r="B38" s="18" t="str">
        <f ca="1">IFERROR(__xludf.DUMMYFUNCTION("""COMPUTED_VALUE"""),"Iris   (不含風扇)
 KOIZUMI")</f>
        <v>Iris   (不含風扇)
 KOIZUMI</v>
      </c>
      <c r="C38" s="18" t="str">
        <f ca="1">IFERROR(__xludf.DUMMYFUNCTION("""COMPUTED_VALUE"""),"曹薏茹")</f>
        <v>曹薏茹</v>
      </c>
      <c r="D38" s="18" t="str">
        <f ca="1">IFERROR(__xludf.DUMMYFUNCTION("""COMPUTED_VALUE"""),"02-2895-1001#13
")</f>
        <v xml:space="preserve">02-2895-1001#13
</v>
      </c>
      <c r="E38" s="18" t="str">
        <f ca="1">IFERROR(__xludf.DUMMYFUNCTION("""COMPUTED_VALUE"""),"sl03@presto.com.tw")</f>
        <v>sl03@presto.com.tw</v>
      </c>
      <c r="F38" s="14" t="str">
        <f ca="1">IFERROR(__xludf.DUMMYFUNCTION("""COMPUTED_VALUE"""),"2/14更新")</f>
        <v>2/14更新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6">
      <c r="A39" s="18" t="str">
        <f ca="1">IFERROR(__xludf.DUMMYFUNCTION("""COMPUTED_VALUE"""),"祥豪資訊")</f>
        <v>祥豪資訊</v>
      </c>
      <c r="B39" s="18" t="str">
        <f ca="1">IFERROR(__xludf.DUMMYFUNCTION("""COMPUTED_VALUE"""),"Logitech")</f>
        <v>Logitech</v>
      </c>
      <c r="C39" s="18" t="str">
        <f ca="1">IFERROR(__xludf.DUMMYFUNCTION("""COMPUTED_VALUE"""),"邱湘敏")</f>
        <v>邱湘敏</v>
      </c>
      <c r="D39" s="18" t="str">
        <f ca="1">IFERROR(__xludf.DUMMYFUNCTION("""COMPUTED_VALUE"""),"02-6625-2345#734")</f>
        <v>02-6625-2345#734</v>
      </c>
      <c r="E39" s="19" t="str">
        <f ca="1">IFERROR(__xludf.DUMMYFUNCTION("""COMPUTED_VALUE"""),"Yuki@thebest.com.tw")</f>
        <v>Yuki@thebest.com.tw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6">
      <c r="A40" s="18" t="str">
        <f ca="1">IFERROR(__xludf.DUMMYFUNCTION("""COMPUTED_VALUE"""),"台灣三洋")</f>
        <v>台灣三洋</v>
      </c>
      <c r="B40" s="18" t="str">
        <f ca="1">IFERROR(__xludf.DUMMYFUNCTION("""COMPUTED_VALUE"""),"台灣三洋
 (中午後配送)")</f>
        <v>台灣三洋
 (中午後配送)</v>
      </c>
      <c r="C40" s="18" t="str">
        <f ca="1">IFERROR(__xludf.DUMMYFUNCTION("""COMPUTED_VALUE"""),"彭康芸(產品&amp;訂單)  0972-016-000")</f>
        <v>彭康芸(產品&amp;訂單)  0972-016-000</v>
      </c>
      <c r="D40" s="18" t="str">
        <f ca="1">IFERROR(__xludf.DUMMYFUNCTION("""COMPUTED_VALUE"""),"02-2521-0251#7103")</f>
        <v>02-2521-0251#7103</v>
      </c>
      <c r="E40" s="19" t="str">
        <f ca="1">IFERROR(__xludf.DUMMYFUNCTION("""COMPUTED_VALUE"""),"sb7398@sanyo.com.tw")</f>
        <v>sb7398@sanyo.com.tw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6">
      <c r="A41" s="18" t="str">
        <f ca="1">IFERROR(__xludf.DUMMYFUNCTION("""COMPUTED_VALUE"""),"麗晶國際")</f>
        <v>麗晶國際</v>
      </c>
      <c r="B41" s="18" t="str">
        <f ca="1">IFERROR(__xludf.DUMMYFUNCTION("""COMPUTED_VALUE"""),"ZANWA晶華、SONGEN松井")</f>
        <v>ZANWA晶華、SONGEN松井</v>
      </c>
      <c r="C41" s="18" t="str">
        <f ca="1">IFERROR(__xludf.DUMMYFUNCTION("""COMPUTED_VALUE"""),"胡鈞代(產品)
陳信豪(訂單)")</f>
        <v>胡鈞代(產品)
陳信豪(訂單)</v>
      </c>
      <c r="D41" s="18" t="str">
        <f ca="1">IFERROR(__xludf.DUMMYFUNCTION("""COMPUTED_VALUE"""),"07-372-3066#19
07-372-3066#16")</f>
        <v>07-372-3066#19
07-372-3066#16</v>
      </c>
      <c r="E41" s="18" t="str">
        <f ca="1">IFERROR(__xludf.DUMMYFUNCTION("""COMPUTED_VALUE"""),"pastartc05@gmail.com
pastartc06@gmail.com")</f>
        <v>pastartc05@gmail.com
pastartc06@gmail.com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6">
      <c r="A42" s="47" t="str">
        <f ca="1">IFERROR(__xludf.DUMMYFUNCTION("""COMPUTED_VALUE"""),"上洋")</f>
        <v>上洋</v>
      </c>
      <c r="B42" s="47" t="str">
        <f ca="1">IFERROR(__xludf.DUMMYFUNCTION("""COMPUTED_VALUE"""),"三菱重工
(空調)
優必洗
(洗/烘衣機)")</f>
        <v>三菱重工
(空調)
優必洗
(洗/烘衣機)</v>
      </c>
      <c r="C42" s="18" t="str">
        <f ca="1">IFERROR(__xludf.DUMMYFUNCTION("""COMPUTED_VALUE"""),"鄭凱倫 (主業務)")</f>
        <v>鄭凱倫 (主業務)</v>
      </c>
      <c r="D42" s="18" t="str">
        <f ca="1">IFERROR(__xludf.DUMMYFUNCTION("""COMPUTED_VALUE"""),"02-2298-3567 #2209
0989-177-148先打")</f>
        <v>02-2298-3567 #2209
0989-177-148先打</v>
      </c>
      <c r="E42" s="18" t="str">
        <f ca="1">IFERROR(__xludf.DUMMYFUNCTION("""COMPUTED_VALUE"""),"kai.zheng@upyoung.com.tw")</f>
        <v>kai.zheng@upyoung.com.tw</v>
      </c>
      <c r="F42" s="14" t="str">
        <f ca="1">IFERROR(__xludf.DUMMYFUNCTION("""COMPUTED_VALUE"""),"3/15更新")</f>
        <v>3/15更新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6">
      <c r="A43" s="48"/>
      <c r="B43" s="48"/>
      <c r="C43" s="18" t="str">
        <f ca="1">IFERROR(__xludf.DUMMYFUNCTION("""COMPUTED_VALUE"""),"新北市五股區五權五路2號6樓")</f>
        <v>新北市五股區五權五路2號6樓</v>
      </c>
      <c r="D43" s="18"/>
      <c r="E43" s="18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6">
      <c r="A44" s="47" t="str">
        <f ca="1">IFERROR(__xludf.DUMMYFUNCTION("""COMPUTED_VALUE"""),"昶宏")</f>
        <v>昶宏</v>
      </c>
      <c r="B44" s="47" t="str">
        <f ca="1">IFERROR(__xludf.DUMMYFUNCTION("""COMPUTED_VALUE"""),"Niconico
聲寶料理鍋")</f>
        <v>Niconico
聲寶料理鍋</v>
      </c>
      <c r="C44" s="18" t="str">
        <f ca="1">IFERROR(__xludf.DUMMYFUNCTION("""COMPUTED_VALUE"""),"夏莉芬(訂單)")</f>
        <v>夏莉芬(訂單)</v>
      </c>
      <c r="D44" s="18" t="str">
        <f ca="1">IFERROR(__xludf.DUMMYFUNCTION("""COMPUTED_VALUE"""),"02-2904-1877#208")</f>
        <v>02-2904-1877#208</v>
      </c>
      <c r="E44" s="19" t="str">
        <f ca="1">IFERROR(__xludf.DUMMYFUNCTION("""COMPUTED_VALUE"""),"bass01@b-a-s-s.com.tw
 Ivy@b-a-s-s.com.tw")</f>
        <v>bass01@b-a-s-s.com.tw
 Ivy@b-a-s-s.com.tw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6">
      <c r="A45" s="48"/>
      <c r="B45" s="48"/>
      <c r="C45" s="18" t="str">
        <f ca="1">IFERROR(__xludf.DUMMYFUNCTION("""COMPUTED_VALUE"""),"柯芙蓉(業務)")</f>
        <v>柯芙蓉(業務)</v>
      </c>
      <c r="D45" s="18" t="str">
        <f ca="1">IFERROR(__xludf.DUMMYFUNCTION("""COMPUTED_VALUE"""),"02-2904-1877#212")</f>
        <v>02-2904-1877#212</v>
      </c>
      <c r="E45" s="19" t="str">
        <f ca="1">IFERROR(__xludf.DUMMYFUNCTION("""COMPUTED_VALUE"""),"fone@b-a-s-s.com.tw")</f>
        <v>fone@b-a-s-s.com.tw</v>
      </c>
      <c r="F45" s="14" t="str">
        <f ca="1">IFERROR(__xludf.DUMMYFUNCTION("""COMPUTED_VALUE"""),"3/15更新")</f>
        <v>3/15更新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6">
      <c r="A46" s="47" t="str">
        <f ca="1">IFERROR(__xludf.DUMMYFUNCTION("""COMPUTED_VALUE"""),"建達")</f>
        <v>建達</v>
      </c>
      <c r="B46" s="47" t="str">
        <f ca="1">IFERROR(__xludf.DUMMYFUNCTION("""COMPUTED_VALUE"""),"TP-Link、AOC電視")</f>
        <v>TP-Link、AOC電視</v>
      </c>
      <c r="C46" s="18" t="str">
        <f ca="1">IFERROR(__xludf.DUMMYFUNCTION("""COMPUTED_VALUE"""),"蘇怡禎(訂單)")</f>
        <v>蘇怡禎(訂單)</v>
      </c>
      <c r="D46" s="18" t="str">
        <f ca="1">IFERROR(__xludf.DUMMYFUNCTION("""COMPUTED_VALUE"""),"02-2219-1600#3906")</f>
        <v>02-2219-1600#3906</v>
      </c>
      <c r="E46" s="19" t="str">
        <f ca="1">IFERROR(__xludf.DUMMYFUNCTION("""COMPUTED_VALUE"""),"Hi-netplace@xander.com.tw")</f>
        <v>Hi-netplace@xander.com.tw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6">
      <c r="A47" s="49"/>
      <c r="B47" s="49"/>
      <c r="C47" s="18" t="str">
        <f ca="1">IFERROR(__xludf.DUMMYFUNCTION("""COMPUTED_VALUE"""),"楊尚霖(業務)")</f>
        <v>楊尚霖(業務)</v>
      </c>
      <c r="D47" s="18" t="str">
        <f ca="1">IFERROR(__xludf.DUMMYFUNCTION("""COMPUTED_VALUE"""),"02-2219-1600#3963")</f>
        <v>02-2219-1600#3963</v>
      </c>
      <c r="E47" s="18" t="str">
        <f ca="1">IFERROR(__xludf.DUMMYFUNCTION("""COMPUTED_VALUE"""),"Jack_Yang@xander.com.tw")</f>
        <v>Jack_Yang@xander.com.tw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6">
      <c r="A48" s="48"/>
      <c r="B48" s="48"/>
      <c r="C48" s="18" t="str">
        <f ca="1">IFERROR(__xludf.DUMMYFUNCTION("""COMPUTED_VALUE"""),"郭小姐(報修)")</f>
        <v>郭小姐(報修)</v>
      </c>
      <c r="D48" s="18" t="str">
        <f ca="1">IFERROR(__xludf.DUMMYFUNCTION("""COMPUTED_VALUE"""),"02-2602-8111")</f>
        <v>02-2602-8111</v>
      </c>
      <c r="E48" s="18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6">
      <c r="A49" s="47" t="str">
        <f ca="1">IFERROR(__xludf.DUMMYFUNCTION("""COMPUTED_VALUE"""),"飛樂")</f>
        <v>飛樂</v>
      </c>
      <c r="B49" s="47" t="str">
        <f ca="1">IFERROR(__xludf.DUMMYFUNCTION("""COMPUTED_VALUE"""),"飛樂
 Arlink")</f>
        <v>飛樂
 Arlink</v>
      </c>
      <c r="C49" s="18" t="str">
        <f ca="1">IFERROR(__xludf.DUMMYFUNCTION("""COMPUTED_VALUE"""),"陳幸君")</f>
        <v>陳幸君</v>
      </c>
      <c r="D49" s="18" t="str">
        <f ca="1">IFERROR(__xludf.DUMMYFUNCTION("""COMPUTED_VALUE"""),"04-2525-4299#105")</f>
        <v>04-2525-4299#105</v>
      </c>
      <c r="E49" s="19" t="str">
        <f ca="1">IFERROR(__xludf.DUMMYFUNCTION("""COMPUTED_VALUE"""),"philo1699@gmail.com")</f>
        <v>philo1699@gmail.com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6">
      <c r="A50" s="48"/>
      <c r="B50" s="48"/>
      <c r="C50" s="18" t="str">
        <f ca="1">IFERROR(__xludf.DUMMYFUNCTION("""COMPUTED_VALUE"""),"陳頌智")</f>
        <v>陳頌智</v>
      </c>
      <c r="D50" s="18" t="str">
        <f ca="1">IFERROR(__xludf.DUMMYFUNCTION("""COMPUTED_VALUE"""),"04-2525-4299#202")</f>
        <v>04-2525-4299#202</v>
      </c>
      <c r="E50" s="19" t="str">
        <f ca="1">IFERROR(__xludf.DUMMYFUNCTION("""COMPUTED_VALUE"""),"momoarlink@gmail.com")</f>
        <v>momoarlink@gmail.com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6">
      <c r="A51" s="18" t="str">
        <f ca="1">IFERROR(__xludf.DUMMYFUNCTION("""COMPUTED_VALUE"""),"捷元")</f>
        <v>捷元</v>
      </c>
      <c r="B51" s="18" t="str">
        <f ca="1">IFERROR(__xludf.DUMMYFUNCTION("""COMPUTED_VALUE"""),"Philips")</f>
        <v>Philips</v>
      </c>
      <c r="C51" s="18" t="str">
        <f ca="1">IFERROR(__xludf.DUMMYFUNCTION("""COMPUTED_VALUE"""),"林燕")</f>
        <v>林燕</v>
      </c>
      <c r="D51" s="18" t="str">
        <f ca="1">IFERROR(__xludf.DUMMYFUNCTION("""COMPUTED_VALUE"""),"02-2795-6677#162")</f>
        <v>02-2795-6677#162</v>
      </c>
      <c r="E51" s="18" t="str">
        <f ca="1">IFERROR(__xludf.DUMMYFUNCTION("""COMPUTED_VALUE"""),"Amy.lin@gcnc-group.com")</f>
        <v>Amy.lin@gcnc-group.com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6">
      <c r="A52" s="47" t="str">
        <f ca="1">IFERROR(__xludf.DUMMYFUNCTION("""COMPUTED_VALUE"""),"喬山")</f>
        <v>喬山</v>
      </c>
      <c r="B52" s="47" t="str">
        <f ca="1">IFERROR(__xludf.DUMMYFUNCTION("""COMPUTED_VALUE"""),"Johnson")</f>
        <v>Johnson</v>
      </c>
      <c r="C52" s="18" t="str">
        <f ca="1">IFERROR(__xludf.DUMMYFUNCTION("""COMPUTED_VALUE"""),"紀典宏(業務)")</f>
        <v>紀典宏(業務)</v>
      </c>
      <c r="D52" s="20" t="str">
        <f ca="1">IFERROR(__xludf.DUMMYFUNCTION("""COMPUTED_VALUE"""),"0921-654-707")</f>
        <v>0921-654-707</v>
      </c>
      <c r="E52" s="18" t="str">
        <f ca="1">IFERROR(__xludf.DUMMYFUNCTION("""COMPUTED_VALUE"""),"jidh@johnsonfitness.com")</f>
        <v>jidh@johnsonfitness.com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6">
      <c r="A53" s="48"/>
      <c r="B53" s="48"/>
      <c r="C53" s="18" t="str">
        <f ca="1">IFERROR(__xludf.DUMMYFUNCTION("""COMPUTED_VALUE"""),"洪雅雯(訂單)")</f>
        <v>洪雅雯(訂單)</v>
      </c>
      <c r="D53" s="18" t="str">
        <f ca="1">IFERROR(__xludf.DUMMYFUNCTION("""COMPUTED_VALUE"""),"04-2566-7100*215")</f>
        <v>04-2566-7100*215</v>
      </c>
      <c r="E53" s="18" t="str">
        <f ca="1">IFERROR(__xludf.DUMMYFUNCTION("""COMPUTED_VALUE"""),"APPLEHUNG@johnsonfitness.com")</f>
        <v>APPLEHUNG@johnsonfitness.com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6">
      <c r="A54" s="47" t="str">
        <f ca="1">IFERROR(__xludf.DUMMYFUNCTION("""COMPUTED_VALUE"""),"燦坤")</f>
        <v>燦坤</v>
      </c>
      <c r="B54" s="47" t="str">
        <f ca="1">IFERROR(__xludf.DUMMYFUNCTION("""COMPUTED_VALUE"""),"SONY電視")</f>
        <v>SONY電視</v>
      </c>
      <c r="C54" s="18" t="str">
        <f ca="1">IFERROR(__xludf.DUMMYFUNCTION("""COMPUTED_VALUE"""),"巫家儀(訂單)")</f>
        <v>巫家儀(訂單)</v>
      </c>
      <c r="D54" s="18" t="str">
        <f ca="1">IFERROR(__xludf.DUMMYFUNCTION("""COMPUTED_VALUE"""),"02-7720-3999*10826")</f>
        <v>02-7720-3999*10826</v>
      </c>
      <c r="E54" s="18" t="str">
        <f ca="1">IFERROR(__xludf.DUMMYFUNCTION("""COMPUTED_VALUE"""),"cust_manage@tk3c.com")</f>
        <v>cust_manage@tk3c.com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6">
      <c r="A55" s="48"/>
      <c r="B55" s="48"/>
      <c r="C55" s="18" t="str">
        <f ca="1">IFERROR(__xludf.DUMMYFUNCTION("""COMPUTED_VALUE"""),"蘇治韻(業務)")</f>
        <v>蘇治韻(業務)</v>
      </c>
      <c r="D55" s="18" t="str">
        <f ca="1">IFERROR(__xludf.DUMMYFUNCTION("""COMPUTED_VALUE"""),"02-7720-3999#10812")</f>
        <v>02-7720-3999#10812</v>
      </c>
      <c r="E55" s="18" t="str">
        <f ca="1">IFERROR(__xludf.DUMMYFUNCTION("""COMPUTED_VALUE"""),"jean_su@tk3c.tsannkuen.com")</f>
        <v>jean_su@tk3c.tsannkuen.com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6">
      <c r="A56" s="47" t="str">
        <f ca="1">IFERROR(__xludf.DUMMYFUNCTION("""COMPUTED_VALUE"""),"達標智源")</f>
        <v>達標智源</v>
      </c>
      <c r="B56" s="47" t="str">
        <f ca="1">IFERROR(__xludf.DUMMYFUNCTION("""COMPUTED_VALUE"""),"dpsmart")</f>
        <v>dpsmart</v>
      </c>
      <c r="C56" s="18" t="str">
        <f ca="1">IFERROR(__xludf.DUMMYFUNCTION("""COMPUTED_VALUE"""),"潘麗美(訂單查詢出貨)")</f>
        <v>潘麗美(訂單查詢出貨)</v>
      </c>
      <c r="D56" s="18" t="str">
        <f ca="1">IFERROR(__xludf.DUMMYFUNCTION("""COMPUTED_VALUE"""),"02-2696-1069#200")</f>
        <v>02-2696-1069#200</v>
      </c>
      <c r="E56" s="19" t="str">
        <f ca="1">IFERROR(__xludf.DUMMYFUNCTION("""COMPUTED_VALUE"""),"sales@dpsmart.com.tw")</f>
        <v>sales@dpsmart.com.tw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6">
      <c r="A57" s="48"/>
      <c r="B57" s="48"/>
      <c r="C57" s="18" t="str">
        <f ca="1">IFERROR(__xludf.DUMMYFUNCTION("""COMPUTED_VALUE"""),"詹双壬(出貨相關諮詢)")</f>
        <v>詹双壬(出貨相關諮詢)</v>
      </c>
      <c r="D57" s="18" t="str">
        <f ca="1">IFERROR(__xludf.DUMMYFUNCTION("""COMPUTED_VALUE"""),"02-2696-1069#300")</f>
        <v>02-2696-1069#300</v>
      </c>
      <c r="E57" s="19" t="str">
        <f ca="1">IFERROR(__xludf.DUMMYFUNCTION("""COMPUTED_VALUE"""),"alex.chan@dpsmart.com.tw")</f>
        <v>alex.chan@dpsmart.com.tw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6">
      <c r="A58" s="47" t="str">
        <f ca="1">IFERROR(__xludf.DUMMYFUNCTION("""COMPUTED_VALUE"""),"賀光國際")</f>
        <v>賀光國際</v>
      </c>
      <c r="B58" s="47" t="str">
        <f ca="1">IFERROR(__xludf.DUMMYFUNCTION("""COMPUTED_VALUE"""),"Philips門鎖、Sugar、Mr.Smart、Amadana")</f>
        <v>Philips門鎖、Sugar、Mr.Smart、Amadana</v>
      </c>
      <c r="C58" s="18" t="str">
        <f ca="1">IFERROR(__xludf.DUMMYFUNCTION("""COMPUTED_VALUE"""),"Erin 黃于琳")</f>
        <v>Erin 黃于琳</v>
      </c>
      <c r="D58" s="18" t="str">
        <f ca="1">IFERROR(__xludf.DUMMYFUNCTION("""COMPUTED_VALUE"""),"02-3765-3379")</f>
        <v>02-3765-3379</v>
      </c>
      <c r="E58" s="18" t="str">
        <f ca="1">IFERROR(__xludf.DUMMYFUNCTION("""COMPUTED_VALUE"""),"erin@kono.com.tw")</f>
        <v>erin@kono.com.tw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6">
      <c r="A59" s="48"/>
      <c r="B59" s="48"/>
      <c r="C59" s="18" t="str">
        <f ca="1">IFERROR(__xludf.DUMMYFUNCTION("""COMPUTED_VALUE"""),"陳蕙菁(訂單查詢)")</f>
        <v>陳蕙菁(訂單查詢)</v>
      </c>
      <c r="D59" s="18" t="str">
        <f ca="1">IFERROR(__xludf.DUMMYFUNCTION("""COMPUTED_VALUE"""),"02-2662-4343#316")</f>
        <v>02-2662-4343#316</v>
      </c>
      <c r="E59" s="19" t="str">
        <f ca="1">IFERROR(__xludf.DUMMYFUNCTION("""COMPUTED_VALUE"""),"maggie1225@htt.com.tw")</f>
        <v>maggie1225@htt.com.tw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.6">
      <c r="A60" s="47"/>
      <c r="B60" s="47"/>
      <c r="C60" s="18" t="str">
        <f ca="1">IFERROR(__xludf.DUMMYFUNCTION("""COMPUTED_VALUE"""),"許棟樑(業務)")</f>
        <v>許棟樑(業務)</v>
      </c>
      <c r="D60" s="18" t="str">
        <f ca="1">IFERROR(__xludf.DUMMYFUNCTION("""COMPUTED_VALUE"""),"02-2662-4343#306
0975-097-555")</f>
        <v>02-2662-4343#306
0975-097-555</v>
      </c>
      <c r="E60" s="19" t="str">
        <f ca="1">IFERROR(__xludf.DUMMYFUNCTION("""COMPUTED_VALUE"""),"htt.service@msa.hinet.net")</f>
        <v>htt.service@msa.hinet.net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.6">
      <c r="A61" s="49"/>
      <c r="B61" s="49"/>
      <c r="C61" s="18" t="str">
        <f ca="1">IFERROR(__xludf.DUMMYFUNCTION("""COMPUTED_VALUE"""),"李慧娟(訂單)")</f>
        <v>李慧娟(訂單)</v>
      </c>
      <c r="D61" s="18" t="str">
        <f ca="1">IFERROR(__xludf.DUMMYFUNCTION("""COMPUTED_VALUE"""),"02-8227-1133#23807")</f>
        <v>02-8227-1133#23807</v>
      </c>
      <c r="E61" s="19" t="str">
        <f ca="1">IFERROR(__xludf.DUMMYFUNCTION("""COMPUTED_VALUE"""),"Beata_Lee@mail.nexgen.com.tw")</f>
        <v>Beata_Lee@mail.nexgen.com.tw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.6">
      <c r="A62" s="48"/>
      <c r="B62" s="48"/>
      <c r="C62" s="18" t="str">
        <f ca="1">IFERROR(__xludf.DUMMYFUNCTION("""COMPUTED_VALUE"""),"曹雅雯(訂單)")</f>
        <v>曹雅雯(訂單)</v>
      </c>
      <c r="D62" s="18" t="str">
        <f ca="1">IFERROR(__xludf.DUMMYFUNCTION("""COMPUTED_VALUE"""),"02-8227-1133#23807")</f>
        <v>02-8227-1133#23807</v>
      </c>
      <c r="E62" s="18" t="str">
        <f ca="1">IFERROR(__xludf.DUMMYFUNCTION("""COMPUTED_VALUE"""),"sunny_tsao@mail.nexgen.com.tw")</f>
        <v>sunny_tsao@mail.nexgen.com.tw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.6">
      <c r="A63" s="47"/>
      <c r="B63" s="47"/>
      <c r="C63" s="18" t="str">
        <f ca="1">IFERROR(__xludf.DUMMYFUNCTION("""COMPUTED_VALUE"""),"游昇龍(業務)")</f>
        <v>游昇龍(業務)</v>
      </c>
      <c r="D63" s="18" t="str">
        <f ca="1">IFERROR(__xludf.DUMMYFUNCTION("""COMPUTED_VALUE"""),"02-8227-1133#21630")</f>
        <v>02-8227-1133#21630</v>
      </c>
      <c r="E63" s="19" t="str">
        <f ca="1">IFERROR(__xludf.DUMMYFUNCTION("""COMPUTED_VALUE"""),"eric_yu@mail.nexgen.com.tw")</f>
        <v>eric_yu@mail.nexgen.com.tw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.6">
      <c r="A64" s="49"/>
      <c r="B64" s="49"/>
      <c r="C64" s="18" t="str">
        <f ca="1">IFERROR(__xludf.DUMMYFUNCTION("""COMPUTED_VALUE"""),"李慧娟(訂單)")</f>
        <v>李慧娟(訂單)</v>
      </c>
      <c r="D64" s="18" t="str">
        <f ca="1">IFERROR(__xludf.DUMMYFUNCTION("""COMPUTED_VALUE"""),"02-8227-1133#23807")</f>
        <v>02-8227-1133#23807</v>
      </c>
      <c r="E64" s="19" t="str">
        <f ca="1">IFERROR(__xludf.DUMMYFUNCTION("""COMPUTED_VALUE"""),"Beata_Lee@mail.nexgen.com.tw
")</f>
        <v xml:space="preserve">Beata_Lee@mail.nexgen.com.tw
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6">
      <c r="A65" s="48"/>
      <c r="B65" s="48"/>
      <c r="C65" s="18" t="str">
        <f ca="1">IFERROR(__xludf.DUMMYFUNCTION("""COMPUTED_VALUE"""),"曹雅雯")</f>
        <v>曹雅雯</v>
      </c>
      <c r="D65" s="18" t="str">
        <f ca="1">IFERROR(__xludf.DUMMYFUNCTION("""COMPUTED_VALUE"""),"02-8227-1133#23807")</f>
        <v>02-8227-1133#23807</v>
      </c>
      <c r="E65" s="18" t="str">
        <f ca="1">IFERROR(__xludf.DUMMYFUNCTION("""COMPUTED_VALUE"""),"sunny_tsao@mail.nexgen.com.tw")</f>
        <v>sunny_tsao@mail.nexgen.com.tw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.6">
      <c r="A66" s="18"/>
      <c r="B66" s="18"/>
      <c r="C66" s="18" t="str">
        <f ca="1">IFERROR(__xludf.DUMMYFUNCTION("""COMPUTED_VALUE"""),"游昇龍(業務)")</f>
        <v>游昇龍(業務)</v>
      </c>
      <c r="D66" s="18" t="str">
        <f ca="1">IFERROR(__xludf.DUMMYFUNCTION("""COMPUTED_VALUE"""),"02-8227-1133#21630")</f>
        <v>02-8227-1133#21630</v>
      </c>
      <c r="E66" s="19" t="str">
        <f ca="1">IFERROR(__xludf.DUMMYFUNCTION("""COMPUTED_VALUE"""),"eric_yu@mail.nexgen.com.tw")</f>
        <v>eric_yu@mail.nexgen.com.tw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.6">
      <c r="A67" s="47"/>
      <c r="B67" s="47"/>
      <c r="C67" s="18" t="str">
        <f ca="1">IFERROR(__xludf.DUMMYFUNCTION("""COMPUTED_VALUE"""),"奇美客服中心")</f>
        <v>奇美客服中心</v>
      </c>
      <c r="D67" s="18" t="str">
        <f ca="1">IFERROR(__xludf.DUMMYFUNCTION("""COMPUTED_VALUE"""),"0800-663-000(消費者服務)")</f>
        <v>0800-663-000(消費者服務)</v>
      </c>
      <c r="E67" s="18" t="str">
        <f ca="1">IFERROR(__xludf.DUMMYFUNCTION("""COMPUTED_VALUE"""),"service_tw@mail.nexgen.com.tw")</f>
        <v>service_tw@mail.nexgen.com.tw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.6">
      <c r="A68" s="48"/>
      <c r="B68" s="48"/>
      <c r="C68" s="18" t="str">
        <f ca="1">IFERROR(__xludf.DUMMYFUNCTION("""COMPUTED_VALUE"""),"客服(貨況處理)")</f>
        <v>客服(貨況處理)</v>
      </c>
      <c r="D68" s="18" t="str">
        <f ca="1">IFERROR(__xludf.DUMMYFUNCTION("""COMPUTED_VALUE"""),"0809-090-510")</f>
        <v>0809-090-510</v>
      </c>
      <c r="E68" s="18" t="str">
        <f ca="1">IFERROR(__xludf.DUMMYFUNCTION("""COMPUTED_VALUE"""),"cocoro-service@sharp-world.com.tw ;cocoro-service@sharp.com.tw")</f>
        <v>cocoro-service@sharp-world.com.tw ;cocoro-service@sharp.com.tw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.6">
      <c r="A69" s="47"/>
      <c r="B69" s="47"/>
      <c r="C69" s="18" t="str">
        <f ca="1">IFERROR(__xludf.DUMMYFUNCTION("""COMPUTED_VALUE"""),"蕭滋賢(客服)")</f>
        <v>蕭滋賢(客服)</v>
      </c>
      <c r="D69" s="18" t="str">
        <f ca="1">IFERROR(__xludf.DUMMYFUNCTION("""COMPUTED_VALUE"""),"02-25596-2388#17974
0988-833-614")</f>
        <v>02-25596-2388#17974
0988-833-614</v>
      </c>
      <c r="E69" s="18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.6">
      <c r="A70" s="48"/>
      <c r="B70" s="48"/>
      <c r="C70" s="18" t="str">
        <f ca="1">IFERROR(__xludf.DUMMYFUNCTION("""COMPUTED_VALUE"""),"王雅雯(主要窗口/商品配送資訊查詢)")</f>
        <v>王雅雯(主要窗口/商品配送資訊查詢)</v>
      </c>
      <c r="D70" s="18" t="str">
        <f ca="1">IFERROR(__xludf.DUMMYFUNCTION("""COMPUTED_VALUE"""),"02-2218-3588 #1785")</f>
        <v>02-2218-3588 #1785</v>
      </c>
      <c r="E70" s="18" t="str">
        <f ca="1">IFERROR(__xludf.DUMMYFUNCTION("""COMPUTED_VALUE"""),"elva.wang@senao.com.tw")</f>
        <v>elva.wang@senao.com.tw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.6">
      <c r="A71" s="18"/>
      <c r="B71" s="18"/>
      <c r="C71" s="18" t="str">
        <f ca="1">IFERROR(__xludf.DUMMYFUNCTION("""COMPUTED_VALUE"""),"何嘉文(業務/技術窗口)")</f>
        <v>何嘉文(業務/技術窗口)</v>
      </c>
      <c r="D71" s="18" t="str">
        <f ca="1">IFERROR(__xludf.DUMMYFUNCTION("""COMPUTED_VALUE"""),"02-2218-3588 #1653")</f>
        <v>02-2218-3588 #1653</v>
      </c>
      <c r="E71" s="18" t="str">
        <f ca="1">IFERROR(__xludf.DUMMYFUNCTION("""COMPUTED_VALUE"""),"kevin.ho@senao.com.tw")</f>
        <v>kevin.ho@senao.com.tw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.6">
      <c r="A72" s="18" t="str">
        <f ca="1">IFERROR(__xludf.DUMMYFUNCTION("""COMPUTED_VALUE"""),"奧圖碼(投影機)")</f>
        <v>奧圖碼(投影機)</v>
      </c>
      <c r="B72" s="18" t="str">
        <f ca="1">IFERROR(__xludf.DUMMYFUNCTION("""COMPUTED_VALUE"""),"optoma")</f>
        <v>optoma</v>
      </c>
      <c r="C72" s="18" t="str">
        <f ca="1">IFERROR(__xludf.DUMMYFUNCTION("""COMPUTED_VALUE"""),"周仕元")</f>
        <v>周仕元</v>
      </c>
      <c r="D72" s="18" t="str">
        <f ca="1">IFERROR(__xludf.DUMMYFUNCTION("""COMPUTED_VALUE"""),"0911-063-856")</f>
        <v>0911-063-856</v>
      </c>
      <c r="E72" s="18" t="str">
        <f ca="1">IFERROR(__xludf.DUMMYFUNCTION("""COMPUTED_VALUE"""),"richard.chou@optoma.com")</f>
        <v>richard.chou@optoma.com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3.2">
      <c r="A73" s="17"/>
      <c r="B73" s="17"/>
      <c r="C73" s="17" t="str">
        <f ca="1">IFERROR(__xludf.DUMMYFUNCTION("""COMPUTED_VALUE"""),"呂思萍")</f>
        <v>呂思萍</v>
      </c>
      <c r="D73" s="17" t="str">
        <f ca="1">IFERROR(__xludf.DUMMYFUNCTION("""COMPUTED_VALUE"""),"02-8911-8600#3751")</f>
        <v>02-8911-8600#3751</v>
      </c>
      <c r="E73" s="17" t="str">
        <f ca="1">IFERROR(__xludf.DUMMYFUNCTION("""COMPUTED_VALUE"""),"mandy.lu@optoma.com")</f>
        <v>mandy.lu@optoma.com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3.2">
      <c r="A74" s="14" t="str">
        <f ca="1">IFERROR(__xludf.DUMMYFUNCTION("""COMPUTED_VALUE"""),"宙宣")</f>
        <v>宙宣</v>
      </c>
      <c r="B74" s="14" t="str">
        <f ca="1">IFERROR(__xludf.DUMMYFUNCTION("""COMPUTED_VALUE"""),"HarmanKardon、UE、BOSE")</f>
        <v>HarmanKardon、UE、BOSE</v>
      </c>
      <c r="C74" s="14" t="str">
        <f ca="1">IFERROR(__xludf.DUMMYFUNCTION("""COMPUTED_VALUE"""),"吳權庭")</f>
        <v>吳權庭</v>
      </c>
      <c r="D74" s="14" t="str">
        <f ca="1">IFERROR(__xludf.DUMMYFUNCTION("""COMPUTED_VALUE"""),"02-8768-1222 #132")</f>
        <v>02-8768-1222 #132</v>
      </c>
      <c r="E74" s="14" t="str">
        <f ca="1">IFERROR(__xludf.DUMMYFUNCTION("""COMPUTED_VALUE"""),"jimm@uni-announce.com.tw")</f>
        <v>jimm@uni-announce.com.tw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3.2">
      <c r="A75" s="14" t="str">
        <f ca="1">IFERROR(__xludf.DUMMYFUNCTION("""COMPUTED_VALUE"""),"橋杭")</f>
        <v>橋杭</v>
      </c>
      <c r="B75" s="14" t="str">
        <f ca="1">IFERROR(__xludf.DUMMYFUNCTION("""COMPUTED_VALUE"""),"智慧家庭商品( Simpnic)")</f>
        <v>智慧家庭商品( Simpnic)</v>
      </c>
      <c r="C75" s="14" t="str">
        <f ca="1">IFERROR(__xludf.DUMMYFUNCTION("""COMPUTED_VALUE"""),"蔡百泰(業務)")</f>
        <v>蔡百泰(業務)</v>
      </c>
      <c r="D75" s="14" t="str">
        <f ca="1">IFERROR(__xludf.DUMMYFUNCTION("""COMPUTED_VALUE"""),"02-6616-1016
0910-722-212")</f>
        <v>02-6616-1016
0910-722-212</v>
      </c>
      <c r="E75" s="14" t="str">
        <f ca="1">IFERROR(__xludf.DUMMYFUNCTION("""COMPUTED_VALUE"""),"jack.tsai@simpnic.com")</f>
        <v>jack.tsai@simpnic.com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3.2">
      <c r="A76" s="14" t="str">
        <f ca="1">IFERROR(__xludf.DUMMYFUNCTION("""COMPUTED_VALUE"""),"忠寬")</f>
        <v>忠寬</v>
      </c>
      <c r="B76" s="14" t="str">
        <f ca="1">IFERROR(__xludf.DUMMYFUNCTION("""COMPUTED_VALUE"""),"廚房用具：SAIKAIIndigoJapan、 Quasi、Pujadas、Olympia、銀峯GINPO、MEHRZER")</f>
        <v>廚房用具：SAIKAIIndigoJapan、 Quasi、Pujadas、Olympia、銀峯GINPO、MEHRZER</v>
      </c>
      <c r="C76" s="14" t="str">
        <f ca="1">IFERROR(__xludf.DUMMYFUNCTION("""COMPUTED_VALUE"""),"王俊瑋")</f>
        <v>王俊瑋</v>
      </c>
      <c r="D76" s="14" t="str">
        <f ca="1">IFERROR(__xludf.DUMMYFUNCTION("""COMPUTED_VALUE"""),"02-82626777#219")</f>
        <v>02-82626777#219</v>
      </c>
      <c r="E76" s="21" t="str">
        <f ca="1">IFERROR(__xludf.DUMMYFUNCTION("""COMPUTED_VALUE"""),"william@quasi.com.tw")</f>
        <v>william@quasi.com.tw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3.2">
      <c r="A77" s="14"/>
      <c r="B77" s="14"/>
      <c r="C77" s="14" t="str">
        <f ca="1">IFERROR(__xludf.DUMMYFUNCTION("""COMPUTED_VALUE"""),"賴姵丞")</f>
        <v>賴姵丞</v>
      </c>
      <c r="D77" s="14" t="str">
        <f ca="1">IFERROR(__xludf.DUMMYFUNCTION("""COMPUTED_VALUE"""),"02-82626777 #228")</f>
        <v>02-82626777 #228</v>
      </c>
      <c r="E77" s="14" t="str">
        <f ca="1">IFERROR(__xludf.DUMMYFUNCTION("""COMPUTED_VALUE"""),"pei@quasi.com.tw")</f>
        <v>pei@quasi.com.tw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3.2">
      <c r="A78" s="14" t="str">
        <f ca="1">IFERROR(__xludf.DUMMYFUNCTION("""COMPUTED_VALUE"""),"聯穎國際")</f>
        <v>聯穎國際</v>
      </c>
      <c r="B78" s="14" t="str">
        <f ca="1">IFERROR(__xludf.DUMMYFUNCTION("""COMPUTED_VALUE"""),"電話機：Alcatel、Vtech")</f>
        <v>電話機：Alcatel、Vtech</v>
      </c>
      <c r="C78" s="14" t="str">
        <f ca="1">IFERROR(__xludf.DUMMYFUNCTION("""COMPUTED_VALUE"""),"王忠元Gary(業務)")</f>
        <v>王忠元Gary(業務)</v>
      </c>
      <c r="D78" s="14" t="str">
        <f ca="1">IFERROR(__xludf.DUMMYFUNCTION("""COMPUTED_VALUE"""),"0928886171")</f>
        <v>0928886171</v>
      </c>
      <c r="E78" s="14" t="str">
        <f ca="1">IFERROR(__xludf.DUMMYFUNCTION("""COMPUTED_VALUE"""),"gary@uwin.tw")</f>
        <v>gary@uwin.tw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3.2">
      <c r="A79" s="14"/>
      <c r="B79" s="14"/>
      <c r="C79" s="14" t="str">
        <f ca="1">IFERROR(__xludf.DUMMYFUNCTION("""COMPUTED_VALUE"""),"張芸菁(業助)")</f>
        <v>張芸菁(業助)</v>
      </c>
      <c r="D79" s="14" t="str">
        <f ca="1">IFERROR(__xludf.DUMMYFUNCTION("""COMPUTED_VALUE"""),"03-5788690#168")</f>
        <v>03-5788690#168</v>
      </c>
      <c r="E79" s="14" t="str">
        <f ca="1">IFERROR(__xludf.DUMMYFUNCTION("""COMPUTED_VALUE"""),"coco@uwin.tw")</f>
        <v>coco@uwin.tw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3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3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3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3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3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3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3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3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3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3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3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3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3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3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3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3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3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3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3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3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3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3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3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3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3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3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3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3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3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3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3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3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3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3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3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3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3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3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3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3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3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3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3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3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3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3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3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3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3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3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3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3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3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3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3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3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3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3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3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3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3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3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3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3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3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3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3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3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3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3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3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3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3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3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3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3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3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3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3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3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3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3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3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3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3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3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3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3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3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3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3.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3.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3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3.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3.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3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3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3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3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3.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3.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3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3.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3.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3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3.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3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3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3.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3.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3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3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3.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3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3.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3.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3.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3.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3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3.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3.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3.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3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3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3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3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3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3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3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3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3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3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3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3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3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3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3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3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3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3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3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3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3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3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3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3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3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3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3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3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3.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3.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3.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3.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3.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3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3.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3.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3.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3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3.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3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3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3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3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3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3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3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3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3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3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3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3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3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3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3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3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3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3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3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3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3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3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3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3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3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3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3.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3.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3.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3.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3.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3.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3.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3.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3.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3.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3.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3.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3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3.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3.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3.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3.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3.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3.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3.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3.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3.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3.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3.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3.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3.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3.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3.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3.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3.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3.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3.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3.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3.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3.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3.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3.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3.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3.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3.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3.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3.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3.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3.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3.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3.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3.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3.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3.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3.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3.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3.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3.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3.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3.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3.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3.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3.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3.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3.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3.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3.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3.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3.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3.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3.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3.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3.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3.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3.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3.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3.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3.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3.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3.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3.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3.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3.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3.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3.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3.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3.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3.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3.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3.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3.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3.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3.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3.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3.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3.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3.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3.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3.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3.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3.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3.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3.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3.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3.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3.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3.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3.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3.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3.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3.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3.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3.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3.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3.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3.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3.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3.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3.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3.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3.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3.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3.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3.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3.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3.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3.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3.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3.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3.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3.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3.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3.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3.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3.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3.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3.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3.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3.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3.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3.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3.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3.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3.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3.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3.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3.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3.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3.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3.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3.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3.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3.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3.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3.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3.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3.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3.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3.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3.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3.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3.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3.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3.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3.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3.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3.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3.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3.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3.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3.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3.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3.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3.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3.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3.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3.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3.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3.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3.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3.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3.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3.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3.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3.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3.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3.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3.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3.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3.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3.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3.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3.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3.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3.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3.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3.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3.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3.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3.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3.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3.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3.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3.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3.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3.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3.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3.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3.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3.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3.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3.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3.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3.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3.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3.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3.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3.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3.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3.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3.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3.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3.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3.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3.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3.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3.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3.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3.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3.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3.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3.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3.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3.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3.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3.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3.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3.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3.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3.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3.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3.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3.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3.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3.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3.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3.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3.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3.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3.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3.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3.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3.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3.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3.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3.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3.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3.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3.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3.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3.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3.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3.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3.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3.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3.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3.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3.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3.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3.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3.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3.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3.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3.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3.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3.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3.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3.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3.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3.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3.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3.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3.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3.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3.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3.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3.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3.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3.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3.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3.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3.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3.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3.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3.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3.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3.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3.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3.2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3.2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3.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3.2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3.2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3.2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3.2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3.2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3.2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3.2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3.2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3.2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3.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3.2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3.2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3.2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3.2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3.2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3.2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3.2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3.2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3.2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3.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3.2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3.2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3.2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3.2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3.2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3.2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3.2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3.2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3.2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3.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3.2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3.2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3.2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3.2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3.2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3.2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3.2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3.2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3.2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3.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3.2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3.2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3.2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3.2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3.2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3.2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3.2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3.2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3.2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3.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3.2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3.2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3.2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3.2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3.2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3.2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3.2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3.2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3.2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3.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3.2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3.2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3.2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3.2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3.2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3.2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3.2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3.2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3.2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3.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3.2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3.2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3.2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3.2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3.2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3.2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3.2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3.2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3.2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3.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3.2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3.2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3.2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3.2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3.2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3.2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3.2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3.2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3.2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3.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3.2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3.2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3.2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3.2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3.2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3.2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3.2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3.2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3.2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3.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3.2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3.2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3.2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3.2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3.2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3.2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3.2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3.2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3.2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3.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3.2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3.2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3.2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3.2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3.2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3.2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3.2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3.2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3.2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3.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3.2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3.2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3.2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3.2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3.2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3.2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3.2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3.2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3.2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3.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3.2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3.2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3.2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3.2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3.2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3.2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3.2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3.2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3.2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3.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3.2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3.2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3.2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3.2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3.2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3.2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3.2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3.2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3.2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3.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3.2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3.2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3.2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3.2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3.2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3.2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3.2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3.2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3.2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3.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3.2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3.2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3.2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3.2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3.2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3.2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3.2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3.2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3.2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3.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3.2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3.2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3.2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3.2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3.2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3.2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3.2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3.2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3.2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3.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3.2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3.2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3.2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3.2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3.2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3.2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3.2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3.2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3.2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3.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3.2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3.2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3.2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3.2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3.2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3.2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3.2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3.2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3.2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3.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3.2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3.2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3.2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3.2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3.2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3.2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3.2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3.2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3.2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3.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3.2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3.2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3.2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3.2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3.2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3.2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3.2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3.2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3.2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3.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3.2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3.2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3.2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3.2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3.2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3.2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3.2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3.2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3.2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3.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3.2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3.2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3.2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3.2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3.2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3.2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3.2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3.2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3.2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3.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3.2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3.2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3.2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3.2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3.2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3.2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3.2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3.2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3.2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3.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3.2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3.2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3.2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3.2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3.2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3.2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3.2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3.2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3.2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3.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3.2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3.2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3.2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3.2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3.2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3.2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3.2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3.2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3.2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3.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3.2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3.2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3.2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3.2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3.2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3.2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3.2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3.2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3.2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3.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3.2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3.2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3.2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3.2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3.2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3.2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3.2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3.2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3.2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3.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3.2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3.2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3.2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3.2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3.2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3.2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3.2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3.2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3.2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3.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3.2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3.2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3.2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3.2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3.2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3.2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3.2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3.2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3.2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3.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3.2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3.2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3.2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3.2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3.2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3.2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3.2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3.2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3.2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3.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3.2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3.2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3.2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3.2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3.2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3.2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3.2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3.2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3.2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3.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3.2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3.2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3.2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3.2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3.2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3.2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3.2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3.2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3.2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3.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3.2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3.2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3.2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3.2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3.2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3.2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3.2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3.2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3.2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3.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3.2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3.2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3.2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3.2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3.2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3.2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3.2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3.2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3.2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3.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3.2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3.2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3.2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3.2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3.2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3.2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3.2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3.2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3.2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3.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3.2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3.2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3.2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3.2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3.2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3.2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3.2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3.2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3.2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3.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3.2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3.2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3.2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3.2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3.2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3.2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3.2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3.2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3.2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3.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3.2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3.2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3.2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3.2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3.2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3.2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3.2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3.2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3.2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3.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3.2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3.2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3.2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3.2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3.2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3.2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3.2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3.2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3.2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3.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3.2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3.2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3.2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3.2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3.2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3.2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3.2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3.2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3.2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3.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3.2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3.2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3.2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3.2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3.2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3.2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</sheetData>
  <mergeCells count="46">
    <mergeCell ref="A2:A4"/>
    <mergeCell ref="B2:B3"/>
    <mergeCell ref="A5:A9"/>
    <mergeCell ref="B5:B9"/>
    <mergeCell ref="A10:A12"/>
    <mergeCell ref="B10:B11"/>
    <mergeCell ref="B14:B15"/>
    <mergeCell ref="A14:A15"/>
    <mergeCell ref="A16:A18"/>
    <mergeCell ref="B16:B18"/>
    <mergeCell ref="A19:A20"/>
    <mergeCell ref="B19:B20"/>
    <mergeCell ref="A21:A23"/>
    <mergeCell ref="B21:B23"/>
    <mergeCell ref="A24:A29"/>
    <mergeCell ref="B24:B29"/>
    <mergeCell ref="A30:A31"/>
    <mergeCell ref="B30:B31"/>
    <mergeCell ref="A32:A33"/>
    <mergeCell ref="B32:B33"/>
    <mergeCell ref="B36:B37"/>
    <mergeCell ref="A36:A37"/>
    <mergeCell ref="A42:A43"/>
    <mergeCell ref="B42:B43"/>
    <mergeCell ref="A44:A45"/>
    <mergeCell ref="B44:B45"/>
    <mergeCell ref="A46:A48"/>
    <mergeCell ref="B46:B48"/>
    <mergeCell ref="A56:A57"/>
    <mergeCell ref="A49:A50"/>
    <mergeCell ref="B49:B50"/>
    <mergeCell ref="A52:A53"/>
    <mergeCell ref="B52:B53"/>
    <mergeCell ref="A54:A55"/>
    <mergeCell ref="B54:B55"/>
    <mergeCell ref="B56:B57"/>
    <mergeCell ref="A58:A59"/>
    <mergeCell ref="A60:A62"/>
    <mergeCell ref="A63:A65"/>
    <mergeCell ref="A67:A68"/>
    <mergeCell ref="A69:A70"/>
    <mergeCell ref="B58:B59"/>
    <mergeCell ref="B60:B62"/>
    <mergeCell ref="B63:B65"/>
    <mergeCell ref="B67:B68"/>
    <mergeCell ref="B69:B70"/>
  </mergeCells>
  <phoneticPr fontId="10" type="noConversion"/>
  <hyperlinks>
    <hyperlink ref="E2" r:id="rId1" display="mailto:iverson1008@tcpc.tatung.com.tw"/>
    <hyperlink ref="E3" r:id="rId2" display="mailto:chlai@tcpc.tatung.com.tw"/>
    <hyperlink ref="C4" r:id="rId3" display="http://tcpcscm1.tatung.com.tw/ProductionControlWeb/CI/CI_CHT_OrderQuery.jsp"/>
    <hyperlink ref="E5" r:id="rId4" display="mailto:win19820604@ejoy.net.tw"/>
    <hyperlink ref="E6" r:id="rId5" display="mailto:0316@ejoy.net.tw"/>
    <hyperlink ref="E7" r:id="rId6" display="mailto:sume-wu@ejoy.net.tw"/>
    <hyperlink ref="E8" r:id="rId7" display="mailto:eve@ejoy.net.tw"/>
    <hyperlink ref="E10" r:id="rId8" display="mailto:elfin@creata.com.tw"/>
    <hyperlink ref="C12" r:id="rId9" display="https://apc01.safelinks.protection.outlook.com/?url=http%3A%2F%2F60.250.76.156%2FSmart-Query%2Fmainframes.aspx&amp;data=04%7C01%7Ctom_0316%40cht.com.tw%7C45ab76322b4f476c9cb608d9d65fe755%7C54eb9440cf0345fe835e61bd4ce515c8%7C0%7C0%7C637776529709118953%7CUnknown%7CTWFpbGZsb3d8eyJWIjoiMC4wLjAwMDAiLCJQIjoiV2luMzIiLCJBTiI6Ik1haWwiLCJXVCI6Mn0%3D%7C3000&amp;sdata=7Gvu8pk%2FKuDTKBLRQt6jVt7MFC7cLMnVG%2Fw%2FVBifisI%3D&amp;reserved=0"/>
    <hyperlink ref="E14" r:id="rId10" display="mailto:jeneifer@synnex.com.tw"/>
    <hyperlink ref="E15" r:id="rId11" display="mailto:anniezhan@synnex.com.tw"/>
    <hyperlink ref="E16" r:id="rId12" display="mailto:louis@wonder.tw"/>
    <hyperlink ref="E17" r:id="rId13" display="mailto:kelly@wonder.tw"/>
    <hyperlink ref="E20" r:id="rId14" display="mailto:Nick.cheng@weblink.com.tw"/>
    <hyperlink ref="E24" r:id="rId15" display="mailto:cht.sunfar@mail.sunfar.com.tw"/>
    <hyperlink ref="E25" r:id="rId16" display="mailto:cht.sunfar@mail.sunfar.com.tw"/>
    <hyperlink ref="E26" r:id="rId17" display="mailto:cht.sunfar@mail.sunfar.com.tw"/>
    <hyperlink ref="E27" r:id="rId18" display="mailto:cht.sunfar@mail.sunfar.com.tw"/>
    <hyperlink ref="E28" r:id="rId19" display="mailto:09038@mail.sunfar.com.tw"/>
    <hyperlink ref="E34" r:id="rId20" display="mailto:sarahlai@hostan.com.tw"/>
    <hyperlink ref="E35" r:id="rId21" display="mailto:tonlinserver@gmail.com"/>
    <hyperlink ref="E36" r:id="rId22" display="mailto:Annie.Wang@taidoc.com.tw"/>
    <hyperlink ref="E37" r:id="rId23" display="mailto:jacky@taidoc.com.tw"/>
    <hyperlink ref="E39" r:id="rId24" display="mailto:Yuki@thebest.com.tw"/>
    <hyperlink ref="E40" r:id="rId25" display="mailto:sb7398@sanyo.com.tw"/>
    <hyperlink ref="E44" r:id="rId26" display="mailto:bass01@b-a-s-s.com.tw"/>
    <hyperlink ref="E45" r:id="rId27" display="mailto:jia@b-a-s-s.com.tw"/>
    <hyperlink ref="E46" r:id="rId28" display="mailto:Hi-netplace@xander.com.tw"/>
    <hyperlink ref="E49" r:id="rId29" display="mailto:philo1699@gmail.com"/>
    <hyperlink ref="E50" r:id="rId30" display="mailto:momoarlink@gmail.com"/>
    <hyperlink ref="E56" r:id="rId31" display="mailto:sales@dpsmart.com.tw"/>
    <hyperlink ref="E57" r:id="rId32" display="mailto:alex.chan@dpsmart.com.tw"/>
    <hyperlink ref="E59" r:id="rId33" display="mailto:maggie1225@htt.com.tw"/>
    <hyperlink ref="E60" r:id="rId34" display="mailto:htt.service@msa.hinet.net"/>
    <hyperlink ref="E61" r:id="rId35" display="mailto:Beata_Lee@mail.nexgen.com.tw"/>
    <hyperlink ref="E63" r:id="rId36" display="mailto:eric_yu@mail.nexgen.com.tw"/>
    <hyperlink ref="E64" r:id="rId37" display="mailto:jill_yang@mail.nexgen.com.tw"/>
    <hyperlink ref="E66" r:id="rId38" display="mailto:eric_yu@mail.nexgen.com.tw"/>
    <hyperlink ref="E76" r:id="rId39" display="mailto:william@quasi.com.tw"/>
  </hyperlinks>
  <pageMargins left="0.7" right="0.7" top="0.75" bottom="0.75" header="0.3" footer="0.3"/>
  <pageSetup paperSize="9" orientation="portrait" horizontalDpi="0" verticalDpi="0"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萬元以上冰箱 &amp; 冷凍櫃</vt:lpstr>
      <vt:lpstr>除濕機 &amp; 掃地機</vt:lpstr>
      <vt:lpstr>廠商聯絡清單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577058</dc:creator>
  <cp:lastModifiedBy>Windows User</cp:lastModifiedBy>
  <dcterms:created xsi:type="dcterms:W3CDTF">2024-02-21T01:00:02Z</dcterms:created>
  <dcterms:modified xsi:type="dcterms:W3CDTF">2024-02-21T06:52:34Z</dcterms:modified>
</cp:coreProperties>
</file>