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a\Desktop\"/>
    </mc:Choice>
  </mc:AlternateContent>
  <bookViews>
    <workbookView xWindow="0" yWindow="0" windowWidth="11775" windowHeight="9930"/>
  </bookViews>
  <sheets>
    <sheet name="家電一覽表" sheetId="1" r:id="rId1"/>
    <sheet name="廠商聯絡清單" sheetId="7" state="hidden" r:id="rId2"/>
  </sheets>
  <calcPr calcId="162913"/>
</workbook>
</file>

<file path=xl/calcChain.xml><?xml version="1.0" encoding="utf-8"?>
<calcChain xmlns="http://schemas.openxmlformats.org/spreadsheetml/2006/main">
  <c r="E86" i="7" l="1"/>
  <c r="C81" i="7"/>
  <c r="D76" i="7"/>
  <c r="B72" i="7"/>
  <c r="D65" i="7"/>
  <c r="E58" i="7"/>
  <c r="A54" i="7"/>
  <c r="B49" i="7"/>
  <c r="C43" i="7"/>
  <c r="A39" i="7"/>
  <c r="D34" i="7"/>
  <c r="E29" i="7"/>
  <c r="C23" i="7"/>
  <c r="E17" i="7"/>
  <c r="A13" i="7"/>
  <c r="E6" i="7"/>
  <c r="C1" i="7"/>
  <c r="D86" i="7"/>
  <c r="B81" i="7"/>
  <c r="C76" i="7"/>
  <c r="A72" i="7"/>
  <c r="C65" i="7"/>
  <c r="D58" i="7"/>
  <c r="E53" i="7"/>
  <c r="A49" i="7"/>
  <c r="E42" i="7"/>
  <c r="E38" i="7"/>
  <c r="C34" i="7"/>
  <c r="D29" i="7"/>
  <c r="E22" i="7"/>
  <c r="D17" i="7"/>
  <c r="C12" i="7"/>
  <c r="D6" i="7"/>
  <c r="B1" i="7"/>
  <c r="C86" i="7"/>
  <c r="A81" i="7"/>
  <c r="B76" i="7"/>
  <c r="E71" i="7"/>
  <c r="E64" i="7"/>
  <c r="C58" i="7"/>
  <c r="D53" i="7"/>
  <c r="D48" i="7"/>
  <c r="D42" i="7"/>
  <c r="D38" i="7"/>
  <c r="B34" i="7"/>
  <c r="C29" i="7"/>
  <c r="D22" i="7"/>
  <c r="C17" i="7"/>
  <c r="B12" i="7"/>
  <c r="C6" i="7"/>
  <c r="A1" i="7"/>
  <c r="E84" i="7"/>
  <c r="E80" i="7"/>
  <c r="A76" i="7"/>
  <c r="D71" i="7"/>
  <c r="D64" i="7"/>
  <c r="B58" i="7"/>
  <c r="C53" i="7"/>
  <c r="C48" i="7"/>
  <c r="C42" i="7"/>
  <c r="C38" i="7"/>
  <c r="A34" i="7"/>
  <c r="E28" i="7"/>
  <c r="C22" i="7"/>
  <c r="E16" i="7"/>
  <c r="E11" i="7"/>
  <c r="E5" i="7"/>
  <c r="D84" i="7"/>
  <c r="C84" i="7"/>
  <c r="B84" i="7"/>
  <c r="B80" i="7"/>
  <c r="C75" i="7"/>
  <c r="D70" i="7"/>
  <c r="D63" i="7"/>
  <c r="D57" i="7"/>
  <c r="C52" i="7"/>
  <c r="C47" i="7"/>
  <c r="E41" i="7"/>
  <c r="E37" i="7"/>
  <c r="C33" i="7"/>
  <c r="E27" i="7"/>
  <c r="C21" i="7"/>
  <c r="B16" i="7"/>
  <c r="E10" i="7"/>
  <c r="B5" i="7"/>
  <c r="A84" i="7"/>
  <c r="A80" i="7"/>
  <c r="B75" i="7"/>
  <c r="C70" i="7"/>
  <c r="C63" i="7"/>
  <c r="C57" i="7"/>
  <c r="B52" i="7"/>
  <c r="E46" i="7"/>
  <c r="D41" i="7"/>
  <c r="D37" i="7"/>
  <c r="E32" i="7"/>
  <c r="D27" i="7"/>
  <c r="B21" i="7"/>
  <c r="A16" i="7"/>
  <c r="D10" i="7"/>
  <c r="A5" i="7"/>
  <c r="E83" i="7"/>
  <c r="D83" i="7"/>
  <c r="D79" i="7"/>
  <c r="E74" i="7"/>
  <c r="C69" i="7"/>
  <c r="D62" i="7"/>
  <c r="D56" i="7"/>
  <c r="E51" i="7"/>
  <c r="C46" i="7"/>
  <c r="B41" i="7"/>
  <c r="E36" i="7"/>
  <c r="C32" i="7"/>
  <c r="E26" i="7"/>
  <c r="E20" i="7"/>
  <c r="D15" i="7"/>
  <c r="B10" i="7"/>
  <c r="B4" i="7"/>
  <c r="B83" i="7"/>
  <c r="E78" i="7"/>
  <c r="C74" i="7"/>
  <c r="D68" i="7"/>
  <c r="E61" i="7"/>
  <c r="B56" i="7"/>
  <c r="C51" i="7"/>
  <c r="A46" i="7"/>
  <c r="E40" i="7"/>
  <c r="C36" i="7"/>
  <c r="A32" i="7"/>
  <c r="C26" i="7"/>
  <c r="C20" i="7"/>
  <c r="E14" i="7"/>
  <c r="E9" i="7"/>
  <c r="D3" i="7"/>
  <c r="A83" i="7"/>
  <c r="E82" i="7"/>
  <c r="C78" i="7"/>
  <c r="A74" i="7"/>
  <c r="E67" i="7"/>
  <c r="C61" i="7"/>
  <c r="E55" i="7"/>
  <c r="A51" i="7"/>
  <c r="D45" i="7"/>
  <c r="C40" i="7"/>
  <c r="A36" i="7"/>
  <c r="D31" i="7"/>
  <c r="D25" i="7"/>
  <c r="D19" i="7"/>
  <c r="C14" i="7"/>
  <c r="C9" i="7"/>
  <c r="E2" i="7"/>
  <c r="D81" i="7"/>
  <c r="E76" i="7"/>
  <c r="C72" i="7"/>
  <c r="E65" i="7"/>
  <c r="C59" i="7"/>
  <c r="B54" i="7"/>
  <c r="C49" i="7"/>
  <c r="A44" i="7"/>
  <c r="B39" i="7"/>
  <c r="E34" i="7"/>
  <c r="A30" i="7"/>
  <c r="A24" i="7"/>
  <c r="C18" i="7"/>
  <c r="B13" i="7"/>
  <c r="C7" i="7"/>
  <c r="D1" i="7"/>
  <c r="C83" i="7"/>
  <c r="B74" i="7"/>
  <c r="D61" i="7"/>
  <c r="B51" i="7"/>
  <c r="D40" i="7"/>
  <c r="E31" i="7"/>
  <c r="E19" i="7"/>
  <c r="D9" i="7"/>
  <c r="D82" i="7"/>
  <c r="E73" i="7"/>
  <c r="E60" i="7"/>
  <c r="E50" i="7"/>
  <c r="B40" i="7"/>
  <c r="C31" i="7"/>
  <c r="C19" i="7"/>
  <c r="E8" i="7"/>
  <c r="C82" i="7"/>
  <c r="D73" i="7"/>
  <c r="D60" i="7"/>
  <c r="D50" i="7"/>
  <c r="A40" i="7"/>
  <c r="E30" i="7"/>
  <c r="B19" i="7"/>
  <c r="D8" i="7"/>
  <c r="B82" i="7"/>
  <c r="C73" i="7"/>
  <c r="C60" i="7"/>
  <c r="C50" i="7"/>
  <c r="E39" i="7"/>
  <c r="D30" i="7"/>
  <c r="A19" i="7"/>
  <c r="C8" i="7"/>
  <c r="A82" i="7"/>
  <c r="E72" i="7"/>
  <c r="E59" i="7"/>
  <c r="E49" i="7"/>
  <c r="D39" i="7"/>
  <c r="C30" i="7"/>
  <c r="E18" i="7"/>
  <c r="E7" i="7"/>
  <c r="E81" i="7"/>
  <c r="D72" i="7"/>
  <c r="D59" i="7"/>
  <c r="D49" i="7"/>
  <c r="C39" i="7"/>
  <c r="B30" i="7"/>
  <c r="D18" i="7"/>
  <c r="D7" i="7"/>
  <c r="D80" i="7"/>
  <c r="C71" i="7"/>
  <c r="A58" i="7"/>
  <c r="E47" i="7"/>
  <c r="B38" i="7"/>
  <c r="D28" i="7"/>
  <c r="D16" i="7"/>
  <c r="D5" i="7"/>
  <c r="C80" i="7"/>
  <c r="E70" i="7"/>
  <c r="E57" i="7"/>
  <c r="D47" i="7"/>
  <c r="A38" i="7"/>
  <c r="C28" i="7"/>
  <c r="C16" i="7"/>
  <c r="C5" i="7"/>
  <c r="B78" i="7"/>
  <c r="D67" i="7"/>
  <c r="D55" i="7"/>
  <c r="C45" i="7"/>
  <c r="E35" i="7"/>
  <c r="C25" i="7"/>
  <c r="B14" i="7"/>
  <c r="D2" i="7"/>
  <c r="E79" i="7"/>
  <c r="E62" i="7"/>
  <c r="B42" i="7"/>
  <c r="C24" i="7"/>
  <c r="C2" i="7"/>
  <c r="C79" i="7"/>
  <c r="C62" i="7"/>
  <c r="A42" i="7"/>
  <c r="B24" i="7"/>
  <c r="B2" i="7"/>
  <c r="D78" i="7"/>
  <c r="E56" i="7"/>
  <c r="C41" i="7"/>
  <c r="E21" i="7"/>
  <c r="A2" i="7"/>
  <c r="A78" i="7"/>
  <c r="C56" i="7"/>
  <c r="A41" i="7"/>
  <c r="D21" i="7"/>
  <c r="E1" i="7"/>
  <c r="E77" i="7"/>
  <c r="A56" i="7"/>
  <c r="C37" i="7"/>
  <c r="A21" i="7"/>
  <c r="D77" i="7"/>
  <c r="C55" i="7"/>
  <c r="D36" i="7"/>
  <c r="D20" i="7"/>
  <c r="C77" i="7"/>
  <c r="E54" i="7"/>
  <c r="B36" i="7"/>
  <c r="E15" i="7"/>
  <c r="D69" i="7"/>
  <c r="A52" i="7"/>
  <c r="E33" i="7"/>
  <c r="D13" i="7"/>
  <c r="E68" i="7"/>
  <c r="D51" i="7"/>
  <c r="D33" i="7"/>
  <c r="C13" i="7"/>
  <c r="E63" i="7"/>
  <c r="B44" i="7"/>
  <c r="D24" i="7"/>
  <c r="C3" i="7"/>
  <c r="E75" i="7"/>
  <c r="D35" i="7"/>
  <c r="D75" i="7"/>
  <c r="C35" i="7"/>
  <c r="A75" i="7"/>
  <c r="B35" i="7"/>
  <c r="D74" i="7"/>
  <c r="A35" i="7"/>
  <c r="C68" i="7"/>
  <c r="D32" i="7"/>
  <c r="C67" i="7"/>
  <c r="B32" i="7"/>
  <c r="E66" i="7"/>
  <c r="C27" i="7"/>
  <c r="D66" i="7"/>
  <c r="D26" i="7"/>
  <c r="C54" i="7"/>
  <c r="D14" i="7"/>
  <c r="C44" i="7"/>
  <c r="E3" i="7"/>
  <c r="C66" i="7"/>
  <c r="C64" i="7"/>
  <c r="D54" i="7"/>
  <c r="E52" i="7"/>
  <c r="D52" i="7"/>
  <c r="D46" i="7"/>
  <c r="B46" i="7"/>
  <c r="E45" i="7"/>
  <c r="E24" i="7"/>
  <c r="C4" i="7"/>
  <c r="E44" i="7"/>
  <c r="D44" i="7"/>
  <c r="E25" i="7"/>
  <c r="C15" i="7"/>
  <c r="A14" i="7"/>
  <c r="E13" i="7"/>
  <c r="D11" i="7"/>
  <c r="C11" i="7"/>
  <c r="C10" i="7"/>
  <c r="A10" i="7"/>
  <c r="P1650" i="1"/>
  <c r="N1649" i="1"/>
  <c r="K1648" i="1"/>
  <c r="H1647" i="1"/>
  <c r="F1646" i="1"/>
  <c r="D1645" i="1"/>
  <c r="B1644" i="1"/>
  <c r="AA1642" i="1"/>
  <c r="R1641" i="1"/>
  <c r="P1640" i="1"/>
  <c r="N1639" i="1"/>
  <c r="K1638" i="1"/>
  <c r="H1637" i="1"/>
  <c r="F1636" i="1"/>
  <c r="D1635" i="1"/>
  <c r="B1634" i="1"/>
  <c r="AA1632" i="1"/>
  <c r="R1631" i="1"/>
  <c r="P1630" i="1"/>
  <c r="N1629" i="1"/>
  <c r="K1628" i="1"/>
  <c r="H1627" i="1"/>
  <c r="F1626" i="1"/>
  <c r="B1625" i="1"/>
  <c r="N1623" i="1"/>
  <c r="J1622" i="1"/>
  <c r="F1621" i="1"/>
  <c r="B1620" i="1"/>
  <c r="L1618" i="1"/>
  <c r="D1617" i="1"/>
  <c r="N1615" i="1"/>
  <c r="F1614" i="1"/>
  <c r="AA1612" i="1"/>
  <c r="H1611" i="1"/>
  <c r="B1610" i="1"/>
  <c r="L1608" i="1"/>
  <c r="H1607" i="1"/>
  <c r="F1606" i="1"/>
  <c r="D1605" i="1"/>
  <c r="B1604" i="1"/>
  <c r="AA1602" i="1"/>
  <c r="R1601" i="1"/>
  <c r="P1600" i="1"/>
  <c r="N1599" i="1"/>
  <c r="K1598" i="1"/>
  <c r="K1597" i="1"/>
  <c r="L1596" i="1"/>
  <c r="H1595" i="1"/>
  <c r="D1594" i="1"/>
  <c r="AA1592" i="1"/>
  <c r="O1591" i="1"/>
  <c r="H1590" i="1"/>
  <c r="O1650" i="1"/>
  <c r="L1649" i="1"/>
  <c r="I1648" i="1"/>
  <c r="G1647" i="1"/>
  <c r="E1646" i="1"/>
  <c r="C1645" i="1"/>
  <c r="A1644" i="1"/>
  <c r="U1642" i="1"/>
  <c r="Q1641" i="1"/>
  <c r="O1640" i="1"/>
  <c r="L1639" i="1"/>
  <c r="I1638" i="1"/>
  <c r="G1637" i="1"/>
  <c r="E1636" i="1"/>
  <c r="C1635" i="1"/>
  <c r="A1634" i="1"/>
  <c r="U1632" i="1"/>
  <c r="Q1631" i="1"/>
  <c r="O1630" i="1"/>
  <c r="L1629" i="1"/>
  <c r="I1628" i="1"/>
  <c r="G1627" i="1"/>
  <c r="E1626" i="1"/>
  <c r="A1625" i="1"/>
  <c r="M1623" i="1"/>
  <c r="I1622" i="1"/>
  <c r="E1621" i="1"/>
  <c r="A1620" i="1"/>
  <c r="I1618" i="1"/>
  <c r="C1617" i="1"/>
  <c r="M1615" i="1"/>
  <c r="E1614" i="1"/>
  <c r="R1612" i="1"/>
  <c r="G1611" i="1"/>
  <c r="A1610" i="1"/>
  <c r="I1608" i="1"/>
  <c r="G1607" i="1"/>
  <c r="E1606" i="1"/>
  <c r="C1605" i="1"/>
  <c r="A1604" i="1"/>
  <c r="U1602" i="1"/>
  <c r="Q1601" i="1"/>
  <c r="O1600" i="1"/>
  <c r="L1599" i="1"/>
  <c r="I1598" i="1"/>
  <c r="J1597" i="1"/>
  <c r="K1596" i="1"/>
  <c r="G1595" i="1"/>
  <c r="C1594" i="1"/>
  <c r="R1592" i="1"/>
  <c r="N1591" i="1"/>
  <c r="G1590" i="1"/>
  <c r="H1650" i="1"/>
  <c r="D1649" i="1"/>
  <c r="AA1647" i="1"/>
  <c r="P1646" i="1"/>
  <c r="K1645" i="1"/>
  <c r="F1644" i="1"/>
  <c r="B1643" i="1"/>
  <c r="P1641" i="1"/>
  <c r="K1640" i="1"/>
  <c r="F1639" i="1"/>
  <c r="B1638" i="1"/>
  <c r="R1636" i="1"/>
  <c r="N1635" i="1"/>
  <c r="H1634" i="1"/>
  <c r="D1633" i="1"/>
  <c r="AA1631" i="1"/>
  <c r="N1630" i="1"/>
  <c r="H1629" i="1"/>
  <c r="D1628" i="1"/>
  <c r="AA1626" i="1"/>
  <c r="L1625" i="1"/>
  <c r="F1624" i="1"/>
  <c r="AA1622" i="1"/>
  <c r="J1621" i="1"/>
  <c r="D1620" i="1"/>
  <c r="H1618" i="1"/>
  <c r="AA1616" i="1"/>
  <c r="F1615" i="1"/>
  <c r="N1613" i="1"/>
  <c r="D1612" i="1"/>
  <c r="L1610" i="1"/>
  <c r="B1609" i="1"/>
  <c r="N1607" i="1"/>
  <c r="H1606" i="1"/>
  <c r="B1605" i="1"/>
  <c r="R1603" i="1"/>
  <c r="N1602" i="1"/>
  <c r="H1601" i="1"/>
  <c r="D1600" i="1"/>
  <c r="AA1598" i="1"/>
  <c r="Q1597" i="1"/>
  <c r="P1596" i="1"/>
  <c r="L1595" i="1"/>
  <c r="B1594" i="1"/>
  <c r="O1592" i="1"/>
  <c r="F1591" i="1"/>
  <c r="AA1589" i="1"/>
  <c r="R1588" i="1"/>
  <c r="P1587" i="1"/>
  <c r="N1586" i="1"/>
  <c r="K1585" i="1"/>
  <c r="H1584" i="1"/>
  <c r="G1650" i="1"/>
  <c r="C1649" i="1"/>
  <c r="U1647" i="1"/>
  <c r="O1646" i="1"/>
  <c r="I1645" i="1"/>
  <c r="E1644" i="1"/>
  <c r="A1643" i="1"/>
  <c r="O1641" i="1"/>
  <c r="I1640" i="1"/>
  <c r="E1639" i="1"/>
  <c r="A1638" i="1"/>
  <c r="Q1636" i="1"/>
  <c r="L1635" i="1"/>
  <c r="G1634" i="1"/>
  <c r="C1633" i="1"/>
  <c r="U1631" i="1"/>
  <c r="L1630" i="1"/>
  <c r="G1629" i="1"/>
  <c r="C1628" i="1"/>
  <c r="U1626" i="1"/>
  <c r="K1625" i="1"/>
  <c r="E1624" i="1"/>
  <c r="R1622" i="1"/>
  <c r="I1621" i="1"/>
  <c r="C1620" i="1"/>
  <c r="G1618" i="1"/>
  <c r="R1616" i="1"/>
  <c r="E1615" i="1"/>
  <c r="M1613" i="1"/>
  <c r="C1612" i="1"/>
  <c r="I1610" i="1"/>
  <c r="A1609" i="1"/>
  <c r="L1607" i="1"/>
  <c r="G1606" i="1"/>
  <c r="A1605" i="1"/>
  <c r="Q1603" i="1"/>
  <c r="L1602" i="1"/>
  <c r="G1601" i="1"/>
  <c r="C1600" i="1"/>
  <c r="U1598" i="1"/>
  <c r="P1597" i="1"/>
  <c r="O1596" i="1"/>
  <c r="I1595" i="1"/>
  <c r="A1594" i="1"/>
  <c r="N1592" i="1"/>
  <c r="E1591" i="1"/>
  <c r="U1589" i="1"/>
  <c r="Q1588" i="1"/>
  <c r="O1587" i="1"/>
  <c r="L1586" i="1"/>
  <c r="I1585" i="1"/>
  <c r="G1584" i="1"/>
  <c r="E1583" i="1"/>
  <c r="C1582" i="1"/>
  <c r="A1581" i="1"/>
  <c r="U1579" i="1"/>
  <c r="Q1578" i="1"/>
  <c r="O1577" i="1"/>
  <c r="F1650" i="1"/>
  <c r="B1649" i="1"/>
  <c r="R1647" i="1"/>
  <c r="N1646" i="1"/>
  <c r="H1645" i="1"/>
  <c r="D1644" i="1"/>
  <c r="R1642" i="1"/>
  <c r="N1641" i="1"/>
  <c r="H1640" i="1"/>
  <c r="D1639" i="1"/>
  <c r="AA1637" i="1"/>
  <c r="P1636" i="1"/>
  <c r="K1635" i="1"/>
  <c r="F1634" i="1"/>
  <c r="B1633" i="1"/>
  <c r="P1631" i="1"/>
  <c r="K1630" i="1"/>
  <c r="F1629" i="1"/>
  <c r="B1628" i="1"/>
  <c r="R1626" i="1"/>
  <c r="J1625" i="1"/>
  <c r="D1624" i="1"/>
  <c r="N1622" i="1"/>
  <c r="H1621" i="1"/>
  <c r="AA1619" i="1"/>
  <c r="F1618" i="1"/>
  <c r="N1616" i="1"/>
  <c r="D1615" i="1"/>
  <c r="L1613" i="1"/>
  <c r="B1612" i="1"/>
  <c r="H1610" i="1"/>
  <c r="AA1608" i="1"/>
  <c r="K1607" i="1"/>
  <c r="D1606" i="1"/>
  <c r="AA1604" i="1"/>
  <c r="P1603" i="1"/>
  <c r="K1602" i="1"/>
  <c r="F1601" i="1"/>
  <c r="B1600" i="1"/>
  <c r="R1598" i="1"/>
  <c r="O1597" i="1"/>
  <c r="N1596" i="1"/>
  <c r="F1595" i="1"/>
  <c r="AA1593" i="1"/>
  <c r="L1592" i="1"/>
  <c r="D1591" i="1"/>
  <c r="R1589" i="1"/>
  <c r="P1588" i="1"/>
  <c r="N1587" i="1"/>
  <c r="E1650" i="1"/>
  <c r="A1649" i="1"/>
  <c r="Q1647" i="1"/>
  <c r="L1646" i="1"/>
  <c r="G1645" i="1"/>
  <c r="C1644" i="1"/>
  <c r="Q1642" i="1"/>
  <c r="L1641" i="1"/>
  <c r="G1640" i="1"/>
  <c r="C1639" i="1"/>
  <c r="U1637" i="1"/>
  <c r="O1636" i="1"/>
  <c r="I1635" i="1"/>
  <c r="E1634" i="1"/>
  <c r="A1633" i="1"/>
  <c r="O1631" i="1"/>
  <c r="I1630" i="1"/>
  <c r="E1629" i="1"/>
  <c r="A1628" i="1"/>
  <c r="Q1626" i="1"/>
  <c r="I1625" i="1"/>
  <c r="C1624" i="1"/>
  <c r="M1622" i="1"/>
  <c r="G1621" i="1"/>
  <c r="R1619" i="1"/>
  <c r="E1618" i="1"/>
  <c r="M1616" i="1"/>
  <c r="C1615" i="1"/>
  <c r="I1613" i="1"/>
  <c r="A1612" i="1"/>
  <c r="G1610" i="1"/>
  <c r="R1608" i="1"/>
  <c r="I1607" i="1"/>
  <c r="C1606" i="1"/>
  <c r="U1604" i="1"/>
  <c r="O1603" i="1"/>
  <c r="I1602" i="1"/>
  <c r="E1601" i="1"/>
  <c r="A1600" i="1"/>
  <c r="Q1598" i="1"/>
  <c r="N1597" i="1"/>
  <c r="M1596" i="1"/>
  <c r="E1595" i="1"/>
  <c r="R1593" i="1"/>
  <c r="I1592" i="1"/>
  <c r="C1591" i="1"/>
  <c r="Q1589" i="1"/>
  <c r="O1588" i="1"/>
  <c r="L1587" i="1"/>
  <c r="D1650" i="1"/>
  <c r="AA1648" i="1"/>
  <c r="P1647" i="1"/>
  <c r="K1646" i="1"/>
  <c r="F1645" i="1"/>
  <c r="AA1643" i="1"/>
  <c r="P1642" i="1"/>
  <c r="K1641" i="1"/>
  <c r="F1640" i="1"/>
  <c r="B1639" i="1"/>
  <c r="R1637" i="1"/>
  <c r="N1636" i="1"/>
  <c r="H1635" i="1"/>
  <c r="D1634" i="1"/>
  <c r="R1632" i="1"/>
  <c r="N1631" i="1"/>
  <c r="H1630" i="1"/>
  <c r="D1629" i="1"/>
  <c r="AA1627" i="1"/>
  <c r="P1626" i="1"/>
  <c r="H1625" i="1"/>
  <c r="B1624" i="1"/>
  <c r="L1622" i="1"/>
  <c r="D1621" i="1"/>
  <c r="N1619" i="1"/>
  <c r="D1618" i="1"/>
  <c r="L1616" i="1"/>
  <c r="B1615" i="1"/>
  <c r="H1613" i="1"/>
  <c r="AA1611" i="1"/>
  <c r="F1610" i="1"/>
  <c r="N1608" i="1"/>
  <c r="F1607" i="1"/>
  <c r="B1606" i="1"/>
  <c r="R1604" i="1"/>
  <c r="N1603" i="1"/>
  <c r="H1602" i="1"/>
  <c r="D1601" i="1"/>
  <c r="AA1599" i="1"/>
  <c r="P1598" i="1"/>
  <c r="M1597" i="1"/>
  <c r="J1596" i="1"/>
  <c r="D1595" i="1"/>
  <c r="Q1593" i="1"/>
  <c r="C1650" i="1"/>
  <c r="U1648" i="1"/>
  <c r="O1647" i="1"/>
  <c r="I1646" i="1"/>
  <c r="E1645" i="1"/>
  <c r="U1643" i="1"/>
  <c r="O1642" i="1"/>
  <c r="I1641" i="1"/>
  <c r="E1640" i="1"/>
  <c r="A1639" i="1"/>
  <c r="Q1637" i="1"/>
  <c r="L1636" i="1"/>
  <c r="G1635" i="1"/>
  <c r="C1634" i="1"/>
  <c r="Q1632" i="1"/>
  <c r="L1631" i="1"/>
  <c r="G1630" i="1"/>
  <c r="C1629" i="1"/>
  <c r="U1627" i="1"/>
  <c r="O1626" i="1"/>
  <c r="G1625" i="1"/>
  <c r="A1624" i="1"/>
  <c r="K1622" i="1"/>
  <c r="C1621" i="1"/>
  <c r="M1619" i="1"/>
  <c r="C1618" i="1"/>
  <c r="I1616" i="1"/>
  <c r="A1615" i="1"/>
  <c r="G1613" i="1"/>
  <c r="R1611" i="1"/>
  <c r="E1610" i="1"/>
  <c r="M1608" i="1"/>
  <c r="E1607" i="1"/>
  <c r="A1606" i="1"/>
  <c r="Q1604" i="1"/>
  <c r="L1603" i="1"/>
  <c r="G1602" i="1"/>
  <c r="C1601" i="1"/>
  <c r="U1599" i="1"/>
  <c r="O1598" i="1"/>
  <c r="L1597" i="1"/>
  <c r="I1596" i="1"/>
  <c r="C1595" i="1"/>
  <c r="P1593" i="1"/>
  <c r="G1592" i="1"/>
  <c r="A1591" i="1"/>
  <c r="O1589" i="1"/>
  <c r="L1588" i="1"/>
  <c r="I1587" i="1"/>
  <c r="G1586" i="1"/>
  <c r="E1585" i="1"/>
  <c r="C1584" i="1"/>
  <c r="A1583" i="1"/>
  <c r="U1581" i="1"/>
  <c r="Q1580" i="1"/>
  <c r="O1579" i="1"/>
  <c r="L1578" i="1"/>
  <c r="I1577" i="1"/>
  <c r="G1576" i="1"/>
  <c r="E1575" i="1"/>
  <c r="C1574" i="1"/>
  <c r="A1573" i="1"/>
  <c r="U1571" i="1"/>
  <c r="Q1570" i="1"/>
  <c r="O1569" i="1"/>
  <c r="L1568" i="1"/>
  <c r="H1567" i="1"/>
  <c r="E1566" i="1"/>
  <c r="B1565" i="1"/>
  <c r="U1563" i="1"/>
  <c r="O1562" i="1"/>
  <c r="K1561" i="1"/>
  <c r="G1560" i="1"/>
  <c r="D1559" i="1"/>
  <c r="A1558" i="1"/>
  <c r="R1556" i="1"/>
  <c r="N1555" i="1"/>
  <c r="I1554" i="1"/>
  <c r="F1553" i="1"/>
  <c r="C1552" i="1"/>
  <c r="AA1550" i="1"/>
  <c r="S1549" i="1"/>
  <c r="O1548" i="1"/>
  <c r="K1547" i="1"/>
  <c r="I1546" i="1"/>
  <c r="F1545" i="1"/>
  <c r="D1544" i="1"/>
  <c r="A1543" i="1"/>
  <c r="P1541" i="1"/>
  <c r="L1540" i="1"/>
  <c r="I1539" i="1"/>
  <c r="F1538" i="1"/>
  <c r="C1537" i="1"/>
  <c r="AA1535" i="1"/>
  <c r="Q1534" i="1"/>
  <c r="P1533" i="1"/>
  <c r="N1532" i="1"/>
  <c r="M1531" i="1"/>
  <c r="L1530" i="1"/>
  <c r="K1529" i="1"/>
  <c r="J1528" i="1"/>
  <c r="I1527" i="1"/>
  <c r="K1526" i="1"/>
  <c r="P1525" i="1"/>
  <c r="U1524" i="1"/>
  <c r="A1524" i="1"/>
  <c r="F1523" i="1"/>
  <c r="K1522" i="1"/>
  <c r="P1521" i="1"/>
  <c r="V1520" i="1"/>
  <c r="A1520" i="1"/>
  <c r="F1519" i="1"/>
  <c r="K1518" i="1"/>
  <c r="P1517" i="1"/>
  <c r="U1516" i="1"/>
  <c r="AA1515" i="1"/>
  <c r="B1650" i="1"/>
  <c r="R1648" i="1"/>
  <c r="N1647" i="1"/>
  <c r="H1646" i="1"/>
  <c r="B1645" i="1"/>
  <c r="R1643" i="1"/>
  <c r="N1642" i="1"/>
  <c r="H1641" i="1"/>
  <c r="D1640" i="1"/>
  <c r="AA1638" i="1"/>
  <c r="P1637" i="1"/>
  <c r="K1636" i="1"/>
  <c r="F1635" i="1"/>
  <c r="AA1633" i="1"/>
  <c r="P1632" i="1"/>
  <c r="K1631" i="1"/>
  <c r="F1630" i="1"/>
  <c r="B1629" i="1"/>
  <c r="R1627" i="1"/>
  <c r="N1626" i="1"/>
  <c r="F1625" i="1"/>
  <c r="AA1623" i="1"/>
  <c r="H1622" i="1"/>
  <c r="B1621" i="1"/>
  <c r="L1619" i="1"/>
  <c r="B1618" i="1"/>
  <c r="H1616" i="1"/>
  <c r="AA1614" i="1"/>
  <c r="F1613" i="1"/>
  <c r="N1611" i="1"/>
  <c r="D1610" i="1"/>
  <c r="H1608" i="1"/>
  <c r="D1607" i="1"/>
  <c r="AA1605" i="1"/>
  <c r="P1604" i="1"/>
  <c r="K1603" i="1"/>
  <c r="F1602" i="1"/>
  <c r="B1601" i="1"/>
  <c r="R1599" i="1"/>
  <c r="N1598" i="1"/>
  <c r="I1597" i="1"/>
  <c r="H1596" i="1"/>
  <c r="B1595" i="1"/>
  <c r="O1593" i="1"/>
  <c r="F1592" i="1"/>
  <c r="AA1590" i="1"/>
  <c r="N1589" i="1"/>
  <c r="K1588" i="1"/>
  <c r="H1587" i="1"/>
  <c r="F1586" i="1"/>
  <c r="D1585" i="1"/>
  <c r="B1584" i="1"/>
  <c r="AA1582" i="1"/>
  <c r="R1581" i="1"/>
  <c r="P1580" i="1"/>
  <c r="N1579" i="1"/>
  <c r="K1578" i="1"/>
  <c r="H1577" i="1"/>
  <c r="F1576" i="1"/>
  <c r="D1575" i="1"/>
  <c r="B1574" i="1"/>
  <c r="AA1572" i="1"/>
  <c r="R1571" i="1"/>
  <c r="P1570" i="1"/>
  <c r="N1569" i="1"/>
  <c r="K1568" i="1"/>
  <c r="G1567" i="1"/>
  <c r="D1566" i="1"/>
  <c r="A1565" i="1"/>
  <c r="R1563" i="1"/>
  <c r="N1562" i="1"/>
  <c r="I1561" i="1"/>
  <c r="F1560" i="1"/>
  <c r="C1559" i="1"/>
  <c r="AA1557" i="1"/>
  <c r="P1556" i="1"/>
  <c r="L1555" i="1"/>
  <c r="H1554" i="1"/>
  <c r="E1553" i="1"/>
  <c r="B1552" i="1"/>
  <c r="U1550" i="1"/>
  <c r="R1549" i="1"/>
  <c r="N1548" i="1"/>
  <c r="J1547" i="1"/>
  <c r="H1546" i="1"/>
  <c r="E1545" i="1"/>
  <c r="C1544" i="1"/>
  <c r="AA1542" i="1"/>
  <c r="O1541" i="1"/>
  <c r="K1540" i="1"/>
  <c r="H1539" i="1"/>
  <c r="E1538" i="1"/>
  <c r="B1537" i="1"/>
  <c r="R1535" i="1"/>
  <c r="P1534" i="1"/>
  <c r="N1533" i="1"/>
  <c r="M1532" i="1"/>
  <c r="L1531" i="1"/>
  <c r="K1530" i="1"/>
  <c r="J1529" i="1"/>
  <c r="I1528" i="1"/>
  <c r="H1527" i="1"/>
  <c r="J1526" i="1"/>
  <c r="O1525" i="1"/>
  <c r="T1524" i="1"/>
  <c r="AA1523" i="1"/>
  <c r="E1523" i="1"/>
  <c r="J1522" i="1"/>
  <c r="O1521" i="1"/>
  <c r="U1520" i="1"/>
  <c r="AA1519" i="1"/>
  <c r="E1519" i="1"/>
  <c r="J1518" i="1"/>
  <c r="O1517" i="1"/>
  <c r="T1516" i="1"/>
  <c r="Z1515" i="1"/>
  <c r="I1650" i="1"/>
  <c r="E1649" i="1"/>
  <c r="A1648" i="1"/>
  <c r="Q1646" i="1"/>
  <c r="L1645" i="1"/>
  <c r="G1644" i="1"/>
  <c r="C1643" i="1"/>
  <c r="U1641" i="1"/>
  <c r="L1640" i="1"/>
  <c r="G1639" i="1"/>
  <c r="C1638" i="1"/>
  <c r="U1636" i="1"/>
  <c r="O1635" i="1"/>
  <c r="I1634" i="1"/>
  <c r="E1633" i="1"/>
  <c r="A1632" i="1"/>
  <c r="Q1630" i="1"/>
  <c r="I1629" i="1"/>
  <c r="E1628" i="1"/>
  <c r="A1627" i="1"/>
  <c r="M1625" i="1"/>
  <c r="G1624" i="1"/>
  <c r="A1623" i="1"/>
  <c r="K1621" i="1"/>
  <c r="E1620" i="1"/>
  <c r="M1618" i="1"/>
  <c r="A1617" i="1"/>
  <c r="G1615" i="1"/>
  <c r="R1613" i="1"/>
  <c r="E1612" i="1"/>
  <c r="M1610" i="1"/>
  <c r="C1609" i="1"/>
  <c r="O1607" i="1"/>
  <c r="I1606" i="1"/>
  <c r="E1605" i="1"/>
  <c r="U1603" i="1"/>
  <c r="O1602" i="1"/>
  <c r="I1601" i="1"/>
  <c r="E1600" i="1"/>
  <c r="A1599" i="1"/>
  <c r="R1597" i="1"/>
  <c r="Q1596" i="1"/>
  <c r="N1595" i="1"/>
  <c r="P1649" i="1"/>
  <c r="K1647" i="1"/>
  <c r="P1645" i="1"/>
  <c r="K1643" i="1"/>
  <c r="F1641" i="1"/>
  <c r="K1639" i="1"/>
  <c r="F1637" i="1"/>
  <c r="B1635" i="1"/>
  <c r="H1633" i="1"/>
  <c r="D1631" i="1"/>
  <c r="AA1628" i="1"/>
  <c r="D1627" i="1"/>
  <c r="N1624" i="1"/>
  <c r="F1622" i="1"/>
  <c r="H1620" i="1"/>
  <c r="L1617" i="1"/>
  <c r="N1614" i="1"/>
  <c r="H1612" i="1"/>
  <c r="L1609" i="1"/>
  <c r="B1607" i="1"/>
  <c r="H1605" i="1"/>
  <c r="D1603" i="1"/>
  <c r="AA1600" i="1"/>
  <c r="D1599" i="1"/>
  <c r="C1597" i="1"/>
  <c r="AA1594" i="1"/>
  <c r="C1593" i="1"/>
  <c r="R1590" i="1"/>
  <c r="E1589" i="1"/>
  <c r="Q1587" i="1"/>
  <c r="C1586" i="1"/>
  <c r="Q1584" i="1"/>
  <c r="I1583" i="1"/>
  <c r="D1582" i="1"/>
  <c r="R1580" i="1"/>
  <c r="I1579" i="1"/>
  <c r="D1578" i="1"/>
  <c r="U1576" i="1"/>
  <c r="O1575" i="1"/>
  <c r="I1574" i="1"/>
  <c r="E1573" i="1"/>
  <c r="A1572" i="1"/>
  <c r="O1570" i="1"/>
  <c r="I1569" i="1"/>
  <c r="E1568" i="1"/>
  <c r="AA1566" i="1"/>
  <c r="N1565" i="1"/>
  <c r="G1564" i="1"/>
  <c r="B1563" i="1"/>
  <c r="P1561" i="1"/>
  <c r="I1560" i="1"/>
  <c r="B1559" i="1"/>
  <c r="P1557" i="1"/>
  <c r="I1556" i="1"/>
  <c r="D1555" i="1"/>
  <c r="U1553" i="1"/>
  <c r="L1552" i="1"/>
  <c r="F1551" i="1"/>
  <c r="B1550" i="1"/>
  <c r="S1548" i="1"/>
  <c r="I1547" i="1"/>
  <c r="E1546" i="1"/>
  <c r="AA1544" i="1"/>
  <c r="N1543" i="1"/>
  <c r="H1542" i="1"/>
  <c r="C1541" i="1"/>
  <c r="P1539" i="1"/>
  <c r="J1538" i="1"/>
  <c r="E1537" i="1"/>
  <c r="P1535" i="1"/>
  <c r="L1534" i="1"/>
  <c r="I1533" i="1"/>
  <c r="F1532" i="1"/>
  <c r="C1531" i="1"/>
  <c r="AA1529" i="1"/>
  <c r="Q1528" i="1"/>
  <c r="M1527" i="1"/>
  <c r="M1526" i="1"/>
  <c r="N1525" i="1"/>
  <c r="Q1524" i="1"/>
  <c r="T1523" i="1"/>
  <c r="Y1522" i="1"/>
  <c r="A1522" i="1"/>
  <c r="D1521" i="1"/>
  <c r="G1520" i="1"/>
  <c r="J1519" i="1"/>
  <c r="O1649" i="1"/>
  <c r="I1647" i="1"/>
  <c r="O1645" i="1"/>
  <c r="I1643" i="1"/>
  <c r="E1641" i="1"/>
  <c r="I1639" i="1"/>
  <c r="E1637" i="1"/>
  <c r="A1635" i="1"/>
  <c r="G1633" i="1"/>
  <c r="C1631" i="1"/>
  <c r="U1628" i="1"/>
  <c r="C1627" i="1"/>
  <c r="M1624" i="1"/>
  <c r="E1622" i="1"/>
  <c r="G1620" i="1"/>
  <c r="I1617" i="1"/>
  <c r="M1614" i="1"/>
  <c r="G1612" i="1"/>
  <c r="I1609" i="1"/>
  <c r="A1607" i="1"/>
  <c r="G1605" i="1"/>
  <c r="C1603" i="1"/>
  <c r="U1600" i="1"/>
  <c r="C1599" i="1"/>
  <c r="B1597" i="1"/>
  <c r="R1594" i="1"/>
  <c r="B1593" i="1"/>
  <c r="Q1590" i="1"/>
  <c r="D1589" i="1"/>
  <c r="K1587" i="1"/>
  <c r="B1586" i="1"/>
  <c r="P1584" i="1"/>
  <c r="H1583" i="1"/>
  <c r="B1582" i="1"/>
  <c r="O1580" i="1"/>
  <c r="H1579" i="1"/>
  <c r="C1578" i="1"/>
  <c r="R1576" i="1"/>
  <c r="N1575" i="1"/>
  <c r="H1574" i="1"/>
  <c r="D1573" i="1"/>
  <c r="AA1571" i="1"/>
  <c r="N1570" i="1"/>
  <c r="H1569" i="1"/>
  <c r="D1568" i="1"/>
  <c r="U1566" i="1"/>
  <c r="L1565" i="1"/>
  <c r="F1564" i="1"/>
  <c r="A1563" i="1"/>
  <c r="O1561" i="1"/>
  <c r="H1560" i="1"/>
  <c r="A1559" i="1"/>
  <c r="O1557" i="1"/>
  <c r="H1556" i="1"/>
  <c r="C1555" i="1"/>
  <c r="R1553" i="1"/>
  <c r="K1552" i="1"/>
  <c r="E1551" i="1"/>
  <c r="A1550" i="1"/>
  <c r="R1548" i="1"/>
  <c r="H1547" i="1"/>
  <c r="D1546" i="1"/>
  <c r="S1544" i="1"/>
  <c r="L1543" i="1"/>
  <c r="G1542" i="1"/>
  <c r="B1541" i="1"/>
  <c r="O1539" i="1"/>
  <c r="I1538" i="1"/>
  <c r="D1537" i="1"/>
  <c r="O1535" i="1"/>
  <c r="K1534" i="1"/>
  <c r="H1533" i="1"/>
  <c r="E1532" i="1"/>
  <c r="B1531" i="1"/>
  <c r="U1529" i="1"/>
  <c r="P1528" i="1"/>
  <c r="L1527" i="1"/>
  <c r="L1526" i="1"/>
  <c r="M1525" i="1"/>
  <c r="P1524" i="1"/>
  <c r="S1523" i="1"/>
  <c r="V1522" i="1"/>
  <c r="K1649" i="1"/>
  <c r="F1647" i="1"/>
  <c r="N1645" i="1"/>
  <c r="H1643" i="1"/>
  <c r="D1641" i="1"/>
  <c r="H1639" i="1"/>
  <c r="D1637" i="1"/>
  <c r="AA1634" i="1"/>
  <c r="F1633" i="1"/>
  <c r="B1631" i="1"/>
  <c r="R1628" i="1"/>
  <c r="B1627" i="1"/>
  <c r="L1624" i="1"/>
  <c r="D1622" i="1"/>
  <c r="F1620" i="1"/>
  <c r="H1617" i="1"/>
  <c r="L1614" i="1"/>
  <c r="F1612" i="1"/>
  <c r="H1609" i="1"/>
  <c r="AA1606" i="1"/>
  <c r="F1605" i="1"/>
  <c r="B1603" i="1"/>
  <c r="R1600" i="1"/>
  <c r="B1599" i="1"/>
  <c r="A1597" i="1"/>
  <c r="Q1594" i="1"/>
  <c r="A1593" i="1"/>
  <c r="P1590" i="1"/>
  <c r="C1589" i="1"/>
  <c r="G1587" i="1"/>
  <c r="A1586" i="1"/>
  <c r="O1584" i="1"/>
  <c r="G1583" i="1"/>
  <c r="A1582" i="1"/>
  <c r="N1580" i="1"/>
  <c r="G1579" i="1"/>
  <c r="B1578" i="1"/>
  <c r="Q1576" i="1"/>
  <c r="L1575" i="1"/>
  <c r="G1574" i="1"/>
  <c r="C1573" i="1"/>
  <c r="Q1571" i="1"/>
  <c r="L1570" i="1"/>
  <c r="G1569" i="1"/>
  <c r="C1568" i="1"/>
  <c r="R1566" i="1"/>
  <c r="K1565" i="1"/>
  <c r="E1564" i="1"/>
  <c r="AA1562" i="1"/>
  <c r="N1561" i="1"/>
  <c r="E1560" i="1"/>
  <c r="AA1558" i="1"/>
  <c r="N1557" i="1"/>
  <c r="G1556" i="1"/>
  <c r="B1555" i="1"/>
  <c r="P1553" i="1"/>
  <c r="I1552" i="1"/>
  <c r="D1551" i="1"/>
  <c r="AA1549" i="1"/>
  <c r="L1548" i="1"/>
  <c r="G1547" i="1"/>
  <c r="C1546" i="1"/>
  <c r="R1544" i="1"/>
  <c r="K1543" i="1"/>
  <c r="F1542" i="1"/>
  <c r="A1541" i="1"/>
  <c r="N1539" i="1"/>
  <c r="H1538" i="1"/>
  <c r="A1537" i="1"/>
  <c r="N1535" i="1"/>
  <c r="J1534" i="1"/>
  <c r="G1533" i="1"/>
  <c r="D1532" i="1"/>
  <c r="A1531" i="1"/>
  <c r="R1529" i="1"/>
  <c r="N1528" i="1"/>
  <c r="K1527" i="1"/>
  <c r="I1526" i="1"/>
  <c r="I1649" i="1"/>
  <c r="E1647" i="1"/>
  <c r="A1645" i="1"/>
  <c r="G1643" i="1"/>
  <c r="C1641" i="1"/>
  <c r="U1638" i="1"/>
  <c r="C1637" i="1"/>
  <c r="U1634" i="1"/>
  <c r="O1632" i="1"/>
  <c r="A1631" i="1"/>
  <c r="Q1628" i="1"/>
  <c r="L1626" i="1"/>
  <c r="K1624" i="1"/>
  <c r="C1622" i="1"/>
  <c r="I1619" i="1"/>
  <c r="G1617" i="1"/>
  <c r="I1614" i="1"/>
  <c r="M1611" i="1"/>
  <c r="G1609" i="1"/>
  <c r="U1606" i="1"/>
  <c r="O1604" i="1"/>
  <c r="A1603" i="1"/>
  <c r="Q1600" i="1"/>
  <c r="L1598" i="1"/>
  <c r="AA1596" i="1"/>
  <c r="P1594" i="1"/>
  <c r="Q1592" i="1"/>
  <c r="O1590" i="1"/>
  <c r="B1589" i="1"/>
  <c r="F1587" i="1"/>
  <c r="AA1585" i="1"/>
  <c r="N1584" i="1"/>
  <c r="F1583" i="1"/>
  <c r="AA1581" i="1"/>
  <c r="L1580" i="1"/>
  <c r="F1579" i="1"/>
  <c r="A1578" i="1"/>
  <c r="P1576" i="1"/>
  <c r="K1575" i="1"/>
  <c r="F1574" i="1"/>
  <c r="B1573" i="1"/>
  <c r="P1571" i="1"/>
  <c r="K1570" i="1"/>
  <c r="F1569" i="1"/>
  <c r="B1568" i="1"/>
  <c r="P1566" i="1"/>
  <c r="I1565" i="1"/>
  <c r="D1564" i="1"/>
  <c r="U1562" i="1"/>
  <c r="L1561" i="1"/>
  <c r="D1560" i="1"/>
  <c r="U1558" i="1"/>
  <c r="L1557" i="1"/>
  <c r="F1556" i="1"/>
  <c r="A1555" i="1"/>
  <c r="O1553" i="1"/>
  <c r="H1552" i="1"/>
  <c r="C1551" i="1"/>
  <c r="U1549" i="1"/>
  <c r="K1548" i="1"/>
  <c r="F1547" i="1"/>
  <c r="B1546" i="1"/>
  <c r="P1544" i="1"/>
  <c r="J1543" i="1"/>
  <c r="E1542" i="1"/>
  <c r="AA1540" i="1"/>
  <c r="L1539" i="1"/>
  <c r="G1538" i="1"/>
  <c r="AA1536" i="1"/>
  <c r="L1535" i="1"/>
  <c r="I1534" i="1"/>
  <c r="F1533" i="1"/>
  <c r="C1532" i="1"/>
  <c r="AA1530" i="1"/>
  <c r="Q1529" i="1"/>
  <c r="M1528" i="1"/>
  <c r="J1527" i="1"/>
  <c r="H1649" i="1"/>
  <c r="D1647" i="1"/>
  <c r="AA1644" i="1"/>
  <c r="F1643" i="1"/>
  <c r="B1641" i="1"/>
  <c r="R1638" i="1"/>
  <c r="B1637" i="1"/>
  <c r="R1634" i="1"/>
  <c r="N1632" i="1"/>
  <c r="AA1630" i="1"/>
  <c r="P1628" i="1"/>
  <c r="K1626" i="1"/>
  <c r="J1624" i="1"/>
  <c r="B1622" i="1"/>
  <c r="H1619" i="1"/>
  <c r="F1617" i="1"/>
  <c r="H1614" i="1"/>
  <c r="L1611" i="1"/>
  <c r="F1609" i="1"/>
  <c r="R1606" i="1"/>
  <c r="N1604" i="1"/>
  <c r="R1602" i="1"/>
  <c r="N1600" i="1"/>
  <c r="H1598" i="1"/>
  <c r="V1596" i="1"/>
  <c r="O1594" i="1"/>
  <c r="P1592" i="1"/>
  <c r="N1590" i="1"/>
  <c r="A1589" i="1"/>
  <c r="E1587" i="1"/>
  <c r="U1585" i="1"/>
  <c r="L1584" i="1"/>
  <c r="D1583" i="1"/>
  <c r="Q1581" i="1"/>
  <c r="K1580" i="1"/>
  <c r="E1579" i="1"/>
  <c r="AA1577" i="1"/>
  <c r="O1576" i="1"/>
  <c r="I1575" i="1"/>
  <c r="E1574" i="1"/>
  <c r="U1572" i="1"/>
  <c r="O1571" i="1"/>
  <c r="I1570" i="1"/>
  <c r="E1569" i="1"/>
  <c r="A1568" i="1"/>
  <c r="O1566" i="1"/>
  <c r="H1565" i="1"/>
  <c r="C1564" i="1"/>
  <c r="R1562" i="1"/>
  <c r="H1561" i="1"/>
  <c r="C1560" i="1"/>
  <c r="R1558" i="1"/>
  <c r="K1557" i="1"/>
  <c r="E1556" i="1"/>
  <c r="AA1554" i="1"/>
  <c r="N1553" i="1"/>
  <c r="G1552" i="1"/>
  <c r="B1551" i="1"/>
  <c r="O1549" i="1"/>
  <c r="J1548" i="1"/>
  <c r="E1547" i="1"/>
  <c r="A1546" i="1"/>
  <c r="O1544" i="1"/>
  <c r="I1543" i="1"/>
  <c r="D1542" i="1"/>
  <c r="R1540" i="1"/>
  <c r="K1539" i="1"/>
  <c r="D1538" i="1"/>
  <c r="R1536" i="1"/>
  <c r="K1535" i="1"/>
  <c r="H1534" i="1"/>
  <c r="E1533" i="1"/>
  <c r="B1532" i="1"/>
  <c r="U1530" i="1"/>
  <c r="P1529" i="1"/>
  <c r="L1528" i="1"/>
  <c r="G1527" i="1"/>
  <c r="G1526" i="1"/>
  <c r="J1525" i="1"/>
  <c r="M1524" i="1"/>
  <c r="P1523" i="1"/>
  <c r="S1522" i="1"/>
  <c r="V1521" i="1"/>
  <c r="AA1520" i="1"/>
  <c r="C1520" i="1"/>
  <c r="D1519" i="1"/>
  <c r="G1518" i="1"/>
  <c r="J1517" i="1"/>
  <c r="L1516" i="1"/>
  <c r="O1515" i="1"/>
  <c r="T1514" i="1"/>
  <c r="N1513" i="1"/>
  <c r="H1512" i="1"/>
  <c r="D1511" i="1"/>
  <c r="AA1509" i="1"/>
  <c r="L1508" i="1"/>
  <c r="F1507" i="1"/>
  <c r="A1506" i="1"/>
  <c r="L1504" i="1"/>
  <c r="F1503" i="1"/>
  <c r="A1502" i="1"/>
  <c r="L1500" i="1"/>
  <c r="F1499" i="1"/>
  <c r="A1498" i="1"/>
  <c r="L1496" i="1"/>
  <c r="F1495" i="1"/>
  <c r="A1494" i="1"/>
  <c r="L1492" i="1"/>
  <c r="F1491" i="1"/>
  <c r="A1490" i="1"/>
  <c r="N1488" i="1"/>
  <c r="I1487" i="1"/>
  <c r="E1486" i="1"/>
  <c r="AA1484" i="1"/>
  <c r="K1483" i="1"/>
  <c r="E1482" i="1"/>
  <c r="AA1480" i="1"/>
  <c r="K1479" i="1"/>
  <c r="F1478" i="1"/>
  <c r="B1477" i="1"/>
  <c r="P1475" i="1"/>
  <c r="J1474" i="1"/>
  <c r="E1473" i="1"/>
  <c r="AA1471" i="1"/>
  <c r="L1470" i="1"/>
  <c r="E1469" i="1"/>
  <c r="AA1467" i="1"/>
  <c r="K1466" i="1"/>
  <c r="E1465" i="1"/>
  <c r="A1464" i="1"/>
  <c r="L1462" i="1"/>
  <c r="H1461" i="1"/>
  <c r="D1460" i="1"/>
  <c r="D1459" i="1"/>
  <c r="AA1457" i="1"/>
  <c r="P1456" i="1"/>
  <c r="M1455" i="1"/>
  <c r="M1454" i="1"/>
  <c r="N1453" i="1"/>
  <c r="O1452" i="1"/>
  <c r="L1451" i="1"/>
  <c r="F1450" i="1"/>
  <c r="R1448" i="1"/>
  <c r="K1447" i="1"/>
  <c r="G1446" i="1"/>
  <c r="C1445" i="1"/>
  <c r="R1443" i="1"/>
  <c r="I1442" i="1"/>
  <c r="C1441" i="1"/>
  <c r="M1439" i="1"/>
  <c r="E1438" i="1"/>
  <c r="R1436" i="1"/>
  <c r="G1435" i="1"/>
  <c r="G1649" i="1"/>
  <c r="C1647" i="1"/>
  <c r="U1644" i="1"/>
  <c r="E1643" i="1"/>
  <c r="A1641" i="1"/>
  <c r="Q1638" i="1"/>
  <c r="A1637" i="1"/>
  <c r="Q1634" i="1"/>
  <c r="L1632" i="1"/>
  <c r="U1630" i="1"/>
  <c r="O1628" i="1"/>
  <c r="I1626" i="1"/>
  <c r="I1624" i="1"/>
  <c r="A1622" i="1"/>
  <c r="G1619" i="1"/>
  <c r="E1617" i="1"/>
  <c r="G1614" i="1"/>
  <c r="I1611" i="1"/>
  <c r="E1609" i="1"/>
  <c r="Q1606" i="1"/>
  <c r="L1604" i="1"/>
  <c r="Q1602" i="1"/>
  <c r="L1600" i="1"/>
  <c r="G1598" i="1"/>
  <c r="U1596" i="1"/>
  <c r="N1594" i="1"/>
  <c r="H1592" i="1"/>
  <c r="L1590" i="1"/>
  <c r="AA1588" i="1"/>
  <c r="D1587" i="1"/>
  <c r="R1585" i="1"/>
  <c r="K1584" i="1"/>
  <c r="C1583" i="1"/>
  <c r="P1581" i="1"/>
  <c r="I1580" i="1"/>
  <c r="D1579" i="1"/>
  <c r="U1577" i="1"/>
  <c r="N1576" i="1"/>
  <c r="H1575" i="1"/>
  <c r="D1574" i="1"/>
  <c r="R1572" i="1"/>
  <c r="N1571" i="1"/>
  <c r="H1570" i="1"/>
  <c r="D1569" i="1"/>
  <c r="AA1567" i="1"/>
  <c r="N1566" i="1"/>
  <c r="G1565" i="1"/>
  <c r="B1564" i="1"/>
  <c r="P1562" i="1"/>
  <c r="G1561" i="1"/>
  <c r="B1560" i="1"/>
  <c r="P1558" i="1"/>
  <c r="I1557" i="1"/>
  <c r="D1556" i="1"/>
  <c r="U1554" i="1"/>
  <c r="L1553" i="1"/>
  <c r="F1552" i="1"/>
  <c r="A1551" i="1"/>
  <c r="N1549" i="1"/>
  <c r="I1548" i="1"/>
  <c r="D1547" i="1"/>
  <c r="AA1545" i="1"/>
  <c r="N1544" i="1"/>
  <c r="H1543" i="1"/>
  <c r="C1542" i="1"/>
  <c r="P1540" i="1"/>
  <c r="J1539" i="1"/>
  <c r="C1538" i="1"/>
  <c r="P1536" i="1"/>
  <c r="J1535" i="1"/>
  <c r="G1534" i="1"/>
  <c r="D1533" i="1"/>
  <c r="A1532" i="1"/>
  <c r="R1530" i="1"/>
  <c r="N1529" i="1"/>
  <c r="K1528" i="1"/>
  <c r="F1527" i="1"/>
  <c r="F1526" i="1"/>
  <c r="I1525" i="1"/>
  <c r="L1524" i="1"/>
  <c r="O1523" i="1"/>
  <c r="R1522" i="1"/>
  <c r="U1521" i="1"/>
  <c r="Z1520" i="1"/>
  <c r="B1520" i="1"/>
  <c r="C1519" i="1"/>
  <c r="R1650" i="1"/>
  <c r="N1648" i="1"/>
  <c r="R1646" i="1"/>
  <c r="N1644" i="1"/>
  <c r="H1642" i="1"/>
  <c r="N1640" i="1"/>
  <c r="H1638" i="1"/>
  <c r="D1636" i="1"/>
  <c r="K1634" i="1"/>
  <c r="F1632" i="1"/>
  <c r="B1630" i="1"/>
  <c r="F1628" i="1"/>
  <c r="B1626" i="1"/>
  <c r="J1623" i="1"/>
  <c r="L1621" i="1"/>
  <c r="B1619" i="1"/>
  <c r="D1616" i="1"/>
  <c r="AA1613" i="1"/>
  <c r="B1611" i="1"/>
  <c r="D1608" i="1"/>
  <c r="K1606" i="1"/>
  <c r="F1604" i="1"/>
  <c r="B1602" i="1"/>
  <c r="F1600" i="1"/>
  <c r="B1598" i="1"/>
  <c r="D1596" i="1"/>
  <c r="F1594" i="1"/>
  <c r="A1592" i="1"/>
  <c r="C1590" i="1"/>
  <c r="G1588" i="1"/>
  <c r="U1586" i="1"/>
  <c r="L1585" i="1"/>
  <c r="A1584" i="1"/>
  <c r="P1582" i="1"/>
  <c r="I1581" i="1"/>
  <c r="D1580" i="1"/>
  <c r="U1578" i="1"/>
  <c r="L1577" i="1"/>
  <c r="E1576" i="1"/>
  <c r="A1575" i="1"/>
  <c r="Q1573" i="1"/>
  <c r="L1572" i="1"/>
  <c r="G1571" i="1"/>
  <c r="C1570" i="1"/>
  <c r="U1568" i="1"/>
  <c r="N1567" i="1"/>
  <c r="G1566" i="1"/>
  <c r="AA1564" i="1"/>
  <c r="N1563" i="1"/>
  <c r="G1562" i="1"/>
  <c r="B1561" i="1"/>
  <c r="P1559" i="1"/>
  <c r="I1558" i="1"/>
  <c r="D1557" i="1"/>
  <c r="U1555" i="1"/>
  <c r="L1554" i="1"/>
  <c r="D1553" i="1"/>
  <c r="U1551" i="1"/>
  <c r="L1550" i="1"/>
  <c r="H1549" i="1"/>
  <c r="D1548" i="1"/>
  <c r="S1546" i="1"/>
  <c r="L1545" i="1"/>
  <c r="H1544" i="1"/>
  <c r="C1543" i="1"/>
  <c r="N1541" i="1"/>
  <c r="H1540" i="1"/>
  <c r="C1539" i="1"/>
  <c r="P1537" i="1"/>
  <c r="J1536" i="1"/>
  <c r="E1535" i="1"/>
  <c r="B1534" i="1"/>
  <c r="U1532" i="1"/>
  <c r="P1531" i="1"/>
  <c r="J1530" i="1"/>
  <c r="G1529" i="1"/>
  <c r="D1528" i="1"/>
  <c r="A1527" i="1"/>
  <c r="A1526" i="1"/>
  <c r="D1525" i="1"/>
  <c r="G1524" i="1"/>
  <c r="J1523" i="1"/>
  <c r="M1522" i="1"/>
  <c r="N1521" i="1"/>
  <c r="Q1520" i="1"/>
  <c r="U1519" i="1"/>
  <c r="Y1518" i="1"/>
  <c r="A1518" i="1"/>
  <c r="D1517" i="1"/>
  <c r="F1516" i="1"/>
  <c r="I1515" i="1"/>
  <c r="N1514" i="1"/>
  <c r="F1513" i="1"/>
  <c r="B1512" i="1"/>
  <c r="R1510" i="1"/>
  <c r="K1509" i="1"/>
  <c r="E1508" i="1"/>
  <c r="AA1506" i="1"/>
  <c r="K1505" i="1"/>
  <c r="E1504" i="1"/>
  <c r="AA1502" i="1"/>
  <c r="K1501" i="1"/>
  <c r="E1500" i="1"/>
  <c r="AA1498" i="1"/>
  <c r="K1497" i="1"/>
  <c r="E1496" i="1"/>
  <c r="AA1494" i="1"/>
  <c r="K1493" i="1"/>
  <c r="E1492" i="1"/>
  <c r="AA1490" i="1"/>
  <c r="K1489" i="1"/>
  <c r="G1488" i="1"/>
  <c r="C1487" i="1"/>
  <c r="R1485" i="1"/>
  <c r="I1484" i="1"/>
  <c r="D1483" i="1"/>
  <c r="R1481" i="1"/>
  <c r="I1480" i="1"/>
  <c r="D1479" i="1"/>
  <c r="AA1477" i="1"/>
  <c r="L1476" i="1"/>
  <c r="H1475" i="1"/>
  <c r="D1474" i="1"/>
  <c r="S1472" i="1"/>
  <c r="I1471" i="1"/>
  <c r="D1470" i="1"/>
  <c r="S1468" i="1"/>
  <c r="I1467" i="1"/>
  <c r="D1466" i="1"/>
  <c r="R1464" i="1"/>
  <c r="K1463" i="1"/>
  <c r="F1462" i="1"/>
  <c r="B1461" i="1"/>
  <c r="R1459" i="1"/>
  <c r="Q1458" i="1"/>
  <c r="L1457" i="1"/>
  <c r="G1456" i="1"/>
  <c r="G1455" i="1"/>
  <c r="G1454" i="1"/>
  <c r="H1453" i="1"/>
  <c r="I1452" i="1"/>
  <c r="D1451" i="1"/>
  <c r="AA1449" i="1"/>
  <c r="I1448" i="1"/>
  <c r="E1447" i="1"/>
  <c r="A1446" i="1"/>
  <c r="M1444" i="1"/>
  <c r="I1443" i="1"/>
  <c r="C1442" i="1"/>
  <c r="M1440" i="1"/>
  <c r="E1439" i="1"/>
  <c r="R1437" i="1"/>
  <c r="G1436" i="1"/>
  <c r="A1435" i="1"/>
  <c r="R1649" i="1"/>
  <c r="B1648" i="1"/>
  <c r="R1645" i="1"/>
  <c r="N1643" i="1"/>
  <c r="AA1641" i="1"/>
  <c r="P1639" i="1"/>
  <c r="K1637" i="1"/>
  <c r="P1635" i="1"/>
  <c r="K1633" i="1"/>
  <c r="F1631" i="1"/>
  <c r="K1629" i="1"/>
  <c r="F1627" i="1"/>
  <c r="AA1624" i="1"/>
  <c r="B1623" i="1"/>
  <c r="J1620" i="1"/>
  <c r="N1617" i="1"/>
  <c r="H1615" i="1"/>
  <c r="L1612" i="1"/>
  <c r="N1609" i="1"/>
  <c r="P1607" i="1"/>
  <c r="K1605" i="1"/>
  <c r="F1603" i="1"/>
  <c r="K1601" i="1"/>
  <c r="F1599" i="1"/>
  <c r="E1597" i="1"/>
  <c r="O1595" i="1"/>
  <c r="E1593" i="1"/>
  <c r="G1591" i="1"/>
  <c r="G1589" i="1"/>
  <c r="U1587" i="1"/>
  <c r="E1586" i="1"/>
  <c r="U1584" i="1"/>
  <c r="L1583" i="1"/>
  <c r="F1582" i="1"/>
  <c r="AA1580" i="1"/>
  <c r="L1579" i="1"/>
  <c r="F1578" i="1"/>
  <c r="A1577" i="1"/>
  <c r="Q1575" i="1"/>
  <c r="L1574" i="1"/>
  <c r="G1573" i="1"/>
  <c r="C1572" i="1"/>
  <c r="U1570" i="1"/>
  <c r="L1569" i="1"/>
  <c r="G1568" i="1"/>
  <c r="B1567" i="1"/>
  <c r="P1565" i="1"/>
  <c r="I1564" i="1"/>
  <c r="D1563" i="1"/>
  <c r="U1561" i="1"/>
  <c r="L1560" i="1"/>
  <c r="F1559" i="1"/>
  <c r="U1557" i="1"/>
  <c r="L1556" i="1"/>
  <c r="F1555" i="1"/>
  <c r="A1554" i="1"/>
  <c r="O1552" i="1"/>
  <c r="H1551" i="1"/>
  <c r="D1550" i="1"/>
  <c r="AA1548" i="1"/>
  <c r="N1547" i="1"/>
  <c r="G1546" i="1"/>
  <c r="B1545" i="1"/>
  <c r="P1543" i="1"/>
  <c r="J1542" i="1"/>
  <c r="E1541" i="1"/>
  <c r="AA1539" i="1"/>
  <c r="L1538" i="1"/>
  <c r="G1537" i="1"/>
  <c r="B1536" i="1"/>
  <c r="N1534" i="1"/>
  <c r="K1533" i="1"/>
  <c r="H1532" i="1"/>
  <c r="E1531" i="1"/>
  <c r="B1530" i="1"/>
  <c r="U1528" i="1"/>
  <c r="P1527" i="1"/>
  <c r="O1526" i="1"/>
  <c r="R1525" i="1"/>
  <c r="L1650" i="1"/>
  <c r="AA1646" i="1"/>
  <c r="O1643" i="1"/>
  <c r="A1640" i="1"/>
  <c r="H1636" i="1"/>
  <c r="L1633" i="1"/>
  <c r="U1629" i="1"/>
  <c r="D1626" i="1"/>
  <c r="C1623" i="1"/>
  <c r="R1618" i="1"/>
  <c r="B1614" i="1"/>
  <c r="R1609" i="1"/>
  <c r="Q1605" i="1"/>
  <c r="D1602" i="1"/>
  <c r="G1599" i="1"/>
  <c r="A1596" i="1"/>
  <c r="C1592" i="1"/>
  <c r="H1589" i="1"/>
  <c r="P1586" i="1"/>
  <c r="E1584" i="1"/>
  <c r="G1582" i="1"/>
  <c r="A1580" i="1"/>
  <c r="P1577" i="1"/>
  <c r="R1575" i="1"/>
  <c r="N1573" i="1"/>
  <c r="I1571" i="1"/>
  <c r="P1569" i="1"/>
  <c r="I1567" i="1"/>
  <c r="D1565" i="1"/>
  <c r="E1563" i="1"/>
  <c r="U1560" i="1"/>
  <c r="L1558" i="1"/>
  <c r="N1556" i="1"/>
  <c r="F1554" i="1"/>
  <c r="A1552" i="1"/>
  <c r="E1550" i="1"/>
  <c r="A1548" i="1"/>
  <c r="O1545" i="1"/>
  <c r="R1543" i="1"/>
  <c r="J1541" i="1"/>
  <c r="E1539" i="1"/>
  <c r="H1537" i="1"/>
  <c r="B1535" i="1"/>
  <c r="A1533" i="1"/>
  <c r="F1531" i="1"/>
  <c r="D1529" i="1"/>
  <c r="C1527" i="1"/>
  <c r="T1525" i="1"/>
  <c r="K1524" i="1"/>
  <c r="H1523" i="1"/>
  <c r="D1522" i="1"/>
  <c r="B1521" i="1"/>
  <c r="W1519" i="1"/>
  <c r="U1518" i="1"/>
  <c r="V1517" i="1"/>
  <c r="V1516" i="1"/>
  <c r="T1515" i="1"/>
  <c r="Y1514" i="1"/>
  <c r="P1513" i="1"/>
  <c r="F1512" i="1"/>
  <c r="AA1510" i="1"/>
  <c r="I1509" i="1"/>
  <c r="B1508" i="1"/>
  <c r="K1506" i="1"/>
  <c r="C1505" i="1"/>
  <c r="L1503" i="1"/>
  <c r="D1502" i="1"/>
  <c r="N1500" i="1"/>
  <c r="D1499" i="1"/>
  <c r="N1497" i="1"/>
  <c r="D1496" i="1"/>
  <c r="N1494" i="1"/>
  <c r="E1493" i="1"/>
  <c r="P1491" i="1"/>
  <c r="F1490" i="1"/>
  <c r="AA1488" i="1"/>
  <c r="J1487" i="1"/>
  <c r="C1486" i="1"/>
  <c r="L1484" i="1"/>
  <c r="C1483" i="1"/>
  <c r="L1481" i="1"/>
  <c r="D1480" i="1"/>
  <c r="N1478" i="1"/>
  <c r="G1477" i="1"/>
  <c r="A1476" i="1"/>
  <c r="K1474" i="1"/>
  <c r="C1473" i="1"/>
  <c r="N1471" i="1"/>
  <c r="C1470" i="1"/>
  <c r="N1468" i="1"/>
  <c r="D1467" i="1"/>
  <c r="N1465" i="1"/>
  <c r="F1464" i="1"/>
  <c r="AA1462" i="1"/>
  <c r="I1461" i="1"/>
  <c r="B1460" i="1"/>
  <c r="U1458" i="1"/>
  <c r="K1457" i="1"/>
  <c r="D1456" i="1"/>
  <c r="B1455" i="1"/>
  <c r="AA1453" i="1"/>
  <c r="U1452" i="1"/>
  <c r="P1451" i="1"/>
  <c r="G1450" i="1"/>
  <c r="M1448" i="1"/>
  <c r="G1447" i="1"/>
  <c r="AA1445" i="1"/>
  <c r="J1444" i="1"/>
  <c r="D1443" i="1"/>
  <c r="L1441" i="1"/>
  <c r="B1440" i="1"/>
  <c r="H1438" i="1"/>
  <c r="AA1436" i="1"/>
  <c r="E1435" i="1"/>
  <c r="N1433" i="1"/>
  <c r="F1432" i="1"/>
  <c r="AA1430" i="1"/>
  <c r="F1429" i="1"/>
  <c r="R1427" i="1"/>
  <c r="J1426" i="1"/>
  <c r="K1425" i="1"/>
  <c r="L1424" i="1"/>
  <c r="G1423" i="1"/>
  <c r="B1422" i="1"/>
  <c r="O1420" i="1"/>
  <c r="K1419" i="1"/>
  <c r="G1418" i="1"/>
  <c r="D1417" i="1"/>
  <c r="A1416" i="1"/>
  <c r="I1414" i="1"/>
  <c r="D1413" i="1"/>
  <c r="L1411" i="1"/>
  <c r="B1410" i="1"/>
  <c r="D1408" i="1"/>
  <c r="F1406" i="1"/>
  <c r="H1404" i="1"/>
  <c r="K1650" i="1"/>
  <c r="U1646" i="1"/>
  <c r="L1643" i="1"/>
  <c r="AA1639" i="1"/>
  <c r="G1636" i="1"/>
  <c r="I1633" i="1"/>
  <c r="R1629" i="1"/>
  <c r="C1626" i="1"/>
  <c r="G1622" i="1"/>
  <c r="N1618" i="1"/>
  <c r="A1614" i="1"/>
  <c r="M1609" i="1"/>
  <c r="P1605" i="1"/>
  <c r="C1602" i="1"/>
  <c r="E1599" i="1"/>
  <c r="AA1595" i="1"/>
  <c r="B1592" i="1"/>
  <c r="F1589" i="1"/>
  <c r="O1586" i="1"/>
  <c r="D1584" i="1"/>
  <c r="E1582" i="1"/>
  <c r="AA1579" i="1"/>
  <c r="N1577" i="1"/>
  <c r="P1575" i="1"/>
  <c r="L1573" i="1"/>
  <c r="H1571" i="1"/>
  <c r="K1569" i="1"/>
  <c r="F1567" i="1"/>
  <c r="C1565" i="1"/>
  <c r="C1563" i="1"/>
  <c r="R1560" i="1"/>
  <c r="K1558" i="1"/>
  <c r="K1556" i="1"/>
  <c r="E1554" i="1"/>
  <c r="AA1551" i="1"/>
  <c r="C1550" i="1"/>
  <c r="AA1547" i="1"/>
  <c r="N1545" i="1"/>
  <c r="O1543" i="1"/>
  <c r="I1541" i="1"/>
  <c r="D1539" i="1"/>
  <c r="F1537" i="1"/>
  <c r="A1535" i="1"/>
  <c r="AA1532" i="1"/>
  <c r="D1531" i="1"/>
  <c r="C1529" i="1"/>
  <c r="B1527" i="1"/>
  <c r="S1525" i="1"/>
  <c r="J1524" i="1"/>
  <c r="G1523" i="1"/>
  <c r="C1522" i="1"/>
  <c r="A1521" i="1"/>
  <c r="V1519" i="1"/>
  <c r="T1518" i="1"/>
  <c r="U1517" i="1"/>
  <c r="R1516" i="1"/>
  <c r="S1515" i="1"/>
  <c r="V1514" i="1"/>
  <c r="L1513" i="1"/>
  <c r="E1512" i="1"/>
  <c r="X1510" i="1"/>
  <c r="H1509" i="1"/>
  <c r="A1508" i="1"/>
  <c r="I1506" i="1"/>
  <c r="B1505" i="1"/>
  <c r="K1503" i="1"/>
  <c r="C1502" i="1"/>
  <c r="K1500" i="1"/>
  <c r="C1499" i="1"/>
  <c r="L1497" i="1"/>
  <c r="C1496" i="1"/>
  <c r="L1494" i="1"/>
  <c r="D1493" i="1"/>
  <c r="N1491" i="1"/>
  <c r="E1490" i="1"/>
  <c r="R1488" i="1"/>
  <c r="H1487" i="1"/>
  <c r="B1486" i="1"/>
  <c r="K1484" i="1"/>
  <c r="B1483" i="1"/>
  <c r="K1481" i="1"/>
  <c r="C1480" i="1"/>
  <c r="L1478" i="1"/>
  <c r="F1477" i="1"/>
  <c r="AA1475" i="1"/>
  <c r="I1474" i="1"/>
  <c r="B1473" i="1"/>
  <c r="L1471" i="1"/>
  <c r="B1470" i="1"/>
  <c r="L1468" i="1"/>
  <c r="C1467" i="1"/>
  <c r="L1465" i="1"/>
  <c r="E1464" i="1"/>
  <c r="R1462" i="1"/>
  <c r="G1461" i="1"/>
  <c r="A1460" i="1"/>
  <c r="R1458" i="1"/>
  <c r="I1457" i="1"/>
  <c r="C1456" i="1"/>
  <c r="A1455" i="1"/>
  <c r="U1453" i="1"/>
  <c r="T1452" i="1"/>
  <c r="O1451" i="1"/>
  <c r="E1450" i="1"/>
  <c r="L1448" i="1"/>
  <c r="F1447" i="1"/>
  <c r="R1445" i="1"/>
  <c r="I1444" i="1"/>
  <c r="C1443" i="1"/>
  <c r="I1441" i="1"/>
  <c r="A1440" i="1"/>
  <c r="G1438" i="1"/>
  <c r="N1436" i="1"/>
  <c r="D1435" i="1"/>
  <c r="M1433" i="1"/>
  <c r="E1432" i="1"/>
  <c r="R1430" i="1"/>
  <c r="E1429" i="1"/>
  <c r="N1427" i="1"/>
  <c r="I1426" i="1"/>
  <c r="J1425" i="1"/>
  <c r="K1424" i="1"/>
  <c r="F1423" i="1"/>
  <c r="A1422" i="1"/>
  <c r="N1420" i="1"/>
  <c r="I1419" i="1"/>
  <c r="F1418" i="1"/>
  <c r="C1417" i="1"/>
  <c r="AA1415" i="1"/>
  <c r="H1414" i="1"/>
  <c r="C1413" i="1"/>
  <c r="I1411" i="1"/>
  <c r="A1410" i="1"/>
  <c r="C1408" i="1"/>
  <c r="E1406" i="1"/>
  <c r="G1404" i="1"/>
  <c r="C1403" i="1"/>
  <c r="Q1401" i="1"/>
  <c r="I1400" i="1"/>
  <c r="A1650" i="1"/>
  <c r="G1646" i="1"/>
  <c r="D1643" i="1"/>
  <c r="U1639" i="1"/>
  <c r="C1636" i="1"/>
  <c r="K1632" i="1"/>
  <c r="Q1629" i="1"/>
  <c r="A1626" i="1"/>
  <c r="AA1621" i="1"/>
  <c r="A1618" i="1"/>
  <c r="E1613" i="1"/>
  <c r="D1609" i="1"/>
  <c r="O1605" i="1"/>
  <c r="A1602" i="1"/>
  <c r="F1598" i="1"/>
  <c r="R1595" i="1"/>
  <c r="AA1591" i="1"/>
  <c r="U1588" i="1"/>
  <c r="K1586" i="1"/>
  <c r="AA1583" i="1"/>
  <c r="O1581" i="1"/>
  <c r="R1579" i="1"/>
  <c r="K1577" i="1"/>
  <c r="G1575" i="1"/>
  <c r="K1573" i="1"/>
  <c r="F1571" i="1"/>
  <c r="C1569" i="1"/>
  <c r="E1567" i="1"/>
  <c r="U1564" i="1"/>
  <c r="L1562" i="1"/>
  <c r="P1560" i="1"/>
  <c r="H1558" i="1"/>
  <c r="C1556" i="1"/>
  <c r="D1554" i="1"/>
  <c r="R1551" i="1"/>
  <c r="L1549" i="1"/>
  <c r="R1547" i="1"/>
  <c r="K1545" i="1"/>
  <c r="G1543" i="1"/>
  <c r="H1541" i="1"/>
  <c r="B1539" i="1"/>
  <c r="O1536" i="1"/>
  <c r="AA1534" i="1"/>
  <c r="R1532" i="1"/>
  <c r="Q1530" i="1"/>
  <c r="B1529" i="1"/>
  <c r="AA1526" i="1"/>
  <c r="Q1525" i="1"/>
  <c r="I1524" i="1"/>
  <c r="D1523" i="1"/>
  <c r="B1522" i="1"/>
  <c r="Y1520" i="1"/>
  <c r="T1519" i="1"/>
  <c r="R1518" i="1"/>
  <c r="T1517" i="1"/>
  <c r="Q1516" i="1"/>
  <c r="R1515" i="1"/>
  <c r="U1514" i="1"/>
  <c r="K1513" i="1"/>
  <c r="D1512" i="1"/>
  <c r="P1510" i="1"/>
  <c r="G1509" i="1"/>
  <c r="AA1507" i="1"/>
  <c r="H1506" i="1"/>
  <c r="A1505" i="1"/>
  <c r="I1503" i="1"/>
  <c r="B1502" i="1"/>
  <c r="I1500" i="1"/>
  <c r="B1499" i="1"/>
  <c r="I1497" i="1"/>
  <c r="B1496" i="1"/>
  <c r="K1494" i="1"/>
  <c r="C1493" i="1"/>
  <c r="L1491" i="1"/>
  <c r="D1490" i="1"/>
  <c r="P1488" i="1"/>
  <c r="G1487" i="1"/>
  <c r="A1486" i="1"/>
  <c r="H1484" i="1"/>
  <c r="A1483" i="1"/>
  <c r="I1481" i="1"/>
  <c r="B1480" i="1"/>
  <c r="K1478" i="1"/>
  <c r="E1477" i="1"/>
  <c r="R1475" i="1"/>
  <c r="H1474" i="1"/>
  <c r="A1473" i="1"/>
  <c r="H1471" i="1"/>
  <c r="A1470" i="1"/>
  <c r="I1468" i="1"/>
  <c r="B1467" i="1"/>
  <c r="K1465" i="1"/>
  <c r="D1464" i="1"/>
  <c r="N1462" i="1"/>
  <c r="F1461" i="1"/>
  <c r="AA1459" i="1"/>
  <c r="P1458" i="1"/>
  <c r="G1457" i="1"/>
  <c r="B1456" i="1"/>
  <c r="AA1454" i="1"/>
  <c r="T1453" i="1"/>
  <c r="R1452" i="1"/>
  <c r="N1451" i="1"/>
  <c r="D1450" i="1"/>
  <c r="K1448" i="1"/>
  <c r="D1447" i="1"/>
  <c r="N1445" i="1"/>
  <c r="H1444" i="1"/>
  <c r="B1443" i="1"/>
  <c r="H1441" i="1"/>
  <c r="AA1439" i="1"/>
  <c r="F1438" i="1"/>
  <c r="M1436" i="1"/>
  <c r="C1435" i="1"/>
  <c r="L1433" i="1"/>
  <c r="D1432" i="1"/>
  <c r="N1430" i="1"/>
  <c r="D1429" i="1"/>
  <c r="L1427" i="1"/>
  <c r="H1426" i="1"/>
  <c r="I1425" i="1"/>
  <c r="J1424" i="1"/>
  <c r="E1423" i="1"/>
  <c r="AA1421" i="1"/>
  <c r="L1420" i="1"/>
  <c r="H1419" i="1"/>
  <c r="E1418" i="1"/>
  <c r="B1417" i="1"/>
  <c r="R1415" i="1"/>
  <c r="G1414" i="1"/>
  <c r="B1413" i="1"/>
  <c r="H1411" i="1"/>
  <c r="N1409" i="1"/>
  <c r="B1408" i="1"/>
  <c r="D1406" i="1"/>
  <c r="F1404" i="1"/>
  <c r="B1403" i="1"/>
  <c r="P1401" i="1"/>
  <c r="H1400" i="1"/>
  <c r="D1399" i="1"/>
  <c r="AA1649" i="1"/>
  <c r="D1646" i="1"/>
  <c r="L1642" i="1"/>
  <c r="R1639" i="1"/>
  <c r="B1636" i="1"/>
  <c r="I1632" i="1"/>
  <c r="P1629" i="1"/>
  <c r="AA1625" i="1"/>
  <c r="R1621" i="1"/>
  <c r="AA1617" i="1"/>
  <c r="D1613" i="1"/>
  <c r="G1608" i="1"/>
  <c r="N1605" i="1"/>
  <c r="AA1601" i="1"/>
  <c r="E1598" i="1"/>
  <c r="Q1595" i="1"/>
  <c r="R1591" i="1"/>
  <c r="N1588" i="1"/>
  <c r="I1586" i="1"/>
  <c r="U1583" i="1"/>
  <c r="N1581" i="1"/>
  <c r="Q1579" i="1"/>
  <c r="G1577" i="1"/>
  <c r="F1575" i="1"/>
  <c r="I1573" i="1"/>
  <c r="E1571" i="1"/>
  <c r="B1569" i="1"/>
  <c r="D1567" i="1"/>
  <c r="R1564" i="1"/>
  <c r="K1562" i="1"/>
  <c r="O1560" i="1"/>
  <c r="G1558" i="1"/>
  <c r="B1556" i="1"/>
  <c r="C1554" i="1"/>
  <c r="P1551" i="1"/>
  <c r="K1549" i="1"/>
  <c r="P1547" i="1"/>
  <c r="J1545" i="1"/>
  <c r="F1543" i="1"/>
  <c r="G1541" i="1"/>
  <c r="A1539" i="1"/>
  <c r="N1536" i="1"/>
  <c r="U1534" i="1"/>
  <c r="Q1532" i="1"/>
  <c r="P1530" i="1"/>
  <c r="A1529" i="1"/>
  <c r="Z1526" i="1"/>
  <c r="L1525" i="1"/>
  <c r="H1524" i="1"/>
  <c r="C1523" i="1"/>
  <c r="AA1521" i="1"/>
  <c r="W1520" i="1"/>
  <c r="R1519" i="1"/>
  <c r="Q1518" i="1"/>
  <c r="R1517" i="1"/>
  <c r="P1516" i="1"/>
  <c r="Q1515" i="1"/>
  <c r="S1514" i="1"/>
  <c r="I1513" i="1"/>
  <c r="C1512" i="1"/>
  <c r="N1510" i="1"/>
  <c r="F1509" i="1"/>
  <c r="R1507" i="1"/>
  <c r="G1506" i="1"/>
  <c r="AA1504" i="1"/>
  <c r="H1503" i="1"/>
  <c r="AA1501" i="1"/>
  <c r="H1500" i="1"/>
  <c r="A1499" i="1"/>
  <c r="H1497" i="1"/>
  <c r="A1496" i="1"/>
  <c r="I1494" i="1"/>
  <c r="B1493" i="1"/>
  <c r="K1491" i="1"/>
  <c r="C1490" i="1"/>
  <c r="L1488" i="1"/>
  <c r="F1487" i="1"/>
  <c r="AA1485" i="1"/>
  <c r="G1484" i="1"/>
  <c r="AA1482" i="1"/>
  <c r="H1481" i="1"/>
  <c r="A1480" i="1"/>
  <c r="J1478" i="1"/>
  <c r="D1477" i="1"/>
  <c r="N1475" i="1"/>
  <c r="G1474" i="1"/>
  <c r="AA1472" i="1"/>
  <c r="G1471" i="1"/>
  <c r="AA1469" i="1"/>
  <c r="H1468" i="1"/>
  <c r="A1467" i="1"/>
  <c r="I1465" i="1"/>
  <c r="C1464" i="1"/>
  <c r="K1462" i="1"/>
  <c r="E1461" i="1"/>
  <c r="U1459" i="1"/>
  <c r="O1458" i="1"/>
  <c r="F1457" i="1"/>
  <c r="A1456" i="1"/>
  <c r="U1454" i="1"/>
  <c r="R1453" i="1"/>
  <c r="Q1452" i="1"/>
  <c r="I1451" i="1"/>
  <c r="C1450" i="1"/>
  <c r="J1448" i="1"/>
  <c r="C1447" i="1"/>
  <c r="M1445" i="1"/>
  <c r="G1444" i="1"/>
  <c r="A1443" i="1"/>
  <c r="G1441" i="1"/>
  <c r="R1439" i="1"/>
  <c r="D1438" i="1"/>
  <c r="L1436" i="1"/>
  <c r="B1435" i="1"/>
  <c r="I1433" i="1"/>
  <c r="C1432" i="1"/>
  <c r="L1430" i="1"/>
  <c r="C1429" i="1"/>
  <c r="K1427" i="1"/>
  <c r="G1426" i="1"/>
  <c r="H1425" i="1"/>
  <c r="I1424" i="1"/>
  <c r="D1423" i="1"/>
  <c r="R1421" i="1"/>
  <c r="K1420" i="1"/>
  <c r="G1419" i="1"/>
  <c r="D1418" i="1"/>
  <c r="A1417" i="1"/>
  <c r="Q1415" i="1"/>
  <c r="F1414" i="1"/>
  <c r="A1413" i="1"/>
  <c r="G1411" i="1"/>
  <c r="L1409" i="1"/>
  <c r="A1408" i="1"/>
  <c r="C1406" i="1"/>
  <c r="E1404" i="1"/>
  <c r="A1403" i="1"/>
  <c r="O1401" i="1"/>
  <c r="G1400" i="1"/>
  <c r="C1399" i="1"/>
  <c r="AA1397" i="1"/>
  <c r="U1649" i="1"/>
  <c r="C1646" i="1"/>
  <c r="K1642" i="1"/>
  <c r="Q1639" i="1"/>
  <c r="A1636" i="1"/>
  <c r="H1632" i="1"/>
  <c r="O1629" i="1"/>
  <c r="R1625" i="1"/>
  <c r="N1621" i="1"/>
  <c r="R1617" i="1"/>
  <c r="C1613" i="1"/>
  <c r="F1608" i="1"/>
  <c r="L1605" i="1"/>
  <c r="U1601" i="1"/>
  <c r="D1598" i="1"/>
  <c r="P1595" i="1"/>
  <c r="Q1591" i="1"/>
  <c r="I1588" i="1"/>
  <c r="H1586" i="1"/>
  <c r="R1583" i="1"/>
  <c r="L1581" i="1"/>
  <c r="P1579" i="1"/>
  <c r="F1577" i="1"/>
  <c r="C1575" i="1"/>
  <c r="H1573" i="1"/>
  <c r="D1571" i="1"/>
  <c r="A1569" i="1"/>
  <c r="C1567" i="1"/>
  <c r="P1564" i="1"/>
  <c r="I1562" i="1"/>
  <c r="N1560" i="1"/>
  <c r="F1558" i="1"/>
  <c r="A1556" i="1"/>
  <c r="B1554" i="1"/>
  <c r="O1551" i="1"/>
  <c r="J1549" i="1"/>
  <c r="O1547" i="1"/>
  <c r="I1545" i="1"/>
  <c r="E1543" i="1"/>
  <c r="F1541" i="1"/>
  <c r="AA1538" i="1"/>
  <c r="L1536" i="1"/>
  <c r="R1534" i="1"/>
  <c r="P1532" i="1"/>
  <c r="N1530" i="1"/>
  <c r="AA1528" i="1"/>
  <c r="V1526" i="1"/>
  <c r="K1525" i="1"/>
  <c r="F1524" i="1"/>
  <c r="B1523" i="1"/>
  <c r="Z1521" i="1"/>
  <c r="T1520" i="1"/>
  <c r="Q1519" i="1"/>
  <c r="P1518" i="1"/>
  <c r="Q1517" i="1"/>
  <c r="O1516" i="1"/>
  <c r="P1515" i="1"/>
  <c r="R1514" i="1"/>
  <c r="H1513" i="1"/>
  <c r="A1512" i="1"/>
  <c r="L1510" i="1"/>
  <c r="E1509" i="1"/>
  <c r="P1507" i="1"/>
  <c r="F1506" i="1"/>
  <c r="Q1649" i="1"/>
  <c r="B1646" i="1"/>
  <c r="I1642" i="1"/>
  <c r="O1639" i="1"/>
  <c r="AA1635" i="1"/>
  <c r="G1632" i="1"/>
  <c r="A1629" i="1"/>
  <c r="N1625" i="1"/>
  <c r="M1621" i="1"/>
  <c r="M1617" i="1"/>
  <c r="B1613" i="1"/>
  <c r="E1608" i="1"/>
  <c r="I1605" i="1"/>
  <c r="P1601" i="1"/>
  <c r="C1598" i="1"/>
  <c r="A1595" i="1"/>
  <c r="P1591" i="1"/>
  <c r="H1588" i="1"/>
  <c r="D1586" i="1"/>
  <c r="Q1583" i="1"/>
  <c r="K1581" i="1"/>
  <c r="K1579" i="1"/>
  <c r="E1577" i="1"/>
  <c r="B1575" i="1"/>
  <c r="F1573" i="1"/>
  <c r="C1571" i="1"/>
  <c r="AA1568" i="1"/>
  <c r="A1567" i="1"/>
  <c r="O1564" i="1"/>
  <c r="H1562" i="1"/>
  <c r="K1560" i="1"/>
  <c r="E1558" i="1"/>
  <c r="AA1555" i="1"/>
  <c r="AA1553" i="1"/>
  <c r="N1551" i="1"/>
  <c r="I1549" i="1"/>
  <c r="L1547" i="1"/>
  <c r="H1545" i="1"/>
  <c r="D1543" i="1"/>
  <c r="D1541" i="1"/>
  <c r="R1538" i="1"/>
  <c r="K1536" i="1"/>
  <c r="M1534" i="1"/>
  <c r="L1532" i="1"/>
  <c r="M1530" i="1"/>
  <c r="R1528" i="1"/>
  <c r="U1526" i="1"/>
  <c r="H1525" i="1"/>
  <c r="E1524" i="1"/>
  <c r="A1523" i="1"/>
  <c r="Y1521" i="1"/>
  <c r="R1520" i="1"/>
  <c r="P1519" i="1"/>
  <c r="O1518" i="1"/>
  <c r="N1517" i="1"/>
  <c r="N1516" i="1"/>
  <c r="N1515" i="1"/>
  <c r="Q1514" i="1"/>
  <c r="G1513" i="1"/>
  <c r="AA1511" i="1"/>
  <c r="K1510" i="1"/>
  <c r="D1509" i="1"/>
  <c r="N1507" i="1"/>
  <c r="E1506" i="1"/>
  <c r="P1504" i="1"/>
  <c r="E1503" i="1"/>
  <c r="P1501" i="1"/>
  <c r="F1500" i="1"/>
  <c r="P1498" i="1"/>
  <c r="F1497" i="1"/>
  <c r="R1495" i="1"/>
  <c r="G1494" i="1"/>
  <c r="AA1492" i="1"/>
  <c r="H1491" i="1"/>
  <c r="AA1489" i="1"/>
  <c r="J1488" i="1"/>
  <c r="D1487" i="1"/>
  <c r="N1485" i="1"/>
  <c r="F1649" i="1"/>
  <c r="A1646" i="1"/>
  <c r="G1642" i="1"/>
  <c r="P1638" i="1"/>
  <c r="U1635" i="1"/>
  <c r="E1632" i="1"/>
  <c r="N1628" i="1"/>
  <c r="E1625" i="1"/>
  <c r="A1621" i="1"/>
  <c r="B1617" i="1"/>
  <c r="A1613" i="1"/>
  <c r="C1608" i="1"/>
  <c r="K1604" i="1"/>
  <c r="O1601" i="1"/>
  <c r="A1598" i="1"/>
  <c r="L1594" i="1"/>
  <c r="L1591" i="1"/>
  <c r="F1588" i="1"/>
  <c r="Q1585" i="1"/>
  <c r="P1583" i="1"/>
  <c r="H1581" i="1"/>
  <c r="C1579" i="1"/>
  <c r="D1577" i="1"/>
  <c r="AA1574" i="1"/>
  <c r="Q1572" i="1"/>
  <c r="B1571" i="1"/>
  <c r="R1568" i="1"/>
  <c r="L1566" i="1"/>
  <c r="N1564" i="1"/>
  <c r="F1562" i="1"/>
  <c r="A1560" i="1"/>
  <c r="D1558" i="1"/>
  <c r="R1555" i="1"/>
  <c r="K1553" i="1"/>
  <c r="L1551" i="1"/>
  <c r="G1549" i="1"/>
  <c r="C1547" i="1"/>
  <c r="G1545" i="1"/>
  <c r="B1543" i="1"/>
  <c r="O1540" i="1"/>
  <c r="P1538" i="1"/>
  <c r="I1536" i="1"/>
  <c r="F1534" i="1"/>
  <c r="K1532" i="1"/>
  <c r="I1530" i="1"/>
  <c r="H1528" i="1"/>
  <c r="R1526" i="1"/>
  <c r="G1525" i="1"/>
  <c r="D1524" i="1"/>
  <c r="AA1522" i="1"/>
  <c r="T1521" i="1"/>
  <c r="P1520" i="1"/>
  <c r="O1519" i="1"/>
  <c r="N1518" i="1"/>
  <c r="M1517" i="1"/>
  <c r="M1516" i="1"/>
  <c r="M1515" i="1"/>
  <c r="P1514" i="1"/>
  <c r="E1513" i="1"/>
  <c r="X1511" i="1"/>
  <c r="I1510" i="1"/>
  <c r="C1509" i="1"/>
  <c r="L1507" i="1"/>
  <c r="D1506" i="1"/>
  <c r="N1504" i="1"/>
  <c r="D1503" i="1"/>
  <c r="N1501" i="1"/>
  <c r="D1500" i="1"/>
  <c r="N1498" i="1"/>
  <c r="E1497" i="1"/>
  <c r="P1495" i="1"/>
  <c r="F1494" i="1"/>
  <c r="R1492" i="1"/>
  <c r="G1491" i="1"/>
  <c r="R1489" i="1"/>
  <c r="I1488" i="1"/>
  <c r="B1487" i="1"/>
  <c r="L1485" i="1"/>
  <c r="D1484" i="1"/>
  <c r="N1482" i="1"/>
  <c r="E1481" i="1"/>
  <c r="P1479" i="1"/>
  <c r="G1478" i="1"/>
  <c r="AA1476" i="1"/>
  <c r="J1475" i="1"/>
  <c r="C1474" i="1"/>
  <c r="N1472" i="1"/>
  <c r="D1471" i="1"/>
  <c r="P1469" i="1"/>
  <c r="E1468" i="1"/>
  <c r="P1466" i="1"/>
  <c r="F1465" i="1"/>
  <c r="R1463" i="1"/>
  <c r="H1462" i="1"/>
  <c r="A1461" i="1"/>
  <c r="O1459" i="1"/>
  <c r="K1458" i="1"/>
  <c r="C1457" i="1"/>
  <c r="R1455" i="1"/>
  <c r="P1454" i="1"/>
  <c r="O1453" i="1"/>
  <c r="M1452" i="1"/>
  <c r="F1451" i="1"/>
  <c r="R1449" i="1"/>
  <c r="F1448" i="1"/>
  <c r="AA1446" i="1"/>
  <c r="J1445" i="1"/>
  <c r="D1444" i="1"/>
  <c r="N1442" i="1"/>
  <c r="D1441" i="1"/>
  <c r="I1439" i="1"/>
  <c r="A1438" i="1"/>
  <c r="F1436" i="1"/>
  <c r="N1434" i="1"/>
  <c r="F1433" i="1"/>
  <c r="AA1431" i="1"/>
  <c r="G1430" i="1"/>
  <c r="AA1428" i="1"/>
  <c r="H1427" i="1"/>
  <c r="D1426" i="1"/>
  <c r="E1425" i="1"/>
  <c r="F1424" i="1"/>
  <c r="A1423" i="1"/>
  <c r="N1421" i="1"/>
  <c r="G1420" i="1"/>
  <c r="D1419" i="1"/>
  <c r="A1418" i="1"/>
  <c r="R1416" i="1"/>
  <c r="I1415" i="1"/>
  <c r="C1414" i="1"/>
  <c r="P1412" i="1"/>
  <c r="D1411" i="1"/>
  <c r="G1409" i="1"/>
  <c r="I1407" i="1"/>
  <c r="N1405" i="1"/>
  <c r="B1404" i="1"/>
  <c r="Q1402" i="1"/>
  <c r="I1401" i="1"/>
  <c r="D1400" i="1"/>
  <c r="Q1648" i="1"/>
  <c r="AA1645" i="1"/>
  <c r="F1642" i="1"/>
  <c r="O1638" i="1"/>
  <c r="R1635" i="1"/>
  <c r="D1632" i="1"/>
  <c r="L1628" i="1"/>
  <c r="D1625" i="1"/>
  <c r="AA1620" i="1"/>
  <c r="G1616" i="1"/>
  <c r="N1612" i="1"/>
  <c r="B1608" i="1"/>
  <c r="I1604" i="1"/>
  <c r="N1601" i="1"/>
  <c r="AA1597" i="1"/>
  <c r="I1594" i="1"/>
  <c r="I1591" i="1"/>
  <c r="E1588" i="1"/>
  <c r="P1585" i="1"/>
  <c r="O1583" i="1"/>
  <c r="G1581" i="1"/>
  <c r="B1579" i="1"/>
  <c r="C1577" i="1"/>
  <c r="U1574" i="1"/>
  <c r="P1572" i="1"/>
  <c r="A1571" i="1"/>
  <c r="Q1568" i="1"/>
  <c r="K1566" i="1"/>
  <c r="L1564" i="1"/>
  <c r="E1562" i="1"/>
  <c r="AA1559" i="1"/>
  <c r="C1558" i="1"/>
  <c r="P1555" i="1"/>
  <c r="I1553" i="1"/>
  <c r="K1551" i="1"/>
  <c r="F1549" i="1"/>
  <c r="B1547" i="1"/>
  <c r="D1545" i="1"/>
  <c r="R1542" i="1"/>
  <c r="N1540" i="1"/>
  <c r="O1538" i="1"/>
  <c r="H1536" i="1"/>
  <c r="E1534" i="1"/>
  <c r="J1532" i="1"/>
  <c r="H1530" i="1"/>
  <c r="G1528" i="1"/>
  <c r="Q1526" i="1"/>
  <c r="F1525" i="1"/>
  <c r="C1524" i="1"/>
  <c r="Z1522" i="1"/>
  <c r="S1521" i="1"/>
  <c r="O1520" i="1"/>
  <c r="N1519" i="1"/>
  <c r="M1518" i="1"/>
  <c r="L1517" i="1"/>
  <c r="K1516" i="1"/>
  <c r="L1515" i="1"/>
  <c r="O1514" i="1"/>
  <c r="D1513" i="1"/>
  <c r="R1511" i="1"/>
  <c r="H1510" i="1"/>
  <c r="B1509" i="1"/>
  <c r="K1507" i="1"/>
  <c r="C1506" i="1"/>
  <c r="K1504" i="1"/>
  <c r="C1503" i="1"/>
  <c r="L1501" i="1"/>
  <c r="C1500" i="1"/>
  <c r="L1498" i="1"/>
  <c r="D1497" i="1"/>
  <c r="N1495" i="1"/>
  <c r="E1494" i="1"/>
  <c r="P1492" i="1"/>
  <c r="E1491" i="1"/>
  <c r="P1489" i="1"/>
  <c r="H1488" i="1"/>
  <c r="A1487" i="1"/>
  <c r="K1485" i="1"/>
  <c r="C1484" i="1"/>
  <c r="L1482" i="1"/>
  <c r="D1481" i="1"/>
  <c r="N1479" i="1"/>
  <c r="E1478" i="1"/>
  <c r="R1476" i="1"/>
  <c r="I1475" i="1"/>
  <c r="B1474" i="1"/>
  <c r="L1472" i="1"/>
  <c r="C1471" i="1"/>
  <c r="N1469" i="1"/>
  <c r="D1468" i="1"/>
  <c r="N1466" i="1"/>
  <c r="D1465" i="1"/>
  <c r="P1463" i="1"/>
  <c r="G1462" i="1"/>
  <c r="AA1460" i="1"/>
  <c r="N1459" i="1"/>
  <c r="I1458" i="1"/>
  <c r="B1457" i="1"/>
  <c r="Q1455" i="1"/>
  <c r="O1454" i="1"/>
  <c r="M1453" i="1"/>
  <c r="L1452" i="1"/>
  <c r="E1451" i="1"/>
  <c r="N1449" i="1"/>
  <c r="E1448" i="1"/>
  <c r="R1446" i="1"/>
  <c r="I1445" i="1"/>
  <c r="C1444" i="1"/>
  <c r="M1442" i="1"/>
  <c r="B1441" i="1"/>
  <c r="H1439" i="1"/>
  <c r="AA1437" i="1"/>
  <c r="E1436" i="1"/>
  <c r="M1434" i="1"/>
  <c r="E1433" i="1"/>
  <c r="R1431" i="1"/>
  <c r="F1430" i="1"/>
  <c r="R1428" i="1"/>
  <c r="G1427" i="1"/>
  <c r="C1426" i="1"/>
  <c r="D1425" i="1"/>
  <c r="E1424" i="1"/>
  <c r="AA1422" i="1"/>
  <c r="L1421" i="1"/>
  <c r="F1420" i="1"/>
  <c r="C1419" i="1"/>
  <c r="AA1417" i="1"/>
  <c r="P1416" i="1"/>
  <c r="H1415" i="1"/>
  <c r="B1414" i="1"/>
  <c r="N1412" i="1"/>
  <c r="C1411" i="1"/>
  <c r="F1409" i="1"/>
  <c r="H1407" i="1"/>
  <c r="L1405" i="1"/>
  <c r="A1404" i="1"/>
  <c r="P1402" i="1"/>
  <c r="H1401" i="1"/>
  <c r="C1400" i="1"/>
  <c r="R1398" i="1"/>
  <c r="O1397" i="1"/>
  <c r="L1396" i="1"/>
  <c r="H1395" i="1"/>
  <c r="E1394" i="1"/>
  <c r="B1393" i="1"/>
  <c r="X1391" i="1"/>
  <c r="Q1390" i="1"/>
  <c r="O1389" i="1"/>
  <c r="L1388" i="1"/>
  <c r="G1387" i="1"/>
  <c r="A1386" i="1"/>
  <c r="P1384" i="1"/>
  <c r="I1383" i="1"/>
  <c r="C1382" i="1"/>
  <c r="R1380" i="1"/>
  <c r="K1379" i="1"/>
  <c r="G1378" i="1"/>
  <c r="C1377" i="1"/>
  <c r="R1375" i="1"/>
  <c r="K1374" i="1"/>
  <c r="H1373" i="1"/>
  <c r="E1372" i="1"/>
  <c r="A1371" i="1"/>
  <c r="N1369" i="1"/>
  <c r="K1368" i="1"/>
  <c r="I1367" i="1"/>
  <c r="G1366" i="1"/>
  <c r="G1365" i="1"/>
  <c r="G1364" i="1"/>
  <c r="G1363" i="1"/>
  <c r="B1362" i="1"/>
  <c r="O1360" i="1"/>
  <c r="H1359" i="1"/>
  <c r="C1358" i="1"/>
  <c r="Q1356" i="1"/>
  <c r="H1355" i="1"/>
  <c r="D1354" i="1"/>
  <c r="B1353" i="1"/>
  <c r="Q1351" i="1"/>
  <c r="I1350" i="1"/>
  <c r="E1349" i="1"/>
  <c r="A1348" i="1"/>
  <c r="P1346" i="1"/>
  <c r="I1345" i="1"/>
  <c r="E1344" i="1"/>
  <c r="A1343" i="1"/>
  <c r="Q1341" i="1"/>
  <c r="P1340" i="1"/>
  <c r="N1339" i="1"/>
  <c r="M1338" i="1"/>
  <c r="L1337" i="1"/>
  <c r="K1336" i="1"/>
  <c r="I1335" i="1"/>
  <c r="H1334" i="1"/>
  <c r="H1333" i="1"/>
  <c r="D1332" i="1"/>
  <c r="AA1330" i="1"/>
  <c r="R1329" i="1"/>
  <c r="P1328" i="1"/>
  <c r="J1327" i="1"/>
  <c r="H1326" i="1"/>
  <c r="F1325" i="1"/>
  <c r="B1324" i="1"/>
  <c r="R1322" i="1"/>
  <c r="P1321" i="1"/>
  <c r="L1320" i="1"/>
  <c r="J1319" i="1"/>
  <c r="H1318" i="1"/>
  <c r="F1317" i="1"/>
  <c r="D1316" i="1"/>
  <c r="B1315" i="1"/>
  <c r="AA1313" i="1"/>
  <c r="R1312" i="1"/>
  <c r="O1311" i="1"/>
  <c r="L1310" i="1"/>
  <c r="J1309" i="1"/>
  <c r="H1308" i="1"/>
  <c r="F1307" i="1"/>
  <c r="D1306" i="1"/>
  <c r="C1305" i="1"/>
  <c r="B1304" i="1"/>
  <c r="AA1302" i="1"/>
  <c r="U1301" i="1"/>
  <c r="R1300" i="1"/>
  <c r="Q1299" i="1"/>
  <c r="L1298" i="1"/>
  <c r="I1297" i="1"/>
  <c r="F1296" i="1"/>
  <c r="P1648" i="1"/>
  <c r="U1645" i="1"/>
  <c r="E1642" i="1"/>
  <c r="N1638" i="1"/>
  <c r="Q1635" i="1"/>
  <c r="C1632" i="1"/>
  <c r="H1628" i="1"/>
  <c r="C1625" i="1"/>
  <c r="R1620" i="1"/>
  <c r="F1616" i="1"/>
  <c r="M1612" i="1"/>
  <c r="A1608" i="1"/>
  <c r="H1604" i="1"/>
  <c r="L1601" i="1"/>
  <c r="V1597" i="1"/>
  <c r="H1594" i="1"/>
  <c r="H1591" i="1"/>
  <c r="D1588" i="1"/>
  <c r="H1648" i="1"/>
  <c r="Q1644" i="1"/>
  <c r="B1642" i="1"/>
  <c r="F1638" i="1"/>
  <c r="O1634" i="1"/>
  <c r="H1631" i="1"/>
  <c r="P1627" i="1"/>
  <c r="R1623" i="1"/>
  <c r="L1620" i="1"/>
  <c r="B1616" i="1"/>
  <c r="E1611" i="1"/>
  <c r="R1607" i="1"/>
  <c r="D1604" i="1"/>
  <c r="I1600" i="1"/>
  <c r="G1597" i="1"/>
  <c r="N1593" i="1"/>
  <c r="F1590" i="1"/>
  <c r="A1588" i="1"/>
  <c r="G1585" i="1"/>
  <c r="U1582" i="1"/>
  <c r="C1581" i="1"/>
  <c r="P1578" i="1"/>
  <c r="K1576" i="1"/>
  <c r="O1574" i="1"/>
  <c r="I1572" i="1"/>
  <c r="F1570" i="1"/>
  <c r="I1568" i="1"/>
  <c r="C1566" i="1"/>
  <c r="AA1563" i="1"/>
  <c r="A1562" i="1"/>
  <c r="N1559" i="1"/>
  <c r="G1557" i="1"/>
  <c r="H1555" i="1"/>
  <c r="B1553" i="1"/>
  <c r="R1550" i="1"/>
  <c r="B1549" i="1"/>
  <c r="P1546" i="1"/>
  <c r="K1544" i="1"/>
  <c r="L1542" i="1"/>
  <c r="F1540" i="1"/>
  <c r="A1538" i="1"/>
  <c r="D1536" i="1"/>
  <c r="AA1533" i="1"/>
  <c r="U1531" i="1"/>
  <c r="D1530" i="1"/>
  <c r="B1528" i="1"/>
  <c r="E1526" i="1"/>
  <c r="A1525" i="1"/>
  <c r="V1523" i="1"/>
  <c r="P1522" i="1"/>
  <c r="L1521" i="1"/>
  <c r="K1520" i="1"/>
  <c r="I1519" i="1"/>
  <c r="F1518" i="1"/>
  <c r="G1517" i="1"/>
  <c r="G1516" i="1"/>
  <c r="G1515" i="1"/>
  <c r="G1514" i="1"/>
  <c r="AA1512" i="1"/>
  <c r="K1511" i="1"/>
  <c r="D1510" i="1"/>
  <c r="P1508" i="1"/>
  <c r="E1507" i="1"/>
  <c r="P1505" i="1"/>
  <c r="F1504" i="1"/>
  <c r="P1502" i="1"/>
  <c r="F1501" i="1"/>
  <c r="R1499" i="1"/>
  <c r="G1498" i="1"/>
  <c r="AA1496" i="1"/>
  <c r="H1495" i="1"/>
  <c r="AA1493" i="1"/>
  <c r="H1492" i="1"/>
  <c r="A1491" i="1"/>
  <c r="I1489" i="1"/>
  <c r="C1488" i="1"/>
  <c r="N1486" i="1"/>
  <c r="F1485" i="1"/>
  <c r="R1483" i="1"/>
  <c r="G1482" i="1"/>
  <c r="R1480" i="1"/>
  <c r="G1479" i="1"/>
  <c r="A1478" i="1"/>
  <c r="J1476" i="1"/>
  <c r="D1475" i="1"/>
  <c r="R1473" i="1"/>
  <c r="F1472" i="1"/>
  <c r="S1470" i="1"/>
  <c r="G1469" i="1"/>
  <c r="R1467" i="1"/>
  <c r="G1466" i="1"/>
  <c r="AA1464" i="1"/>
  <c r="I1463" i="1"/>
  <c r="B1462" i="1"/>
  <c r="L1460" i="1"/>
  <c r="J1459" i="1"/>
  <c r="D1458" i="1"/>
  <c r="R1456" i="1"/>
  <c r="L1455" i="1"/>
  <c r="J1454" i="1"/>
  <c r="I1453" i="1"/>
  <c r="N1650" i="1"/>
  <c r="A1647" i="1"/>
  <c r="P1643" i="1"/>
  <c r="B1640" i="1"/>
  <c r="I1636" i="1"/>
  <c r="N1633" i="1"/>
  <c r="AA1629" i="1"/>
  <c r="G1626" i="1"/>
  <c r="D1623" i="1"/>
  <c r="AA1618" i="1"/>
  <c r="C1614" i="1"/>
  <c r="AA1609" i="1"/>
  <c r="R1605" i="1"/>
  <c r="E1602" i="1"/>
  <c r="H1599" i="1"/>
  <c r="B1596" i="1"/>
  <c r="D1592" i="1"/>
  <c r="I1589" i="1"/>
  <c r="Q1586" i="1"/>
  <c r="F1584" i="1"/>
  <c r="H1582" i="1"/>
  <c r="B1580" i="1"/>
  <c r="Q1577" i="1"/>
  <c r="U1575" i="1"/>
  <c r="O1573" i="1"/>
  <c r="K1571" i="1"/>
  <c r="Q1569" i="1"/>
  <c r="K1567" i="1"/>
  <c r="E1565" i="1"/>
  <c r="F1563" i="1"/>
  <c r="AA1560" i="1"/>
  <c r="N1558" i="1"/>
  <c r="O1556" i="1"/>
  <c r="G1554" i="1"/>
  <c r="D1552" i="1"/>
  <c r="F1550" i="1"/>
  <c r="B1548" i="1"/>
  <c r="P1545" i="1"/>
  <c r="AA1543" i="1"/>
  <c r="K1541" i="1"/>
  <c r="F1539" i="1"/>
  <c r="I1537" i="1"/>
  <c r="C1535" i="1"/>
  <c r="B1533" i="1"/>
  <c r="G1531" i="1"/>
  <c r="E1529" i="1"/>
  <c r="D1527" i="1"/>
  <c r="U1525" i="1"/>
  <c r="N1524" i="1"/>
  <c r="I1523" i="1"/>
  <c r="E1522" i="1"/>
  <c r="C1521" i="1"/>
  <c r="Y1519" i="1"/>
  <c r="V1518" i="1"/>
  <c r="W1517" i="1"/>
  <c r="Y1516" i="1"/>
  <c r="U1515" i="1"/>
  <c r="Z1514" i="1"/>
  <c r="R1513" i="1"/>
  <c r="G1512" i="1"/>
  <c r="A1511" i="1"/>
  <c r="L1509" i="1"/>
  <c r="C1508" i="1"/>
  <c r="L1506" i="1"/>
  <c r="D1505" i="1"/>
  <c r="N1503" i="1"/>
  <c r="E1502" i="1"/>
  <c r="P1500" i="1"/>
  <c r="E1499" i="1"/>
  <c r="P1497" i="1"/>
  <c r="F1496" i="1"/>
  <c r="P1494" i="1"/>
  <c r="F1493" i="1"/>
  <c r="R1491" i="1"/>
  <c r="G1490" i="1"/>
  <c r="A1489" i="1"/>
  <c r="K1487" i="1"/>
  <c r="D1486" i="1"/>
  <c r="N1484" i="1"/>
  <c r="E1483" i="1"/>
  <c r="N1481" i="1"/>
  <c r="E1480" i="1"/>
  <c r="P1478" i="1"/>
  <c r="H1477" i="1"/>
  <c r="B1476" i="1"/>
  <c r="L1474" i="1"/>
  <c r="D1473" i="1"/>
  <c r="P1471" i="1"/>
  <c r="E1470" i="1"/>
  <c r="P1468" i="1"/>
  <c r="E1467" i="1"/>
  <c r="P1465" i="1"/>
  <c r="G1464" i="1"/>
  <c r="A1463" i="1"/>
  <c r="J1461" i="1"/>
  <c r="C1460" i="1"/>
  <c r="A1459" i="1"/>
  <c r="N1457" i="1"/>
  <c r="E1456" i="1"/>
  <c r="C1455" i="1"/>
  <c r="A1454" i="1"/>
  <c r="AA1452" i="1"/>
  <c r="R1451" i="1"/>
  <c r="H1450" i="1"/>
  <c r="N1448" i="1"/>
  <c r="H1447" i="1"/>
  <c r="B1446" i="1"/>
  <c r="K1444" i="1"/>
  <c r="E1443" i="1"/>
  <c r="M1441" i="1"/>
  <c r="C1440" i="1"/>
  <c r="I1438" i="1"/>
  <c r="A1437" i="1"/>
  <c r="F1435" i="1"/>
  <c r="R1433" i="1"/>
  <c r="G1432" i="1"/>
  <c r="A1431" i="1"/>
  <c r="G1429" i="1"/>
  <c r="AA1427" i="1"/>
  <c r="K1426" i="1"/>
  <c r="L1425" i="1"/>
  <c r="M1424" i="1"/>
  <c r="H1423" i="1"/>
  <c r="C1422" i="1"/>
  <c r="P1420" i="1"/>
  <c r="L1419" i="1"/>
  <c r="H1418" i="1"/>
  <c r="E1417" i="1"/>
  <c r="AA1650" i="1"/>
  <c r="Q1643" i="1"/>
  <c r="P1634" i="1"/>
  <c r="N1627" i="1"/>
  <c r="E1619" i="1"/>
  <c r="N1610" i="1"/>
  <c r="A1601" i="1"/>
  <c r="L1593" i="1"/>
  <c r="C1587" i="1"/>
  <c r="O1582" i="1"/>
  <c r="I1578" i="1"/>
  <c r="A1574" i="1"/>
  <c r="B1570" i="1"/>
  <c r="AA1565" i="1"/>
  <c r="F1561" i="1"/>
  <c r="C1557" i="1"/>
  <c r="U1552" i="1"/>
  <c r="H1548" i="1"/>
  <c r="G1544" i="1"/>
  <c r="C1540" i="1"/>
  <c r="I1535" i="1"/>
  <c r="N1531" i="1"/>
  <c r="U1527" i="1"/>
  <c r="Y1524" i="1"/>
  <c r="L1522" i="1"/>
  <c r="H1520" i="1"/>
  <c r="C1518" i="1"/>
  <c r="C1516" i="1"/>
  <c r="D1514" i="1"/>
  <c r="G1511" i="1"/>
  <c r="I1508" i="1"/>
  <c r="I1505" i="1"/>
  <c r="N1502" i="1"/>
  <c r="A1500" i="1"/>
  <c r="G1497" i="1"/>
  <c r="A1495" i="1"/>
  <c r="C1492" i="1"/>
  <c r="G1489" i="1"/>
  <c r="P1486" i="1"/>
  <c r="E1484" i="1"/>
  <c r="A1482" i="1"/>
  <c r="F1479" i="1"/>
  <c r="A1477" i="1"/>
  <c r="R1474" i="1"/>
  <c r="E1472" i="1"/>
  <c r="R1469" i="1"/>
  <c r="H1467" i="1"/>
  <c r="P1464" i="1"/>
  <c r="I1462" i="1"/>
  <c r="G1460" i="1"/>
  <c r="C1458" i="1"/>
  <c r="U1455" i="1"/>
  <c r="D1454" i="1"/>
  <c r="G1452" i="1"/>
  <c r="I1450" i="1"/>
  <c r="AA1447" i="1"/>
  <c r="L1445" i="1"/>
  <c r="L1443" i="1"/>
  <c r="E1441" i="1"/>
  <c r="AA1438" i="1"/>
  <c r="D1436" i="1"/>
  <c r="C1434" i="1"/>
  <c r="M1431" i="1"/>
  <c r="L1429" i="1"/>
  <c r="D1427" i="1"/>
  <c r="N1425" i="1"/>
  <c r="A1424" i="1"/>
  <c r="D1422" i="1"/>
  <c r="A1420" i="1"/>
  <c r="C1418" i="1"/>
  <c r="H1416" i="1"/>
  <c r="L1414" i="1"/>
  <c r="H1412" i="1"/>
  <c r="E1410" i="1"/>
  <c r="F1407" i="1"/>
  <c r="B1405" i="1"/>
  <c r="AA1402" i="1"/>
  <c r="D1401" i="1"/>
  <c r="L1399" i="1"/>
  <c r="D1398" i="1"/>
  <c r="R1396" i="1"/>
  <c r="O1395" i="1"/>
  <c r="I1394" i="1"/>
  <c r="E1393" i="1"/>
  <c r="A1392" i="1"/>
  <c r="R1390" i="1"/>
  <c r="N1389" i="1"/>
  <c r="H1388" i="1"/>
  <c r="D1387" i="1"/>
  <c r="O1385" i="1"/>
  <c r="H1384" i="1"/>
  <c r="C1383" i="1"/>
  <c r="L1381" i="1"/>
  <c r="G1380" i="1"/>
  <c r="B1379" i="1"/>
  <c r="N1377" i="1"/>
  <c r="H1376" i="1"/>
  <c r="C1375" i="1"/>
  <c r="P1373" i="1"/>
  <c r="K1372" i="1"/>
  <c r="F1371" i="1"/>
  <c r="A1370" i="1"/>
  <c r="O1368" i="1"/>
  <c r="K1367" i="1"/>
  <c r="H1366" i="1"/>
  <c r="F1365" i="1"/>
  <c r="E1364" i="1"/>
  <c r="D1363" i="1"/>
  <c r="Q1361" i="1"/>
  <c r="G1360" i="1"/>
  <c r="B1359" i="1"/>
  <c r="N1357" i="1"/>
  <c r="F1356" i="1"/>
  <c r="R1354" i="1"/>
  <c r="L1353" i="1"/>
  <c r="G1352" i="1"/>
  <c r="AA1350" i="1"/>
  <c r="O1349" i="1"/>
  <c r="G1348" i="1"/>
  <c r="B1347" i="1"/>
  <c r="P1345" i="1"/>
  <c r="H1344" i="1"/>
  <c r="C1343" i="1"/>
  <c r="R1341" i="1"/>
  <c r="N1340" i="1"/>
  <c r="L1339" i="1"/>
  <c r="J1338" i="1"/>
  <c r="H1337" i="1"/>
  <c r="F1336" i="1"/>
  <c r="C1335" i="1"/>
  <c r="A1334" i="1"/>
  <c r="AA1332" i="1"/>
  <c r="N1331" i="1"/>
  <c r="H1330" i="1"/>
  <c r="E1329" i="1"/>
  <c r="AA1327" i="1"/>
  <c r="Q1326" i="1"/>
  <c r="L1325" i="1"/>
  <c r="G1324" i="1"/>
  <c r="B1323" i="1"/>
  <c r="U1321" i="1"/>
  <c r="P1320" i="1"/>
  <c r="K1319" i="1"/>
  <c r="G1318" i="1"/>
  <c r="D1317" i="1"/>
  <c r="A1316" i="1"/>
  <c r="R1314" i="1"/>
  <c r="N1313" i="1"/>
  <c r="J1312" i="1"/>
  <c r="G1311" i="1"/>
  <c r="D1310" i="1"/>
  <c r="A1309" i="1"/>
  <c r="R1307" i="1"/>
  <c r="N1306" i="1"/>
  <c r="K1305" i="1"/>
  <c r="I1304" i="1"/>
  <c r="F1303" i="1"/>
  <c r="D1302" i="1"/>
  <c r="B1301" i="1"/>
  <c r="AA1299" i="1"/>
  <c r="O1298" i="1"/>
  <c r="J1297" i="1"/>
  <c r="E1296" i="1"/>
  <c r="B1295" i="1"/>
  <c r="U1293" i="1"/>
  <c r="N1292" i="1"/>
  <c r="J1291" i="1"/>
  <c r="H1290" i="1"/>
  <c r="G1289" i="1"/>
  <c r="C1288" i="1"/>
  <c r="U1286" i="1"/>
  <c r="R1285" i="1"/>
  <c r="L1284" i="1"/>
  <c r="F1283" i="1"/>
  <c r="B1282" i="1"/>
  <c r="AA1280" i="1"/>
  <c r="R1279" i="1"/>
  <c r="O1278" i="1"/>
  <c r="M1277" i="1"/>
  <c r="H1276" i="1"/>
  <c r="E1275" i="1"/>
  <c r="B1274" i="1"/>
  <c r="U1272" i="1"/>
  <c r="N1271" i="1"/>
  <c r="J1270" i="1"/>
  <c r="I1269" i="1"/>
  <c r="F1268" i="1"/>
  <c r="C1267" i="1"/>
  <c r="A1266" i="1"/>
  <c r="U1264" i="1"/>
  <c r="Q1263" i="1"/>
  <c r="N1262" i="1"/>
  <c r="L1261" i="1"/>
  <c r="I1260" i="1"/>
  <c r="G1259" i="1"/>
  <c r="E1258" i="1"/>
  <c r="D1257" i="1"/>
  <c r="C1256" i="1"/>
  <c r="A1255" i="1"/>
  <c r="U1253" i="1"/>
  <c r="Q1252" i="1"/>
  <c r="N1251" i="1"/>
  <c r="K1250" i="1"/>
  <c r="I1249" i="1"/>
  <c r="G1248" i="1"/>
  <c r="E1247" i="1"/>
  <c r="C1246" i="1"/>
  <c r="A1245" i="1"/>
  <c r="U1243" i="1"/>
  <c r="Q1242" i="1"/>
  <c r="M1241" i="1"/>
  <c r="L1240" i="1"/>
  <c r="K1239" i="1"/>
  <c r="J1238" i="1"/>
  <c r="G1237" i="1"/>
  <c r="D1236" i="1"/>
  <c r="B1235" i="1"/>
  <c r="AA1233" i="1"/>
  <c r="R1232" i="1"/>
  <c r="Q1231" i="1"/>
  <c r="P1230" i="1"/>
  <c r="L1229" i="1"/>
  <c r="J1228" i="1"/>
  <c r="H1227" i="1"/>
  <c r="F1226" i="1"/>
  <c r="D1225" i="1"/>
  <c r="B1224" i="1"/>
  <c r="AA1222" i="1"/>
  <c r="R1221" i="1"/>
  <c r="P1220" i="1"/>
  <c r="L1219" i="1"/>
  <c r="G1218" i="1"/>
  <c r="D1217" i="1"/>
  <c r="A1216" i="1"/>
  <c r="R1214" i="1"/>
  <c r="M1213" i="1"/>
  <c r="H1212" i="1"/>
  <c r="E1211" i="1"/>
  <c r="B1210" i="1"/>
  <c r="U1208" i="1"/>
  <c r="P1207" i="1"/>
  <c r="N1206" i="1"/>
  <c r="M1205" i="1"/>
  <c r="U1650" i="1"/>
  <c r="D1642" i="1"/>
  <c r="N1634" i="1"/>
  <c r="L1627" i="1"/>
  <c r="D1619" i="1"/>
  <c r="C1610" i="1"/>
  <c r="K1600" i="1"/>
  <c r="I1593" i="1"/>
  <c r="B1587" i="1"/>
  <c r="N1582" i="1"/>
  <c r="H1578" i="1"/>
  <c r="AA1573" i="1"/>
  <c r="A1570" i="1"/>
  <c r="U1565" i="1"/>
  <c r="E1561" i="1"/>
  <c r="B1557" i="1"/>
  <c r="R1552" i="1"/>
  <c r="G1548" i="1"/>
  <c r="F1544" i="1"/>
  <c r="B1540" i="1"/>
  <c r="H1535" i="1"/>
  <c r="K1531" i="1"/>
  <c r="R1527" i="1"/>
  <c r="V1524" i="1"/>
  <c r="I1522" i="1"/>
  <c r="F1520" i="1"/>
  <c r="B1518" i="1"/>
  <c r="B1516" i="1"/>
  <c r="C1514" i="1"/>
  <c r="F1511" i="1"/>
  <c r="H1508" i="1"/>
  <c r="H1505" i="1"/>
  <c r="L1502" i="1"/>
  <c r="AA1499" i="1"/>
  <c r="C1497" i="1"/>
  <c r="R1494" i="1"/>
  <c r="B1492" i="1"/>
  <c r="F1489" i="1"/>
  <c r="L1486" i="1"/>
  <c r="B1484" i="1"/>
  <c r="AA1481" i="1"/>
  <c r="E1479" i="1"/>
  <c r="P1476" i="1"/>
  <c r="P1474" i="1"/>
  <c r="D1472" i="1"/>
  <c r="L1469" i="1"/>
  <c r="G1467" i="1"/>
  <c r="N1464" i="1"/>
  <c r="E1462" i="1"/>
  <c r="F1460" i="1"/>
  <c r="B1458" i="1"/>
  <c r="P1455" i="1"/>
  <c r="C1454" i="1"/>
  <c r="F1452" i="1"/>
  <c r="B1450" i="1"/>
  <c r="R1447" i="1"/>
  <c r="K1445" i="1"/>
  <c r="K1443" i="1"/>
  <c r="A1441" i="1"/>
  <c r="R1438" i="1"/>
  <c r="C1436" i="1"/>
  <c r="B1434" i="1"/>
  <c r="L1431" i="1"/>
  <c r="I1429" i="1"/>
  <c r="C1427" i="1"/>
  <c r="M1425" i="1"/>
  <c r="AA1423" i="1"/>
  <c r="P1421" i="1"/>
  <c r="AA1419" i="1"/>
  <c r="B1418" i="1"/>
  <c r="G1416" i="1"/>
  <c r="E1414" i="1"/>
  <c r="G1412" i="1"/>
  <c r="D1410" i="1"/>
  <c r="E1407" i="1"/>
  <c r="A1405" i="1"/>
  <c r="R1402" i="1"/>
  <c r="C1401" i="1"/>
  <c r="I1399" i="1"/>
  <c r="C1398" i="1"/>
  <c r="Q1396" i="1"/>
  <c r="N1395" i="1"/>
  <c r="H1394" i="1"/>
  <c r="D1393" i="1"/>
  <c r="AA1391" i="1"/>
  <c r="P1390" i="1"/>
  <c r="M1389" i="1"/>
  <c r="G1388" i="1"/>
  <c r="C1387" i="1"/>
  <c r="N1385" i="1"/>
  <c r="G1384" i="1"/>
  <c r="B1383" i="1"/>
  <c r="K1381" i="1"/>
  <c r="F1380" i="1"/>
  <c r="A1379" i="1"/>
  <c r="L1377" i="1"/>
  <c r="G1376" i="1"/>
  <c r="B1375" i="1"/>
  <c r="O1373" i="1"/>
  <c r="J1372" i="1"/>
  <c r="E1371" i="1"/>
  <c r="AA1369" i="1"/>
  <c r="N1368" i="1"/>
  <c r="J1367" i="1"/>
  <c r="F1366" i="1"/>
  <c r="E1365" i="1"/>
  <c r="D1364" i="1"/>
  <c r="C1363" i="1"/>
  <c r="O1361" i="1"/>
  <c r="F1360" i="1"/>
  <c r="A1359" i="1"/>
  <c r="L1357" i="1"/>
  <c r="E1356" i="1"/>
  <c r="Q1354" i="1"/>
  <c r="K1353" i="1"/>
  <c r="F1352" i="1"/>
  <c r="R1350" i="1"/>
  <c r="N1349" i="1"/>
  <c r="F1348" i="1"/>
  <c r="A1347" i="1"/>
  <c r="O1345" i="1"/>
  <c r="G1344" i="1"/>
  <c r="B1343" i="1"/>
  <c r="P1341" i="1"/>
  <c r="M1340" i="1"/>
  <c r="K1339" i="1"/>
  <c r="I1338" i="1"/>
  <c r="G1337" i="1"/>
  <c r="E1336" i="1"/>
  <c r="B1335" i="1"/>
  <c r="AA1333" i="1"/>
  <c r="U1332" i="1"/>
  <c r="L1331" i="1"/>
  <c r="G1330" i="1"/>
  <c r="D1329" i="1"/>
  <c r="U1327" i="1"/>
  <c r="P1326" i="1"/>
  <c r="K1325" i="1"/>
  <c r="F1324" i="1"/>
  <c r="A1323" i="1"/>
  <c r="R1321" i="1"/>
  <c r="N1320" i="1"/>
  <c r="I1319" i="1"/>
  <c r="F1318" i="1"/>
  <c r="C1317" i="1"/>
  <c r="AA1315" i="1"/>
  <c r="Q1314" i="1"/>
  <c r="L1313" i="1"/>
  <c r="I1312" i="1"/>
  <c r="F1311" i="1"/>
  <c r="C1310" i="1"/>
  <c r="AA1308" i="1"/>
  <c r="Q1307" i="1"/>
  <c r="L1306" i="1"/>
  <c r="J1305" i="1"/>
  <c r="H1304" i="1"/>
  <c r="E1303" i="1"/>
  <c r="C1302" i="1"/>
  <c r="A1301" i="1"/>
  <c r="U1299" i="1"/>
  <c r="N1298" i="1"/>
  <c r="H1297" i="1"/>
  <c r="D1296" i="1"/>
  <c r="A1295" i="1"/>
  <c r="Q1293" i="1"/>
  <c r="L1292" i="1"/>
  <c r="I1291" i="1"/>
  <c r="G1290" i="1"/>
  <c r="F1289" i="1"/>
  <c r="Q1650" i="1"/>
  <c r="C1642" i="1"/>
  <c r="L1634" i="1"/>
  <c r="K1627" i="1"/>
  <c r="C1619" i="1"/>
  <c r="AA1607" i="1"/>
  <c r="H1600" i="1"/>
  <c r="H1593" i="1"/>
  <c r="A1587" i="1"/>
  <c r="L1582" i="1"/>
  <c r="G1578" i="1"/>
  <c r="U1573" i="1"/>
  <c r="AA1569" i="1"/>
  <c r="R1565" i="1"/>
  <c r="D1561" i="1"/>
  <c r="A1557" i="1"/>
  <c r="P1552" i="1"/>
  <c r="F1548" i="1"/>
  <c r="E1544" i="1"/>
  <c r="A1540" i="1"/>
  <c r="G1535" i="1"/>
  <c r="J1531" i="1"/>
  <c r="Q1527" i="1"/>
  <c r="S1524" i="1"/>
  <c r="H1522" i="1"/>
  <c r="E1520" i="1"/>
  <c r="AA1517" i="1"/>
  <c r="A1516" i="1"/>
  <c r="B1514" i="1"/>
  <c r="E1511" i="1"/>
  <c r="G1508" i="1"/>
  <c r="G1505" i="1"/>
  <c r="K1502" i="1"/>
  <c r="P1499" i="1"/>
  <c r="B1497" i="1"/>
  <c r="H1494" i="1"/>
  <c r="A1492" i="1"/>
  <c r="E1489" i="1"/>
  <c r="K1486" i="1"/>
  <c r="A1484" i="1"/>
  <c r="P1481" i="1"/>
  <c r="C1479" i="1"/>
  <c r="N1476" i="1"/>
  <c r="N1474" i="1"/>
  <c r="C1472" i="1"/>
  <c r="I1469" i="1"/>
  <c r="F1467" i="1"/>
  <c r="L1464" i="1"/>
  <c r="D1462" i="1"/>
  <c r="E1460" i="1"/>
  <c r="A1458" i="1"/>
  <c r="O1455" i="1"/>
  <c r="B1454" i="1"/>
  <c r="E1452" i="1"/>
  <c r="A1450" i="1"/>
  <c r="N1447" i="1"/>
  <c r="H1445" i="1"/>
  <c r="J1443" i="1"/>
  <c r="AA1440" i="1"/>
  <c r="N1438" i="1"/>
  <c r="B1436" i="1"/>
  <c r="A1434" i="1"/>
  <c r="I1431" i="1"/>
  <c r="H1429" i="1"/>
  <c r="B1427" i="1"/>
  <c r="G1425" i="1"/>
  <c r="R1423" i="1"/>
  <c r="O1421" i="1"/>
  <c r="X1419" i="1"/>
  <c r="X1417" i="1"/>
  <c r="F1416" i="1"/>
  <c r="D1414" i="1"/>
  <c r="F1412" i="1"/>
  <c r="C1410" i="1"/>
  <c r="D1407" i="1"/>
  <c r="N1404" i="1"/>
  <c r="N1402" i="1"/>
  <c r="B1401" i="1"/>
  <c r="H1399" i="1"/>
  <c r="B1398" i="1"/>
  <c r="P1396" i="1"/>
  <c r="M1395" i="1"/>
  <c r="G1394" i="1"/>
  <c r="C1393" i="1"/>
  <c r="R1391" i="1"/>
  <c r="O1390" i="1"/>
  <c r="L1389" i="1"/>
  <c r="F1388" i="1"/>
  <c r="B1387" i="1"/>
  <c r="L1385" i="1"/>
  <c r="F1384" i="1"/>
  <c r="A1383" i="1"/>
  <c r="J1381" i="1"/>
  <c r="E1380" i="1"/>
  <c r="AA1378" i="1"/>
  <c r="K1377" i="1"/>
  <c r="F1376" i="1"/>
  <c r="A1375" i="1"/>
  <c r="N1373" i="1"/>
  <c r="I1372" i="1"/>
  <c r="D1371" i="1"/>
  <c r="R1369" i="1"/>
  <c r="L1368" i="1"/>
  <c r="H1367" i="1"/>
  <c r="E1366" i="1"/>
  <c r="D1365" i="1"/>
  <c r="C1364" i="1"/>
  <c r="B1363" i="1"/>
  <c r="N1361" i="1"/>
  <c r="E1360" i="1"/>
  <c r="AA1358" i="1"/>
  <c r="I1357" i="1"/>
  <c r="D1356" i="1"/>
  <c r="P1354" i="1"/>
  <c r="J1353" i="1"/>
  <c r="E1352" i="1"/>
  <c r="P1350" i="1"/>
  <c r="L1349" i="1"/>
  <c r="E1348" i="1"/>
  <c r="AA1346" i="1"/>
  <c r="N1345" i="1"/>
  <c r="F1344" i="1"/>
  <c r="AA1342" i="1"/>
  <c r="N1341" i="1"/>
  <c r="L1340" i="1"/>
  <c r="J1339" i="1"/>
  <c r="H1338" i="1"/>
  <c r="F1337" i="1"/>
  <c r="D1336" i="1"/>
  <c r="A1335" i="1"/>
  <c r="U1333" i="1"/>
  <c r="R1332" i="1"/>
  <c r="I1331" i="1"/>
  <c r="F1330" i="1"/>
  <c r="C1329" i="1"/>
  <c r="R1327" i="1"/>
  <c r="N1326" i="1"/>
  <c r="J1325" i="1"/>
  <c r="E1324" i="1"/>
  <c r="AA1322" i="1"/>
  <c r="Q1321" i="1"/>
  <c r="K1320" i="1"/>
  <c r="H1319" i="1"/>
  <c r="E1318" i="1"/>
  <c r="B1317" i="1"/>
  <c r="U1315" i="1"/>
  <c r="O1314" i="1"/>
  <c r="K1313" i="1"/>
  <c r="H1312" i="1"/>
  <c r="E1311" i="1"/>
  <c r="B1310" i="1"/>
  <c r="U1308" i="1"/>
  <c r="O1307" i="1"/>
  <c r="K1306" i="1"/>
  <c r="I1305" i="1"/>
  <c r="G1304" i="1"/>
  <c r="D1303" i="1"/>
  <c r="B1302" i="1"/>
  <c r="AA1300" i="1"/>
  <c r="R1299" i="1"/>
  <c r="K1298" i="1"/>
  <c r="O1648" i="1"/>
  <c r="A1642" i="1"/>
  <c r="U1633" i="1"/>
  <c r="I1627" i="1"/>
  <c r="A1619" i="1"/>
  <c r="U1607" i="1"/>
  <c r="G1600" i="1"/>
  <c r="G1593" i="1"/>
  <c r="AA1586" i="1"/>
  <c r="K1582" i="1"/>
  <c r="E1578" i="1"/>
  <c r="R1573" i="1"/>
  <c r="U1569" i="1"/>
  <c r="O1565" i="1"/>
  <c r="C1561" i="1"/>
  <c r="AA1556" i="1"/>
  <c r="N1552" i="1"/>
  <c r="E1548" i="1"/>
  <c r="B1544" i="1"/>
  <c r="R1539" i="1"/>
  <c r="F1535" i="1"/>
  <c r="I1531" i="1"/>
  <c r="N1527" i="1"/>
  <c r="R1524" i="1"/>
  <c r="G1522" i="1"/>
  <c r="D1520" i="1"/>
  <c r="L1648" i="1"/>
  <c r="G1641" i="1"/>
  <c r="R1633" i="1"/>
  <c r="E1627" i="1"/>
  <c r="E1616" i="1"/>
  <c r="Q1607" i="1"/>
  <c r="Q1599" i="1"/>
  <c r="F1593" i="1"/>
  <c r="R1586" i="1"/>
  <c r="I1582" i="1"/>
  <c r="R1577" i="1"/>
  <c r="P1573" i="1"/>
  <c r="R1569" i="1"/>
  <c r="F1565" i="1"/>
  <c r="A1561" i="1"/>
  <c r="U1556" i="1"/>
  <c r="E1552" i="1"/>
  <c r="C1548" i="1"/>
  <c r="A1544" i="1"/>
  <c r="G1539" i="1"/>
  <c r="D1535" i="1"/>
  <c r="H1531" i="1"/>
  <c r="E1527" i="1"/>
  <c r="O1524" i="1"/>
  <c r="F1522" i="1"/>
  <c r="Z1519" i="1"/>
  <c r="Y1517" i="1"/>
  <c r="V1515" i="1"/>
  <c r="AA1513" i="1"/>
  <c r="B1511" i="1"/>
  <c r="D1508" i="1"/>
  <c r="E1505" i="1"/>
  <c r="H1502" i="1"/>
  <c r="L1499" i="1"/>
  <c r="R1496" i="1"/>
  <c r="C1494" i="1"/>
  <c r="I1491" i="1"/>
  <c r="C1489" i="1"/>
  <c r="I1486" i="1"/>
  <c r="P1483" i="1"/>
  <c r="F1481" i="1"/>
  <c r="A1479" i="1"/>
  <c r="I1476" i="1"/>
  <c r="E1474" i="1"/>
  <c r="A1472" i="1"/>
  <c r="F1469" i="1"/>
  <c r="R1466" i="1"/>
  <c r="J1464" i="1"/>
  <c r="A1462" i="1"/>
  <c r="P1459" i="1"/>
  <c r="R1457" i="1"/>
  <c r="K1455" i="1"/>
  <c r="P1453" i="1"/>
  <c r="C1452" i="1"/>
  <c r="I1449" i="1"/>
  <c r="L1447" i="1"/>
  <c r="F1445" i="1"/>
  <c r="G1443" i="1"/>
  <c r="N1440" i="1"/>
  <c r="L1438" i="1"/>
  <c r="AA1435" i="1"/>
  <c r="H1433" i="1"/>
  <c r="G1431" i="1"/>
  <c r="A1429" i="1"/>
  <c r="AA1426" i="1"/>
  <c r="C1425" i="1"/>
  <c r="O1423" i="1"/>
  <c r="H1421" i="1"/>
  <c r="P1419" i="1"/>
  <c r="P1417" i="1"/>
  <c r="D1416" i="1"/>
  <c r="AA1413" i="1"/>
  <c r="D1412" i="1"/>
  <c r="H1409" i="1"/>
  <c r="B1407" i="1"/>
  <c r="I1404" i="1"/>
  <c r="I1402" i="1"/>
  <c r="AA1400" i="1"/>
  <c r="F1399" i="1"/>
  <c r="R1397" i="1"/>
  <c r="N1396" i="1"/>
  <c r="I1395" i="1"/>
  <c r="D1394" i="1"/>
  <c r="AA1392" i="1"/>
  <c r="P1391" i="1"/>
  <c r="M1390" i="1"/>
  <c r="H1389" i="1"/>
  <c r="D1388" i="1"/>
  <c r="R1386" i="1"/>
  <c r="H1385" i="1"/>
  <c r="D1384" i="1"/>
  <c r="Q1382" i="1"/>
  <c r="H1381" i="1"/>
  <c r="C1380" i="1"/>
  <c r="Q1378" i="1"/>
  <c r="I1377" i="1"/>
  <c r="D1376" i="1"/>
  <c r="R1374" i="1"/>
  <c r="K1373" i="1"/>
  <c r="G1372" i="1"/>
  <c r="B1371" i="1"/>
  <c r="L1369" i="1"/>
  <c r="I1368" i="1"/>
  <c r="F1367" i="1"/>
  <c r="C1366" i="1"/>
  <c r="B1365" i="1"/>
  <c r="A1364" i="1"/>
  <c r="AA1362" i="1"/>
  <c r="I1361" i="1"/>
  <c r="C1360" i="1"/>
  <c r="P1358" i="1"/>
  <c r="G1357" i="1"/>
  <c r="B1356" i="1"/>
  <c r="N1354" i="1"/>
  <c r="H1353" i="1"/>
  <c r="C1352" i="1"/>
  <c r="N1350" i="1"/>
  <c r="H1349" i="1"/>
  <c r="C1348" i="1"/>
  <c r="Q1346" i="1"/>
  <c r="H1345" i="1"/>
  <c r="C1344" i="1"/>
  <c r="Q1342" i="1"/>
  <c r="L1341" i="1"/>
  <c r="J1340" i="1"/>
  <c r="H1339" i="1"/>
  <c r="F1338" i="1"/>
  <c r="D1337" i="1"/>
  <c r="B1336" i="1"/>
  <c r="U1334" i="1"/>
  <c r="S1333" i="1"/>
  <c r="P1332" i="1"/>
  <c r="G1331" i="1"/>
  <c r="D1330" i="1"/>
  <c r="A1329" i="1"/>
  <c r="P1327" i="1"/>
  <c r="K1326" i="1"/>
  <c r="H1325" i="1"/>
  <c r="C1324" i="1"/>
  <c r="Q1322" i="1"/>
  <c r="L1321" i="1"/>
  <c r="I1320" i="1"/>
  <c r="F1319" i="1"/>
  <c r="C1318" i="1"/>
  <c r="AA1316" i="1"/>
  <c r="Q1315" i="1"/>
  <c r="L1314" i="1"/>
  <c r="I1313" i="1"/>
  <c r="F1312" i="1"/>
  <c r="C1311" i="1"/>
  <c r="AA1309" i="1"/>
  <c r="Q1308" i="1"/>
  <c r="L1307" i="1"/>
  <c r="I1306" i="1"/>
  <c r="G1305" i="1"/>
  <c r="E1304" i="1"/>
  <c r="B1303" i="1"/>
  <c r="AA1301" i="1"/>
  <c r="Q1300" i="1"/>
  <c r="N1299" i="1"/>
  <c r="I1298" i="1"/>
  <c r="E1297" i="1"/>
  <c r="G1648" i="1"/>
  <c r="AA1640" i="1"/>
  <c r="Q1633" i="1"/>
  <c r="H1626" i="1"/>
  <c r="C1616" i="1"/>
  <c r="C1607" i="1"/>
  <c r="P1599" i="1"/>
  <c r="D1593" i="1"/>
  <c r="O1585" i="1"/>
  <c r="F1581" i="1"/>
  <c r="B1577" i="1"/>
  <c r="O1572" i="1"/>
  <c r="P1568" i="1"/>
  <c r="K1564" i="1"/>
  <c r="U1559" i="1"/>
  <c r="O1555" i="1"/>
  <c r="I1551" i="1"/>
  <c r="A1547" i="1"/>
  <c r="P1542" i="1"/>
  <c r="N1538" i="1"/>
  <c r="D1534" i="1"/>
  <c r="G1530" i="1"/>
  <c r="P1526" i="1"/>
  <c r="B1524" i="1"/>
  <c r="R1521" i="1"/>
  <c r="M1519" i="1"/>
  <c r="K1517" i="1"/>
  <c r="K1515" i="1"/>
  <c r="C1513" i="1"/>
  <c r="G1510" i="1"/>
  <c r="I1507" i="1"/>
  <c r="R1504" i="1"/>
  <c r="G1502" i="1"/>
  <c r="K1499" i="1"/>
  <c r="P1496" i="1"/>
  <c r="B1494" i="1"/>
  <c r="D1491" i="1"/>
  <c r="B1489" i="1"/>
  <c r="H1486" i="1"/>
  <c r="N1483" i="1"/>
  <c r="C1481" i="1"/>
  <c r="AA1478" i="1"/>
  <c r="H1476" i="1"/>
  <c r="A1474" i="1"/>
  <c r="S1471" i="1"/>
  <c r="D1469" i="1"/>
  <c r="L1466" i="1"/>
  <c r="I1464" i="1"/>
  <c r="AA1461" i="1"/>
  <c r="M1459" i="1"/>
  <c r="P1457" i="1"/>
  <c r="J1455" i="1"/>
  <c r="L1453" i="1"/>
  <c r="B1452" i="1"/>
  <c r="H1449" i="1"/>
  <c r="J1447" i="1"/>
  <c r="E1445" i="1"/>
  <c r="F1443" i="1"/>
  <c r="L1440" i="1"/>
  <c r="C1438" i="1"/>
  <c r="R1435" i="1"/>
  <c r="G1433" i="1"/>
  <c r="F1431" i="1"/>
  <c r="N1428" i="1"/>
  <c r="R1426" i="1"/>
  <c r="B1425" i="1"/>
  <c r="N1423" i="1"/>
  <c r="G1421" i="1"/>
  <c r="O1419" i="1"/>
  <c r="O1417" i="1"/>
  <c r="C1416" i="1"/>
  <c r="R1413" i="1"/>
  <c r="C1412" i="1"/>
  <c r="E1409" i="1"/>
  <c r="A1407" i="1"/>
  <c r="D1404" i="1"/>
  <c r="H1402" i="1"/>
  <c r="R1400" i="1"/>
  <c r="E1399" i="1"/>
  <c r="Q1397" i="1"/>
  <c r="M1396" i="1"/>
  <c r="G1395" i="1"/>
  <c r="C1394" i="1"/>
  <c r="R1392" i="1"/>
  <c r="O1391" i="1"/>
  <c r="L1390" i="1"/>
  <c r="G1389" i="1"/>
  <c r="C1388" i="1"/>
  <c r="Q1386" i="1"/>
  <c r="G1385" i="1"/>
  <c r="C1384" i="1"/>
  <c r="O1382" i="1"/>
  <c r="G1381" i="1"/>
  <c r="B1380" i="1"/>
  <c r="N1378" i="1"/>
  <c r="H1377" i="1"/>
  <c r="C1376" i="1"/>
  <c r="Q1374" i="1"/>
  <c r="J1373" i="1"/>
  <c r="F1372" i="1"/>
  <c r="AA1370" i="1"/>
  <c r="K1369" i="1"/>
  <c r="H1368" i="1"/>
  <c r="E1367" i="1"/>
  <c r="B1366" i="1"/>
  <c r="A1365" i="1"/>
  <c r="AA1363" i="1"/>
  <c r="R1362" i="1"/>
  <c r="H1361" i="1"/>
  <c r="B1360" i="1"/>
  <c r="O1358" i="1"/>
  <c r="F1357" i="1"/>
  <c r="A1356" i="1"/>
  <c r="L1354" i="1"/>
  <c r="G1353" i="1"/>
  <c r="B1352" i="1"/>
  <c r="L1350" i="1"/>
  <c r="G1349" i="1"/>
  <c r="B1348" i="1"/>
  <c r="O1346" i="1"/>
  <c r="G1345" i="1"/>
  <c r="B1344" i="1"/>
  <c r="P1342" i="1"/>
  <c r="K1341" i="1"/>
  <c r="I1340" i="1"/>
  <c r="G1339" i="1"/>
  <c r="E1338" i="1"/>
  <c r="C1337" i="1"/>
  <c r="A1336" i="1"/>
  <c r="T1334" i="1"/>
  <c r="R1333" i="1"/>
  <c r="N1332" i="1"/>
  <c r="F1331" i="1"/>
  <c r="C1330" i="1"/>
  <c r="AA1328" i="1"/>
  <c r="N1327" i="1"/>
  <c r="J1326" i="1"/>
  <c r="G1325" i="1"/>
  <c r="A1324" i="1"/>
  <c r="P1322" i="1"/>
  <c r="K1321" i="1"/>
  <c r="H1320" i="1"/>
  <c r="E1319" i="1"/>
  <c r="B1318" i="1"/>
  <c r="U1316" i="1"/>
  <c r="O1315" i="1"/>
  <c r="K1314" i="1"/>
  <c r="H1313" i="1"/>
  <c r="E1312" i="1"/>
  <c r="B1311" i="1"/>
  <c r="U1309" i="1"/>
  <c r="O1308" i="1"/>
  <c r="K1307" i="1"/>
  <c r="H1306" i="1"/>
  <c r="F1305" i="1"/>
  <c r="D1304" i="1"/>
  <c r="A1303" i="1"/>
  <c r="R1301" i="1"/>
  <c r="P1300" i="1"/>
  <c r="L1299" i="1"/>
  <c r="H1298" i="1"/>
  <c r="D1297" i="1"/>
  <c r="AA1295" i="1"/>
  <c r="O1294" i="1"/>
  <c r="K1293" i="1"/>
  <c r="H1292" i="1"/>
  <c r="E1291" i="1"/>
  <c r="C1290" i="1"/>
  <c r="B1289" i="1"/>
  <c r="R1287" i="1"/>
  <c r="M1286" i="1"/>
  <c r="I1285" i="1"/>
  <c r="E1284" i="1"/>
  <c r="A1283" i="1"/>
  <c r="Q1281" i="1"/>
  <c r="N1280" i="1"/>
  <c r="K1279" i="1"/>
  <c r="I1278" i="1"/>
  <c r="F1277" i="1"/>
  <c r="C1276" i="1"/>
  <c r="AA1274" i="1"/>
  <c r="Q1273" i="1"/>
  <c r="M1272" i="1"/>
  <c r="F1271" i="1"/>
  <c r="E1270" i="1"/>
  <c r="D1269" i="1"/>
  <c r="A1268" i="1"/>
  <c r="R1266" i="1"/>
  <c r="P1265" i="1"/>
  <c r="M1264" i="1"/>
  <c r="K1263" i="1"/>
  <c r="H1262" i="1"/>
  <c r="F1261" i="1"/>
  <c r="D1260" i="1"/>
  <c r="B1259" i="1"/>
  <c r="AA1257" i="1"/>
  <c r="U1256" i="1"/>
  <c r="R1255" i="1"/>
  <c r="P1254" i="1"/>
  <c r="L1253" i="1"/>
  <c r="J1252" i="1"/>
  <c r="H1251" i="1"/>
  <c r="F1250" i="1"/>
  <c r="D1249" i="1"/>
  <c r="B1248" i="1"/>
  <c r="AA1246" i="1"/>
  <c r="R1245" i="1"/>
  <c r="P1244" i="1"/>
  <c r="L1243" i="1"/>
  <c r="I1242" i="1"/>
  <c r="H1241" i="1"/>
  <c r="G1240" i="1"/>
  <c r="F1239" i="1"/>
  <c r="E1238" i="1"/>
  <c r="B1237" i="1"/>
  <c r="U1235" i="1"/>
  <c r="Q1234" i="1"/>
  <c r="N1233" i="1"/>
  <c r="L1232" i="1"/>
  <c r="K1231" i="1"/>
  <c r="I1230" i="1"/>
  <c r="G1229" i="1"/>
  <c r="E1228" i="1"/>
  <c r="C1227" i="1"/>
  <c r="A1226" i="1"/>
  <c r="U1224" i="1"/>
  <c r="Q1223" i="1"/>
  <c r="N1222" i="1"/>
  <c r="K1221" i="1"/>
  <c r="H1220" i="1"/>
  <c r="E1219" i="1"/>
  <c r="B1218" i="1"/>
  <c r="U1216" i="1"/>
  <c r="P1215" i="1"/>
  <c r="I1214" i="1"/>
  <c r="F1213" i="1"/>
  <c r="C1212" i="1"/>
  <c r="AA1210" i="1"/>
  <c r="Q1209" i="1"/>
  <c r="M1208" i="1"/>
  <c r="F1648" i="1"/>
  <c r="U1640" i="1"/>
  <c r="P1633" i="1"/>
  <c r="R1624" i="1"/>
  <c r="A1616" i="1"/>
  <c r="P1606" i="1"/>
  <c r="O1599" i="1"/>
  <c r="E1592" i="1"/>
  <c r="N1585" i="1"/>
  <c r="E1581" i="1"/>
  <c r="AA1576" i="1"/>
  <c r="N1572" i="1"/>
  <c r="O1568" i="1"/>
  <c r="H1564" i="1"/>
  <c r="R1559" i="1"/>
  <c r="K1555" i="1"/>
  <c r="G1551" i="1"/>
  <c r="AA1546" i="1"/>
  <c r="O1542" i="1"/>
  <c r="K1538" i="1"/>
  <c r="C1534" i="1"/>
  <c r="F1530" i="1"/>
  <c r="N1526" i="1"/>
  <c r="Z1523" i="1"/>
  <c r="Q1521" i="1"/>
  <c r="L1519" i="1"/>
  <c r="I1517" i="1"/>
  <c r="J1515" i="1"/>
  <c r="B1513" i="1"/>
  <c r="F1510" i="1"/>
  <c r="H1507" i="1"/>
  <c r="I1504" i="1"/>
  <c r="F1502" i="1"/>
  <c r="I1499" i="1"/>
  <c r="N1496" i="1"/>
  <c r="R1493" i="1"/>
  <c r="C1491" i="1"/>
  <c r="K1488" i="1"/>
  <c r="G1486" i="1"/>
  <c r="L1483" i="1"/>
  <c r="B1481" i="1"/>
  <c r="R1478" i="1"/>
  <c r="G1476" i="1"/>
  <c r="AA1473" i="1"/>
  <c r="R1471" i="1"/>
  <c r="C1469" i="1"/>
  <c r="I1466" i="1"/>
  <c r="H1464" i="1"/>
  <c r="R1461" i="1"/>
  <c r="L1459" i="1"/>
  <c r="O1457" i="1"/>
  <c r="I1455" i="1"/>
  <c r="K1453" i="1"/>
  <c r="A1452" i="1"/>
  <c r="G1449" i="1"/>
  <c r="I1447" i="1"/>
  <c r="D1445" i="1"/>
  <c r="AA1442" i="1"/>
  <c r="I1440" i="1"/>
  <c r="B1438" i="1"/>
  <c r="N1435" i="1"/>
  <c r="D1433" i="1"/>
  <c r="E1431" i="1"/>
  <c r="L1428" i="1"/>
  <c r="N1426" i="1"/>
  <c r="A1425" i="1"/>
  <c r="L1423" i="1"/>
  <c r="F1421" i="1"/>
  <c r="N1419" i="1"/>
  <c r="N1417" i="1"/>
  <c r="B1416" i="1"/>
  <c r="P1413" i="1"/>
  <c r="B1412" i="1"/>
  <c r="D1409" i="1"/>
  <c r="N1406" i="1"/>
  <c r="C1404" i="1"/>
  <c r="G1402" i="1"/>
  <c r="Q1400" i="1"/>
  <c r="B1399" i="1"/>
  <c r="P1397" i="1"/>
  <c r="I1396" i="1"/>
  <c r="F1395" i="1"/>
  <c r="B1394" i="1"/>
  <c r="Q1392" i="1"/>
  <c r="N1391" i="1"/>
  <c r="I1390" i="1"/>
  <c r="F1389" i="1"/>
  <c r="B1388" i="1"/>
  <c r="O1386" i="1"/>
  <c r="F1385" i="1"/>
  <c r="B1384" i="1"/>
  <c r="N1382" i="1"/>
  <c r="F1381" i="1"/>
  <c r="A1380" i="1"/>
  <c r="L1378" i="1"/>
  <c r="G1377" i="1"/>
  <c r="B1376" i="1"/>
  <c r="N1374" i="1"/>
  <c r="I1373" i="1"/>
  <c r="D1372" i="1"/>
  <c r="R1370" i="1"/>
  <c r="J1369" i="1"/>
  <c r="G1368" i="1"/>
  <c r="D1367" i="1"/>
  <c r="A1366" i="1"/>
  <c r="AA1364" i="1"/>
  <c r="V1363" i="1"/>
  <c r="Q1362" i="1"/>
  <c r="G1361" i="1"/>
  <c r="A1360" i="1"/>
  <c r="N1358" i="1"/>
  <c r="E1357" i="1"/>
  <c r="AA1355" i="1"/>
  <c r="I1354" i="1"/>
  <c r="F1353" i="1"/>
  <c r="A1352" i="1"/>
  <c r="K1350" i="1"/>
  <c r="F1349" i="1"/>
  <c r="AA1347" i="1"/>
  <c r="N1346" i="1"/>
  <c r="F1345" i="1"/>
  <c r="A1344" i="1"/>
  <c r="O1342" i="1"/>
  <c r="J1341" i="1"/>
  <c r="H1340" i="1"/>
  <c r="F1339" i="1"/>
  <c r="D1338" i="1"/>
  <c r="B1337" i="1"/>
  <c r="AA1335" i="1"/>
  <c r="R1334" i="1"/>
  <c r="Q1333" i="1"/>
  <c r="L1332" i="1"/>
  <c r="E1331" i="1"/>
  <c r="B1330" i="1"/>
  <c r="U1328" i="1"/>
  <c r="L1327" i="1"/>
  <c r="I1326" i="1"/>
  <c r="E1325" i="1"/>
  <c r="AA1323" i="1"/>
  <c r="N1322" i="1"/>
  <c r="J1321" i="1"/>
  <c r="G1320" i="1"/>
  <c r="D1319" i="1"/>
  <c r="A1318" i="1"/>
  <c r="R1316" i="1"/>
  <c r="N1315" i="1"/>
  <c r="J1314" i="1"/>
  <c r="G1313" i="1"/>
  <c r="D1312" i="1"/>
  <c r="A1311" i="1"/>
  <c r="R1309" i="1"/>
  <c r="N1308" i="1"/>
  <c r="J1307" i="1"/>
  <c r="G1306" i="1"/>
  <c r="E1305" i="1"/>
  <c r="C1304" i="1"/>
  <c r="U1302" i="1"/>
  <c r="E1648" i="1"/>
  <c r="R1640" i="1"/>
  <c r="O1633" i="1"/>
  <c r="H1624" i="1"/>
  <c r="AA1615" i="1"/>
  <c r="O1606" i="1"/>
  <c r="K1599" i="1"/>
  <c r="B1591" i="1"/>
  <c r="H1585" i="1"/>
  <c r="D1581" i="1"/>
  <c r="L1576" i="1"/>
  <c r="K1572" i="1"/>
  <c r="N1568" i="1"/>
  <c r="A1564" i="1"/>
  <c r="O1559" i="1"/>
  <c r="I1555" i="1"/>
  <c r="S1550" i="1"/>
  <c r="R1546" i="1"/>
  <c r="N1542" i="1"/>
  <c r="B1538" i="1"/>
  <c r="A1534" i="1"/>
  <c r="E1530" i="1"/>
  <c r="H1526" i="1"/>
  <c r="Y1523" i="1"/>
  <c r="M1521" i="1"/>
  <c r="K1519" i="1"/>
  <c r="H1517" i="1"/>
  <c r="H1515" i="1"/>
  <c r="A1513" i="1"/>
  <c r="E1510" i="1"/>
  <c r="G1507" i="1"/>
  <c r="H1504" i="1"/>
  <c r="R1501" i="1"/>
  <c r="H1499" i="1"/>
  <c r="K1496" i="1"/>
  <c r="P1493" i="1"/>
  <c r="B1491" i="1"/>
  <c r="F1488" i="1"/>
  <c r="F1486" i="1"/>
  <c r="I1483" i="1"/>
  <c r="A1481" i="1"/>
  <c r="I1478" i="1"/>
  <c r="F1476" i="1"/>
  <c r="S1473" i="1"/>
  <c r="F1471" i="1"/>
  <c r="B1469" i="1"/>
  <c r="H1466" i="1"/>
  <c r="B1464" i="1"/>
  <c r="P1461" i="1"/>
  <c r="K1459" i="1"/>
  <c r="E1457" i="1"/>
  <c r="H1455" i="1"/>
  <c r="J1453" i="1"/>
  <c r="AA1451" i="1"/>
  <c r="F1449" i="1"/>
  <c r="B1447" i="1"/>
  <c r="B1445" i="1"/>
  <c r="R1442" i="1"/>
  <c r="H1440" i="1"/>
  <c r="N1437" i="1"/>
  <c r="M1435" i="1"/>
  <c r="C1433" i="1"/>
  <c r="D1431" i="1"/>
  <c r="I1428" i="1"/>
  <c r="M1426" i="1"/>
  <c r="AA1424" i="1"/>
  <c r="I1423" i="1"/>
  <c r="E1421" i="1"/>
  <c r="F1419" i="1"/>
  <c r="L1417" i="1"/>
  <c r="N1415" i="1"/>
  <c r="N1413" i="1"/>
  <c r="A1412" i="1"/>
  <c r="C1409" i="1"/>
  <c r="L1406" i="1"/>
  <c r="AA1403" i="1"/>
  <c r="F1402" i="1"/>
  <c r="P1400" i="1"/>
  <c r="A1399" i="1"/>
  <c r="N1397" i="1"/>
  <c r="H1396" i="1"/>
  <c r="E1395" i="1"/>
  <c r="A1394" i="1"/>
  <c r="P1392" i="1"/>
  <c r="M1391" i="1"/>
  <c r="H1390" i="1"/>
  <c r="E1389" i="1"/>
  <c r="A1388" i="1"/>
  <c r="N1386" i="1"/>
  <c r="E1385" i="1"/>
  <c r="A1384" i="1"/>
  <c r="L1382" i="1"/>
  <c r="E1381" i="1"/>
  <c r="AA1379" i="1"/>
  <c r="K1378" i="1"/>
  <c r="B1647" i="1"/>
  <c r="G1638" i="1"/>
  <c r="E1631" i="1"/>
  <c r="H1623" i="1"/>
  <c r="R1614" i="1"/>
  <c r="G1604" i="1"/>
  <c r="F1597" i="1"/>
  <c r="B1590" i="1"/>
  <c r="A1585" i="1"/>
  <c r="G1580" i="1"/>
  <c r="C1576" i="1"/>
  <c r="E1572" i="1"/>
  <c r="R1567" i="1"/>
  <c r="K1563" i="1"/>
  <c r="H1559" i="1"/>
  <c r="P1554" i="1"/>
  <c r="J1550" i="1"/>
  <c r="K1546" i="1"/>
  <c r="A1542" i="1"/>
  <c r="N1537" i="1"/>
  <c r="M1533" i="1"/>
  <c r="L1529" i="1"/>
  <c r="AA1525" i="1"/>
  <c r="N1523" i="1"/>
  <c r="H1521" i="1"/>
  <c r="A1519" i="1"/>
  <c r="B1517" i="1"/>
  <c r="C1515" i="1"/>
  <c r="N1512" i="1"/>
  <c r="X1509" i="1"/>
  <c r="A1507" i="1"/>
  <c r="B1504" i="1"/>
  <c r="E1501" i="1"/>
  <c r="I1498" i="1"/>
  <c r="AA1495" i="1"/>
  <c r="H1493" i="1"/>
  <c r="L1490" i="1"/>
  <c r="A1488" i="1"/>
  <c r="G1485" i="1"/>
  <c r="R1482" i="1"/>
  <c r="K1480" i="1"/>
  <c r="B1478" i="1"/>
  <c r="L1475" i="1"/>
  <c r="I1473" i="1"/>
  <c r="AA1470" i="1"/>
  <c r="G1468" i="1"/>
  <c r="B1466" i="1"/>
  <c r="J1463" i="1"/>
  <c r="D1461" i="1"/>
  <c r="F1459" i="1"/>
  <c r="U1456" i="1"/>
  <c r="R1454" i="1"/>
  <c r="D1453" i="1"/>
  <c r="B1451" i="1"/>
  <c r="B1449" i="1"/>
  <c r="L1446" i="1"/>
  <c r="N1444" i="1"/>
  <c r="F1442" i="1"/>
  <c r="D1440" i="1"/>
  <c r="H1437" i="1"/>
  <c r="AA1434" i="1"/>
  <c r="R1432" i="1"/>
  <c r="H1430" i="1"/>
  <c r="E1428" i="1"/>
  <c r="B1426" i="1"/>
  <c r="Q1424" i="1"/>
  <c r="P1422" i="1"/>
  <c r="A1421" i="1"/>
  <c r="AA1418" i="1"/>
  <c r="G1417" i="1"/>
  <c r="E1415" i="1"/>
  <c r="H1413" i="1"/>
  <c r="B1411" i="1"/>
  <c r="L1408" i="1"/>
  <c r="B1406" i="1"/>
  <c r="N1403" i="1"/>
  <c r="B1402" i="1"/>
  <c r="E1400" i="1"/>
  <c r="O1398" i="1"/>
  <c r="H1397" i="1"/>
  <c r="D1396" i="1"/>
  <c r="A1395" i="1"/>
  <c r="P1393" i="1"/>
  <c r="L1392" i="1"/>
  <c r="G1391" i="1"/>
  <c r="D1390" i="1"/>
  <c r="A1389" i="1"/>
  <c r="P1387" i="1"/>
  <c r="G1386" i="1"/>
  <c r="A1385" i="1"/>
  <c r="Q1383" i="1"/>
  <c r="F1382" i="1"/>
  <c r="A1381" i="1"/>
  <c r="L1379" i="1"/>
  <c r="F1378" i="1"/>
  <c r="A1377" i="1"/>
  <c r="L1375" i="1"/>
  <c r="G1374" i="1"/>
  <c r="C1373" i="1"/>
  <c r="R1371" i="1"/>
  <c r="J1370" i="1"/>
  <c r="E1369" i="1"/>
  <c r="B1368" i="1"/>
  <c r="R1366" i="1"/>
  <c r="Q1365" i="1"/>
  <c r="O1364" i="1"/>
  <c r="N1363" i="1"/>
  <c r="H1362" i="1"/>
  <c r="B1361" i="1"/>
  <c r="O1359" i="1"/>
  <c r="F1358" i="1"/>
  <c r="AA1356" i="1"/>
  <c r="I1355" i="1"/>
  <c r="C1354" i="1"/>
  <c r="AA1352" i="1"/>
  <c r="I1351" i="1"/>
  <c r="E1350" i="1"/>
  <c r="AA1348" i="1"/>
  <c r="N1347" i="1"/>
  <c r="F1346" i="1"/>
  <c r="A1345" i="1"/>
  <c r="O1343" i="1"/>
  <c r="G1342" i="1"/>
  <c r="E1341" i="1"/>
  <c r="C1340" i="1"/>
  <c r="A1339" i="1"/>
  <c r="U1337" i="1"/>
  <c r="Q1336" i="1"/>
  <c r="N1335" i="1"/>
  <c r="M1334" i="1"/>
  <c r="L1333" i="1"/>
  <c r="E1332" i="1"/>
  <c r="U1330" i="1"/>
  <c r="P1329" i="1"/>
  <c r="I1328" i="1"/>
  <c r="F1327" i="1"/>
  <c r="C1326" i="1"/>
  <c r="AA1324" i="1"/>
  <c r="N1323" i="1"/>
  <c r="H1322" i="1"/>
  <c r="E1321" i="1"/>
  <c r="B1320" i="1"/>
  <c r="U1318" i="1"/>
  <c r="O1317" i="1"/>
  <c r="K1316" i="1"/>
  <c r="H1315" i="1"/>
  <c r="E1314" i="1"/>
  <c r="B1313" i="1"/>
  <c r="U1311" i="1"/>
  <c r="O1310" i="1"/>
  <c r="K1309" i="1"/>
  <c r="G1308" i="1"/>
  <c r="D1307" i="1"/>
  <c r="A1306" i="1"/>
  <c r="U1304" i="1"/>
  <c r="Q1303" i="1"/>
  <c r="M1302" i="1"/>
  <c r="K1301" i="1"/>
  <c r="I1300" i="1"/>
  <c r="F1299" i="1"/>
  <c r="B1298" i="1"/>
  <c r="Q1296" i="1"/>
  <c r="K1295" i="1"/>
  <c r="H1294" i="1"/>
  <c r="E1293" i="1"/>
  <c r="B1292" i="1"/>
  <c r="U1290" i="1"/>
  <c r="Q1289" i="1"/>
  <c r="O1288" i="1"/>
  <c r="H1287" i="1"/>
  <c r="G1286" i="1"/>
  <c r="C1285" i="1"/>
  <c r="U1283" i="1"/>
  <c r="N1282" i="1"/>
  <c r="I1281" i="1"/>
  <c r="G1280" i="1"/>
  <c r="E1279" i="1"/>
  <c r="C1278" i="1"/>
  <c r="AA1276" i="1"/>
  <c r="Q1275" i="1"/>
  <c r="M1274" i="1"/>
  <c r="H1273" i="1"/>
  <c r="E1272" i="1"/>
  <c r="AA1270" i="1"/>
  <c r="U1269" i="1"/>
  <c r="R1268" i="1"/>
  <c r="N1267" i="1"/>
  <c r="J1266" i="1"/>
  <c r="H1265" i="1"/>
  <c r="F1264" i="1"/>
  <c r="D1263" i="1"/>
  <c r="B1262" i="1"/>
  <c r="AA1260" i="1"/>
  <c r="R1259" i="1"/>
  <c r="P1258" i="1"/>
  <c r="M1257" i="1"/>
  <c r="L1256" i="1"/>
  <c r="J1255" i="1"/>
  <c r="H1254" i="1"/>
  <c r="F1253" i="1"/>
  <c r="D1252" i="1"/>
  <c r="B1251" i="1"/>
  <c r="AA1249" i="1"/>
  <c r="R1248" i="1"/>
  <c r="P1247" i="1"/>
  <c r="L1246" i="1"/>
  <c r="J1245" i="1"/>
  <c r="H1244" i="1"/>
  <c r="F1243" i="1"/>
  <c r="C1242" i="1"/>
  <c r="B1241" i="1"/>
  <c r="A1240" i="1"/>
  <c r="AA1238" i="1"/>
  <c r="U1237" i="1"/>
  <c r="P1236" i="1"/>
  <c r="K1235" i="1"/>
  <c r="I1234" i="1"/>
  <c r="G1233" i="1"/>
  <c r="F1232" i="1"/>
  <c r="E1231" i="1"/>
  <c r="C1230" i="1"/>
  <c r="A1229" i="1"/>
  <c r="U1227" i="1"/>
  <c r="Q1226" i="1"/>
  <c r="N1225" i="1"/>
  <c r="K1224" i="1"/>
  <c r="I1223" i="1"/>
  <c r="G1222" i="1"/>
  <c r="E1221" i="1"/>
  <c r="B1220" i="1"/>
  <c r="U1218" i="1"/>
  <c r="P1217" i="1"/>
  <c r="L1216" i="1"/>
  <c r="G1215" i="1"/>
  <c r="C1214" i="1"/>
  <c r="AA1212" i="1"/>
  <c r="Q1211" i="1"/>
  <c r="M1210" i="1"/>
  <c r="H1209" i="1"/>
  <c r="E1208" i="1"/>
  <c r="H1644" i="1"/>
  <c r="E1635" i="1"/>
  <c r="O1627" i="1"/>
  <c r="F1619" i="1"/>
  <c r="R1610" i="1"/>
  <c r="P1602" i="1"/>
  <c r="E1594" i="1"/>
  <c r="R1587" i="1"/>
  <c r="Q1582" i="1"/>
  <c r="N1578" i="1"/>
  <c r="K1574" i="1"/>
  <c r="D1570" i="1"/>
  <c r="A1566" i="1"/>
  <c r="R1561" i="1"/>
  <c r="E1557" i="1"/>
  <c r="AA1552" i="1"/>
  <c r="U1548" i="1"/>
  <c r="I1544" i="1"/>
  <c r="D1540" i="1"/>
  <c r="A1536" i="1"/>
  <c r="Q1531" i="1"/>
  <c r="AA1527" i="1"/>
  <c r="Z1524" i="1"/>
  <c r="N1522" i="1"/>
  <c r="I1520" i="1"/>
  <c r="D1518" i="1"/>
  <c r="D1516" i="1"/>
  <c r="E1514" i="1"/>
  <c r="H1511" i="1"/>
  <c r="K1508" i="1"/>
  <c r="L1505" i="1"/>
  <c r="R1502" i="1"/>
  <c r="B1500" i="1"/>
  <c r="R1497" i="1"/>
  <c r="B1495" i="1"/>
  <c r="D1492" i="1"/>
  <c r="H1489" i="1"/>
  <c r="R1486" i="1"/>
  <c r="F1484" i="1"/>
  <c r="B1482" i="1"/>
  <c r="H1479" i="1"/>
  <c r="C1477" i="1"/>
  <c r="AA1474" i="1"/>
  <c r="G1472" i="1"/>
  <c r="S1469" i="1"/>
  <c r="K1467" i="1"/>
  <c r="A1465" i="1"/>
  <c r="J1462" i="1"/>
  <c r="H1460" i="1"/>
  <c r="E1458" i="1"/>
  <c r="AA1455" i="1"/>
  <c r="E1454" i="1"/>
  <c r="H1452" i="1"/>
  <c r="K1450" i="1"/>
  <c r="A1448" i="1"/>
  <c r="C1446" i="1"/>
  <c r="M1443" i="1"/>
  <c r="F1441" i="1"/>
  <c r="A1439" i="1"/>
  <c r="H1436" i="1"/>
  <c r="D1434" i="1"/>
  <c r="N1431" i="1"/>
  <c r="N1429" i="1"/>
  <c r="E1427" i="1"/>
  <c r="O1425" i="1"/>
  <c r="B1424" i="1"/>
  <c r="E1422" i="1"/>
  <c r="B1420" i="1"/>
  <c r="I1418" i="1"/>
  <c r="I1416" i="1"/>
  <c r="N1414" i="1"/>
  <c r="I1412" i="1"/>
  <c r="F1410" i="1"/>
  <c r="G1407" i="1"/>
  <c r="C1405" i="1"/>
  <c r="D1403" i="1"/>
  <c r="E1401" i="1"/>
  <c r="N1399" i="1"/>
  <c r="E1398" i="1"/>
  <c r="AA1396" i="1"/>
  <c r="P1395" i="1"/>
  <c r="L1394" i="1"/>
  <c r="F1393" i="1"/>
  <c r="B1392" i="1"/>
  <c r="X1390" i="1"/>
  <c r="P1389" i="1"/>
  <c r="I1388" i="1"/>
  <c r="E1387" i="1"/>
  <c r="Q1385" i="1"/>
  <c r="I1384" i="1"/>
  <c r="D1383" i="1"/>
  <c r="N1381" i="1"/>
  <c r="H1380" i="1"/>
  <c r="C1379" i="1"/>
  <c r="Q1377" i="1"/>
  <c r="I1376" i="1"/>
  <c r="D1375" i="1"/>
  <c r="R1373" i="1"/>
  <c r="L1372" i="1"/>
  <c r="G1371" i="1"/>
  <c r="B1370" i="1"/>
  <c r="P1368" i="1"/>
  <c r="L1367" i="1"/>
  <c r="I1366" i="1"/>
  <c r="H1365" i="1"/>
  <c r="F1364" i="1"/>
  <c r="E1363" i="1"/>
  <c r="R1361" i="1"/>
  <c r="H1360" i="1"/>
  <c r="C1359" i="1"/>
  <c r="O1357" i="1"/>
  <c r="G1356" i="1"/>
  <c r="AA1354" i="1"/>
  <c r="N1353" i="1"/>
  <c r="H1352" i="1"/>
  <c r="A1351" i="1"/>
  <c r="P1349" i="1"/>
  <c r="H1348" i="1"/>
  <c r="C1347" i="1"/>
  <c r="Q1345" i="1"/>
  <c r="I1344" i="1"/>
  <c r="D1343" i="1"/>
  <c r="U1341" i="1"/>
  <c r="Q1340" i="1"/>
  <c r="M1339" i="1"/>
  <c r="K1338" i="1"/>
  <c r="I1337" i="1"/>
  <c r="G1336" i="1"/>
  <c r="D1335" i="1"/>
  <c r="B1334" i="1"/>
  <c r="A1333" i="1"/>
  <c r="P1331" i="1"/>
  <c r="I1330" i="1"/>
  <c r="F1329" i="1"/>
  <c r="A1328" i="1"/>
  <c r="R1326" i="1"/>
  <c r="N1325" i="1"/>
  <c r="H1324" i="1"/>
  <c r="C1323" i="1"/>
  <c r="AA1321" i="1"/>
  <c r="Q1320" i="1"/>
  <c r="L1319" i="1"/>
  <c r="I1318" i="1"/>
  <c r="E1317" i="1"/>
  <c r="B1316" i="1"/>
  <c r="U1314" i="1"/>
  <c r="O1313" i="1"/>
  <c r="K1312" i="1"/>
  <c r="H1311" i="1"/>
  <c r="E1310" i="1"/>
  <c r="B1309" i="1"/>
  <c r="U1307" i="1"/>
  <c r="O1306" i="1"/>
  <c r="L1305" i="1"/>
  <c r="J1304" i="1"/>
  <c r="G1303" i="1"/>
  <c r="E1302" i="1"/>
  <c r="C1301" i="1"/>
  <c r="A1300" i="1"/>
  <c r="Q1298" i="1"/>
  <c r="D1648" i="1"/>
  <c r="B1632" i="1"/>
  <c r="R1615" i="1"/>
  <c r="I1599" i="1"/>
  <c r="F1585" i="1"/>
  <c r="I1576" i="1"/>
  <c r="H1568" i="1"/>
  <c r="L1559" i="1"/>
  <c r="O1550" i="1"/>
  <c r="K1542" i="1"/>
  <c r="U1533" i="1"/>
  <c r="D1526" i="1"/>
  <c r="K1521" i="1"/>
  <c r="Z1517" i="1"/>
  <c r="H1514" i="1"/>
  <c r="A1509" i="1"/>
  <c r="AA1503" i="1"/>
  <c r="K1498" i="1"/>
  <c r="N1493" i="1"/>
  <c r="J1489" i="1"/>
  <c r="A1485" i="1"/>
  <c r="F1480" i="1"/>
  <c r="K1475" i="1"/>
  <c r="B1471" i="1"/>
  <c r="AA1466" i="1"/>
  <c r="C1463" i="1"/>
  <c r="N1458" i="1"/>
  <c r="N1454" i="1"/>
  <c r="C1451" i="1"/>
  <c r="A1447" i="1"/>
  <c r="N1443" i="1"/>
  <c r="D1439" i="1"/>
  <c r="I1434" i="1"/>
  <c r="E1430" i="1"/>
  <c r="F1426" i="1"/>
  <c r="P1423" i="1"/>
  <c r="D1420" i="1"/>
  <c r="O1416" i="1"/>
  <c r="F1413" i="1"/>
  <c r="N1408" i="1"/>
  <c r="R1403" i="1"/>
  <c r="F1401" i="1"/>
  <c r="H1398" i="1"/>
  <c r="A1396" i="1"/>
  <c r="O1393" i="1"/>
  <c r="I1391" i="1"/>
  <c r="I1389" i="1"/>
  <c r="H1387" i="1"/>
  <c r="Q1384" i="1"/>
  <c r="D1382" i="1"/>
  <c r="N1379" i="1"/>
  <c r="F1377" i="1"/>
  <c r="G1375" i="1"/>
  <c r="B1373" i="1"/>
  <c r="Q1370" i="1"/>
  <c r="AA1368" i="1"/>
  <c r="Q1366" i="1"/>
  <c r="V1364" i="1"/>
  <c r="I1363" i="1"/>
  <c r="A1361" i="1"/>
  <c r="L1358" i="1"/>
  <c r="L1356" i="1"/>
  <c r="B1354" i="1"/>
  <c r="AA1351" i="1"/>
  <c r="AA1349" i="1"/>
  <c r="L1347" i="1"/>
  <c r="E1345" i="1"/>
  <c r="G1343" i="1"/>
  <c r="D1341" i="1"/>
  <c r="E1339" i="1"/>
  <c r="M1337" i="1"/>
  <c r="L1335" i="1"/>
  <c r="P1333" i="1"/>
  <c r="U1331" i="1"/>
  <c r="N1329" i="1"/>
  <c r="K1327" i="1"/>
  <c r="R1325" i="1"/>
  <c r="L1323" i="1"/>
  <c r="I1321" i="1"/>
  <c r="Q1319" i="1"/>
  <c r="N1317" i="1"/>
  <c r="L1315" i="1"/>
  <c r="U1313" i="1"/>
  <c r="R1311" i="1"/>
  <c r="Q1309" i="1"/>
  <c r="B1308" i="1"/>
  <c r="AA1305" i="1"/>
  <c r="A1304" i="1"/>
  <c r="H1302" i="1"/>
  <c r="K1300" i="1"/>
  <c r="AA1298" i="1"/>
  <c r="A1297" i="1"/>
  <c r="I1295" i="1"/>
  <c r="B1294" i="1"/>
  <c r="J1292" i="1"/>
  <c r="B1291" i="1"/>
  <c r="N1289" i="1"/>
  <c r="F1288" i="1"/>
  <c r="R1286" i="1"/>
  <c r="L1285" i="1"/>
  <c r="B1284" i="1"/>
  <c r="L1282" i="1"/>
  <c r="E1281" i="1"/>
  <c r="AA1279" i="1"/>
  <c r="L1278" i="1"/>
  <c r="E1277" i="1"/>
  <c r="U1275" i="1"/>
  <c r="I1274" i="1"/>
  <c r="C1273" i="1"/>
  <c r="Q1271" i="1"/>
  <c r="G1270" i="1"/>
  <c r="B1269" i="1"/>
  <c r="P1267" i="1"/>
  <c r="G1266" i="1"/>
  <c r="B1265" i="1"/>
  <c r="P1263" i="1"/>
  <c r="I1262" i="1"/>
  <c r="C1261" i="1"/>
  <c r="Q1259" i="1"/>
  <c r="K1258" i="1"/>
  <c r="F1257" i="1"/>
  <c r="A1256" i="1"/>
  <c r="N1254" i="1"/>
  <c r="H1253" i="1"/>
  <c r="B1252" i="1"/>
  <c r="Q1250" i="1"/>
  <c r="J1249" i="1"/>
  <c r="D1248" i="1"/>
  <c r="R1246" i="1"/>
  <c r="K1245" i="1"/>
  <c r="E1244" i="1"/>
  <c r="AA1242" i="1"/>
  <c r="L1241" i="1"/>
  <c r="H1240" i="1"/>
  <c r="C1239" i="1"/>
  <c r="R1237" i="1"/>
  <c r="I1236" i="1"/>
  <c r="D1235" i="1"/>
  <c r="R1233" i="1"/>
  <c r="K1232" i="1"/>
  <c r="G1231" i="1"/>
  <c r="A1230" i="1"/>
  <c r="P1228" i="1"/>
  <c r="I1227" i="1"/>
  <c r="C1226" i="1"/>
  <c r="Q1224" i="1"/>
  <c r="J1223" i="1"/>
  <c r="D1222" i="1"/>
  <c r="U1220" i="1"/>
  <c r="I1219" i="1"/>
  <c r="C1218" i="1"/>
  <c r="P1216" i="1"/>
  <c r="F1215" i="1"/>
  <c r="U1213" i="1"/>
  <c r="L1212" i="1"/>
  <c r="C1211" i="1"/>
  <c r="P1209" i="1"/>
  <c r="C1648" i="1"/>
  <c r="I1631" i="1"/>
  <c r="L1615" i="1"/>
  <c r="U1597" i="1"/>
  <c r="C1585" i="1"/>
  <c r="H1576" i="1"/>
  <c r="F1568" i="1"/>
  <c r="K1559" i="1"/>
  <c r="N1550" i="1"/>
  <c r="I1542" i="1"/>
  <c r="R1533" i="1"/>
  <c r="C1526" i="1"/>
  <c r="J1521" i="1"/>
  <c r="F1517" i="1"/>
  <c r="F1514" i="1"/>
  <c r="AA1508" i="1"/>
  <c r="R1503" i="1"/>
  <c r="H1498" i="1"/>
  <c r="L1493" i="1"/>
  <c r="D1489" i="1"/>
  <c r="R1484" i="1"/>
  <c r="AA1479" i="1"/>
  <c r="G1475" i="1"/>
  <c r="A1471" i="1"/>
  <c r="F1466" i="1"/>
  <c r="B1463" i="1"/>
  <c r="L1458" i="1"/>
  <c r="L1454" i="1"/>
  <c r="A1451" i="1"/>
  <c r="N1446" i="1"/>
  <c r="H1443" i="1"/>
  <c r="C1439" i="1"/>
  <c r="H1434" i="1"/>
  <c r="D1430" i="1"/>
  <c r="E1426" i="1"/>
  <c r="C1423" i="1"/>
  <c r="C1420" i="1"/>
  <c r="N1416" i="1"/>
  <c r="E1413" i="1"/>
  <c r="I1408" i="1"/>
  <c r="P1403" i="1"/>
  <c r="A1401" i="1"/>
  <c r="G1398" i="1"/>
  <c r="AA1395" i="1"/>
  <c r="N1393" i="1"/>
  <c r="H1391" i="1"/>
  <c r="D1389" i="1"/>
  <c r="F1387" i="1"/>
  <c r="O1384" i="1"/>
  <c r="B1382" i="1"/>
  <c r="J1379" i="1"/>
  <c r="E1377" i="1"/>
  <c r="F1375" i="1"/>
  <c r="A1373" i="1"/>
  <c r="N1370" i="1"/>
  <c r="R1368" i="1"/>
  <c r="P1366" i="1"/>
  <c r="U1364" i="1"/>
  <c r="H1363" i="1"/>
  <c r="AA1360" i="1"/>
  <c r="I1358" i="1"/>
  <c r="I1356" i="1"/>
  <c r="A1354" i="1"/>
  <c r="R1351" i="1"/>
  <c r="R1349" i="1"/>
  <c r="I1347" i="1"/>
  <c r="D1345" i="1"/>
  <c r="F1343" i="1"/>
  <c r="C1341" i="1"/>
  <c r="D1339" i="1"/>
  <c r="K1337" i="1"/>
  <c r="K1335" i="1"/>
  <c r="O1333" i="1"/>
  <c r="R1331" i="1"/>
  <c r="L1329" i="1"/>
  <c r="I1327" i="1"/>
  <c r="Q1325" i="1"/>
  <c r="I1323" i="1"/>
  <c r="H1321" i="1"/>
  <c r="O1319" i="1"/>
  <c r="L1317" i="1"/>
  <c r="K1315" i="1"/>
  <c r="R1313" i="1"/>
  <c r="Q1311" i="1"/>
  <c r="O1309" i="1"/>
  <c r="A1308" i="1"/>
  <c r="U1305" i="1"/>
  <c r="AA1303" i="1"/>
  <c r="G1302" i="1"/>
  <c r="J1300" i="1"/>
  <c r="U1298" i="1"/>
  <c r="AA1296" i="1"/>
  <c r="H1295" i="1"/>
  <c r="A1294" i="1"/>
  <c r="I1292" i="1"/>
  <c r="A1291" i="1"/>
  <c r="M1289" i="1"/>
  <c r="E1288" i="1"/>
  <c r="Q1286" i="1"/>
  <c r="H1285" i="1"/>
  <c r="A1284" i="1"/>
  <c r="I1282" i="1"/>
  <c r="D1281" i="1"/>
  <c r="U1279" i="1"/>
  <c r="K1278" i="1"/>
  <c r="D1277" i="1"/>
  <c r="R1275" i="1"/>
  <c r="H1274" i="1"/>
  <c r="B1273" i="1"/>
  <c r="L1271" i="1"/>
  <c r="F1270" i="1"/>
  <c r="A1269" i="1"/>
  <c r="M1267" i="1"/>
  <c r="F1266" i="1"/>
  <c r="A1265" i="1"/>
  <c r="N1263" i="1"/>
  <c r="G1262" i="1"/>
  <c r="B1261" i="1"/>
  <c r="P1259" i="1"/>
  <c r="I1258" i="1"/>
  <c r="E1257" i="1"/>
  <c r="AA1255" i="1"/>
  <c r="L1254" i="1"/>
  <c r="G1253" i="1"/>
  <c r="A1252" i="1"/>
  <c r="P1250" i="1"/>
  <c r="H1249" i="1"/>
  <c r="C1248" i="1"/>
  <c r="Q1246" i="1"/>
  <c r="I1245" i="1"/>
  <c r="D1244" i="1"/>
  <c r="U1242" i="1"/>
  <c r="K1241" i="1"/>
  <c r="F1240" i="1"/>
  <c r="B1239" i="1"/>
  <c r="Q1237" i="1"/>
  <c r="H1236" i="1"/>
  <c r="C1235" i="1"/>
  <c r="Q1233" i="1"/>
  <c r="J1232" i="1"/>
  <c r="F1231" i="1"/>
  <c r="AA1229" i="1"/>
  <c r="N1228" i="1"/>
  <c r="G1227" i="1"/>
  <c r="B1226" i="1"/>
  <c r="P1224" i="1"/>
  <c r="H1223" i="1"/>
  <c r="C1222" i="1"/>
  <c r="R1220" i="1"/>
  <c r="H1219" i="1"/>
  <c r="A1218" i="1"/>
  <c r="N1216" i="1"/>
  <c r="E1215" i="1"/>
  <c r="R1213" i="1"/>
  <c r="I1212" i="1"/>
  <c r="B1211" i="1"/>
  <c r="N1209" i="1"/>
  <c r="F1208" i="1"/>
  <c r="C1207" i="1"/>
  <c r="A1206" i="1"/>
  <c r="U1204" i="1"/>
  <c r="R1203" i="1"/>
  <c r="L1202" i="1"/>
  <c r="F1201" i="1"/>
  <c r="L1647" i="1"/>
  <c r="G1631" i="1"/>
  <c r="I1615" i="1"/>
  <c r="H1597" i="1"/>
  <c r="B1585" i="1"/>
  <c r="D1576" i="1"/>
  <c r="U1567" i="1"/>
  <c r="I1559" i="1"/>
  <c r="K1550" i="1"/>
  <c r="B1542" i="1"/>
  <c r="Q1533" i="1"/>
  <c r="B1526" i="1"/>
  <c r="I1521" i="1"/>
  <c r="E1517" i="1"/>
  <c r="A1514" i="1"/>
  <c r="R1508" i="1"/>
  <c r="P1503" i="1"/>
  <c r="F1498" i="1"/>
  <c r="I1493" i="1"/>
  <c r="E1488" i="1"/>
  <c r="P1484" i="1"/>
  <c r="R1479" i="1"/>
  <c r="F1475" i="1"/>
  <c r="R1470" i="1"/>
  <c r="E1466" i="1"/>
  <c r="C1462" i="1"/>
  <c r="G1458" i="1"/>
  <c r="K1454" i="1"/>
  <c r="AA1450" i="1"/>
  <c r="M1446" i="1"/>
  <c r="L1442" i="1"/>
  <c r="B1439" i="1"/>
  <c r="G1434" i="1"/>
  <c r="C1430" i="1"/>
  <c r="A1426" i="1"/>
  <c r="B1423" i="1"/>
  <c r="R1419" i="1"/>
  <c r="L1416" i="1"/>
  <c r="AA1412" i="1"/>
  <c r="H1408" i="1"/>
  <c r="O1403" i="1"/>
  <c r="N1400" i="1"/>
  <c r="F1398" i="1"/>
  <c r="X1395" i="1"/>
  <c r="M1393" i="1"/>
  <c r="F1391" i="1"/>
  <c r="C1389" i="1"/>
  <c r="A1387" i="1"/>
  <c r="N1384" i="1"/>
  <c r="A1382" i="1"/>
  <c r="I1379" i="1"/>
  <c r="D1377" i="1"/>
  <c r="E1375" i="1"/>
  <c r="AA1372" i="1"/>
  <c r="L1370" i="1"/>
  <c r="Q1368" i="1"/>
  <c r="O1366" i="1"/>
  <c r="R1364" i="1"/>
  <c r="F1363" i="1"/>
  <c r="R1360" i="1"/>
  <c r="H1358" i="1"/>
  <c r="H1356" i="1"/>
  <c r="AA1353" i="1"/>
  <c r="L1351" i="1"/>
  <c r="Q1349" i="1"/>
  <c r="H1347" i="1"/>
  <c r="C1345" i="1"/>
  <c r="E1343" i="1"/>
  <c r="B1341" i="1"/>
  <c r="C1339" i="1"/>
  <c r="J1337" i="1"/>
  <c r="J1335" i="1"/>
  <c r="N1333" i="1"/>
  <c r="Q1331" i="1"/>
  <c r="K1329" i="1"/>
  <c r="H1327" i="1"/>
  <c r="P1325" i="1"/>
  <c r="H1323" i="1"/>
  <c r="G1321" i="1"/>
  <c r="N1319" i="1"/>
  <c r="K1317" i="1"/>
  <c r="J1315" i="1"/>
  <c r="Q1313" i="1"/>
  <c r="N1311" i="1"/>
  <c r="N1309" i="1"/>
  <c r="AA1307" i="1"/>
  <c r="R1305" i="1"/>
  <c r="U1303" i="1"/>
  <c r="F1302" i="1"/>
  <c r="H1300" i="1"/>
  <c r="J1298" i="1"/>
  <c r="U1296" i="1"/>
  <c r="G1295" i="1"/>
  <c r="AA1293" i="1"/>
  <c r="G1292" i="1"/>
  <c r="AA1290" i="1"/>
  <c r="L1289" i="1"/>
  <c r="D1288" i="1"/>
  <c r="O1286" i="1"/>
  <c r="G1285" i="1"/>
  <c r="AA1283" i="1"/>
  <c r="H1282" i="1"/>
  <c r="C1281" i="1"/>
  <c r="Q1279" i="1"/>
  <c r="J1278" i="1"/>
  <c r="C1277" i="1"/>
  <c r="O1275" i="1"/>
  <c r="G1274" i="1"/>
  <c r="A1273" i="1"/>
  <c r="I1271" i="1"/>
  <c r="D1270" i="1"/>
  <c r="AA1268" i="1"/>
  <c r="L1267" i="1"/>
  <c r="E1266" i="1"/>
  <c r="AA1264" i="1"/>
  <c r="M1263" i="1"/>
  <c r="F1262" i="1"/>
  <c r="A1261" i="1"/>
  <c r="N1259" i="1"/>
  <c r="H1258" i="1"/>
  <c r="C1257" i="1"/>
  <c r="U1255" i="1"/>
  <c r="K1254" i="1"/>
  <c r="E1253" i="1"/>
  <c r="AA1251" i="1"/>
  <c r="N1250" i="1"/>
  <c r="G1249" i="1"/>
  <c r="A1248" i="1"/>
  <c r="P1246" i="1"/>
  <c r="H1245" i="1"/>
  <c r="C1244" i="1"/>
  <c r="R1242" i="1"/>
  <c r="J1241" i="1"/>
  <c r="E1240" i="1"/>
  <c r="A1239" i="1"/>
  <c r="P1237" i="1"/>
  <c r="G1236" i="1"/>
  <c r="A1235" i="1"/>
  <c r="P1233" i="1"/>
  <c r="I1232" i="1"/>
  <c r="D1231" i="1"/>
  <c r="U1229" i="1"/>
  <c r="L1228" i="1"/>
  <c r="F1227" i="1"/>
  <c r="AA1225" i="1"/>
  <c r="N1224" i="1"/>
  <c r="G1223" i="1"/>
  <c r="B1222" i="1"/>
  <c r="Q1220" i="1"/>
  <c r="G1219" i="1"/>
  <c r="AA1217" i="1"/>
  <c r="M1216" i="1"/>
  <c r="D1215" i="1"/>
  <c r="Q1213" i="1"/>
  <c r="G1212" i="1"/>
  <c r="A1211" i="1"/>
  <c r="M1209" i="1"/>
  <c r="D1208" i="1"/>
  <c r="B1207" i="1"/>
  <c r="AA1205" i="1"/>
  <c r="Q1645" i="1"/>
  <c r="R1630" i="1"/>
  <c r="D1614" i="1"/>
  <c r="D1597" i="1"/>
  <c r="AA1584" i="1"/>
  <c r="B1576" i="1"/>
  <c r="P1567" i="1"/>
  <c r="G1559" i="1"/>
  <c r="I1550" i="1"/>
  <c r="AA1541" i="1"/>
  <c r="L1533" i="1"/>
  <c r="Z1525" i="1"/>
  <c r="G1521" i="1"/>
  <c r="C1517" i="1"/>
  <c r="X1512" i="1"/>
  <c r="N1508" i="1"/>
  <c r="G1503" i="1"/>
  <c r="E1498" i="1"/>
  <c r="G1493" i="1"/>
  <c r="D1488" i="1"/>
  <c r="AA1483" i="1"/>
  <c r="L1479" i="1"/>
  <c r="E1475" i="1"/>
  <c r="P1470" i="1"/>
  <c r="C1466" i="1"/>
  <c r="N1461" i="1"/>
  <c r="F1458" i="1"/>
  <c r="I1454" i="1"/>
  <c r="R1450" i="1"/>
  <c r="K1446" i="1"/>
  <c r="H1442" i="1"/>
  <c r="M1438" i="1"/>
  <c r="F1434" i="1"/>
  <c r="B1430" i="1"/>
  <c r="AA1425" i="1"/>
  <c r="R1422" i="1"/>
  <c r="E1419" i="1"/>
  <c r="K1416" i="1"/>
  <c r="R1412" i="1"/>
  <c r="G1408" i="1"/>
  <c r="L1403" i="1"/>
  <c r="L1400" i="1"/>
  <c r="A1398" i="1"/>
  <c r="R1395" i="1"/>
  <c r="L1393" i="1"/>
  <c r="E1391" i="1"/>
  <c r="B1389" i="1"/>
  <c r="L1386" i="1"/>
  <c r="L1384" i="1"/>
  <c r="AA1381" i="1"/>
  <c r="H1379" i="1"/>
  <c r="B1377" i="1"/>
  <c r="AA1374" i="1"/>
  <c r="R1372" i="1"/>
  <c r="K1370" i="1"/>
  <c r="J1368" i="1"/>
  <c r="N1366" i="1"/>
  <c r="Q1364" i="1"/>
  <c r="A1363" i="1"/>
  <c r="Q1360" i="1"/>
  <c r="G1358" i="1"/>
  <c r="C1356" i="1"/>
  <c r="R1353" i="1"/>
  <c r="K1351" i="1"/>
  <c r="I1349" i="1"/>
  <c r="G1347" i="1"/>
  <c r="B1345" i="1"/>
  <c r="R1342" i="1"/>
  <c r="A1341" i="1"/>
  <c r="B1339" i="1"/>
  <c r="E1337" i="1"/>
  <c r="H1335" i="1"/>
  <c r="M1333" i="1"/>
  <c r="H1331" i="1"/>
  <c r="J1329" i="1"/>
  <c r="G1327" i="1"/>
  <c r="I1325" i="1"/>
  <c r="G1323" i="1"/>
  <c r="F1321" i="1"/>
  <c r="G1319" i="1"/>
  <c r="J1317" i="1"/>
  <c r="I1315" i="1"/>
  <c r="J1313" i="1"/>
  <c r="L1311" i="1"/>
  <c r="L1309" i="1"/>
  <c r="N1307" i="1"/>
  <c r="Q1305" i="1"/>
  <c r="R1303" i="1"/>
  <c r="A1302" i="1"/>
  <c r="G1300" i="1"/>
  <c r="G1298" i="1"/>
  <c r="O1296" i="1"/>
  <c r="F1295" i="1"/>
  <c r="O1293" i="1"/>
  <c r="F1292" i="1"/>
  <c r="R1290" i="1"/>
  <c r="K1289" i="1"/>
  <c r="B1288" i="1"/>
  <c r="N1286" i="1"/>
  <c r="F1285" i="1"/>
  <c r="R1283" i="1"/>
  <c r="G1282" i="1"/>
  <c r="B1281" i="1"/>
  <c r="O1279" i="1"/>
  <c r="H1278" i="1"/>
  <c r="B1277" i="1"/>
  <c r="N1275" i="1"/>
  <c r="F1274" i="1"/>
  <c r="AA1272" i="1"/>
  <c r="H1271" i="1"/>
  <c r="C1270" i="1"/>
  <c r="U1268" i="1"/>
  <c r="I1267" i="1"/>
  <c r="D1266" i="1"/>
  <c r="R1264" i="1"/>
  <c r="L1263" i="1"/>
  <c r="E1262" i="1"/>
  <c r="U1260" i="1"/>
  <c r="M1259" i="1"/>
  <c r="G1258" i="1"/>
  <c r="B1257" i="1"/>
  <c r="Q1255" i="1"/>
  <c r="J1254" i="1"/>
  <c r="D1253" i="1"/>
  <c r="U1251" i="1"/>
  <c r="L1250" i="1"/>
  <c r="F1249" i="1"/>
  <c r="AA1247" i="1"/>
  <c r="N1246" i="1"/>
  <c r="G1245" i="1"/>
  <c r="B1244" i="1"/>
  <c r="P1242" i="1"/>
  <c r="I1241" i="1"/>
  <c r="D1240" i="1"/>
  <c r="U1238" i="1"/>
  <c r="N1237" i="1"/>
  <c r="F1236" i="1"/>
  <c r="AA1234" i="1"/>
  <c r="L1233" i="1"/>
  <c r="H1232" i="1"/>
  <c r="C1231" i="1"/>
  <c r="R1229" i="1"/>
  <c r="K1228" i="1"/>
  <c r="E1227" i="1"/>
  <c r="U1225" i="1"/>
  <c r="L1224" i="1"/>
  <c r="F1223" i="1"/>
  <c r="A1222" i="1"/>
  <c r="N1220" i="1"/>
  <c r="F1219" i="1"/>
  <c r="U1217" i="1"/>
  <c r="I1216" i="1"/>
  <c r="C1215" i="1"/>
  <c r="P1213" i="1"/>
  <c r="F1212" i="1"/>
  <c r="U1210" i="1"/>
  <c r="L1209" i="1"/>
  <c r="C1208" i="1"/>
  <c r="A1207" i="1"/>
  <c r="U1205" i="1"/>
  <c r="Q1204" i="1"/>
  <c r="R1644" i="1"/>
  <c r="E1630" i="1"/>
  <c r="I1612" i="1"/>
  <c r="R1596" i="1"/>
  <c r="R1584" i="1"/>
  <c r="A1576" i="1"/>
  <c r="O1567" i="1"/>
  <c r="E1559" i="1"/>
  <c r="H1550" i="1"/>
  <c r="R1541" i="1"/>
  <c r="J1533" i="1"/>
  <c r="Y1525" i="1"/>
  <c r="F1521" i="1"/>
  <c r="A1517" i="1"/>
  <c r="R1512" i="1"/>
  <c r="F1508" i="1"/>
  <c r="B1503" i="1"/>
  <c r="D1498" i="1"/>
  <c r="A1493" i="1"/>
  <c r="B1488" i="1"/>
  <c r="H1483" i="1"/>
  <c r="I1479" i="1"/>
  <c r="C1475" i="1"/>
  <c r="N1470" i="1"/>
  <c r="A1466" i="1"/>
  <c r="L1461" i="1"/>
  <c r="U1457" i="1"/>
  <c r="H1454" i="1"/>
  <c r="P1450" i="1"/>
  <c r="J1446" i="1"/>
  <c r="G1442" i="1"/>
  <c r="M1437" i="1"/>
  <c r="E1434" i="1"/>
  <c r="A1430" i="1"/>
  <c r="X1425" i="1"/>
  <c r="O1422" i="1"/>
  <c r="B1419" i="1"/>
  <c r="E1416" i="1"/>
  <c r="M1412" i="1"/>
  <c r="F1408" i="1"/>
  <c r="K1403" i="1"/>
  <c r="F1400" i="1"/>
  <c r="M1397" i="1"/>
  <c r="Q1395" i="1"/>
  <c r="I1393" i="1"/>
  <c r="D1391" i="1"/>
  <c r="AA1388" i="1"/>
  <c r="I1386" i="1"/>
  <c r="E1384" i="1"/>
  <c r="R1381" i="1"/>
  <c r="G1379" i="1"/>
  <c r="AA1376" i="1"/>
  <c r="L1374" i="1"/>
  <c r="P1372" i="1"/>
  <c r="I1370" i="1"/>
  <c r="F1368" i="1"/>
  <c r="L1366" i="1"/>
  <c r="N1364" i="1"/>
  <c r="O1362" i="1"/>
  <c r="N1360" i="1"/>
  <c r="E1358" i="1"/>
  <c r="R1355" i="1"/>
  <c r="Q1353" i="1"/>
  <c r="H1351" i="1"/>
  <c r="D1349" i="1"/>
  <c r="F1347" i="1"/>
  <c r="AA1344" i="1"/>
  <c r="N1342" i="1"/>
  <c r="AA1340" i="1"/>
  <c r="AA1338" i="1"/>
  <c r="A1337" i="1"/>
  <c r="G1335" i="1"/>
  <c r="I1333" i="1"/>
  <c r="D1331" i="1"/>
  <c r="I1329" i="1"/>
  <c r="E1327" i="1"/>
  <c r="D1325" i="1"/>
  <c r="F1323" i="1"/>
  <c r="D1321" i="1"/>
  <c r="C1319" i="1"/>
  <c r="I1317" i="1"/>
  <c r="G1315" i="1"/>
  <c r="F1313" i="1"/>
  <c r="K1311" i="1"/>
  <c r="I1309" i="1"/>
  <c r="I1307" i="1"/>
  <c r="O1305" i="1"/>
  <c r="O1303" i="1"/>
  <c r="Q1301" i="1"/>
  <c r="F1300" i="1"/>
  <c r="F1298" i="1"/>
  <c r="N1296" i="1"/>
  <c r="E1295" i="1"/>
  <c r="N1293" i="1"/>
  <c r="E1292" i="1"/>
  <c r="Q1290" i="1"/>
  <c r="J1289" i="1"/>
  <c r="A1288" i="1"/>
  <c r="L1286" i="1"/>
  <c r="E1285" i="1"/>
  <c r="Q1283" i="1"/>
  <c r="F1282" i="1"/>
  <c r="A1281" i="1"/>
  <c r="N1279" i="1"/>
  <c r="G1278" i="1"/>
  <c r="A1277" i="1"/>
  <c r="M1275" i="1"/>
  <c r="E1274" i="1"/>
  <c r="R1272" i="1"/>
  <c r="G1271" i="1"/>
  <c r="B1270" i="1"/>
  <c r="Q1268" i="1"/>
  <c r="H1267" i="1"/>
  <c r="C1266" i="1"/>
  <c r="Q1264" i="1"/>
  <c r="I1263" i="1"/>
  <c r="D1262" i="1"/>
  <c r="R1260" i="1"/>
  <c r="L1259" i="1"/>
  <c r="F1258" i="1"/>
  <c r="A1257" i="1"/>
  <c r="P1255" i="1"/>
  <c r="I1254" i="1"/>
  <c r="C1253" i="1"/>
  <c r="R1251" i="1"/>
  <c r="J1250" i="1"/>
  <c r="E1249" i="1"/>
  <c r="U1247" i="1"/>
  <c r="K1246" i="1"/>
  <c r="F1245" i="1"/>
  <c r="A1244" i="1"/>
  <c r="N1242" i="1"/>
  <c r="G1241" i="1"/>
  <c r="C1240" i="1"/>
  <c r="R1238" i="1"/>
  <c r="M1237" i="1"/>
  <c r="E1236" i="1"/>
  <c r="U1234" i="1"/>
  <c r="K1233" i="1"/>
  <c r="G1232" i="1"/>
  <c r="B1231" i="1"/>
  <c r="Q1229" i="1"/>
  <c r="I1228" i="1"/>
  <c r="D1227" i="1"/>
  <c r="R1225" i="1"/>
  <c r="J1224" i="1"/>
  <c r="E1223" i="1"/>
  <c r="AA1221" i="1"/>
  <c r="M1220" i="1"/>
  <c r="P1644" i="1"/>
  <c r="D1630" i="1"/>
  <c r="F1611" i="1"/>
  <c r="G1596" i="1"/>
  <c r="I1584" i="1"/>
  <c r="AA1575" i="1"/>
  <c r="L1567" i="1"/>
  <c r="O1558" i="1"/>
  <c r="G1550" i="1"/>
  <c r="L1541" i="1"/>
  <c r="C1533" i="1"/>
  <c r="V1525" i="1"/>
  <c r="E1521" i="1"/>
  <c r="AA1516" i="1"/>
  <c r="P1512" i="1"/>
  <c r="D1507" i="1"/>
  <c r="A1503" i="1"/>
  <c r="C1498" i="1"/>
  <c r="N1492" i="1"/>
  <c r="AA1487" i="1"/>
  <c r="G1483" i="1"/>
  <c r="B1479" i="1"/>
  <c r="B1475" i="1"/>
  <c r="I1470" i="1"/>
  <c r="AA1465" i="1"/>
  <c r="K1461" i="1"/>
  <c r="D1457" i="1"/>
  <c r="F1454" i="1"/>
  <c r="O1450" i="1"/>
  <c r="O1644" i="1"/>
  <c r="C1630" i="1"/>
  <c r="D1611" i="1"/>
  <c r="F1596" i="1"/>
  <c r="N1583" i="1"/>
  <c r="R1574" i="1"/>
  <c r="I1566" i="1"/>
  <c r="B1558" i="1"/>
  <c r="E1549" i="1"/>
  <c r="J1540" i="1"/>
  <c r="I1532" i="1"/>
  <c r="E1525" i="1"/>
  <c r="N1520" i="1"/>
  <c r="Z1516" i="1"/>
  <c r="L1512" i="1"/>
  <c r="C1507" i="1"/>
  <c r="I1502" i="1"/>
  <c r="B1498" i="1"/>
  <c r="K1492" i="1"/>
  <c r="R1487" i="1"/>
  <c r="F1483" i="1"/>
  <c r="H1478" i="1"/>
  <c r="A1475" i="1"/>
  <c r="H1470" i="1"/>
  <c r="R1465" i="1"/>
  <c r="C1461" i="1"/>
  <c r="A1457" i="1"/>
  <c r="Q1453" i="1"/>
  <c r="N1450" i="1"/>
  <c r="H1446" i="1"/>
  <c r="D1442" i="1"/>
  <c r="I1437" i="1"/>
  <c r="B1433" i="1"/>
  <c r="R1429" i="1"/>
  <c r="R1425" i="1"/>
  <c r="L1422" i="1"/>
  <c r="X1418" i="1"/>
  <c r="G1415" i="1"/>
  <c r="E1412" i="1"/>
  <c r="N1407" i="1"/>
  <c r="H1403" i="1"/>
  <c r="A1400" i="1"/>
  <c r="I1397" i="1"/>
  <c r="D1395" i="1"/>
  <c r="G1393" i="1"/>
  <c r="B1391" i="1"/>
  <c r="Q1388" i="1"/>
  <c r="F1386" i="1"/>
  <c r="U1383" i="1"/>
  <c r="I1381" i="1"/>
  <c r="E1379" i="1"/>
  <c r="Q1376" i="1"/>
  <c r="I1374" i="1"/>
  <c r="N1372" i="1"/>
  <c r="G1370" i="1"/>
  <c r="D1368" i="1"/>
  <c r="J1366" i="1"/>
  <c r="L1364" i="1"/>
  <c r="L1362" i="1"/>
  <c r="I1360" i="1"/>
  <c r="B1358" i="1"/>
  <c r="N1355" i="1"/>
  <c r="O1353" i="1"/>
  <c r="F1351" i="1"/>
  <c r="B1349" i="1"/>
  <c r="D1347" i="1"/>
  <c r="Q1344" i="1"/>
  <c r="I1342" i="1"/>
  <c r="R1340" i="1"/>
  <c r="R1338" i="1"/>
  <c r="U1336" i="1"/>
  <c r="E1335" i="1"/>
  <c r="F1333" i="1"/>
  <c r="B1331" i="1"/>
  <c r="G1329" i="1"/>
  <c r="C1327" i="1"/>
  <c r="B1325" i="1"/>
  <c r="D1323" i="1"/>
  <c r="B1321" i="1"/>
  <c r="A1319" i="1"/>
  <c r="G1317" i="1"/>
  <c r="E1315" i="1"/>
  <c r="D1313" i="1"/>
  <c r="I1311" i="1"/>
  <c r="G1309" i="1"/>
  <c r="G1307" i="1"/>
  <c r="M1305" i="1"/>
  <c r="L1303" i="1"/>
  <c r="N1301" i="1"/>
  <c r="D1300" i="1"/>
  <c r="D1298" i="1"/>
  <c r="K1296" i="1"/>
  <c r="C1295" i="1"/>
  <c r="J1293" i="1"/>
  <c r="C1292" i="1"/>
  <c r="N1290" i="1"/>
  <c r="H1289" i="1"/>
  <c r="U1287" i="1"/>
  <c r="J1286" i="1"/>
  <c r="B1285" i="1"/>
  <c r="N1283" i="1"/>
  <c r="D1282" i="1"/>
  <c r="R1280" i="1"/>
  <c r="J1279" i="1"/>
  <c r="E1278" i="1"/>
  <c r="R1276" i="1"/>
  <c r="I1275" i="1"/>
  <c r="C1274" i="1"/>
  <c r="O1272" i="1"/>
  <c r="D1271" i="1"/>
  <c r="AA1269" i="1"/>
  <c r="N1268" i="1"/>
  <c r="F1267" i="1"/>
  <c r="AA1265" i="1"/>
  <c r="N1264" i="1"/>
  <c r="G1263" i="1"/>
  <c r="A1262" i="1"/>
  <c r="P1260" i="1"/>
  <c r="I1259" i="1"/>
  <c r="C1258" i="1"/>
  <c r="R1256" i="1"/>
  <c r="L1255" i="1"/>
  <c r="F1254" i="1"/>
  <c r="A1253" i="1"/>
  <c r="P1251" i="1"/>
  <c r="H1250" i="1"/>
  <c r="B1249" i="1"/>
  <c r="Q1247" i="1"/>
  <c r="I1246" i="1"/>
  <c r="D1245" i="1"/>
  <c r="R1243" i="1"/>
  <c r="L1242" i="1"/>
  <c r="E1241" i="1"/>
  <c r="AA1239" i="1"/>
  <c r="P1238" i="1"/>
  <c r="I1237" i="1"/>
  <c r="B1236" i="1"/>
  <c r="P1234" i="1"/>
  <c r="I1233" i="1"/>
  <c r="D1232" i="1"/>
  <c r="AA1230" i="1"/>
  <c r="N1229" i="1"/>
  <c r="G1228" i="1"/>
  <c r="A1227" i="1"/>
  <c r="P1225" i="1"/>
  <c r="H1224" i="1"/>
  <c r="C1223" i="1"/>
  <c r="Q1221" i="1"/>
  <c r="I1220" i="1"/>
  <c r="B1219" i="1"/>
  <c r="N1217" i="1"/>
  <c r="F1216" i="1"/>
  <c r="AA1214" i="1"/>
  <c r="I1213" i="1"/>
  <c r="B1212" i="1"/>
  <c r="P1210" i="1"/>
  <c r="F1209" i="1"/>
  <c r="AA1207" i="1"/>
  <c r="R1206" i="1"/>
  <c r="P1205" i="1"/>
  <c r="M1204" i="1"/>
  <c r="I1203" i="1"/>
  <c r="E1202" i="1"/>
  <c r="A1201" i="1"/>
  <c r="Q1199" i="1"/>
  <c r="N1198" i="1"/>
  <c r="I1197" i="1"/>
  <c r="G1196" i="1"/>
  <c r="E1195" i="1"/>
  <c r="C1194" i="1"/>
  <c r="A1193" i="1"/>
  <c r="Q1191" i="1"/>
  <c r="P1190" i="1"/>
  <c r="N1189" i="1"/>
  <c r="M1188" i="1"/>
  <c r="L1187" i="1"/>
  <c r="K1186" i="1"/>
  <c r="J1185" i="1"/>
  <c r="I1184" i="1"/>
  <c r="H1183" i="1"/>
  <c r="G1182" i="1"/>
  <c r="F1181" i="1"/>
  <c r="E1180" i="1"/>
  <c r="D1179" i="1"/>
  <c r="C1178" i="1"/>
  <c r="B1177" i="1"/>
  <c r="A1176" i="1"/>
  <c r="AA1174" i="1"/>
  <c r="U1173" i="1"/>
  <c r="Q1172" i="1"/>
  <c r="Q1171" i="1"/>
  <c r="P1170" i="1"/>
  <c r="N1169" i="1"/>
  <c r="M1168" i="1"/>
  <c r="L1167" i="1"/>
  <c r="I1166" i="1"/>
  <c r="F1165" i="1"/>
  <c r="E1164" i="1"/>
  <c r="D1163" i="1"/>
  <c r="C1162" i="1"/>
  <c r="B1161" i="1"/>
  <c r="A1160" i="1"/>
  <c r="AA1158" i="1"/>
  <c r="U1157" i="1"/>
  <c r="R1156" i="1"/>
  <c r="Q1155" i="1"/>
  <c r="P1154" i="1"/>
  <c r="N1153" i="1"/>
  <c r="M1152" i="1"/>
  <c r="L1151" i="1"/>
  <c r="I1150" i="1"/>
  <c r="F1149" i="1"/>
  <c r="C1148" i="1"/>
  <c r="U1146" i="1"/>
  <c r="R1145" i="1"/>
  <c r="Q1144" i="1"/>
  <c r="P1143" i="1"/>
  <c r="N1142" i="1"/>
  <c r="M1141" i="1"/>
  <c r="L1140" i="1"/>
  <c r="K1139" i="1"/>
  <c r="J1138" i="1"/>
  <c r="I1137" i="1"/>
  <c r="F1136" i="1"/>
  <c r="C1135" i="1"/>
  <c r="B1134" i="1"/>
  <c r="A1133" i="1"/>
  <c r="AA1131" i="1"/>
  <c r="U1130" i="1"/>
  <c r="R1129" i="1"/>
  <c r="Q1128" i="1"/>
  <c r="L1127" i="1"/>
  <c r="J1126" i="1"/>
  <c r="H1125" i="1"/>
  <c r="F1124" i="1"/>
  <c r="D1123" i="1"/>
  <c r="A1122" i="1"/>
  <c r="L1644" i="1"/>
  <c r="A1630" i="1"/>
  <c r="C1611" i="1"/>
  <c r="E1596" i="1"/>
  <c r="K1583" i="1"/>
  <c r="Q1574" i="1"/>
  <c r="H1566" i="1"/>
  <c r="R1557" i="1"/>
  <c r="D1549" i="1"/>
  <c r="I1540" i="1"/>
  <c r="G1532" i="1"/>
  <c r="C1525" i="1"/>
  <c r="M1520" i="1"/>
  <c r="J1516" i="1"/>
  <c r="K1512" i="1"/>
  <c r="B1507" i="1"/>
  <c r="I1501" i="1"/>
  <c r="AA1497" i="1"/>
  <c r="I1492" i="1"/>
  <c r="P1487" i="1"/>
  <c r="P1482" i="1"/>
  <c r="D1478" i="1"/>
  <c r="F1474" i="1"/>
  <c r="G1470" i="1"/>
  <c r="H1465" i="1"/>
  <c r="R1460" i="1"/>
  <c r="AA1456" i="1"/>
  <c r="G1453" i="1"/>
  <c r="L1450" i="1"/>
  <c r="F1446" i="1"/>
  <c r="B1442" i="1"/>
  <c r="G1437" i="1"/>
  <c r="A1433" i="1"/>
  <c r="B1429" i="1"/>
  <c r="Q1425" i="1"/>
  <c r="I1422" i="1"/>
  <c r="R1418" i="1"/>
  <c r="F1415" i="1"/>
  <c r="N1411" i="1"/>
  <c r="L1407" i="1"/>
  <c r="G1403" i="1"/>
  <c r="AA1399" i="1"/>
  <c r="G1397" i="1"/>
  <c r="C1395" i="1"/>
  <c r="A1393" i="1"/>
  <c r="A1391" i="1"/>
  <c r="P1388" i="1"/>
  <c r="E1386" i="1"/>
  <c r="R1383" i="1"/>
  <c r="D1381" i="1"/>
  <c r="D1379" i="1"/>
  <c r="N1376" i="1"/>
  <c r="H1374" i="1"/>
  <c r="H1372" i="1"/>
  <c r="F1370" i="1"/>
  <c r="C1368" i="1"/>
  <c r="D1366" i="1"/>
  <c r="K1364" i="1"/>
  <c r="I1362" i="1"/>
  <c r="D1360" i="1"/>
  <c r="A1358" i="1"/>
  <c r="L1355" i="1"/>
  <c r="I1353" i="1"/>
  <c r="E1351" i="1"/>
  <c r="A1349" i="1"/>
  <c r="R1346" i="1"/>
  <c r="P1344" i="1"/>
  <c r="H1342" i="1"/>
  <c r="K1340" i="1"/>
  <c r="Q1338" i="1"/>
  <c r="R1336" i="1"/>
  <c r="AA1334" i="1"/>
  <c r="E1333" i="1"/>
  <c r="A1331" i="1"/>
  <c r="B1329" i="1"/>
  <c r="B1327" i="1"/>
  <c r="A1325" i="1"/>
  <c r="U1322" i="1"/>
  <c r="A1321" i="1"/>
  <c r="AA1318" i="1"/>
  <c r="A1317" i="1"/>
  <c r="D1315" i="1"/>
  <c r="C1313" i="1"/>
  <c r="D1311" i="1"/>
  <c r="F1309" i="1"/>
  <c r="E1307" i="1"/>
  <c r="H1305" i="1"/>
  <c r="K1303" i="1"/>
  <c r="M1301" i="1"/>
  <c r="C1300" i="1"/>
  <c r="C1298" i="1"/>
  <c r="J1296" i="1"/>
  <c r="AA1294" i="1"/>
  <c r="I1293" i="1"/>
  <c r="A1292" i="1"/>
  <c r="L1290" i="1"/>
  <c r="E1289" i="1"/>
  <c r="Q1287" i="1"/>
  <c r="I1286" i="1"/>
  <c r="A1285" i="1"/>
  <c r="L1283" i="1"/>
  <c r="C1282" i="1"/>
  <c r="Q1280" i="1"/>
  <c r="I1279" i="1"/>
  <c r="D1278" i="1"/>
  <c r="Q1276" i="1"/>
  <c r="H1275" i="1"/>
  <c r="A1274" i="1"/>
  <c r="N1272" i="1"/>
  <c r="C1271" i="1"/>
  <c r="R1269" i="1"/>
  <c r="M1268" i="1"/>
  <c r="E1267" i="1"/>
  <c r="U1265" i="1"/>
  <c r="L1264" i="1"/>
  <c r="F1263" i="1"/>
  <c r="AA1261" i="1"/>
  <c r="N1260" i="1"/>
  <c r="H1259" i="1"/>
  <c r="B1258" i="1"/>
  <c r="Q1256" i="1"/>
  <c r="K1255" i="1"/>
  <c r="E1254" i="1"/>
  <c r="AA1252" i="1"/>
  <c r="L1251" i="1"/>
  <c r="G1250" i="1"/>
  <c r="A1249" i="1"/>
  <c r="N1247" i="1"/>
  <c r="H1246" i="1"/>
  <c r="C1245" i="1"/>
  <c r="Q1243" i="1"/>
  <c r="H1242" i="1"/>
  <c r="D1241" i="1"/>
  <c r="U1239" i="1"/>
  <c r="N1238" i="1"/>
  <c r="H1237" i="1"/>
  <c r="A1236" i="1"/>
  <c r="N1234" i="1"/>
  <c r="H1233" i="1"/>
  <c r="C1232" i="1"/>
  <c r="U1230" i="1"/>
  <c r="K1229" i="1"/>
  <c r="F1228" i="1"/>
  <c r="AA1226" i="1"/>
  <c r="L1225" i="1"/>
  <c r="G1224" i="1"/>
  <c r="B1223" i="1"/>
  <c r="P1221" i="1"/>
  <c r="G1220" i="1"/>
  <c r="A1219" i="1"/>
  <c r="M1217" i="1"/>
  <c r="E1216" i="1"/>
  <c r="U1214" i="1"/>
  <c r="H1213" i="1"/>
  <c r="A1212" i="1"/>
  <c r="N1210" i="1"/>
  <c r="E1209" i="1"/>
  <c r="U1207" i="1"/>
  <c r="Q1206" i="1"/>
  <c r="N1205" i="1"/>
  <c r="L1204" i="1"/>
  <c r="H1203" i="1"/>
  <c r="D1202" i="1"/>
  <c r="AA1200" i="1"/>
  <c r="P1199" i="1"/>
  <c r="L1198" i="1"/>
  <c r="H1197" i="1"/>
  <c r="F1196" i="1"/>
  <c r="D1195" i="1"/>
  <c r="B1194" i="1"/>
  <c r="AA1192" i="1"/>
  <c r="P1191" i="1"/>
  <c r="N1190" i="1"/>
  <c r="M1189" i="1"/>
  <c r="L1188" i="1"/>
  <c r="K1187" i="1"/>
  <c r="J1186" i="1"/>
  <c r="I1185" i="1"/>
  <c r="H1184" i="1"/>
  <c r="G1183" i="1"/>
  <c r="F1182" i="1"/>
  <c r="E1181" i="1"/>
  <c r="D1180" i="1"/>
  <c r="C1179" i="1"/>
  <c r="B1178" i="1"/>
  <c r="A1177" i="1"/>
  <c r="AA1175" i="1"/>
  <c r="X1174" i="1"/>
  <c r="R1173" i="1"/>
  <c r="O1172" i="1"/>
  <c r="O1171" i="1"/>
  <c r="N1170" i="1"/>
  <c r="M1169" i="1"/>
  <c r="L1168" i="1"/>
  <c r="K1167" i="1"/>
  <c r="H1166" i="1"/>
  <c r="E1165" i="1"/>
  <c r="D1164" i="1"/>
  <c r="C1163" i="1"/>
  <c r="B1162" i="1"/>
  <c r="A1161" i="1"/>
  <c r="AA1159" i="1"/>
  <c r="U1158" i="1"/>
  <c r="R1157" i="1"/>
  <c r="Q1156" i="1"/>
  <c r="P1155" i="1"/>
  <c r="N1154" i="1"/>
  <c r="M1153" i="1"/>
  <c r="L1152" i="1"/>
  <c r="K1151" i="1"/>
  <c r="H1150" i="1"/>
  <c r="E1149" i="1"/>
  <c r="B1148" i="1"/>
  <c r="R1146" i="1"/>
  <c r="Q1145" i="1"/>
  <c r="P1144" i="1"/>
  <c r="N1143" i="1"/>
  <c r="M1142" i="1"/>
  <c r="L1141" i="1"/>
  <c r="K1140" i="1"/>
  <c r="J1139" i="1"/>
  <c r="I1138" i="1"/>
  <c r="H1137" i="1"/>
  <c r="E1136" i="1"/>
  <c r="B1135" i="1"/>
  <c r="A1134" i="1"/>
  <c r="AA1132" i="1"/>
  <c r="U1131" i="1"/>
  <c r="R1130" i="1"/>
  <c r="Q1129" i="1"/>
  <c r="P1128" i="1"/>
  <c r="K1127" i="1"/>
  <c r="I1126" i="1"/>
  <c r="G1125" i="1"/>
  <c r="E1124" i="1"/>
  <c r="C1123" i="1"/>
  <c r="K1644" i="1"/>
  <c r="G1628" i="1"/>
  <c r="A1611" i="1"/>
  <c r="C1596" i="1"/>
  <c r="B1583" i="1"/>
  <c r="P1574" i="1"/>
  <c r="F1566" i="1"/>
  <c r="H1557" i="1"/>
  <c r="C1549" i="1"/>
  <c r="G1540" i="1"/>
  <c r="AA1531" i="1"/>
  <c r="B1525" i="1"/>
  <c r="L1520" i="1"/>
  <c r="I1516" i="1"/>
  <c r="I1512" i="1"/>
  <c r="R1506" i="1"/>
  <c r="H1501" i="1"/>
  <c r="A1497" i="1"/>
  <c r="G1492" i="1"/>
  <c r="N1487" i="1"/>
  <c r="K1482" i="1"/>
  <c r="C1478" i="1"/>
  <c r="P1473" i="1"/>
  <c r="F1470" i="1"/>
  <c r="G1465" i="1"/>
  <c r="P1460" i="1"/>
  <c r="Q1456" i="1"/>
  <c r="F1453" i="1"/>
  <c r="L1449" i="1"/>
  <c r="E1446" i="1"/>
  <c r="A1442" i="1"/>
  <c r="F1437" i="1"/>
  <c r="AA1432" i="1"/>
  <c r="H1428" i="1"/>
  <c r="P1425" i="1"/>
  <c r="H1422" i="1"/>
  <c r="P1418" i="1"/>
  <c r="D1415" i="1"/>
  <c r="F1411" i="1"/>
  <c r="C1407" i="1"/>
  <c r="F1403" i="1"/>
  <c r="X1399" i="1"/>
  <c r="F1397" i="1"/>
  <c r="B1395" i="1"/>
  <c r="O1392" i="1"/>
  <c r="AA1390" i="1"/>
  <c r="O1388" i="1"/>
  <c r="D1386" i="1"/>
  <c r="O1383" i="1"/>
  <c r="C1381" i="1"/>
  <c r="R1378" i="1"/>
  <c r="L1376" i="1"/>
  <c r="F1374" i="1"/>
  <c r="C1372" i="1"/>
  <c r="E1370" i="1"/>
  <c r="A1368" i="1"/>
  <c r="AA1365" i="1"/>
  <c r="J1364" i="1"/>
  <c r="G1362" i="1"/>
  <c r="AA1359" i="1"/>
  <c r="AA1357" i="1"/>
  <c r="G1355" i="1"/>
  <c r="E1353" i="1"/>
  <c r="D1351" i="1"/>
  <c r="R1348" i="1"/>
  <c r="L1346" i="1"/>
  <c r="O1344" i="1"/>
  <c r="F1342" i="1"/>
  <c r="G1340" i="1"/>
  <c r="P1338" i="1"/>
  <c r="P1336" i="1"/>
  <c r="Q1334" i="1"/>
  <c r="D1333" i="1"/>
  <c r="R1330" i="1"/>
  <c r="R1328" i="1"/>
  <c r="A1327" i="1"/>
  <c r="U1324" i="1"/>
  <c r="L1322" i="1"/>
  <c r="AA1320" i="1"/>
  <c r="R1318" i="1"/>
  <c r="Q1316" i="1"/>
  <c r="C1315" i="1"/>
  <c r="A1313" i="1"/>
  <c r="AA1310" i="1"/>
  <c r="E1309" i="1"/>
  <c r="C1307" i="1"/>
  <c r="D1305" i="1"/>
  <c r="J1303" i="1"/>
  <c r="L1301" i="1"/>
  <c r="B1300" i="1"/>
  <c r="A1298" i="1"/>
  <c r="I1296" i="1"/>
  <c r="U1294" i="1"/>
  <c r="H1293" i="1"/>
  <c r="AA1291" i="1"/>
  <c r="K1290" i="1"/>
  <c r="D1289" i="1"/>
  <c r="O1287" i="1"/>
  <c r="H1286" i="1"/>
  <c r="AA1284" i="1"/>
  <c r="I1283" i="1"/>
  <c r="A1282" i="1"/>
  <c r="C1640" i="1"/>
  <c r="K1623" i="1"/>
  <c r="L1606" i="1"/>
  <c r="E1590" i="1"/>
  <c r="U1580" i="1"/>
  <c r="G1572" i="1"/>
  <c r="O1563" i="1"/>
  <c r="E1555" i="1"/>
  <c r="N1546" i="1"/>
  <c r="R1537" i="1"/>
  <c r="A1530" i="1"/>
  <c r="R1523" i="1"/>
  <c r="G1519" i="1"/>
  <c r="Y1515" i="1"/>
  <c r="L1511" i="1"/>
  <c r="B1506" i="1"/>
  <c r="C1501" i="1"/>
  <c r="G1496" i="1"/>
  <c r="R1490" i="1"/>
  <c r="AA1486" i="1"/>
  <c r="F1482" i="1"/>
  <c r="N1477" i="1"/>
  <c r="H1473" i="1"/>
  <c r="AA1468" i="1"/>
  <c r="K1464" i="1"/>
  <c r="J1460" i="1"/>
  <c r="L1456" i="1"/>
  <c r="B1453" i="1"/>
  <c r="C1449" i="1"/>
  <c r="A1445" i="1"/>
  <c r="N1441" i="1"/>
  <c r="C1437" i="1"/>
  <c r="L1432" i="1"/>
  <c r="D1428" i="1"/>
  <c r="U1424" i="1"/>
  <c r="I1421" i="1"/>
  <c r="L1418" i="1"/>
  <c r="A1415" i="1"/>
  <c r="AA1410" i="1"/>
  <c r="G1406" i="1"/>
  <c r="E1402" i="1"/>
  <c r="P1399" i="1"/>
  <c r="C1397" i="1"/>
  <c r="Q1394" i="1"/>
  <c r="I1392" i="1"/>
  <c r="F1390" i="1"/>
  <c r="E1388" i="1"/>
  <c r="X1385" i="1"/>
  <c r="H1383" i="1"/>
  <c r="Q1380" i="1"/>
  <c r="H1378" i="1"/>
  <c r="E1376" i="1"/>
  <c r="C1374" i="1"/>
  <c r="AA1371" i="1"/>
  <c r="Q1369" i="1"/>
  <c r="Q1367" i="1"/>
  <c r="R1365" i="1"/>
  <c r="B1364" i="1"/>
  <c r="D1362" i="1"/>
  <c r="P1359" i="1"/>
  <c r="H1357" i="1"/>
  <c r="D1355" i="1"/>
  <c r="A1353" i="1"/>
  <c r="O1350" i="1"/>
  <c r="O1348" i="1"/>
  <c r="G1346" i="1"/>
  <c r="D1344" i="1"/>
  <c r="C1342" i="1"/>
  <c r="D1340" i="1"/>
  <c r="G1338" i="1"/>
  <c r="L1336" i="1"/>
  <c r="N1334" i="1"/>
  <c r="Q1332" i="1"/>
  <c r="N1330" i="1"/>
  <c r="L1328" i="1"/>
  <c r="L1326" i="1"/>
  <c r="P1324" i="1"/>
  <c r="I1322" i="1"/>
  <c r="J1320" i="1"/>
  <c r="N1318" i="1"/>
  <c r="L1316" i="1"/>
  <c r="N1314" i="1"/>
  <c r="Q1312" i="1"/>
  <c r="Q1310" i="1"/>
  <c r="R1308" i="1"/>
  <c r="AA1306" i="1"/>
  <c r="AA1304" i="1"/>
  <c r="C1303" i="1"/>
  <c r="H1301" i="1"/>
  <c r="J1299" i="1"/>
  <c r="Q1297" i="1"/>
  <c r="C1296" i="1"/>
  <c r="L1294" i="1"/>
  <c r="D1293" i="1"/>
  <c r="O1291" i="1"/>
  <c r="F1290" i="1"/>
  <c r="AA1288" i="1"/>
  <c r="I1287" i="1"/>
  <c r="D1286" i="1"/>
  <c r="Q1284" i="1"/>
  <c r="E1283" i="1"/>
  <c r="R1281" i="1"/>
  <c r="J1280" i="1"/>
  <c r="D1279" i="1"/>
  <c r="U1277" i="1"/>
  <c r="L1276" i="1"/>
  <c r="C1275" i="1"/>
  <c r="O1273" i="1"/>
  <c r="G1272" i="1"/>
  <c r="R1270" i="1"/>
  <c r="M1269" i="1"/>
  <c r="G1268" i="1"/>
  <c r="AA1266" i="1"/>
  <c r="L1265" i="1"/>
  <c r="G1264" i="1"/>
  <c r="A1263" i="1"/>
  <c r="P1261" i="1"/>
  <c r="H1260" i="1"/>
  <c r="C1259" i="1"/>
  <c r="Q1257" i="1"/>
  <c r="K1256" i="1"/>
  <c r="F1255" i="1"/>
  <c r="A1254" i="1"/>
  <c r="N1252" i="1"/>
  <c r="G1251" i="1"/>
  <c r="B1250" i="1"/>
  <c r="P1248" i="1"/>
  <c r="I1247" i="1"/>
  <c r="D1246" i="1"/>
  <c r="R1244" i="1"/>
  <c r="J1243" i="1"/>
  <c r="D1242" i="1"/>
  <c r="U1240" i="1"/>
  <c r="N1239" i="1"/>
  <c r="I1238" i="1"/>
  <c r="C1237" i="1"/>
  <c r="P1235" i="1"/>
  <c r="H1234" i="1"/>
  <c r="C1233" i="1"/>
  <c r="U1231" i="1"/>
  <c r="L1230" i="1"/>
  <c r="F1229" i="1"/>
  <c r="A1228" i="1"/>
  <c r="N1226" i="1"/>
  <c r="H1225" i="1"/>
  <c r="C1224" i="1"/>
  <c r="Q1222" i="1"/>
  <c r="I1221" i="1"/>
  <c r="C1220" i="1"/>
  <c r="P1218" i="1"/>
  <c r="G1217" i="1"/>
  <c r="AA1215" i="1"/>
  <c r="L1214" i="1"/>
  <c r="C1213" i="1"/>
  <c r="P1211" i="1"/>
  <c r="G1210" i="1"/>
  <c r="A1209" i="1"/>
  <c r="M1207" i="1"/>
  <c r="K1206" i="1"/>
  <c r="I1205" i="1"/>
  <c r="H1204" i="1"/>
  <c r="D1203" i="1"/>
  <c r="AA1201" i="1"/>
  <c r="P1200" i="1"/>
  <c r="J1199" i="1"/>
  <c r="F1198" i="1"/>
  <c r="D1197" i="1"/>
  <c r="B1196" i="1"/>
  <c r="AA1194" i="1"/>
  <c r="R1193" i="1"/>
  <c r="P1192" i="1"/>
  <c r="K1191" i="1"/>
  <c r="J1190" i="1"/>
  <c r="I1189" i="1"/>
  <c r="H1188" i="1"/>
  <c r="G1187" i="1"/>
  <c r="F1186" i="1"/>
  <c r="E1185" i="1"/>
  <c r="D1184" i="1"/>
  <c r="C1183" i="1"/>
  <c r="B1182" i="1"/>
  <c r="A1181" i="1"/>
  <c r="AA1179" i="1"/>
  <c r="X1178" i="1"/>
  <c r="U1177" i="1"/>
  <c r="R1176" i="1"/>
  <c r="Q1175" i="1"/>
  <c r="P1174" i="1"/>
  <c r="M1173" i="1"/>
  <c r="K1172" i="1"/>
  <c r="K1171" i="1"/>
  <c r="J1170" i="1"/>
  <c r="I1169" i="1"/>
  <c r="H1168" i="1"/>
  <c r="G1167" i="1"/>
  <c r="D1166" i="1"/>
  <c r="A1165" i="1"/>
  <c r="AA1163" i="1"/>
  <c r="U1162" i="1"/>
  <c r="R1161" i="1"/>
  <c r="Q1160" i="1"/>
  <c r="P1159" i="1"/>
  <c r="N1158" i="1"/>
  <c r="M1157" i="1"/>
  <c r="L1156" i="1"/>
  <c r="K1155" i="1"/>
  <c r="J1154" i="1"/>
  <c r="I1153" i="1"/>
  <c r="H1152" i="1"/>
  <c r="G1151" i="1"/>
  <c r="D1150" i="1"/>
  <c r="A1149" i="1"/>
  <c r="R1147" i="1"/>
  <c r="M1146" i="1"/>
  <c r="L1145" i="1"/>
  <c r="K1144" i="1"/>
  <c r="J1143" i="1"/>
  <c r="I1142" i="1"/>
  <c r="H1141" i="1"/>
  <c r="G1140" i="1"/>
  <c r="F1139" i="1"/>
  <c r="E1138" i="1"/>
  <c r="D1137" i="1"/>
  <c r="A1136" i="1"/>
  <c r="R1134" i="1"/>
  <c r="Q1133" i="1"/>
  <c r="P1132" i="1"/>
  <c r="N1131" i="1"/>
  <c r="M1130" i="1"/>
  <c r="L1129" i="1"/>
  <c r="I1128" i="1"/>
  <c r="G1127" i="1"/>
  <c r="E1126" i="1"/>
  <c r="C1125" i="1"/>
  <c r="A1124" i="1"/>
  <c r="U1122" i="1"/>
  <c r="N1121" i="1"/>
  <c r="F1120" i="1"/>
  <c r="D1119" i="1"/>
  <c r="B1118" i="1"/>
  <c r="AA1116" i="1"/>
  <c r="R1115" i="1"/>
  <c r="O1114" i="1"/>
  <c r="L1113" i="1"/>
  <c r="J1112" i="1"/>
  <c r="H1111" i="1"/>
  <c r="F1110" i="1"/>
  <c r="D1109" i="1"/>
  <c r="B1108" i="1"/>
  <c r="AA1636" i="1"/>
  <c r="I1620" i="1"/>
  <c r="E1603" i="1"/>
  <c r="AA1587" i="1"/>
  <c r="O1578" i="1"/>
  <c r="E1570" i="1"/>
  <c r="AA1561" i="1"/>
  <c r="A1553" i="1"/>
  <c r="J1544" i="1"/>
  <c r="C1536" i="1"/>
  <c r="A1528" i="1"/>
  <c r="O1522" i="1"/>
  <c r="E1518" i="1"/>
  <c r="I1514" i="1"/>
  <c r="N1509" i="1"/>
  <c r="A1504" i="1"/>
  <c r="R1498" i="1"/>
  <c r="N1637" i="1"/>
  <c r="G1603" i="1"/>
  <c r="H1572" i="1"/>
  <c r="O1554" i="1"/>
  <c r="J1537" i="1"/>
  <c r="T1522" i="1"/>
  <c r="P1511" i="1"/>
  <c r="B1501" i="1"/>
  <c r="N1490" i="1"/>
  <c r="C1482" i="1"/>
  <c r="F1473" i="1"/>
  <c r="N1463" i="1"/>
  <c r="I1456" i="1"/>
  <c r="AA1448" i="1"/>
  <c r="R1441" i="1"/>
  <c r="AA1433" i="1"/>
  <c r="A1427" i="1"/>
  <c r="R1420" i="1"/>
  <c r="Q1414" i="1"/>
  <c r="A1406" i="1"/>
  <c r="R1399" i="1"/>
  <c r="B1396" i="1"/>
  <c r="C1392" i="1"/>
  <c r="O1387" i="1"/>
  <c r="F1383" i="1"/>
  <c r="I1378" i="1"/>
  <c r="J1374" i="1"/>
  <c r="H1371" i="1"/>
  <c r="C1367" i="1"/>
  <c r="Q1363" i="1"/>
  <c r="N1359" i="1"/>
  <c r="F1355" i="1"/>
  <c r="D1352" i="1"/>
  <c r="Q1347" i="1"/>
  <c r="P1343" i="1"/>
  <c r="A1340" i="1"/>
  <c r="M1336" i="1"/>
  <c r="G1333" i="1"/>
  <c r="U1329" i="1"/>
  <c r="B1326" i="1"/>
  <c r="E1322" i="1"/>
  <c r="L1318" i="1"/>
  <c r="A1315" i="1"/>
  <c r="AA1311" i="1"/>
  <c r="E1308" i="1"/>
  <c r="N1304" i="1"/>
  <c r="F1301" i="1"/>
  <c r="U1297" i="1"/>
  <c r="D1295" i="1"/>
  <c r="O1292" i="1"/>
  <c r="AA1289" i="1"/>
  <c r="E1287" i="1"/>
  <c r="O1284" i="1"/>
  <c r="AA1281" i="1"/>
  <c r="B1280" i="1"/>
  <c r="O1277" i="1"/>
  <c r="F1275" i="1"/>
  <c r="E1273" i="1"/>
  <c r="N1270" i="1"/>
  <c r="I1268" i="1"/>
  <c r="I1266" i="1"/>
  <c r="C1264" i="1"/>
  <c r="R1261" i="1"/>
  <c r="AA1259" i="1"/>
  <c r="L1257" i="1"/>
  <c r="H1255" i="1"/>
  <c r="J1253" i="1"/>
  <c r="D1251" i="1"/>
  <c r="U1248" i="1"/>
  <c r="A1247" i="1"/>
  <c r="L1244" i="1"/>
  <c r="F1242" i="1"/>
  <c r="J1240" i="1"/>
  <c r="F1238" i="1"/>
  <c r="R1235" i="1"/>
  <c r="A1234" i="1"/>
  <c r="N1231" i="1"/>
  <c r="I1229" i="1"/>
  <c r="K1227" i="1"/>
  <c r="E1225" i="1"/>
  <c r="U1222" i="1"/>
  <c r="A1221" i="1"/>
  <c r="M1218" i="1"/>
  <c r="H1216" i="1"/>
  <c r="F1214" i="1"/>
  <c r="D1212" i="1"/>
  <c r="C1210" i="1"/>
  <c r="A1208" i="1"/>
  <c r="H1206" i="1"/>
  <c r="AA1204" i="1"/>
  <c r="G1203" i="1"/>
  <c r="R1201" i="1"/>
  <c r="F1200" i="1"/>
  <c r="A1199" i="1"/>
  <c r="L1197" i="1"/>
  <c r="E1196" i="1"/>
  <c r="U1194" i="1"/>
  <c r="L1193" i="1"/>
  <c r="G1192" i="1"/>
  <c r="A1191" i="1"/>
  <c r="Q1189" i="1"/>
  <c r="J1188" i="1"/>
  <c r="E1187" i="1"/>
  <c r="A1186" i="1"/>
  <c r="Q1184" i="1"/>
  <c r="L1183" i="1"/>
  <c r="H1182" i="1"/>
  <c r="B1181" i="1"/>
  <c r="R1179" i="1"/>
  <c r="L1178" i="1"/>
  <c r="H1177" i="1"/>
  <c r="D1176" i="1"/>
  <c r="U1174" i="1"/>
  <c r="L1173" i="1"/>
  <c r="G1172" i="1"/>
  <c r="D1171" i="1"/>
  <c r="AA1169" i="1"/>
  <c r="P1168" i="1"/>
  <c r="I1167" i="1"/>
  <c r="B1166" i="1"/>
  <c r="P1164" i="1"/>
  <c r="K1163" i="1"/>
  <c r="G1162" i="1"/>
  <c r="C1161" i="1"/>
  <c r="Q1159" i="1"/>
  <c r="K1158" i="1"/>
  <c r="G1157" i="1"/>
  <c r="C1156" i="1"/>
  <c r="U1154" i="1"/>
  <c r="L1153" i="1"/>
  <c r="G1152" i="1"/>
  <c r="L1637" i="1"/>
  <c r="G1594" i="1"/>
  <c r="F1572" i="1"/>
  <c r="N1554" i="1"/>
  <c r="G1536" i="1"/>
  <c r="Q1522" i="1"/>
  <c r="N1511" i="1"/>
  <c r="A1501" i="1"/>
  <c r="K1490" i="1"/>
  <c r="G1481" i="1"/>
  <c r="R1472" i="1"/>
  <c r="L1463" i="1"/>
  <c r="F1456" i="1"/>
  <c r="H1448" i="1"/>
  <c r="R1440" i="1"/>
  <c r="N1432" i="1"/>
  <c r="L1426" i="1"/>
  <c r="I1420" i="1"/>
  <c r="A1414" i="1"/>
  <c r="I1405" i="1"/>
  <c r="Q1399" i="1"/>
  <c r="L1395" i="1"/>
  <c r="Q1391" i="1"/>
  <c r="N1387" i="1"/>
  <c r="E1383" i="1"/>
  <c r="E1378" i="1"/>
  <c r="E1374" i="1"/>
  <c r="C1371" i="1"/>
  <c r="B1367" i="1"/>
  <c r="O1363" i="1"/>
  <c r="L1359" i="1"/>
  <c r="E1355" i="1"/>
  <c r="G1351" i="1"/>
  <c r="P1347" i="1"/>
  <c r="N1343" i="1"/>
  <c r="AA1339" i="1"/>
  <c r="J1336" i="1"/>
  <c r="C1333" i="1"/>
  <c r="Q1329" i="1"/>
  <c r="A1326" i="1"/>
  <c r="D1322" i="1"/>
  <c r="K1318" i="1"/>
  <c r="AA1314" i="1"/>
  <c r="J1311" i="1"/>
  <c r="D1308" i="1"/>
  <c r="M1304" i="1"/>
  <c r="E1301" i="1"/>
  <c r="O1297" i="1"/>
  <c r="Q1294" i="1"/>
  <c r="K1292" i="1"/>
  <c r="U1289" i="1"/>
  <c r="D1287" i="1"/>
  <c r="N1284" i="1"/>
  <c r="U1281" i="1"/>
  <c r="A1280" i="1"/>
  <c r="N1277" i="1"/>
  <c r="D1275" i="1"/>
  <c r="D1273" i="1"/>
  <c r="M1270" i="1"/>
  <c r="H1268" i="1"/>
  <c r="H1266" i="1"/>
  <c r="B1264" i="1"/>
  <c r="Q1261" i="1"/>
  <c r="U1259" i="1"/>
  <c r="K1257" i="1"/>
  <c r="G1255" i="1"/>
  <c r="I1253" i="1"/>
  <c r="C1251" i="1"/>
  <c r="Q1248" i="1"/>
  <c r="U1246" i="1"/>
  <c r="K1244" i="1"/>
  <c r="E1242" i="1"/>
  <c r="I1240" i="1"/>
  <c r="D1238" i="1"/>
  <c r="Q1235" i="1"/>
  <c r="U1233" i="1"/>
  <c r="M1231" i="1"/>
  <c r="H1229" i="1"/>
  <c r="J1227" i="1"/>
  <c r="C1225" i="1"/>
  <c r="R1222" i="1"/>
  <c r="AA1220" i="1"/>
  <c r="L1218" i="1"/>
  <c r="G1216" i="1"/>
  <c r="E1214" i="1"/>
  <c r="AA1211" i="1"/>
  <c r="A1210" i="1"/>
  <c r="R1207" i="1"/>
  <c r="G1206" i="1"/>
  <c r="R1204" i="1"/>
  <c r="F1203" i="1"/>
  <c r="Q1201" i="1"/>
  <c r="E1200" i="1"/>
  <c r="AA1198" i="1"/>
  <c r="K1197" i="1"/>
  <c r="D1196" i="1"/>
  <c r="R1194" i="1"/>
  <c r="K1193" i="1"/>
  <c r="F1192" i="1"/>
  <c r="AA1190" i="1"/>
  <c r="P1189" i="1"/>
  <c r="I1188" i="1"/>
  <c r="D1187" i="1"/>
  <c r="AA1185" i="1"/>
  <c r="P1184" i="1"/>
  <c r="K1183" i="1"/>
  <c r="E1182" i="1"/>
  <c r="AA1180" i="1"/>
  <c r="Q1179" i="1"/>
  <c r="K1178" i="1"/>
  <c r="G1177" i="1"/>
  <c r="C1176" i="1"/>
  <c r="R1174" i="1"/>
  <c r="I1173" i="1"/>
  <c r="F1172" i="1"/>
  <c r="C1171" i="1"/>
  <c r="U1169" i="1"/>
  <c r="N1168" i="1"/>
  <c r="H1167" i="1"/>
  <c r="A1166" i="1"/>
  <c r="N1164" i="1"/>
  <c r="J1163" i="1"/>
  <c r="F1162" i="1"/>
  <c r="AA1160" i="1"/>
  <c r="N1159" i="1"/>
  <c r="J1158" i="1"/>
  <c r="F1157" i="1"/>
  <c r="B1156" i="1"/>
  <c r="R1154" i="1"/>
  <c r="K1153" i="1"/>
  <c r="F1152" i="1"/>
  <c r="I1637" i="1"/>
  <c r="I1590" i="1"/>
  <c r="D1572" i="1"/>
  <c r="K1554" i="1"/>
  <c r="F1536" i="1"/>
  <c r="J1520" i="1"/>
  <c r="I1511" i="1"/>
  <c r="AA1500" i="1"/>
  <c r="I1490" i="1"/>
  <c r="P1480" i="1"/>
  <c r="P1472" i="1"/>
  <c r="H1463" i="1"/>
  <c r="N1455" i="1"/>
  <c r="G1448" i="1"/>
  <c r="G1440" i="1"/>
  <c r="M1432" i="1"/>
  <c r="U1425" i="1"/>
  <c r="H1420" i="1"/>
  <c r="M1413" i="1"/>
  <c r="H1405" i="1"/>
  <c r="G1399" i="1"/>
  <c r="AA1394" i="1"/>
  <c r="L1391" i="1"/>
  <c r="M1387" i="1"/>
  <c r="R1382" i="1"/>
  <c r="D1378" i="1"/>
  <c r="D1374" i="1"/>
  <c r="H1370" i="1"/>
  <c r="A1367" i="1"/>
  <c r="M1363" i="1"/>
  <c r="I1359" i="1"/>
  <c r="C1355" i="1"/>
  <c r="C1351" i="1"/>
  <c r="O1347" i="1"/>
  <c r="L1343" i="1"/>
  <c r="U1339" i="1"/>
  <c r="I1336" i="1"/>
  <c r="B1333" i="1"/>
  <c r="H1329" i="1"/>
  <c r="AA1325" i="1"/>
  <c r="C1322" i="1"/>
  <c r="J1318" i="1"/>
  <c r="I1314" i="1"/>
  <c r="U1310" i="1"/>
  <c r="C1308" i="1"/>
  <c r="L1304" i="1"/>
  <c r="D1301" i="1"/>
  <c r="N1297" i="1"/>
  <c r="N1294" i="1"/>
  <c r="D1292" i="1"/>
  <c r="R1289" i="1"/>
  <c r="C1287" i="1"/>
  <c r="I1284" i="1"/>
  <c r="O1281" i="1"/>
  <c r="L1279" i="1"/>
  <c r="L1277" i="1"/>
  <c r="B1275" i="1"/>
  <c r="Q1272" i="1"/>
  <c r="L1270" i="1"/>
  <c r="E1268" i="1"/>
  <c r="B1266" i="1"/>
  <c r="A1264" i="1"/>
  <c r="N1261" i="1"/>
  <c r="K1259" i="1"/>
  <c r="J1257" i="1"/>
  <c r="E1255" i="1"/>
  <c r="B1253" i="1"/>
  <c r="A1251" i="1"/>
  <c r="N1248" i="1"/>
  <c r="J1246" i="1"/>
  <c r="J1244" i="1"/>
  <c r="B1242" i="1"/>
  <c r="B1240" i="1"/>
  <c r="C1238" i="1"/>
  <c r="N1235" i="1"/>
  <c r="J1233" i="1"/>
  <c r="L1231" i="1"/>
  <c r="E1229" i="1"/>
  <c r="B1227" i="1"/>
  <c r="B1225" i="1"/>
  <c r="P1222" i="1"/>
  <c r="L1220" i="1"/>
  <c r="I1218" i="1"/>
  <c r="D1216" i="1"/>
  <c r="D1214" i="1"/>
  <c r="U1211" i="1"/>
  <c r="AA1209" i="1"/>
  <c r="Q1207" i="1"/>
  <c r="F1206" i="1"/>
  <c r="P1204" i="1"/>
  <c r="E1203" i="1"/>
  <c r="P1201" i="1"/>
  <c r="D1200" i="1"/>
  <c r="U1198" i="1"/>
  <c r="J1197" i="1"/>
  <c r="C1196" i="1"/>
  <c r="Q1194" i="1"/>
  <c r="J1193" i="1"/>
  <c r="E1192" i="1"/>
  <c r="U1190" i="1"/>
  <c r="L1189" i="1"/>
  <c r="G1188" i="1"/>
  <c r="C1187" i="1"/>
  <c r="U1185" i="1"/>
  <c r="N1184" i="1"/>
  <c r="J1183" i="1"/>
  <c r="D1182" i="1"/>
  <c r="X1180" i="1"/>
  <c r="P1179" i="1"/>
  <c r="J1178" i="1"/>
  <c r="F1177" i="1"/>
  <c r="B1176" i="1"/>
  <c r="Q1174" i="1"/>
  <c r="H1173" i="1"/>
  <c r="E1172" i="1"/>
  <c r="B1171" i="1"/>
  <c r="R1169" i="1"/>
  <c r="K1168" i="1"/>
  <c r="F1167" i="1"/>
  <c r="AA1165" i="1"/>
  <c r="M1164" i="1"/>
  <c r="I1163" i="1"/>
  <c r="E1162" i="1"/>
  <c r="U1160" i="1"/>
  <c r="M1159" i="1"/>
  <c r="I1158" i="1"/>
  <c r="E1157" i="1"/>
  <c r="A1156" i="1"/>
  <c r="Q1154" i="1"/>
  <c r="Q1627" i="1"/>
  <c r="D1590" i="1"/>
  <c r="B1572" i="1"/>
  <c r="H1553" i="1"/>
  <c r="E1536" i="1"/>
  <c r="H1519" i="1"/>
  <c r="C1511" i="1"/>
  <c r="R1500" i="1"/>
  <c r="H1490" i="1"/>
  <c r="N1480" i="1"/>
  <c r="I1472" i="1"/>
  <c r="G1463" i="1"/>
  <c r="F1455" i="1"/>
  <c r="D1448" i="1"/>
  <c r="F1440" i="1"/>
  <c r="I1432" i="1"/>
  <c r="F1425" i="1"/>
  <c r="E1420" i="1"/>
  <c r="L1413" i="1"/>
  <c r="G1405" i="1"/>
  <c r="AA1398" i="1"/>
  <c r="R1394" i="1"/>
  <c r="C1391" i="1"/>
  <c r="L1387" i="1"/>
  <c r="I1382" i="1"/>
  <c r="C1378" i="1"/>
  <c r="B1374" i="1"/>
  <c r="D1370" i="1"/>
  <c r="AA1366" i="1"/>
  <c r="L1363" i="1"/>
  <c r="G1359" i="1"/>
  <c r="B1355" i="1"/>
  <c r="B1351" i="1"/>
  <c r="E1347" i="1"/>
  <c r="I1343" i="1"/>
  <c r="R1339" i="1"/>
  <c r="H1336" i="1"/>
  <c r="I1332" i="1"/>
  <c r="Q1328" i="1"/>
  <c r="U1325" i="1"/>
  <c r="B1322" i="1"/>
  <c r="D1318" i="1"/>
  <c r="H1314" i="1"/>
  <c r="R1310" i="1"/>
  <c r="H1307" i="1"/>
  <c r="K1304" i="1"/>
  <c r="U1300" i="1"/>
  <c r="L1297" i="1"/>
  <c r="K1294" i="1"/>
  <c r="U1291" i="1"/>
  <c r="O1289" i="1"/>
  <c r="B1287" i="1"/>
  <c r="H1284" i="1"/>
  <c r="N1281" i="1"/>
  <c r="H1279" i="1"/>
  <c r="I1277" i="1"/>
  <c r="A1275" i="1"/>
  <c r="L1272" i="1"/>
  <c r="K1270" i="1"/>
  <c r="D1268" i="1"/>
  <c r="R1265" i="1"/>
  <c r="AA1263" i="1"/>
  <c r="M1261" i="1"/>
  <c r="F1259" i="1"/>
  <c r="I1257" i="1"/>
  <c r="D1255" i="1"/>
  <c r="U1252" i="1"/>
  <c r="AA1250" i="1"/>
  <c r="L1248" i="1"/>
  <c r="G1246" i="1"/>
  <c r="I1244" i="1"/>
  <c r="A1242" i="1"/>
  <c r="R1239" i="1"/>
  <c r="B1238" i="1"/>
  <c r="L1235" i="1"/>
  <c r="F1233" i="1"/>
  <c r="J1231" i="1"/>
  <c r="D1229" i="1"/>
  <c r="U1226" i="1"/>
  <c r="A1225" i="1"/>
  <c r="L1222" i="1"/>
  <c r="F1220" i="1"/>
  <c r="H1218" i="1"/>
  <c r="C1216" i="1"/>
  <c r="B1214" i="1"/>
  <c r="R1211" i="1"/>
  <c r="U1209" i="1"/>
  <c r="N1207" i="1"/>
  <c r="E1206" i="1"/>
  <c r="N1204" i="1"/>
  <c r="C1203" i="1"/>
  <c r="N1201" i="1"/>
  <c r="C1200" i="1"/>
  <c r="R1198" i="1"/>
  <c r="G1197" i="1"/>
  <c r="A1196" i="1"/>
  <c r="P1194" i="1"/>
  <c r="I1193" i="1"/>
  <c r="D1192" i="1"/>
  <c r="R1190" i="1"/>
  <c r="K1189" i="1"/>
  <c r="F1188" i="1"/>
  <c r="B1187" i="1"/>
  <c r="R1185" i="1"/>
  <c r="M1184" i="1"/>
  <c r="I1183" i="1"/>
  <c r="C1182" i="1"/>
  <c r="U1180" i="1"/>
  <c r="N1179" i="1"/>
  <c r="I1178" i="1"/>
  <c r="E1177" i="1"/>
  <c r="X1175" i="1"/>
  <c r="N1174" i="1"/>
  <c r="G1173" i="1"/>
  <c r="D1172" i="1"/>
  <c r="A1171" i="1"/>
  <c r="Q1169" i="1"/>
  <c r="J1168" i="1"/>
  <c r="E1167" i="1"/>
  <c r="U1165" i="1"/>
  <c r="L1164" i="1"/>
  <c r="H1163" i="1"/>
  <c r="D1162" i="1"/>
  <c r="R1160" i="1"/>
  <c r="L1159" i="1"/>
  <c r="H1158" i="1"/>
  <c r="D1157" i="1"/>
  <c r="AA1155" i="1"/>
  <c r="M1154" i="1"/>
  <c r="H1153" i="1"/>
  <c r="D1152" i="1"/>
  <c r="AA1150" i="1"/>
  <c r="M1149" i="1"/>
  <c r="E1148" i="1"/>
  <c r="P1146" i="1"/>
  <c r="J1145" i="1"/>
  <c r="F1144" i="1"/>
  <c r="B1143" i="1"/>
  <c r="R1141" i="1"/>
  <c r="L1623" i="1"/>
  <c r="A1590" i="1"/>
  <c r="L1571" i="1"/>
  <c r="G1553" i="1"/>
  <c r="R1531" i="1"/>
  <c r="B1519" i="1"/>
  <c r="C1510" i="1"/>
  <c r="G1500" i="1"/>
  <c r="B1490" i="1"/>
  <c r="L1480" i="1"/>
  <c r="H1472" i="1"/>
  <c r="F1463" i="1"/>
  <c r="E1455" i="1"/>
  <c r="C1448" i="1"/>
  <c r="E1440" i="1"/>
  <c r="H1432" i="1"/>
  <c r="X1424" i="1"/>
  <c r="A1419" i="1"/>
  <c r="I1413" i="1"/>
  <c r="F1405" i="1"/>
  <c r="Q1398" i="1"/>
  <c r="P1394" i="1"/>
  <c r="N1390" i="1"/>
  <c r="I1387" i="1"/>
  <c r="H1382" i="1"/>
  <c r="B1378" i="1"/>
  <c r="A1374" i="1"/>
  <c r="C1370" i="1"/>
  <c r="K1366" i="1"/>
  <c r="K1363" i="1"/>
  <c r="F1359" i="1"/>
  <c r="A1355" i="1"/>
  <c r="J1350" i="1"/>
  <c r="I1346" i="1"/>
  <c r="H1343" i="1"/>
  <c r="Q1339" i="1"/>
  <c r="C1336" i="1"/>
  <c r="H1332" i="1"/>
  <c r="N1328" i="1"/>
  <c r="C1325" i="1"/>
  <c r="A1322" i="1"/>
  <c r="AA1317" i="1"/>
  <c r="G1314" i="1"/>
  <c r="N1310" i="1"/>
  <c r="B1307" i="1"/>
  <c r="F1304" i="1"/>
  <c r="O1300" i="1"/>
  <c r="K1297" i="1"/>
  <c r="J1294" i="1"/>
  <c r="Q1291" i="1"/>
  <c r="I1289" i="1"/>
  <c r="A1287" i="1"/>
  <c r="G1284" i="1"/>
  <c r="L1281" i="1"/>
  <c r="G1279" i="1"/>
  <c r="H1277" i="1"/>
  <c r="U1274" i="1"/>
  <c r="I1272" i="1"/>
  <c r="I1270" i="1"/>
  <c r="C1268" i="1"/>
  <c r="Q1265" i="1"/>
  <c r="U1263" i="1"/>
  <c r="K1261" i="1"/>
  <c r="E1259" i="1"/>
  <c r="H1257" i="1"/>
  <c r="C1255" i="1"/>
  <c r="R1252" i="1"/>
  <c r="U1250" i="1"/>
  <c r="K1248" i="1"/>
  <c r="F1246" i="1"/>
  <c r="G1244" i="1"/>
  <c r="AA1241" i="1"/>
  <c r="Q1239" i="1"/>
  <c r="A1238" i="1"/>
  <c r="J1235" i="1"/>
  <c r="E1233" i="1"/>
  <c r="I1231" i="1"/>
  <c r="C1229" i="1"/>
  <c r="R1226" i="1"/>
  <c r="AA1224" i="1"/>
  <c r="K1222" i="1"/>
  <c r="E1220" i="1"/>
  <c r="F1218" i="1"/>
  <c r="B1216" i="1"/>
  <c r="A1214" i="1"/>
  <c r="N1211" i="1"/>
  <c r="R1209" i="1"/>
  <c r="L1207" i="1"/>
  <c r="D1206" i="1"/>
  <c r="K1204" i="1"/>
  <c r="B1203" i="1"/>
  <c r="L1201" i="1"/>
  <c r="B1200" i="1"/>
  <c r="Q1198" i="1"/>
  <c r="F1197" i="1"/>
  <c r="AA1195" i="1"/>
  <c r="N1194" i="1"/>
  <c r="H1193" i="1"/>
  <c r="C1192" i="1"/>
  <c r="Q1190" i="1"/>
  <c r="J1189" i="1"/>
  <c r="E1188" i="1"/>
  <c r="A1187" i="1"/>
  <c r="Q1185" i="1"/>
  <c r="L1184" i="1"/>
  <c r="F1183" i="1"/>
  <c r="A1182" i="1"/>
  <c r="R1180" i="1"/>
  <c r="L1179" i="1"/>
  <c r="H1178" i="1"/>
  <c r="D1177" i="1"/>
  <c r="U1175" i="1"/>
  <c r="L1174" i="1"/>
  <c r="F1173" i="1"/>
  <c r="C1172" i="1"/>
  <c r="AA1170" i="1"/>
  <c r="P1169" i="1"/>
  <c r="I1168" i="1"/>
  <c r="D1167" i="1"/>
  <c r="R1165" i="1"/>
  <c r="K1164" i="1"/>
  <c r="G1163" i="1"/>
  <c r="A1162" i="1"/>
  <c r="P1160" i="1"/>
  <c r="K1159" i="1"/>
  <c r="G1158" i="1"/>
  <c r="C1157" i="1"/>
  <c r="U1155" i="1"/>
  <c r="L1154" i="1"/>
  <c r="I1623" i="1"/>
  <c r="P1589" i="1"/>
  <c r="AA1570" i="1"/>
  <c r="C1553" i="1"/>
  <c r="C1530" i="1"/>
  <c r="AA1518" i="1"/>
  <c r="B1510" i="1"/>
  <c r="N1499" i="1"/>
  <c r="N1489" i="1"/>
  <c r="H1480" i="1"/>
  <c r="B1472" i="1"/>
  <c r="E1463" i="1"/>
  <c r="D1455" i="1"/>
  <c r="B1448" i="1"/>
  <c r="N1439" i="1"/>
  <c r="B1432" i="1"/>
  <c r="R1424" i="1"/>
  <c r="O1418" i="1"/>
  <c r="G1413" i="1"/>
  <c r="E1405" i="1"/>
  <c r="P1398" i="1"/>
  <c r="O1394" i="1"/>
  <c r="G1390" i="1"/>
  <c r="H1386" i="1"/>
  <c r="G1382" i="1"/>
  <c r="A1378" i="1"/>
  <c r="AA1373" i="1"/>
  <c r="I1369" i="1"/>
  <c r="V1365" i="1"/>
  <c r="J1363" i="1"/>
  <c r="E1359" i="1"/>
  <c r="O1354" i="1"/>
  <c r="H1350" i="1"/>
  <c r="H1346" i="1"/>
  <c r="L1342" i="1"/>
  <c r="P1339" i="1"/>
  <c r="U1335" i="1"/>
  <c r="G1332" i="1"/>
  <c r="H1328" i="1"/>
  <c r="R1324" i="1"/>
  <c r="N1321" i="1"/>
  <c r="U1317" i="1"/>
  <c r="F1314" i="1"/>
  <c r="K1310" i="1"/>
  <c r="A1307" i="1"/>
  <c r="N1303" i="1"/>
  <c r="N1300" i="1"/>
  <c r="G1297" i="1"/>
  <c r="I1294" i="1"/>
  <c r="N1291" i="1"/>
  <c r="C1289" i="1"/>
  <c r="AA1286" i="1"/>
  <c r="F1284" i="1"/>
  <c r="K1281" i="1"/>
  <c r="F1279" i="1"/>
  <c r="G1277" i="1"/>
  <c r="R1274" i="1"/>
  <c r="H1272" i="1"/>
  <c r="H1270" i="1"/>
  <c r="B1268" i="1"/>
  <c r="N1265" i="1"/>
  <c r="R1263" i="1"/>
  <c r="I1261" i="1"/>
  <c r="D1259" i="1"/>
  <c r="G1257" i="1"/>
  <c r="B1255" i="1"/>
  <c r="P1252" i="1"/>
  <c r="R1250" i="1"/>
  <c r="J1248" i="1"/>
  <c r="E1246" i="1"/>
  <c r="F1244" i="1"/>
  <c r="U1241" i="1"/>
  <c r="P1239" i="1"/>
  <c r="AA1237" i="1"/>
  <c r="I1235" i="1"/>
  <c r="D1233" i="1"/>
  <c r="H1231" i="1"/>
  <c r="B1229" i="1"/>
  <c r="P1226" i="1"/>
  <c r="R1224" i="1"/>
  <c r="J1222" i="1"/>
  <c r="D1220" i="1"/>
  <c r="E1218" i="1"/>
  <c r="U1215" i="1"/>
  <c r="AA1213" i="1"/>
  <c r="M1211" i="1"/>
  <c r="I1209" i="1"/>
  <c r="K1207" i="1"/>
  <c r="C1206" i="1"/>
  <c r="J1204" i="1"/>
  <c r="A1203" i="1"/>
  <c r="I1201" i="1"/>
  <c r="A1200" i="1"/>
  <c r="P1198" i="1"/>
  <c r="E1197" i="1"/>
  <c r="U1195" i="1"/>
  <c r="L1194" i="1"/>
  <c r="G1193" i="1"/>
  <c r="B1192" i="1"/>
  <c r="M1190" i="1"/>
  <c r="H1189" i="1"/>
  <c r="D1188" i="1"/>
  <c r="AA1186" i="1"/>
  <c r="P1185" i="1"/>
  <c r="K1184" i="1"/>
  <c r="E1183" i="1"/>
  <c r="AA1181" i="1"/>
  <c r="Q1180" i="1"/>
  <c r="K1179" i="1"/>
  <c r="G1178" i="1"/>
  <c r="C1177" i="1"/>
  <c r="R1175" i="1"/>
  <c r="K1174" i="1"/>
  <c r="E1173" i="1"/>
  <c r="B1172" i="1"/>
  <c r="U1170" i="1"/>
  <c r="L1169" i="1"/>
  <c r="G1168" i="1"/>
  <c r="C1167" i="1"/>
  <c r="Q1165" i="1"/>
  <c r="J1164" i="1"/>
  <c r="F1163" i="1"/>
  <c r="AA1161" i="1"/>
  <c r="N1160" i="1"/>
  <c r="G1623" i="1"/>
  <c r="L1589" i="1"/>
  <c r="R1570" i="1"/>
  <c r="A1549" i="1"/>
  <c r="M1529" i="1"/>
  <c r="Z1518" i="1"/>
  <c r="A1510" i="1"/>
  <c r="G1499" i="1"/>
  <c r="L1489" i="1"/>
  <c r="G1480" i="1"/>
  <c r="E1471" i="1"/>
  <c r="D1463" i="1"/>
  <c r="Q1454" i="1"/>
  <c r="M1447" i="1"/>
  <c r="L1439" i="1"/>
  <c r="A1432" i="1"/>
  <c r="P1424" i="1"/>
  <c r="N1418" i="1"/>
  <c r="L1412" i="1"/>
  <c r="D1405" i="1"/>
  <c r="N1398" i="1"/>
  <c r="N1394" i="1"/>
  <c r="E1390" i="1"/>
  <c r="C1386" i="1"/>
  <c r="E1382" i="1"/>
  <c r="AA1377" i="1"/>
  <c r="L1373" i="1"/>
  <c r="H1369" i="1"/>
  <c r="U1365" i="1"/>
  <c r="N1362" i="1"/>
  <c r="D1359" i="1"/>
  <c r="H1354" i="1"/>
  <c r="G1350" i="1"/>
  <c r="E1346" i="1"/>
  <c r="E1342" i="1"/>
  <c r="I1339" i="1"/>
  <c r="R1335" i="1"/>
  <c r="F1332" i="1"/>
  <c r="G1328" i="1"/>
  <c r="Q1324" i="1"/>
  <c r="C1321" i="1"/>
  <c r="R1317" i="1"/>
  <c r="D1314" i="1"/>
  <c r="J1310" i="1"/>
  <c r="U1306" i="1"/>
  <c r="I1303" i="1"/>
  <c r="L1300" i="1"/>
  <c r="F1297" i="1"/>
  <c r="G1294" i="1"/>
  <c r="L1291" i="1"/>
  <c r="A1289" i="1"/>
  <c r="K1286" i="1"/>
  <c r="D1284" i="1"/>
  <c r="J1281" i="1"/>
  <c r="C1279" i="1"/>
  <c r="U1276" i="1"/>
  <c r="Q1274" i="1"/>
  <c r="F1272" i="1"/>
  <c r="A1270" i="1"/>
  <c r="AA1267" i="1"/>
  <c r="K1265" i="1"/>
  <c r="H1263" i="1"/>
  <c r="H1261" i="1"/>
  <c r="A1259" i="1"/>
  <c r="AA1256" i="1"/>
  <c r="AA1254" i="1"/>
  <c r="L1252" i="1"/>
  <c r="I1250" i="1"/>
  <c r="I1248" i="1"/>
  <c r="B1246" i="1"/>
  <c r="AA1243" i="1"/>
  <c r="R1241" i="1"/>
  <c r="M1239" i="1"/>
  <c r="L1237" i="1"/>
  <c r="H1235" i="1"/>
  <c r="B1233" i="1"/>
  <c r="A1231" i="1"/>
  <c r="AA1228" i="1"/>
  <c r="L1226" i="1"/>
  <c r="I1224" i="1"/>
  <c r="I1222" i="1"/>
  <c r="A1220" i="1"/>
  <c r="D1218" i="1"/>
  <c r="R1215" i="1"/>
  <c r="N1213" i="1"/>
  <c r="L1211" i="1"/>
  <c r="G1209" i="1"/>
  <c r="J1207" i="1"/>
  <c r="B1206" i="1"/>
  <c r="I1204" i="1"/>
  <c r="AA1202" i="1"/>
  <c r="H1201" i="1"/>
  <c r="AA1199" i="1"/>
  <c r="I1198" i="1"/>
  <c r="C1197" i="1"/>
  <c r="R1195" i="1"/>
  <c r="K1194" i="1"/>
  <c r="F1193" i="1"/>
  <c r="A1192" i="1"/>
  <c r="L1190" i="1"/>
  <c r="G1189" i="1"/>
  <c r="C1188" i="1"/>
  <c r="U1186" i="1"/>
  <c r="N1185" i="1"/>
  <c r="J1184" i="1"/>
  <c r="D1183" i="1"/>
  <c r="X1181" i="1"/>
  <c r="P1180" i="1"/>
  <c r="J1179" i="1"/>
  <c r="F1178" i="1"/>
  <c r="AA1176" i="1"/>
  <c r="P1175" i="1"/>
  <c r="J1174" i="1"/>
  <c r="D1173" i="1"/>
  <c r="A1172" i="1"/>
  <c r="R1170" i="1"/>
  <c r="K1169" i="1"/>
  <c r="F1168" i="1"/>
  <c r="B1167" i="1"/>
  <c r="P1165" i="1"/>
  <c r="I1164" i="1"/>
  <c r="E1163" i="1"/>
  <c r="U1161" i="1"/>
  <c r="M1160" i="1"/>
  <c r="I1159" i="1"/>
  <c r="E1158" i="1"/>
  <c r="A1157" i="1"/>
  <c r="N1155" i="1"/>
  <c r="I1154" i="1"/>
  <c r="E1153" i="1"/>
  <c r="A1152" i="1"/>
  <c r="Q1150" i="1"/>
  <c r="H1149" i="1"/>
  <c r="AA1147" i="1"/>
  <c r="K1146" i="1"/>
  <c r="G1145" i="1"/>
  <c r="C1144" i="1"/>
  <c r="U1142" i="1"/>
  <c r="N1141" i="1"/>
  <c r="H1140" i="1"/>
  <c r="C1139" i="1"/>
  <c r="U1137" i="1"/>
  <c r="N1136" i="1"/>
  <c r="F1135" i="1"/>
  <c r="AA1133" i="1"/>
  <c r="N1132" i="1"/>
  <c r="J1131" i="1"/>
  <c r="F1130" i="1"/>
  <c r="B1129" i="1"/>
  <c r="P1127" i="1"/>
  <c r="G1126" i="1"/>
  <c r="A1125" i="1"/>
  <c r="N1123" i="1"/>
  <c r="H1122" i="1"/>
  <c r="A1121" i="1"/>
  <c r="N1119" i="1"/>
  <c r="J1118" i="1"/>
  <c r="G1117" i="1"/>
  <c r="D1116" i="1"/>
  <c r="A1115" i="1"/>
  <c r="R1113" i="1"/>
  <c r="N1112" i="1"/>
  <c r="J1111" i="1"/>
  <c r="G1110" i="1"/>
  <c r="C1109" i="1"/>
  <c r="AA1107" i="1"/>
  <c r="R1106" i="1"/>
  <c r="O1105" i="1"/>
  <c r="L1104" i="1"/>
  <c r="G1103" i="1"/>
  <c r="D1102" i="1"/>
  <c r="C1101" i="1"/>
  <c r="B1100" i="1"/>
  <c r="F1623" i="1"/>
  <c r="K1589" i="1"/>
  <c r="G1570" i="1"/>
  <c r="O1546" i="1"/>
  <c r="I1529" i="1"/>
  <c r="W1518" i="1"/>
  <c r="R1509" i="1"/>
  <c r="I1496" i="1"/>
  <c r="L1487" i="1"/>
  <c r="R1477" i="1"/>
  <c r="H1469" i="1"/>
  <c r="N1460" i="1"/>
  <c r="E1453" i="1"/>
  <c r="I1446" i="1"/>
  <c r="G1439" i="1"/>
  <c r="H1431" i="1"/>
  <c r="O1424" i="1"/>
  <c r="K1418" i="1"/>
  <c r="E1411" i="1"/>
  <c r="L1404" i="1"/>
  <c r="M1398" i="1"/>
  <c r="M1394" i="1"/>
  <c r="C1390" i="1"/>
  <c r="B1386" i="1"/>
  <c r="Q1381" i="1"/>
  <c r="R1377" i="1"/>
  <c r="G1373" i="1"/>
  <c r="G1369" i="1"/>
  <c r="O1365" i="1"/>
  <c r="F1362" i="1"/>
  <c r="R1358" i="1"/>
  <c r="G1354" i="1"/>
  <c r="F1350" i="1"/>
  <c r="D1346" i="1"/>
  <c r="D1342" i="1"/>
  <c r="U1338" i="1"/>
  <c r="Q1335" i="1"/>
  <c r="C1332" i="1"/>
  <c r="F1328" i="1"/>
  <c r="N1324" i="1"/>
  <c r="U1320" i="1"/>
  <c r="Q1317" i="1"/>
  <c r="C1314" i="1"/>
  <c r="I1310" i="1"/>
  <c r="R1306" i="1"/>
  <c r="H1303" i="1"/>
  <c r="E1300" i="1"/>
  <c r="C1297" i="1"/>
  <c r="F1294" i="1"/>
  <c r="K1291" i="1"/>
  <c r="U1288" i="1"/>
  <c r="F1286" i="1"/>
  <c r="C1284" i="1"/>
  <c r="H1281" i="1"/>
  <c r="B1279" i="1"/>
  <c r="O1276" i="1"/>
  <c r="O1274" i="1"/>
  <c r="D1272" i="1"/>
  <c r="Q1269" i="1"/>
  <c r="U1267" i="1"/>
  <c r="J1265" i="1"/>
  <c r="E1263" i="1"/>
  <c r="G1261" i="1"/>
  <c r="AA1258" i="1"/>
  <c r="P1256" i="1"/>
  <c r="U1254" i="1"/>
  <c r="K1252" i="1"/>
  <c r="E1250" i="1"/>
  <c r="H1248" i="1"/>
  <c r="A1246" i="1"/>
  <c r="P1243" i="1"/>
  <c r="Q1241" i="1"/>
  <c r="L1239" i="1"/>
  <c r="F1237" i="1"/>
  <c r="G1235" i="1"/>
  <c r="A1233" i="1"/>
  <c r="R1230" i="1"/>
  <c r="U1228" i="1"/>
  <c r="K1226" i="1"/>
  <c r="F1224" i="1"/>
  <c r="H1222" i="1"/>
  <c r="AA1219" i="1"/>
  <c r="R1217" i="1"/>
  <c r="Q1215" i="1"/>
  <c r="L1213" i="1"/>
  <c r="I1211" i="1"/>
  <c r="D1209" i="1"/>
  <c r="I1207" i="1"/>
  <c r="R1205" i="1"/>
  <c r="G1204" i="1"/>
  <c r="U1202" i="1"/>
  <c r="G1201" i="1"/>
  <c r="U1199" i="1"/>
  <c r="H1198" i="1"/>
  <c r="B1197" i="1"/>
  <c r="Q1195" i="1"/>
  <c r="J1194" i="1"/>
  <c r="E1193" i="1"/>
  <c r="AA1191" i="1"/>
  <c r="K1190" i="1"/>
  <c r="F1189" i="1"/>
  <c r="B1188" i="1"/>
  <c r="R1186" i="1"/>
  <c r="M1185" i="1"/>
  <c r="G1184" i="1"/>
  <c r="B1183" i="1"/>
  <c r="U1181" i="1"/>
  <c r="N1180" i="1"/>
  <c r="I1179" i="1"/>
  <c r="E1178" i="1"/>
  <c r="X1176" i="1"/>
  <c r="N1175" i="1"/>
  <c r="I1174" i="1"/>
  <c r="C1173" i="1"/>
  <c r="AA1171" i="1"/>
  <c r="Q1170" i="1"/>
  <c r="J1169" i="1"/>
  <c r="E1168" i="1"/>
  <c r="A1167" i="1"/>
  <c r="N1165" i="1"/>
  <c r="H1164" i="1"/>
  <c r="B1163" i="1"/>
  <c r="Q1161" i="1"/>
  <c r="L1160" i="1"/>
  <c r="H1159" i="1"/>
  <c r="D1158" i="1"/>
  <c r="AA1156" i="1"/>
  <c r="M1155" i="1"/>
  <c r="H1154" i="1"/>
  <c r="D1153" i="1"/>
  <c r="AA1151" i="1"/>
  <c r="P1150" i="1"/>
  <c r="G1149" i="1"/>
  <c r="U1147" i="1"/>
  <c r="J1146" i="1"/>
  <c r="F1145" i="1"/>
  <c r="B1144" i="1"/>
  <c r="R1142" i="1"/>
  <c r="K1141" i="1"/>
  <c r="F1140" i="1"/>
  <c r="B1139" i="1"/>
  <c r="R1137" i="1"/>
  <c r="M1136" i="1"/>
  <c r="E1135" i="1"/>
  <c r="U1133" i="1"/>
  <c r="M1132" i="1"/>
  <c r="I1131" i="1"/>
  <c r="E1130" i="1"/>
  <c r="A1129" i="1"/>
  <c r="N1127" i="1"/>
  <c r="F1126" i="1"/>
  <c r="AA1124" i="1"/>
  <c r="M1123" i="1"/>
  <c r="G1122" i="1"/>
  <c r="AA1120" i="1"/>
  <c r="L1119" i="1"/>
  <c r="I1118" i="1"/>
  <c r="F1117" i="1"/>
  <c r="C1116" i="1"/>
  <c r="AA1114" i="1"/>
  <c r="Q1113" i="1"/>
  <c r="L1112" i="1"/>
  <c r="I1111" i="1"/>
  <c r="E1110" i="1"/>
  <c r="B1109" i="1"/>
  <c r="U1107" i="1"/>
  <c r="Q1106" i="1"/>
  <c r="N1105" i="1"/>
  <c r="I1104" i="1"/>
  <c r="F1103" i="1"/>
  <c r="C1102" i="1"/>
  <c r="B1101" i="1"/>
  <c r="A1100" i="1"/>
  <c r="U1098" i="1"/>
  <c r="Q1097" i="1"/>
  <c r="N1096" i="1"/>
  <c r="E1623" i="1"/>
  <c r="C1588" i="1"/>
  <c r="B1566" i="1"/>
  <c r="L1546" i="1"/>
  <c r="H1529" i="1"/>
  <c r="L1518" i="1"/>
  <c r="P1509" i="1"/>
  <c r="H1496" i="1"/>
  <c r="E1487" i="1"/>
  <c r="P1477" i="1"/>
  <c r="A1469" i="1"/>
  <c r="K1460" i="1"/>
  <c r="C1453" i="1"/>
  <c r="D1446" i="1"/>
  <c r="F1439" i="1"/>
  <c r="C1431" i="1"/>
  <c r="N1424" i="1"/>
  <c r="R1417" i="1"/>
  <c r="A1411" i="1"/>
  <c r="I1403" i="1"/>
  <c r="L1398" i="1"/>
  <c r="F1394" i="1"/>
  <c r="B1390" i="1"/>
  <c r="R1385" i="1"/>
  <c r="B1381" i="1"/>
  <c r="J1377" i="1"/>
  <c r="F1373" i="1"/>
  <c r="F1369" i="1"/>
  <c r="N1365" i="1"/>
  <c r="E1362" i="1"/>
  <c r="D1358" i="1"/>
  <c r="F1354" i="1"/>
  <c r="D1350" i="1"/>
  <c r="C1346" i="1"/>
  <c r="B1342" i="1"/>
  <c r="N1338" i="1"/>
  <c r="P1335" i="1"/>
  <c r="B1332" i="1"/>
  <c r="E1328" i="1"/>
  <c r="L1324" i="1"/>
  <c r="R1320" i="1"/>
  <c r="H1317" i="1"/>
  <c r="B1314" i="1"/>
  <c r="H1310" i="1"/>
  <c r="Q1306" i="1"/>
  <c r="R1302" i="1"/>
  <c r="O1299" i="1"/>
  <c r="B1297" i="1"/>
  <c r="E1294" i="1"/>
  <c r="H1291" i="1"/>
  <c r="R1288" i="1"/>
  <c r="E1286" i="1"/>
  <c r="O1283" i="1"/>
  <c r="G1281" i="1"/>
  <c r="A1279" i="1"/>
  <c r="N1276" i="1"/>
  <c r="N1274" i="1"/>
  <c r="C1272" i="1"/>
  <c r="P1269" i="1"/>
  <c r="R1267" i="1"/>
  <c r="I1265" i="1"/>
  <c r="C1263" i="1"/>
  <c r="E1261" i="1"/>
  <c r="U1258" i="1"/>
  <c r="N1256" i="1"/>
  <c r="R1254" i="1"/>
  <c r="I1252" i="1"/>
  <c r="D1250" i="1"/>
  <c r="F1248" i="1"/>
  <c r="AA1245" i="1"/>
  <c r="N1243" i="1"/>
  <c r="P1241" i="1"/>
  <c r="J1239" i="1"/>
  <c r="E1237" i="1"/>
  <c r="F1235" i="1"/>
  <c r="AA1232" i="1"/>
  <c r="Q1230" i="1"/>
  <c r="R1228" i="1"/>
  <c r="J1226" i="1"/>
  <c r="E1224" i="1"/>
  <c r="F1222" i="1"/>
  <c r="U1219" i="1"/>
  <c r="Q1217" i="1"/>
  <c r="N1215" i="1"/>
  <c r="G1213" i="1"/>
  <c r="H1211" i="1"/>
  <c r="C1209" i="1"/>
  <c r="H1207" i="1"/>
  <c r="Q1205" i="1"/>
  <c r="F1204" i="1"/>
  <c r="R1202" i="1"/>
  <c r="E1201" i="1"/>
  <c r="R1199" i="1"/>
  <c r="G1198" i="1"/>
  <c r="A1197" i="1"/>
  <c r="P1195" i="1"/>
  <c r="I1194" i="1"/>
  <c r="D1193" i="1"/>
  <c r="N1191" i="1"/>
  <c r="I1190" i="1"/>
  <c r="E1189" i="1"/>
  <c r="A1188" i="1"/>
  <c r="Q1186" i="1"/>
  <c r="L1185" i="1"/>
  <c r="F1184" i="1"/>
  <c r="A1183" i="1"/>
  <c r="R1181" i="1"/>
  <c r="L1180" i="1"/>
  <c r="H1179" i="1"/>
  <c r="D1178" i="1"/>
  <c r="U1176" i="1"/>
  <c r="L1175" i="1"/>
  <c r="H1174" i="1"/>
  <c r="B1173" i="1"/>
  <c r="V1171" i="1"/>
  <c r="M1170" i="1"/>
  <c r="H1169" i="1"/>
  <c r="D1168" i="1"/>
  <c r="AA1166" i="1"/>
  <c r="M1165" i="1"/>
  <c r="G1164" i="1"/>
  <c r="A1163" i="1"/>
  <c r="P1161" i="1"/>
  <c r="K1160" i="1"/>
  <c r="K1620" i="1"/>
  <c r="B1581" i="1"/>
  <c r="I1563" i="1"/>
  <c r="R1545" i="1"/>
  <c r="E1528" i="1"/>
  <c r="H1516" i="1"/>
  <c r="AA1505" i="1"/>
  <c r="I1495" i="1"/>
  <c r="I1485" i="1"/>
  <c r="J1477" i="1"/>
  <c r="C1468" i="1"/>
  <c r="I1459" i="1"/>
  <c r="N1452" i="1"/>
  <c r="R1444" i="1"/>
  <c r="D1437" i="1"/>
  <c r="AA1429" i="1"/>
  <c r="D1424" i="1"/>
  <c r="H1417" i="1"/>
  <c r="I1410" i="1"/>
  <c r="D1402" i="1"/>
  <c r="E1397" i="1"/>
  <c r="Q1393" i="1"/>
  <c r="X1389" i="1"/>
  <c r="C1385" i="1"/>
  <c r="L1380" i="1"/>
  <c r="J1376" i="1"/>
  <c r="O1372" i="1"/>
  <c r="B1369" i="1"/>
  <c r="K1365" i="1"/>
  <c r="AA1361" i="1"/>
  <c r="D1357" i="1"/>
  <c r="D1353" i="1"/>
  <c r="A1350" i="1"/>
  <c r="AA1345" i="1"/>
  <c r="M1341" i="1"/>
  <c r="B1338" i="1"/>
  <c r="O1334" i="1"/>
  <c r="C1331" i="1"/>
  <c r="B1328" i="1"/>
  <c r="U1323" i="1"/>
  <c r="D1320" i="1"/>
  <c r="J1316" i="1"/>
  <c r="AA1312" i="1"/>
  <c r="A1310" i="1"/>
  <c r="E1306" i="1"/>
  <c r="N1302" i="1"/>
  <c r="H1299" i="1"/>
  <c r="G1296" i="1"/>
  <c r="L1293" i="1"/>
  <c r="D1291" i="1"/>
  <c r="L1288" i="1"/>
  <c r="A1286" i="1"/>
  <c r="D1283" i="1"/>
  <c r="O1280" i="1"/>
  <c r="R1278" i="1"/>
  <c r="G1276" i="1"/>
  <c r="AA1273" i="1"/>
  <c r="AA1271" i="1"/>
  <c r="K1269" i="1"/>
  <c r="D1267" i="1"/>
  <c r="E1265" i="1"/>
  <c r="U1262" i="1"/>
  <c r="M1260" i="1"/>
  <c r="N1258" i="1"/>
  <c r="I1256" i="1"/>
  <c r="D1254" i="1"/>
  <c r="F1252" i="1"/>
  <c r="U1249" i="1"/>
  <c r="L1247" i="1"/>
  <c r="P1245" i="1"/>
  <c r="H1243" i="1"/>
  <c r="C1241" i="1"/>
  <c r="G1239" i="1"/>
  <c r="AA1236" i="1"/>
  <c r="L1234" i="1"/>
  <c r="P1232" i="1"/>
  <c r="J1230" i="1"/>
  <c r="D1228" i="1"/>
  <c r="G1226" i="1"/>
  <c r="AA1223" i="1"/>
  <c r="N1221" i="1"/>
  <c r="P1219" i="1"/>
  <c r="H1217" i="1"/>
  <c r="I1215" i="1"/>
  <c r="B1213" i="1"/>
  <c r="D1211" i="1"/>
  <c r="R1208" i="1"/>
  <c r="E1207" i="1"/>
  <c r="J1205" i="1"/>
  <c r="C1204" i="1"/>
  <c r="N1202" i="1"/>
  <c r="B1201" i="1"/>
  <c r="K1199" i="1"/>
  <c r="C1198" i="1"/>
  <c r="R1196" i="1"/>
  <c r="K1195" i="1"/>
  <c r="F1194" i="1"/>
  <c r="U1192" i="1"/>
  <c r="J1191" i="1"/>
  <c r="F1190" i="1"/>
  <c r="B1189" i="1"/>
  <c r="R1187" i="1"/>
  <c r="M1186" i="1"/>
  <c r="G1185" i="1"/>
  <c r="B1184" i="1"/>
  <c r="U1182" i="1"/>
  <c r="N1181" i="1"/>
  <c r="I1180" i="1"/>
  <c r="E1179" i="1"/>
  <c r="X1177" i="1"/>
  <c r="N1176" i="1"/>
  <c r="I1175" i="1"/>
  <c r="E1174" i="1"/>
  <c r="V1172" i="1"/>
  <c r="N1171" i="1"/>
  <c r="I1170" i="1"/>
  <c r="E1169" i="1"/>
  <c r="A1168" i="1"/>
  <c r="Q1166" i="1"/>
  <c r="H1165" i="1"/>
  <c r="B1164" i="1"/>
  <c r="Q1162" i="1"/>
  <c r="L1161" i="1"/>
  <c r="H1160" i="1"/>
  <c r="D1159" i="1"/>
  <c r="AA1157" i="1"/>
  <c r="M1156" i="1"/>
  <c r="H1155" i="1"/>
  <c r="D1154" i="1"/>
  <c r="AA1152" i="1"/>
  <c r="P1151" i="1"/>
  <c r="G1150" i="1"/>
  <c r="AA1148" i="1"/>
  <c r="L1147" i="1"/>
  <c r="F1146" i="1"/>
  <c r="B1145" i="1"/>
  <c r="R1143" i="1"/>
  <c r="K1142" i="1"/>
  <c r="F1141" i="1"/>
  <c r="B1140" i="1"/>
  <c r="R1138" i="1"/>
  <c r="M1137" i="1"/>
  <c r="G1136" i="1"/>
  <c r="U1134" i="1"/>
  <c r="M1133" i="1"/>
  <c r="I1132" i="1"/>
  <c r="E1131" i="1"/>
  <c r="A1130" i="1"/>
  <c r="N1128" i="1"/>
  <c r="F1127" i="1"/>
  <c r="A1126" i="1"/>
  <c r="N1124" i="1"/>
  <c r="I1123" i="1"/>
  <c r="C1122" i="1"/>
  <c r="N1120" i="1"/>
  <c r="H1119" i="1"/>
  <c r="E1118" i="1"/>
  <c r="B1117" i="1"/>
  <c r="U1115" i="1"/>
  <c r="N1114" i="1"/>
  <c r="J1113" i="1"/>
  <c r="G1112" i="1"/>
  <c r="D1111" i="1"/>
  <c r="A1110" i="1"/>
  <c r="R1108" i="1"/>
  <c r="N1107" i="1"/>
  <c r="K1106" i="1"/>
  <c r="H1105" i="1"/>
  <c r="E1104" i="1"/>
  <c r="B1103" i="1"/>
  <c r="U1101" i="1"/>
  <c r="R1100" i="1"/>
  <c r="Q1099" i="1"/>
  <c r="N1098" i="1"/>
  <c r="K1097" i="1"/>
  <c r="I1096" i="1"/>
  <c r="G1095" i="1"/>
  <c r="C1094" i="1"/>
  <c r="U1092" i="1"/>
  <c r="H1091" i="1"/>
  <c r="E1090" i="1"/>
  <c r="B1089" i="1"/>
  <c r="U1087" i="1"/>
  <c r="N1086" i="1"/>
  <c r="L1085" i="1"/>
  <c r="J1084" i="1"/>
  <c r="H1083" i="1"/>
  <c r="G1082" i="1"/>
  <c r="G1081" i="1"/>
  <c r="O1637" i="1"/>
  <c r="H1603" i="1"/>
  <c r="N1574" i="1"/>
  <c r="R1554" i="1"/>
  <c r="K1537" i="1"/>
  <c r="U1522" i="1"/>
  <c r="L1514" i="1"/>
  <c r="D1501" i="1"/>
  <c r="P1490" i="1"/>
  <c r="D1482" i="1"/>
  <c r="G1473" i="1"/>
  <c r="AA1463" i="1"/>
  <c r="K1456" i="1"/>
  <c r="A1449" i="1"/>
  <c r="AA1441" i="1"/>
  <c r="L1434" i="1"/>
  <c r="F1427" i="1"/>
  <c r="AA1420" i="1"/>
  <c r="R1414" i="1"/>
  <c r="H1406" i="1"/>
  <c r="B1400" i="1"/>
  <c r="C1396" i="1"/>
  <c r="D1392" i="1"/>
  <c r="Q1387" i="1"/>
  <c r="G1383" i="1"/>
  <c r="J1378" i="1"/>
  <c r="H1375" i="1"/>
  <c r="I1371" i="1"/>
  <c r="G1367" i="1"/>
  <c r="R1363" i="1"/>
  <c r="Q1359" i="1"/>
  <c r="Q1355" i="1"/>
  <c r="I1352" i="1"/>
  <c r="R1347" i="1"/>
  <c r="Q1343" i="1"/>
  <c r="B1340" i="1"/>
  <c r="N1336" i="1"/>
  <c r="T1333" i="1"/>
  <c r="AA1329" i="1"/>
  <c r="D1326" i="1"/>
  <c r="F1322" i="1"/>
  <c r="O1318" i="1"/>
  <c r="F1315" i="1"/>
  <c r="A1312" i="1"/>
  <c r="F1308" i="1"/>
  <c r="O1304" i="1"/>
  <c r="G1301" i="1"/>
  <c r="AA1297" i="1"/>
  <c r="J1295" i="1"/>
  <c r="Q1292" i="1"/>
  <c r="A1290" i="1"/>
  <c r="F1287" i="1"/>
  <c r="R1284" i="1"/>
  <c r="E1282" i="1"/>
  <c r="C1280" i="1"/>
  <c r="Q1277" i="1"/>
  <c r="G1275" i="1"/>
  <c r="F1273" i="1"/>
  <c r="P1270" i="1"/>
  <c r="L1268" i="1"/>
  <c r="K1266" i="1"/>
  <c r="D1264" i="1"/>
  <c r="U1261" i="1"/>
  <c r="A1260" i="1"/>
  <c r="N1257" i="1"/>
  <c r="I1255" i="1"/>
  <c r="K1253" i="1"/>
  <c r="E1251" i="1"/>
  <c r="AA1248" i="1"/>
  <c r="B1247" i="1"/>
  <c r="N1244" i="1"/>
  <c r="G1242" i="1"/>
  <c r="K1240" i="1"/>
  <c r="G1238" i="1"/>
  <c r="AA1235" i="1"/>
  <c r="B1234" i="1"/>
  <c r="P1231" i="1"/>
  <c r="J1229" i="1"/>
  <c r="L1227" i="1"/>
  <c r="F1225" i="1"/>
  <c r="A1223" i="1"/>
  <c r="B1221" i="1"/>
  <c r="N1218" i="1"/>
  <c r="Q1216" i="1"/>
  <c r="G1214" i="1"/>
  <c r="E1212" i="1"/>
  <c r="D1210" i="1"/>
  <c r="B1208" i="1"/>
  <c r="I1206" i="1"/>
  <c r="A1205" i="1"/>
  <c r="L1203" i="1"/>
  <c r="U1201" i="1"/>
  <c r="G1200" i="1"/>
  <c r="B1199" i="1"/>
  <c r="N1197" i="1"/>
  <c r="H1196" i="1"/>
  <c r="A1195" i="1"/>
  <c r="N1193" i="1"/>
  <c r="H1192" i="1"/>
  <c r="B1191" i="1"/>
  <c r="R1189" i="1"/>
  <c r="K1188" i="1"/>
  <c r="F1187" i="1"/>
  <c r="B1186" i="1"/>
  <c r="R1184" i="1"/>
  <c r="N1183" i="1"/>
  <c r="I1182" i="1"/>
  <c r="C1181" i="1"/>
  <c r="U1179" i="1"/>
  <c r="N1178" i="1"/>
  <c r="I1177" i="1"/>
  <c r="E1176" i="1"/>
  <c r="A1175" i="1"/>
  <c r="N1173" i="1"/>
  <c r="H1172" i="1"/>
  <c r="E1171" i="1"/>
  <c r="A1170" i="1"/>
  <c r="Q1168" i="1"/>
  <c r="J1167" i="1"/>
  <c r="C1166" i="1"/>
  <c r="Q1164" i="1"/>
  <c r="L1163" i="1"/>
  <c r="H1162" i="1"/>
  <c r="D1161" i="1"/>
  <c r="R1159" i="1"/>
  <c r="L1158" i="1"/>
  <c r="H1157" i="1"/>
  <c r="D1156" i="1"/>
  <c r="AA1154" i="1"/>
  <c r="P1153" i="1"/>
  <c r="E1580" i="1"/>
  <c r="AA1537" i="1"/>
  <c r="AA1514" i="1"/>
  <c r="P1485" i="1"/>
  <c r="A1468" i="1"/>
  <c r="H1451" i="1"/>
  <c r="H1435" i="1"/>
  <c r="K1417" i="1"/>
  <c r="C1402" i="1"/>
  <c r="M1392" i="1"/>
  <c r="AA1383" i="1"/>
  <c r="I1375" i="1"/>
  <c r="L1365" i="1"/>
  <c r="B1357" i="1"/>
  <c r="N1348" i="1"/>
  <c r="F1340" i="1"/>
  <c r="A1332" i="1"/>
  <c r="R1323" i="1"/>
  <c r="G1316" i="1"/>
  <c r="K1308" i="1"/>
  <c r="I1301" i="1"/>
  <c r="C1294" i="1"/>
  <c r="H1288" i="1"/>
  <c r="U1282" i="1"/>
  <c r="AA1277" i="1"/>
  <c r="B1272" i="1"/>
  <c r="B1267" i="1"/>
  <c r="P1262" i="1"/>
  <c r="U1257" i="1"/>
  <c r="N1253" i="1"/>
  <c r="R1247" i="1"/>
  <c r="E1243" i="1"/>
  <c r="M1238" i="1"/>
  <c r="D1234" i="1"/>
  <c r="Q1228" i="1"/>
  <c r="U1223" i="1"/>
  <c r="D1219" i="1"/>
  <c r="P1214" i="1"/>
  <c r="E1210" i="1"/>
  <c r="K1205" i="1"/>
  <c r="H1202" i="1"/>
  <c r="F1199" i="1"/>
  <c r="J1196" i="1"/>
  <c r="C1193" i="1"/>
  <c r="E1190" i="1"/>
  <c r="N1187" i="1"/>
  <c r="A1185" i="1"/>
  <c r="J1182" i="1"/>
  <c r="F1179" i="1"/>
  <c r="K1176" i="1"/>
  <c r="A1174" i="1"/>
  <c r="G1171" i="1"/>
  <c r="C1168" i="1"/>
  <c r="G1165" i="1"/>
  <c r="M1162" i="1"/>
  <c r="C1160" i="1"/>
  <c r="N1157" i="1"/>
  <c r="G1155" i="1"/>
  <c r="F1153" i="1"/>
  <c r="J1151" i="1"/>
  <c r="U1149" i="1"/>
  <c r="F1148" i="1"/>
  <c r="H1146" i="1"/>
  <c r="U1144" i="1"/>
  <c r="G1143" i="1"/>
  <c r="U1141" i="1"/>
  <c r="E1140" i="1"/>
  <c r="Q1138" i="1"/>
  <c r="G1137" i="1"/>
  <c r="Q1135" i="1"/>
  <c r="G1134" i="1"/>
  <c r="R1132" i="1"/>
  <c r="G1131" i="1"/>
  <c r="U1129" i="1"/>
  <c r="F1128" i="1"/>
  <c r="R1126" i="1"/>
  <c r="F1125" i="1"/>
  <c r="Q1123" i="1"/>
  <c r="D1122" i="1"/>
  <c r="H1120" i="1"/>
  <c r="A1119" i="1"/>
  <c r="N1117" i="1"/>
  <c r="G1116" i="1"/>
  <c r="U1114" i="1"/>
  <c r="I1113" i="1"/>
  <c r="C1112" i="1"/>
  <c r="Q1110" i="1"/>
  <c r="I1109" i="1"/>
  <c r="C1108" i="1"/>
  <c r="N1106" i="1"/>
  <c r="F1105" i="1"/>
  <c r="AA1103" i="1"/>
  <c r="M1102" i="1"/>
  <c r="G1101" i="1"/>
  <c r="C1100" i="1"/>
  <c r="Q1098" i="1"/>
  <c r="J1097" i="1"/>
  <c r="F1096" i="1"/>
  <c r="C1095" i="1"/>
  <c r="R1093" i="1"/>
  <c r="H1092" i="1"/>
  <c r="A1091" i="1"/>
  <c r="Q1089" i="1"/>
  <c r="L1088" i="1"/>
  <c r="F1087" i="1"/>
  <c r="C1086" i="1"/>
  <c r="AA1084" i="1"/>
  <c r="R1083" i="1"/>
  <c r="M1082" i="1"/>
  <c r="L1081" i="1"/>
  <c r="I1080" i="1"/>
  <c r="I1079" i="1"/>
  <c r="I1078" i="1"/>
  <c r="I1077" i="1"/>
  <c r="G1076" i="1"/>
  <c r="D1075" i="1"/>
  <c r="A1074" i="1"/>
  <c r="A1073" i="1"/>
  <c r="A1072" i="1"/>
  <c r="E1071" i="1"/>
  <c r="I1070" i="1"/>
  <c r="M1069" i="1"/>
  <c r="P1068" i="1"/>
  <c r="U1067" i="1"/>
  <c r="AA1066" i="1"/>
  <c r="D1066" i="1"/>
  <c r="H1065" i="1"/>
  <c r="M1064" i="1"/>
  <c r="R1063" i="1"/>
  <c r="Y1062" i="1"/>
  <c r="C1062" i="1"/>
  <c r="H1061" i="1"/>
  <c r="H1060" i="1"/>
  <c r="H1059" i="1"/>
  <c r="H1058" i="1"/>
  <c r="H1057" i="1"/>
  <c r="H1056" i="1"/>
  <c r="H1055" i="1"/>
  <c r="G1054" i="1"/>
  <c r="F1053" i="1"/>
  <c r="E1052" i="1"/>
  <c r="D1051" i="1"/>
  <c r="C1050" i="1"/>
  <c r="B1049" i="1"/>
  <c r="B1048" i="1"/>
  <c r="B1047" i="1"/>
  <c r="B1046" i="1"/>
  <c r="B1045" i="1"/>
  <c r="C1044" i="1"/>
  <c r="D1043" i="1"/>
  <c r="E1042" i="1"/>
  <c r="F1041" i="1"/>
  <c r="G1040" i="1"/>
  <c r="H1039" i="1"/>
  <c r="I1038" i="1"/>
  <c r="J1037" i="1"/>
  <c r="K1036" i="1"/>
  <c r="L1035" i="1"/>
  <c r="M1034" i="1"/>
  <c r="N1033" i="1"/>
  <c r="O1032" i="1"/>
  <c r="O1031" i="1"/>
  <c r="P1030" i="1"/>
  <c r="R1029" i="1"/>
  <c r="Q1028" i="1"/>
  <c r="Q1027" i="1"/>
  <c r="R1026" i="1"/>
  <c r="R1025" i="1"/>
  <c r="R1024" i="1"/>
  <c r="R1023" i="1"/>
  <c r="R1022" i="1"/>
  <c r="S1021" i="1"/>
  <c r="V1020" i="1"/>
  <c r="AA1019" i="1"/>
  <c r="AA1018" i="1"/>
  <c r="R1017" i="1"/>
  <c r="R1016" i="1"/>
  <c r="R1015" i="1"/>
  <c r="R1014" i="1"/>
  <c r="Q1013" i="1"/>
  <c r="N1012" i="1"/>
  <c r="N1011" i="1"/>
  <c r="N1010" i="1"/>
  <c r="N1009" i="1"/>
  <c r="L1008" i="1"/>
  <c r="L1007" i="1"/>
  <c r="K1006" i="1"/>
  <c r="I1005" i="1"/>
  <c r="G1004" i="1"/>
  <c r="G1003" i="1"/>
  <c r="C1580" i="1"/>
  <c r="O1537" i="1"/>
  <c r="P1506" i="1"/>
  <c r="H1485" i="1"/>
  <c r="P1467" i="1"/>
  <c r="G1451" i="1"/>
  <c r="R1434" i="1"/>
  <c r="I1417" i="1"/>
  <c r="A1402" i="1"/>
  <c r="H1392" i="1"/>
  <c r="N1383" i="1"/>
  <c r="E1373" i="1"/>
  <c r="J1365" i="1"/>
  <c r="A1357" i="1"/>
  <c r="L1348" i="1"/>
  <c r="E1340" i="1"/>
  <c r="AA1331" i="1"/>
  <c r="Q1323" i="1"/>
  <c r="F1316" i="1"/>
  <c r="J1308" i="1"/>
  <c r="K1299" i="1"/>
  <c r="G1293" i="1"/>
  <c r="G1288" i="1"/>
  <c r="R1282" i="1"/>
  <c r="R1277" i="1"/>
  <c r="A1272" i="1"/>
  <c r="A1267" i="1"/>
  <c r="M1262" i="1"/>
  <c r="R1257" i="1"/>
  <c r="H1252" i="1"/>
  <c r="K1247" i="1"/>
  <c r="D1243" i="1"/>
  <c r="L1238" i="1"/>
  <c r="C1234" i="1"/>
  <c r="H1228" i="1"/>
  <c r="R1223" i="1"/>
  <c r="C1219" i="1"/>
  <c r="N1214" i="1"/>
  <c r="B1209" i="1"/>
  <c r="H1205" i="1"/>
  <c r="G1202" i="1"/>
  <c r="E1199" i="1"/>
  <c r="I1196" i="1"/>
  <c r="B1193" i="1"/>
  <c r="D1190" i="1"/>
  <c r="M1187" i="1"/>
  <c r="AA1184" i="1"/>
  <c r="Q1181" i="1"/>
  <c r="B1179" i="1"/>
  <c r="J1176" i="1"/>
  <c r="AA1173" i="1"/>
  <c r="F1171" i="1"/>
  <c r="B1168" i="1"/>
  <c r="D1165" i="1"/>
  <c r="L1162" i="1"/>
  <c r="B1160" i="1"/>
  <c r="L1157" i="1"/>
  <c r="F1155" i="1"/>
  <c r="C1153" i="1"/>
  <c r="I1151" i="1"/>
  <c r="R1149" i="1"/>
  <c r="D1148" i="1"/>
  <c r="G1146" i="1"/>
  <c r="R1144" i="1"/>
  <c r="F1143" i="1"/>
  <c r="Q1141" i="1"/>
  <c r="D1140" i="1"/>
  <c r="P1138" i="1"/>
  <c r="F1137" i="1"/>
  <c r="P1135" i="1"/>
  <c r="F1134" i="1"/>
  <c r="Q1132" i="1"/>
  <c r="F1131" i="1"/>
  <c r="P1129" i="1"/>
  <c r="E1128" i="1"/>
  <c r="Q1126" i="1"/>
  <c r="E1125" i="1"/>
  <c r="L1123" i="1"/>
  <c r="B1122" i="1"/>
  <c r="G1120" i="1"/>
  <c r="AA1118" i="1"/>
  <c r="L1117" i="1"/>
  <c r="F1116" i="1"/>
  <c r="R1114" i="1"/>
  <c r="H1113" i="1"/>
  <c r="B1112" i="1"/>
  <c r="O1110" i="1"/>
  <c r="H1109" i="1"/>
  <c r="A1108" i="1"/>
  <c r="L1106" i="1"/>
  <c r="E1105" i="1"/>
  <c r="U1103" i="1"/>
  <c r="L1102" i="1"/>
  <c r="F1101" i="1"/>
  <c r="AA1099" i="1"/>
  <c r="O1098" i="1"/>
  <c r="I1097" i="1"/>
  <c r="E1096" i="1"/>
  <c r="B1095" i="1"/>
  <c r="Q1093" i="1"/>
  <c r="G1092" i="1"/>
  <c r="AA1090" i="1"/>
  <c r="O1089" i="1"/>
  <c r="I1088" i="1"/>
  <c r="E1087" i="1"/>
  <c r="B1086" i="1"/>
  <c r="U1084" i="1"/>
  <c r="Q1083" i="1"/>
  <c r="L1082" i="1"/>
  <c r="K1081" i="1"/>
  <c r="H1080" i="1"/>
  <c r="H1079" i="1"/>
  <c r="H1078" i="1"/>
  <c r="H1077" i="1"/>
  <c r="F1076" i="1"/>
  <c r="C1075" i="1"/>
  <c r="AA1073" i="1"/>
  <c r="AA1072" i="1"/>
  <c r="AA1071" i="1"/>
  <c r="D1071" i="1"/>
  <c r="H1070" i="1"/>
  <c r="L1069" i="1"/>
  <c r="O1068" i="1"/>
  <c r="T1067" i="1"/>
  <c r="Z1066" i="1"/>
  <c r="C1066" i="1"/>
  <c r="G1065" i="1"/>
  <c r="L1064" i="1"/>
  <c r="Q1063" i="1"/>
  <c r="X1062" i="1"/>
  <c r="B1062" i="1"/>
  <c r="G1061" i="1"/>
  <c r="G1060" i="1"/>
  <c r="G1059" i="1"/>
  <c r="G1058" i="1"/>
  <c r="G1057" i="1"/>
  <c r="G1056" i="1"/>
  <c r="G1055" i="1"/>
  <c r="F1054" i="1"/>
  <c r="E1053" i="1"/>
  <c r="D1052" i="1"/>
  <c r="C1051" i="1"/>
  <c r="B1050" i="1"/>
  <c r="A1049" i="1"/>
  <c r="A1048" i="1"/>
  <c r="A1047" i="1"/>
  <c r="A1046" i="1"/>
  <c r="A1045" i="1"/>
  <c r="B1044" i="1"/>
  <c r="C1043" i="1"/>
  <c r="D1042" i="1"/>
  <c r="E1041" i="1"/>
  <c r="F1040" i="1"/>
  <c r="G1039" i="1"/>
  <c r="H1038" i="1"/>
  <c r="I1037" i="1"/>
  <c r="J1036" i="1"/>
  <c r="K1035" i="1"/>
  <c r="L1034" i="1"/>
  <c r="M1033" i="1"/>
  <c r="N1032" i="1"/>
  <c r="N1031" i="1"/>
  <c r="O1030" i="1"/>
  <c r="P1029" i="1"/>
  <c r="P1028" i="1"/>
  <c r="P1027" i="1"/>
  <c r="Q1026" i="1"/>
  <c r="Q1025" i="1"/>
  <c r="Q1024" i="1"/>
  <c r="Q1023" i="1"/>
  <c r="Q1022" i="1"/>
  <c r="R1021" i="1"/>
  <c r="U1020" i="1"/>
  <c r="U1019" i="1"/>
  <c r="U1018" i="1"/>
  <c r="Q1017" i="1"/>
  <c r="Q1016" i="1"/>
  <c r="Q1015" i="1"/>
  <c r="Q1014" i="1"/>
  <c r="O1013" i="1"/>
  <c r="M1012" i="1"/>
  <c r="M1011" i="1"/>
  <c r="I1644" i="1"/>
  <c r="A1579" i="1"/>
  <c r="L1537" i="1"/>
  <c r="N1506" i="1"/>
  <c r="E1485" i="1"/>
  <c r="N1467" i="1"/>
  <c r="E1449" i="1"/>
  <c r="B1431" i="1"/>
  <c r="F1417" i="1"/>
  <c r="AA1401" i="1"/>
  <c r="G1392" i="1"/>
  <c r="L1383" i="1"/>
  <c r="D1373" i="1"/>
  <c r="I1365" i="1"/>
  <c r="R1356" i="1"/>
  <c r="I1348" i="1"/>
  <c r="L1338" i="1"/>
  <c r="Q1330" i="1"/>
  <c r="P1323" i="1"/>
  <c r="E1316" i="1"/>
  <c r="I1308" i="1"/>
  <c r="I1299" i="1"/>
  <c r="F1293" i="1"/>
  <c r="AA1287" i="1"/>
  <c r="Q1282" i="1"/>
  <c r="M1276" i="1"/>
  <c r="U1271" i="1"/>
  <c r="U1266" i="1"/>
  <c r="L1262" i="1"/>
  <c r="P1257" i="1"/>
  <c r="G1252" i="1"/>
  <c r="J1247" i="1"/>
  <c r="C1243" i="1"/>
  <c r="K1238" i="1"/>
  <c r="U1232" i="1"/>
  <c r="C1228" i="1"/>
  <c r="P1223" i="1"/>
  <c r="AA1218" i="1"/>
  <c r="H1214" i="1"/>
  <c r="AA1208" i="1"/>
  <c r="G1205" i="1"/>
  <c r="F1202" i="1"/>
  <c r="D1199" i="1"/>
  <c r="N1195" i="1"/>
  <c r="R1192" i="1"/>
  <c r="C1190" i="1"/>
  <c r="J1187" i="1"/>
  <c r="U1184" i="1"/>
  <c r="P1181" i="1"/>
  <c r="A1179" i="1"/>
  <c r="I1176" i="1"/>
  <c r="Q1173" i="1"/>
  <c r="L1170" i="1"/>
  <c r="AA1167" i="1"/>
  <c r="C1165" i="1"/>
  <c r="K1162" i="1"/>
  <c r="U1159" i="1"/>
  <c r="K1157" i="1"/>
  <c r="E1155" i="1"/>
  <c r="B1153" i="1"/>
  <c r="H1151" i="1"/>
  <c r="Q1149" i="1"/>
  <c r="A1148" i="1"/>
  <c r="E1146" i="1"/>
  <c r="N1144" i="1"/>
  <c r="E1143" i="1"/>
  <c r="P1141" i="1"/>
  <c r="C1140" i="1"/>
  <c r="N1138" i="1"/>
  <c r="E1137" i="1"/>
  <c r="N1135" i="1"/>
  <c r="E1134" i="1"/>
  <c r="L1132" i="1"/>
  <c r="D1131" i="1"/>
  <c r="N1129" i="1"/>
  <c r="D1128" i="1"/>
  <c r="P1126" i="1"/>
  <c r="D1125" i="1"/>
  <c r="K1123" i="1"/>
  <c r="AA1121" i="1"/>
  <c r="E1120" i="1"/>
  <c r="U1118" i="1"/>
  <c r="K1117" i="1"/>
  <c r="E1116" i="1"/>
  <c r="Q1114" i="1"/>
  <c r="G1113" i="1"/>
  <c r="A1112" i="1"/>
  <c r="N1110" i="1"/>
  <c r="G1109" i="1"/>
  <c r="R1107" i="1"/>
  <c r="J1106" i="1"/>
  <c r="D1105" i="1"/>
  <c r="R1103" i="1"/>
  <c r="I1102" i="1"/>
  <c r="E1101" i="1"/>
  <c r="U1099" i="1"/>
  <c r="L1098" i="1"/>
  <c r="H1097" i="1"/>
  <c r="D1096" i="1"/>
  <c r="A1095" i="1"/>
  <c r="O1093" i="1"/>
  <c r="F1092" i="1"/>
  <c r="U1090" i="1"/>
  <c r="N1089" i="1"/>
  <c r="H1088" i="1"/>
  <c r="D1087" i="1"/>
  <c r="A1086" i="1"/>
  <c r="S1084" i="1"/>
  <c r="O1083" i="1"/>
  <c r="K1082" i="1"/>
  <c r="J1081" i="1"/>
  <c r="G1080" i="1"/>
  <c r="G1079" i="1"/>
  <c r="G1078" i="1"/>
  <c r="G1077" i="1"/>
  <c r="E1076" i="1"/>
  <c r="B1075" i="1"/>
  <c r="U1073" i="1"/>
  <c r="U1072" i="1"/>
  <c r="Z1071" i="1"/>
  <c r="C1071" i="1"/>
  <c r="G1070" i="1"/>
  <c r="K1069" i="1"/>
  <c r="N1068" i="1"/>
  <c r="R1067" i="1"/>
  <c r="Y1066" i="1"/>
  <c r="B1066" i="1"/>
  <c r="F1065" i="1"/>
  <c r="K1064" i="1"/>
  <c r="P1063" i="1"/>
  <c r="V1062" i="1"/>
  <c r="A1062" i="1"/>
  <c r="F1061" i="1"/>
  <c r="F1060" i="1"/>
  <c r="F1059" i="1"/>
  <c r="F1058" i="1"/>
  <c r="F1057" i="1"/>
  <c r="F1056" i="1"/>
  <c r="F1055" i="1"/>
  <c r="E1054" i="1"/>
  <c r="D1053" i="1"/>
  <c r="C1052" i="1"/>
  <c r="B1051" i="1"/>
  <c r="A1050" i="1"/>
  <c r="AA1048" i="1"/>
  <c r="AA1047" i="1"/>
  <c r="AA1046" i="1"/>
  <c r="AA1045" i="1"/>
  <c r="AA1044" i="1"/>
  <c r="A1044" i="1"/>
  <c r="B1043" i="1"/>
  <c r="C1042" i="1"/>
  <c r="D1041" i="1"/>
  <c r="E1040" i="1"/>
  <c r="F1039" i="1"/>
  <c r="G1038" i="1"/>
  <c r="H1037" i="1"/>
  <c r="I1036" i="1"/>
  <c r="J1035" i="1"/>
  <c r="K1034" i="1"/>
  <c r="L1033" i="1"/>
  <c r="M1032" i="1"/>
  <c r="M1031" i="1"/>
  <c r="N1030" i="1"/>
  <c r="O1029" i="1"/>
  <c r="O1028" i="1"/>
  <c r="O1027" i="1"/>
  <c r="P1026" i="1"/>
  <c r="P1025" i="1"/>
  <c r="P1024" i="1"/>
  <c r="P1023" i="1"/>
  <c r="P1022" i="1"/>
  <c r="Q1021" i="1"/>
  <c r="R1020" i="1"/>
  <c r="R1019" i="1"/>
  <c r="R1018" i="1"/>
  <c r="P1017" i="1"/>
  <c r="P1016" i="1"/>
  <c r="P1015" i="1"/>
  <c r="P1014" i="1"/>
  <c r="Q1640" i="1"/>
  <c r="AA1578" i="1"/>
  <c r="F1529" i="1"/>
  <c r="R1505" i="1"/>
  <c r="D1485" i="1"/>
  <c r="L1467" i="1"/>
  <c r="D1449" i="1"/>
  <c r="I1430" i="1"/>
  <c r="AA1416" i="1"/>
  <c r="R1401" i="1"/>
  <c r="F1392" i="1"/>
  <c r="AA1380" i="1"/>
  <c r="B1372" i="1"/>
  <c r="C1365" i="1"/>
  <c r="P1356" i="1"/>
  <c r="D1348" i="1"/>
  <c r="C1338" i="1"/>
  <c r="P1330" i="1"/>
  <c r="E1323" i="1"/>
  <c r="C1316" i="1"/>
  <c r="J1306" i="1"/>
  <c r="G1299" i="1"/>
  <c r="C1293" i="1"/>
  <c r="N1287" i="1"/>
  <c r="O1282" i="1"/>
  <c r="I1276" i="1"/>
  <c r="R1271" i="1"/>
  <c r="Q1266" i="1"/>
  <c r="K1262" i="1"/>
  <c r="M1256" i="1"/>
  <c r="E1252" i="1"/>
  <c r="H1247" i="1"/>
  <c r="B1243" i="1"/>
  <c r="H1238" i="1"/>
  <c r="Q1232" i="1"/>
  <c r="B1228" i="1"/>
  <c r="N1223" i="1"/>
  <c r="R1218" i="1"/>
  <c r="E1213" i="1"/>
  <c r="Q1208" i="1"/>
  <c r="F1205" i="1"/>
  <c r="C1202" i="1"/>
  <c r="C1199" i="1"/>
  <c r="L1195" i="1"/>
  <c r="Q1192" i="1"/>
  <c r="B1190" i="1"/>
  <c r="I1187" i="1"/>
  <c r="E1184" i="1"/>
  <c r="L1181" i="1"/>
  <c r="AA1178" i="1"/>
  <c r="H1176" i="1"/>
  <c r="P1173" i="1"/>
  <c r="K1170" i="1"/>
  <c r="U1167" i="1"/>
  <c r="B1165" i="1"/>
  <c r="J1162" i="1"/>
  <c r="J1159" i="1"/>
  <c r="J1157" i="1"/>
  <c r="D1155" i="1"/>
  <c r="A1153" i="1"/>
  <c r="F1151" i="1"/>
  <c r="P1149" i="1"/>
  <c r="Q1147" i="1"/>
  <c r="D1146" i="1"/>
  <c r="M1144" i="1"/>
  <c r="D1143" i="1"/>
  <c r="J1141" i="1"/>
  <c r="A1140" i="1"/>
  <c r="M1138" i="1"/>
  <c r="C1137" i="1"/>
  <c r="M1135" i="1"/>
  <c r="D1134" i="1"/>
  <c r="K1132" i="1"/>
  <c r="C1131" i="1"/>
  <c r="M1129" i="1"/>
  <c r="C1128" i="1"/>
  <c r="N1126" i="1"/>
  <c r="B1125" i="1"/>
  <c r="J1123" i="1"/>
  <c r="U1121" i="1"/>
  <c r="D1120" i="1"/>
  <c r="R1118" i="1"/>
  <c r="J1117" i="1"/>
  <c r="B1116" i="1"/>
  <c r="L1114" i="1"/>
  <c r="F1113" i="1"/>
  <c r="AA1111" i="1"/>
  <c r="L1110" i="1"/>
  <c r="F1109" i="1"/>
  <c r="Q1107" i="1"/>
  <c r="I1106" i="1"/>
  <c r="C1105" i="1"/>
  <c r="Q1103" i="1"/>
  <c r="H1102" i="1"/>
  <c r="D1101" i="1"/>
  <c r="R1099" i="1"/>
  <c r="K1098" i="1"/>
  <c r="G1097" i="1"/>
  <c r="C1096" i="1"/>
  <c r="AA1094" i="1"/>
  <c r="N1093" i="1"/>
  <c r="E1092" i="1"/>
  <c r="R1090" i="1"/>
  <c r="M1089" i="1"/>
  <c r="G1088" i="1"/>
  <c r="C1087" i="1"/>
  <c r="AA1085" i="1"/>
  <c r="R1084" i="1"/>
  <c r="N1083" i="1"/>
  <c r="J1082" i="1"/>
  <c r="I1081" i="1"/>
  <c r="F1080" i="1"/>
  <c r="F1079" i="1"/>
  <c r="F1078" i="1"/>
  <c r="F1077" i="1"/>
  <c r="D1076" i="1"/>
  <c r="A1075" i="1"/>
  <c r="S1073" i="1"/>
  <c r="S1072" i="1"/>
  <c r="Y1071" i="1"/>
  <c r="B1071" i="1"/>
  <c r="F1070" i="1"/>
  <c r="J1069" i="1"/>
  <c r="M1068" i="1"/>
  <c r="Q1067" i="1"/>
  <c r="V1066" i="1"/>
  <c r="A1066" i="1"/>
  <c r="E1065" i="1"/>
  <c r="J1064" i="1"/>
  <c r="O1063" i="1"/>
  <c r="U1062" i="1"/>
  <c r="AA1061" i="1"/>
  <c r="E1061" i="1"/>
  <c r="E1060" i="1"/>
  <c r="E1059" i="1"/>
  <c r="E1058" i="1"/>
  <c r="E1057" i="1"/>
  <c r="E1056" i="1"/>
  <c r="E1055" i="1"/>
  <c r="D1054" i="1"/>
  <c r="C1053" i="1"/>
  <c r="B1052" i="1"/>
  <c r="A1051" i="1"/>
  <c r="AA1049" i="1"/>
  <c r="U1048" i="1"/>
  <c r="U1047" i="1"/>
  <c r="U1046" i="1"/>
  <c r="U1045" i="1"/>
  <c r="V1044" i="1"/>
  <c r="AA1043" i="1"/>
  <c r="A1043" i="1"/>
  <c r="B1042" i="1"/>
  <c r="C1041" i="1"/>
  <c r="D1040" i="1"/>
  <c r="E1039" i="1"/>
  <c r="F1038" i="1"/>
  <c r="G1037" i="1"/>
  <c r="H1036" i="1"/>
  <c r="I1035" i="1"/>
  <c r="J1034" i="1"/>
  <c r="K1033" i="1"/>
  <c r="L1032" i="1"/>
  <c r="L1031" i="1"/>
  <c r="M1030" i="1"/>
  <c r="N1029" i="1"/>
  <c r="N1028" i="1"/>
  <c r="N1027" i="1"/>
  <c r="O1026" i="1"/>
  <c r="O1025" i="1"/>
  <c r="O1024" i="1"/>
  <c r="O1023" i="1"/>
  <c r="O1022" i="1"/>
  <c r="P1021" i="1"/>
  <c r="Q1020" i="1"/>
  <c r="Q1019" i="1"/>
  <c r="Q1018" i="1"/>
  <c r="O1017" i="1"/>
  <c r="O1016" i="1"/>
  <c r="O1015" i="1"/>
  <c r="O1014" i="1"/>
  <c r="M1013" i="1"/>
  <c r="K1012" i="1"/>
  <c r="K1011" i="1"/>
  <c r="K1010" i="1"/>
  <c r="I1009" i="1"/>
  <c r="I1008" i="1"/>
  <c r="I1007" i="1"/>
  <c r="H1006" i="1"/>
  <c r="L1638" i="1"/>
  <c r="R1578" i="1"/>
  <c r="F1528" i="1"/>
  <c r="N1505" i="1"/>
  <c r="C1485" i="1"/>
  <c r="C1465" i="1"/>
  <c r="G1445" i="1"/>
  <c r="G1428" i="1"/>
  <c r="X1416" i="1"/>
  <c r="L1401" i="1"/>
  <c r="E1392" i="1"/>
  <c r="N1380" i="1"/>
  <c r="A1372" i="1"/>
  <c r="M1364" i="1"/>
  <c r="O1356" i="1"/>
  <c r="B1346" i="1"/>
  <c r="A1338" i="1"/>
  <c r="L1330" i="1"/>
  <c r="K1322" i="1"/>
  <c r="R1315" i="1"/>
  <c r="F1306" i="1"/>
  <c r="E1299" i="1"/>
  <c r="B1293" i="1"/>
  <c r="L1287" i="1"/>
  <c r="F1281" i="1"/>
  <c r="F1276" i="1"/>
  <c r="E1271" i="1"/>
  <c r="P1266" i="1"/>
  <c r="C1262" i="1"/>
  <c r="J1256" i="1"/>
  <c r="C1252" i="1"/>
  <c r="G1247" i="1"/>
  <c r="A1243" i="1"/>
  <c r="D1237" i="1"/>
  <c r="N1232" i="1"/>
  <c r="AA1227" i="1"/>
  <c r="L1223" i="1"/>
  <c r="Q1218" i="1"/>
  <c r="D1213" i="1"/>
  <c r="P1208" i="1"/>
  <c r="E1205" i="1"/>
  <c r="B1202" i="1"/>
  <c r="E1198" i="1"/>
  <c r="J1195" i="1"/>
  <c r="N1192" i="1"/>
  <c r="A1190" i="1"/>
  <c r="H1187" i="1"/>
  <c r="C1184" i="1"/>
  <c r="K1181" i="1"/>
  <c r="U1178" i="1"/>
  <c r="G1176" i="1"/>
  <c r="A1173" i="1"/>
  <c r="H1170" i="1"/>
  <c r="R1167" i="1"/>
  <c r="AA1164" i="1"/>
  <c r="I1162" i="1"/>
  <c r="G1159" i="1"/>
  <c r="I1157" i="1"/>
  <c r="C1155" i="1"/>
  <c r="U1152" i="1"/>
  <c r="E1151" i="1"/>
  <c r="N1149" i="1"/>
  <c r="P1147" i="1"/>
  <c r="C1146" i="1"/>
  <c r="L1144" i="1"/>
  <c r="C1143" i="1"/>
  <c r="I1141" i="1"/>
  <c r="AA1139" i="1"/>
  <c r="L1138" i="1"/>
  <c r="B1137" i="1"/>
  <c r="L1135" i="1"/>
  <c r="C1134" i="1"/>
  <c r="J1132" i="1"/>
  <c r="B1131" i="1"/>
  <c r="K1129" i="1"/>
  <c r="B1128" i="1"/>
  <c r="L1126" i="1"/>
  <c r="U1124" i="1"/>
  <c r="H1123" i="1"/>
  <c r="R1121" i="1"/>
  <c r="C1120" i="1"/>
  <c r="Q1118" i="1"/>
  <c r="I1117" i="1"/>
  <c r="A1116" i="1"/>
  <c r="K1114" i="1"/>
  <c r="E1113" i="1"/>
  <c r="U1111" i="1"/>
  <c r="K1110" i="1"/>
  <c r="E1109" i="1"/>
  <c r="O1107" i="1"/>
  <c r="H1106" i="1"/>
  <c r="B1105" i="1"/>
  <c r="O1103" i="1"/>
  <c r="G1102" i="1"/>
  <c r="A1101" i="1"/>
  <c r="O1099" i="1"/>
  <c r="J1098" i="1"/>
  <c r="F1097" i="1"/>
  <c r="B1096" i="1"/>
  <c r="U1094" i="1"/>
  <c r="L1093" i="1"/>
  <c r="D1092" i="1"/>
  <c r="Q1090" i="1"/>
  <c r="L1089" i="1"/>
  <c r="F1088" i="1"/>
  <c r="B1087" i="1"/>
  <c r="U1085" i="1"/>
  <c r="N1084" i="1"/>
  <c r="M1083" i="1"/>
  <c r="I1082" i="1"/>
  <c r="H1081" i="1"/>
  <c r="E1080" i="1"/>
  <c r="E1079" i="1"/>
  <c r="E1078" i="1"/>
  <c r="E1077" i="1"/>
  <c r="C1076" i="1"/>
  <c r="AA1074" i="1"/>
  <c r="R1073" i="1"/>
  <c r="R1072" i="1"/>
  <c r="V1071" i="1"/>
  <c r="A1071" i="1"/>
  <c r="E1070" i="1"/>
  <c r="I1069" i="1"/>
  <c r="L1068" i="1"/>
  <c r="P1067" i="1"/>
  <c r="U1066" i="1"/>
  <c r="AA1065" i="1"/>
  <c r="D1065" i="1"/>
  <c r="I1064" i="1"/>
  <c r="N1063" i="1"/>
  <c r="T1062" i="1"/>
  <c r="Z1061" i="1"/>
  <c r="D1061" i="1"/>
  <c r="D1060" i="1"/>
  <c r="D1059" i="1"/>
  <c r="D1058" i="1"/>
  <c r="D1057" i="1"/>
  <c r="D1056" i="1"/>
  <c r="D1055" i="1"/>
  <c r="C1054" i="1"/>
  <c r="B1053" i="1"/>
  <c r="A1052" i="1"/>
  <c r="AA1050" i="1"/>
  <c r="U1049" i="1"/>
  <c r="R1048" i="1"/>
  <c r="R1047" i="1"/>
  <c r="R1046" i="1"/>
  <c r="R1045" i="1"/>
  <c r="U1044" i="1"/>
  <c r="V1043" i="1"/>
  <c r="AA1042" i="1"/>
  <c r="A1042" i="1"/>
  <c r="B1041" i="1"/>
  <c r="C1040" i="1"/>
  <c r="D1039" i="1"/>
  <c r="E1038" i="1"/>
  <c r="F1037" i="1"/>
  <c r="G1036" i="1"/>
  <c r="H1035" i="1"/>
  <c r="I1034" i="1"/>
  <c r="J1033" i="1"/>
  <c r="K1032" i="1"/>
  <c r="K1031" i="1"/>
  <c r="L1030" i="1"/>
  <c r="M1029" i="1"/>
  <c r="M1028" i="1"/>
  <c r="M1027" i="1"/>
  <c r="N1026" i="1"/>
  <c r="N1025" i="1"/>
  <c r="N1024" i="1"/>
  <c r="N1023" i="1"/>
  <c r="N1022" i="1"/>
  <c r="O1021" i="1"/>
  <c r="P1020" i="1"/>
  <c r="P1019" i="1"/>
  <c r="P1018" i="1"/>
  <c r="N1017" i="1"/>
  <c r="N1016" i="1"/>
  <c r="E1638" i="1"/>
  <c r="P1563" i="1"/>
  <c r="C1528" i="1"/>
  <c r="F1505" i="1"/>
  <c r="B1485" i="1"/>
  <c r="B1465" i="1"/>
  <c r="AA1444" i="1"/>
  <c r="F1428" i="1"/>
  <c r="L1415" i="1"/>
  <c r="K1401" i="1"/>
  <c r="A1390" i="1"/>
  <c r="K1380" i="1"/>
  <c r="Q1371" i="1"/>
  <c r="I1364" i="1"/>
  <c r="N1356" i="1"/>
  <c r="A1346" i="1"/>
  <c r="AA1337" i="1"/>
  <c r="K1330" i="1"/>
  <c r="J1322" i="1"/>
  <c r="A1314" i="1"/>
  <c r="C1306" i="1"/>
  <c r="D1299" i="1"/>
  <c r="A1293" i="1"/>
  <c r="G1287" i="1"/>
  <c r="U1280" i="1"/>
  <c r="E1276" i="1"/>
  <c r="B1271" i="1"/>
  <c r="N1266" i="1"/>
  <c r="D1261" i="1"/>
  <c r="H1256" i="1"/>
  <c r="Q1251" i="1"/>
  <c r="F1247" i="1"/>
  <c r="M1242" i="1"/>
  <c r="A1237" i="1"/>
  <c r="M1232" i="1"/>
  <c r="R1227" i="1"/>
  <c r="K1223" i="1"/>
  <c r="L1217" i="1"/>
  <c r="A1213" i="1"/>
  <c r="N1208" i="1"/>
  <c r="D1205" i="1"/>
  <c r="A1202" i="1"/>
  <c r="D1198" i="1"/>
  <c r="I1195" i="1"/>
  <c r="L1192" i="1"/>
  <c r="AA1189" i="1"/>
  <c r="P1186" i="1"/>
  <c r="A1184" i="1"/>
  <c r="J1181" i="1"/>
  <c r="R1178" i="1"/>
  <c r="F1176" i="1"/>
  <c r="AA1172" i="1"/>
  <c r="G1170" i="1"/>
  <c r="Q1167" i="1"/>
  <c r="U1164" i="1"/>
  <c r="N1161" i="1"/>
  <c r="F1159" i="1"/>
  <c r="B1157" i="1"/>
  <c r="B1155" i="1"/>
  <c r="R1152" i="1"/>
  <c r="D1151" i="1"/>
  <c r="L1149" i="1"/>
  <c r="N1147" i="1"/>
  <c r="B1146" i="1"/>
  <c r="J1144" i="1"/>
  <c r="A1143" i="1"/>
  <c r="G1141" i="1"/>
  <c r="U1139" i="1"/>
  <c r="K1138" i="1"/>
  <c r="A1137" i="1"/>
  <c r="I1135" i="1"/>
  <c r="R1133" i="1"/>
  <c r="H1132" i="1"/>
  <c r="A1131" i="1"/>
  <c r="J1129" i="1"/>
  <c r="A1128" i="1"/>
  <c r="K1126" i="1"/>
  <c r="R1124" i="1"/>
  <c r="G1123" i="1"/>
  <c r="Q1121" i="1"/>
  <c r="B1120" i="1"/>
  <c r="O1118" i="1"/>
  <c r="H1117" i="1"/>
  <c r="AA1115" i="1"/>
  <c r="J1114" i="1"/>
  <c r="D1113" i="1"/>
  <c r="R1111" i="1"/>
  <c r="J1110" i="1"/>
  <c r="A1109" i="1"/>
  <c r="L1107" i="1"/>
  <c r="G1106" i="1"/>
  <c r="A1105" i="1"/>
  <c r="N1103" i="1"/>
  <c r="F1102" i="1"/>
  <c r="AA1100" i="1"/>
  <c r="N1099" i="1"/>
  <c r="I1098" i="1"/>
  <c r="E1097" i="1"/>
  <c r="A1096" i="1"/>
  <c r="R1094" i="1"/>
  <c r="I1093" i="1"/>
  <c r="C1092" i="1"/>
  <c r="P1090" i="1"/>
  <c r="I1089" i="1"/>
  <c r="E1088" i="1"/>
  <c r="A1087" i="1"/>
  <c r="S1085" i="1"/>
  <c r="M1084" i="1"/>
  <c r="L1083" i="1"/>
  <c r="H1082" i="1"/>
  <c r="F1081" i="1"/>
  <c r="D1080" i="1"/>
  <c r="D1079" i="1"/>
  <c r="D1078" i="1"/>
  <c r="D1077" i="1"/>
  <c r="B1076" i="1"/>
  <c r="U1074" i="1"/>
  <c r="Q1073" i="1"/>
  <c r="Q1072" i="1"/>
  <c r="U1071" i="1"/>
  <c r="AA1070" i="1"/>
  <c r="D1070" i="1"/>
  <c r="H1069" i="1"/>
  <c r="K1068" i="1"/>
  <c r="O1067" i="1"/>
  <c r="T1066" i="1"/>
  <c r="Z1065" i="1"/>
  <c r="C1065" i="1"/>
  <c r="H1064" i="1"/>
  <c r="M1063" i="1"/>
  <c r="R1062" i="1"/>
  <c r="Y1061" i="1"/>
  <c r="C1061" i="1"/>
  <c r="C1060" i="1"/>
  <c r="C1059" i="1"/>
  <c r="C1058" i="1"/>
  <c r="C1057" i="1"/>
  <c r="C1056" i="1"/>
  <c r="C1055" i="1"/>
  <c r="B1054" i="1"/>
  <c r="A1053" i="1"/>
  <c r="AA1051" i="1"/>
  <c r="U1050" i="1"/>
  <c r="R1049" i="1"/>
  <c r="Q1048" i="1"/>
  <c r="Q1047" i="1"/>
  <c r="Q1046" i="1"/>
  <c r="Q1045" i="1"/>
  <c r="R1044" i="1"/>
  <c r="U1043" i="1"/>
  <c r="V1042" i="1"/>
  <c r="AA1041" i="1"/>
  <c r="A1041" i="1"/>
  <c r="B1040" i="1"/>
  <c r="C1039" i="1"/>
  <c r="D1038" i="1"/>
  <c r="E1037" i="1"/>
  <c r="F1036" i="1"/>
  <c r="G1035" i="1"/>
  <c r="H1034" i="1"/>
  <c r="I1033" i="1"/>
  <c r="J1032" i="1"/>
  <c r="J1031" i="1"/>
  <c r="K1030" i="1"/>
  <c r="L1029" i="1"/>
  <c r="L1028" i="1"/>
  <c r="L1027" i="1"/>
  <c r="M1026" i="1"/>
  <c r="M1025" i="1"/>
  <c r="M1024" i="1"/>
  <c r="M1023" i="1"/>
  <c r="M1022" i="1"/>
  <c r="N1021" i="1"/>
  <c r="O1020" i="1"/>
  <c r="O1019" i="1"/>
  <c r="O1018" i="1"/>
  <c r="M1017" i="1"/>
  <c r="M1016" i="1"/>
  <c r="D1638" i="1"/>
  <c r="L1563" i="1"/>
  <c r="AA1524" i="1"/>
  <c r="G1504" i="1"/>
  <c r="I1482" i="1"/>
  <c r="I1460" i="1"/>
  <c r="L1444" i="1"/>
  <c r="C1428" i="1"/>
  <c r="C1415" i="1"/>
  <c r="G1401" i="1"/>
  <c r="AA1389" i="1"/>
  <c r="J1380" i="1"/>
  <c r="N1371" i="1"/>
  <c r="H1364" i="1"/>
  <c r="E1354" i="1"/>
  <c r="R1345" i="1"/>
  <c r="R1337" i="1"/>
  <c r="J1330" i="1"/>
  <c r="G1322" i="1"/>
  <c r="E1313" i="1"/>
  <c r="B1306" i="1"/>
  <c r="C1299" i="1"/>
  <c r="AA1292" i="1"/>
  <c r="C1286" i="1"/>
  <c r="L1280" i="1"/>
  <c r="D1276" i="1"/>
  <c r="A1271" i="1"/>
  <c r="L1266" i="1"/>
  <c r="Q1260" i="1"/>
  <c r="G1256" i="1"/>
  <c r="K1251" i="1"/>
  <c r="D1247" i="1"/>
  <c r="N1241" i="1"/>
  <c r="U1236" i="1"/>
  <c r="E1232" i="1"/>
  <c r="Q1227" i="1"/>
  <c r="D1223" i="1"/>
  <c r="I1217" i="1"/>
  <c r="U1212" i="1"/>
  <c r="L1208" i="1"/>
  <c r="C1205" i="1"/>
  <c r="D1201" i="1"/>
  <c r="B1198" i="1"/>
  <c r="H1195" i="1"/>
  <c r="K1192" i="1"/>
  <c r="U1189" i="1"/>
  <c r="N1186" i="1"/>
  <c r="AA1183" i="1"/>
  <c r="I1181" i="1"/>
  <c r="Q1178" i="1"/>
  <c r="K1175" i="1"/>
  <c r="U1172" i="1"/>
  <c r="F1170" i="1"/>
  <c r="P1167" i="1"/>
  <c r="R1164" i="1"/>
  <c r="M1161" i="1"/>
  <c r="E1159" i="1"/>
  <c r="U1156" i="1"/>
  <c r="A1155" i="1"/>
  <c r="Q1152" i="1"/>
  <c r="C1151" i="1"/>
  <c r="I1149" i="1"/>
  <c r="I1147" i="1"/>
  <c r="A1146" i="1"/>
  <c r="I1144" i="1"/>
  <c r="AA1142" i="1"/>
  <c r="E1141" i="1"/>
  <c r="R1139" i="1"/>
  <c r="H1138" i="1"/>
  <c r="AA1136" i="1"/>
  <c r="H1135" i="1"/>
  <c r="P1133" i="1"/>
  <c r="G1132" i="1"/>
  <c r="AA1130" i="1"/>
  <c r="I1129" i="1"/>
  <c r="AA1127" i="1"/>
  <c r="H1126" i="1"/>
  <c r="Q1124" i="1"/>
  <c r="F1123" i="1"/>
  <c r="L1121" i="1"/>
  <c r="A1120" i="1"/>
  <c r="N1118" i="1"/>
  <c r="E1117" i="1"/>
  <c r="Q1115" i="1"/>
  <c r="I1114" i="1"/>
  <c r="C1113" i="1"/>
  <c r="Q1111" i="1"/>
  <c r="I1110" i="1"/>
  <c r="AA1108" i="1"/>
  <c r="K1107" i="1"/>
  <c r="F1106" i="1"/>
  <c r="AA1104" i="1"/>
  <c r="M1103" i="1"/>
  <c r="E1102" i="1"/>
  <c r="U1100" i="1"/>
  <c r="L1099" i="1"/>
  <c r="H1098" i="1"/>
  <c r="D1097" i="1"/>
  <c r="AA1095" i="1"/>
  <c r="Q1094" i="1"/>
  <c r="H1093" i="1"/>
  <c r="B1092" i="1"/>
  <c r="N1090" i="1"/>
  <c r="H1089" i="1"/>
  <c r="D1088" i="1"/>
  <c r="AA1086" i="1"/>
  <c r="R1085" i="1"/>
  <c r="L1084" i="1"/>
  <c r="I1083" i="1"/>
  <c r="F1082" i="1"/>
  <c r="E1081" i="1"/>
  <c r="C1080" i="1"/>
  <c r="C1079" i="1"/>
  <c r="C1078" i="1"/>
  <c r="C1077" i="1"/>
  <c r="A1076" i="1"/>
  <c r="R1074" i="1"/>
  <c r="O1073" i="1"/>
  <c r="O1072" i="1"/>
  <c r="T1071" i="1"/>
  <c r="Z1070" i="1"/>
  <c r="C1070" i="1"/>
  <c r="G1069" i="1"/>
  <c r="J1068" i="1"/>
  <c r="N1067" i="1"/>
  <c r="R1066" i="1"/>
  <c r="Y1065" i="1"/>
  <c r="B1065" i="1"/>
  <c r="G1064" i="1"/>
  <c r="L1063" i="1"/>
  <c r="Q1062" i="1"/>
  <c r="X1061" i="1"/>
  <c r="B1061" i="1"/>
  <c r="B1060" i="1"/>
  <c r="B1059" i="1"/>
  <c r="B1058" i="1"/>
  <c r="B1057" i="1"/>
  <c r="B1056" i="1"/>
  <c r="B1055" i="1"/>
  <c r="A1054" i="1"/>
  <c r="AA1052" i="1"/>
  <c r="U1051" i="1"/>
  <c r="R1050" i="1"/>
  <c r="Q1049" i="1"/>
  <c r="P1048" i="1"/>
  <c r="P1047" i="1"/>
  <c r="P1046" i="1"/>
  <c r="P1045" i="1"/>
  <c r="Q1044" i="1"/>
  <c r="R1043" i="1"/>
  <c r="U1042" i="1"/>
  <c r="V1041" i="1"/>
  <c r="AA1040" i="1"/>
  <c r="A1040" i="1"/>
  <c r="B1039" i="1"/>
  <c r="C1038" i="1"/>
  <c r="D1037" i="1"/>
  <c r="E1036" i="1"/>
  <c r="F1035" i="1"/>
  <c r="G1034" i="1"/>
  <c r="H1033" i="1"/>
  <c r="I1032" i="1"/>
  <c r="I1031" i="1"/>
  <c r="J1030" i="1"/>
  <c r="K1029" i="1"/>
  <c r="K1028" i="1"/>
  <c r="K1027" i="1"/>
  <c r="L1026" i="1"/>
  <c r="L1025" i="1"/>
  <c r="L1024" i="1"/>
  <c r="L1023" i="1"/>
  <c r="L1022" i="1"/>
  <c r="M1021" i="1"/>
  <c r="N1020" i="1"/>
  <c r="N1019" i="1"/>
  <c r="N1018" i="1"/>
  <c r="L1017" i="1"/>
  <c r="L1016" i="1"/>
  <c r="L1015" i="1"/>
  <c r="L1014" i="1"/>
  <c r="I1013" i="1"/>
  <c r="H1012" i="1"/>
  <c r="H1011" i="1"/>
  <c r="H1010" i="1"/>
  <c r="F1009" i="1"/>
  <c r="F1008" i="1"/>
  <c r="F1007" i="1"/>
  <c r="E1006" i="1"/>
  <c r="C1005" i="1"/>
  <c r="A1004" i="1"/>
  <c r="A1003" i="1"/>
  <c r="U1001" i="1"/>
  <c r="R1000" i="1"/>
  <c r="P999" i="1"/>
  <c r="N998" i="1"/>
  <c r="K997" i="1"/>
  <c r="J996" i="1"/>
  <c r="I995" i="1"/>
  <c r="H994" i="1"/>
  <c r="G993" i="1"/>
  <c r="F992" i="1"/>
  <c r="E991" i="1"/>
  <c r="D990" i="1"/>
  <c r="C989" i="1"/>
  <c r="B988" i="1"/>
  <c r="AA986" i="1"/>
  <c r="U985" i="1"/>
  <c r="R984" i="1"/>
  <c r="R983" i="1"/>
  <c r="R982" i="1"/>
  <c r="R981" i="1"/>
  <c r="R980" i="1"/>
  <c r="R979" i="1"/>
  <c r="R978" i="1"/>
  <c r="U977" i="1"/>
  <c r="U976" i="1"/>
  <c r="U975" i="1"/>
  <c r="Q974" i="1"/>
  <c r="N973" i="1"/>
  <c r="M972" i="1"/>
  <c r="L971" i="1"/>
  <c r="K970" i="1"/>
  <c r="L969" i="1"/>
  <c r="K968" i="1"/>
  <c r="K967" i="1"/>
  <c r="K966" i="1"/>
  <c r="K965" i="1"/>
  <c r="I964" i="1"/>
  <c r="G963" i="1"/>
  <c r="G962" i="1"/>
  <c r="G961" i="1"/>
  <c r="E960" i="1"/>
  <c r="G959" i="1"/>
  <c r="F958" i="1"/>
  <c r="E957" i="1"/>
  <c r="C956" i="1"/>
  <c r="A955" i="1"/>
  <c r="A954" i="1"/>
  <c r="A953" i="1"/>
  <c r="A952" i="1"/>
  <c r="A951" i="1"/>
  <c r="B950" i="1"/>
  <c r="C949" i="1"/>
  <c r="C948" i="1"/>
  <c r="C947" i="1"/>
  <c r="A946" i="1"/>
  <c r="U944" i="1"/>
  <c r="Q943" i="1"/>
  <c r="O942" i="1"/>
  <c r="M941" i="1"/>
  <c r="I940" i="1"/>
  <c r="G939" i="1"/>
  <c r="G938" i="1"/>
  <c r="G937" i="1"/>
  <c r="N1620" i="1"/>
  <c r="H1563" i="1"/>
  <c r="U1523" i="1"/>
  <c r="D1504" i="1"/>
  <c r="H1482" i="1"/>
  <c r="Q1459" i="1"/>
  <c r="F1444" i="1"/>
  <c r="B1428" i="1"/>
  <c r="B1415" i="1"/>
  <c r="I1398" i="1"/>
  <c r="R1389" i="1"/>
  <c r="I1380" i="1"/>
  <c r="L1371" i="1"/>
  <c r="U1363" i="1"/>
  <c r="P1353" i="1"/>
  <c r="L1345" i="1"/>
  <c r="Q1337" i="1"/>
  <c r="E1330" i="1"/>
  <c r="F1320" i="1"/>
  <c r="U1312" i="1"/>
  <c r="N1305" i="1"/>
  <c r="B1299" i="1"/>
  <c r="U1292" i="1"/>
  <c r="B1286" i="1"/>
  <c r="K1280" i="1"/>
  <c r="B1276" i="1"/>
  <c r="U1270" i="1"/>
  <c r="G1265" i="1"/>
  <c r="L1260" i="1"/>
  <c r="F1256" i="1"/>
  <c r="J1251" i="1"/>
  <c r="C1247" i="1"/>
  <c r="F1241" i="1"/>
  <c r="R1236" i="1"/>
  <c r="B1232" i="1"/>
  <c r="P1227" i="1"/>
  <c r="E1222" i="1"/>
  <c r="F1217" i="1"/>
  <c r="R1212" i="1"/>
  <c r="I1208" i="1"/>
  <c r="B1205" i="1"/>
  <c r="C1201" i="1"/>
  <c r="A1198" i="1"/>
  <c r="G1195" i="1"/>
  <c r="J1192" i="1"/>
  <c r="D1189" i="1"/>
  <c r="L1186" i="1"/>
  <c r="X1183" i="1"/>
  <c r="H1181" i="1"/>
  <c r="P1178" i="1"/>
  <c r="J1175" i="1"/>
  <c r="R1172" i="1"/>
  <c r="E1170" i="1"/>
  <c r="N1167" i="1"/>
  <c r="F1164" i="1"/>
  <c r="K1161" i="1"/>
  <c r="C1159" i="1"/>
  <c r="P1156" i="1"/>
  <c r="K1154" i="1"/>
  <c r="P1152" i="1"/>
  <c r="B1151" i="1"/>
  <c r="D1149" i="1"/>
  <c r="H1147" i="1"/>
  <c r="AA1145" i="1"/>
  <c r="H1144" i="1"/>
  <c r="Q1142" i="1"/>
  <c r="D1141" i="1"/>
  <c r="Q1139" i="1"/>
  <c r="G1138" i="1"/>
  <c r="U1136" i="1"/>
  <c r="G1135" i="1"/>
  <c r="N1133" i="1"/>
  <c r="F1132" i="1"/>
  <c r="Q1130" i="1"/>
  <c r="H1129" i="1"/>
  <c r="U1127" i="1"/>
  <c r="D1126" i="1"/>
  <c r="M1124" i="1"/>
  <c r="E1123" i="1"/>
  <c r="I1121" i="1"/>
  <c r="AA1119" i="1"/>
  <c r="L1118" i="1"/>
  <c r="D1117" i="1"/>
  <c r="O1115" i="1"/>
  <c r="H1114" i="1"/>
  <c r="B1113" i="1"/>
  <c r="O1111" i="1"/>
  <c r="H1110" i="1"/>
  <c r="U1108" i="1"/>
  <c r="J1107" i="1"/>
  <c r="E1106" i="1"/>
  <c r="U1104" i="1"/>
  <c r="L1103" i="1"/>
  <c r="B1102" i="1"/>
  <c r="Q1100" i="1"/>
  <c r="K1099" i="1"/>
  <c r="G1098" i="1"/>
  <c r="C1097" i="1"/>
  <c r="U1095" i="1"/>
  <c r="O1094" i="1"/>
  <c r="G1093" i="1"/>
  <c r="A1092" i="1"/>
  <c r="M1090" i="1"/>
  <c r="G1089" i="1"/>
  <c r="C1088" i="1"/>
  <c r="U1086" i="1"/>
  <c r="N1085" i="1"/>
  <c r="K1084" i="1"/>
  <c r="G1083" i="1"/>
  <c r="E1082" i="1"/>
  <c r="D1081" i="1"/>
  <c r="B1080" i="1"/>
  <c r="B1079" i="1"/>
  <c r="B1078" i="1"/>
  <c r="B1077" i="1"/>
  <c r="AA1075" i="1"/>
  <c r="Q1074" i="1"/>
  <c r="N1073" i="1"/>
  <c r="N1072" i="1"/>
  <c r="R1071" i="1"/>
  <c r="Y1070" i="1"/>
  <c r="B1070" i="1"/>
  <c r="F1069" i="1"/>
  <c r="I1068" i="1"/>
  <c r="M1067" i="1"/>
  <c r="Q1066" i="1"/>
  <c r="V1065" i="1"/>
  <c r="A1065" i="1"/>
  <c r="F1064" i="1"/>
  <c r="K1063" i="1"/>
  <c r="P1062" i="1"/>
  <c r="V1061" i="1"/>
  <c r="A1061" i="1"/>
  <c r="A1060" i="1"/>
  <c r="A1059" i="1"/>
  <c r="A1058" i="1"/>
  <c r="A1057" i="1"/>
  <c r="A1056" i="1"/>
  <c r="A1055" i="1"/>
  <c r="AA1053" i="1"/>
  <c r="U1052" i="1"/>
  <c r="R1051" i="1"/>
  <c r="Q1050" i="1"/>
  <c r="O1049" i="1"/>
  <c r="O1048" i="1"/>
  <c r="O1047" i="1"/>
  <c r="O1046" i="1"/>
  <c r="O1045" i="1"/>
  <c r="P1044" i="1"/>
  <c r="Q1043" i="1"/>
  <c r="R1042" i="1"/>
  <c r="U1041" i="1"/>
  <c r="V1040" i="1"/>
  <c r="AA1039" i="1"/>
  <c r="A1039" i="1"/>
  <c r="B1038" i="1"/>
  <c r="C1037" i="1"/>
  <c r="D1036" i="1"/>
  <c r="E1035" i="1"/>
  <c r="F1034" i="1"/>
  <c r="G1033" i="1"/>
  <c r="H1032" i="1"/>
  <c r="H1031" i="1"/>
  <c r="I1030" i="1"/>
  <c r="J1029" i="1"/>
  <c r="J1028" i="1"/>
  <c r="J1027" i="1"/>
  <c r="K1026" i="1"/>
  <c r="K1025" i="1"/>
  <c r="K1024" i="1"/>
  <c r="K1023" i="1"/>
  <c r="K1022" i="1"/>
  <c r="L1021" i="1"/>
  <c r="M1020" i="1"/>
  <c r="M1019" i="1"/>
  <c r="M1018" i="1"/>
  <c r="K1017" i="1"/>
  <c r="K1016" i="1"/>
  <c r="K1015" i="1"/>
  <c r="K1014" i="1"/>
  <c r="H1013" i="1"/>
  <c r="G1012" i="1"/>
  <c r="G1011" i="1"/>
  <c r="G1010" i="1"/>
  <c r="E1009" i="1"/>
  <c r="E1008" i="1"/>
  <c r="E1007" i="1"/>
  <c r="D1006" i="1"/>
  <c r="B1005" i="1"/>
  <c r="AA1003" i="1"/>
  <c r="AA1002" i="1"/>
  <c r="R1001" i="1"/>
  <c r="Q1000" i="1"/>
  <c r="O999" i="1"/>
  <c r="M998" i="1"/>
  <c r="J997" i="1"/>
  <c r="I996" i="1"/>
  <c r="H995" i="1"/>
  <c r="G994" i="1"/>
  <c r="F993" i="1"/>
  <c r="E992" i="1"/>
  <c r="D991" i="1"/>
  <c r="C990" i="1"/>
  <c r="B989" i="1"/>
  <c r="A988" i="1"/>
  <c r="U986" i="1"/>
  <c r="R985" i="1"/>
  <c r="Q984" i="1"/>
  <c r="Q983" i="1"/>
  <c r="Q982" i="1"/>
  <c r="Q981" i="1"/>
  <c r="Q980" i="1"/>
  <c r="Q979" i="1"/>
  <c r="Q978" i="1"/>
  <c r="R977" i="1"/>
  <c r="R976" i="1"/>
  <c r="R975" i="1"/>
  <c r="N974" i="1"/>
  <c r="M973" i="1"/>
  <c r="L972" i="1"/>
  <c r="K971" i="1"/>
  <c r="J970" i="1"/>
  <c r="I969" i="1"/>
  <c r="J968" i="1"/>
  <c r="J967" i="1"/>
  <c r="J966" i="1"/>
  <c r="J965" i="1"/>
  <c r="H964" i="1"/>
  <c r="F963" i="1"/>
  <c r="F962" i="1"/>
  <c r="F961" i="1"/>
  <c r="D960" i="1"/>
  <c r="F959" i="1"/>
  <c r="E958" i="1"/>
  <c r="D957" i="1"/>
  <c r="B956" i="1"/>
  <c r="AA954" i="1"/>
  <c r="AA953" i="1"/>
  <c r="AA952" i="1"/>
  <c r="AA951" i="1"/>
  <c r="AA950" i="1"/>
  <c r="A950" i="1"/>
  <c r="B949" i="1"/>
  <c r="B948" i="1"/>
  <c r="B947" i="1"/>
  <c r="AA945" i="1"/>
  <c r="R944" i="1"/>
  <c r="P943" i="1"/>
  <c r="N942" i="1"/>
  <c r="L941" i="1"/>
  <c r="H940" i="1"/>
  <c r="F939" i="1"/>
  <c r="F938" i="1"/>
  <c r="F937" i="1"/>
  <c r="F936" i="1"/>
  <c r="U1605" i="1"/>
  <c r="B1562" i="1"/>
  <c r="K1523" i="1"/>
  <c r="K1495" i="1"/>
  <c r="K1476" i="1"/>
  <c r="C1459" i="1"/>
  <c r="AA1443" i="1"/>
  <c r="H1424" i="1"/>
  <c r="H1410" i="1"/>
  <c r="A1397" i="1"/>
  <c r="M1388" i="1"/>
  <c r="F1379" i="1"/>
  <c r="C1369" i="1"/>
  <c r="F1361" i="1"/>
  <c r="P1352" i="1"/>
  <c r="AA1343" i="1"/>
  <c r="F1335" i="1"/>
  <c r="Q1327" i="1"/>
  <c r="AA1319" i="1"/>
  <c r="G1312" i="1"/>
  <c r="Q1304" i="1"/>
  <c r="H1296" i="1"/>
  <c r="O1290" i="1"/>
  <c r="O1285" i="1"/>
  <c r="E1280" i="1"/>
  <c r="L1274" i="1"/>
  <c r="J1269" i="1"/>
  <c r="P1264" i="1"/>
  <c r="E1260" i="1"/>
  <c r="N1255" i="1"/>
  <c r="A1250" i="1"/>
  <c r="L1245" i="1"/>
  <c r="Q1240" i="1"/>
  <c r="L1236" i="1"/>
  <c r="N1230" i="1"/>
  <c r="E1226" i="1"/>
  <c r="H1221" i="1"/>
  <c r="A1217" i="1"/>
  <c r="M1212" i="1"/>
  <c r="F1207" i="1"/>
  <c r="A1204" i="1"/>
  <c r="N1200" i="1"/>
  <c r="Q1197" i="1"/>
  <c r="H1194" i="1"/>
  <c r="I1191" i="1"/>
  <c r="U1188" i="1"/>
  <c r="E1186" i="1"/>
  <c r="P1183" i="1"/>
  <c r="J1180" i="1"/>
  <c r="Q1177" i="1"/>
  <c r="E1175" i="1"/>
  <c r="J1172" i="1"/>
  <c r="G1169" i="1"/>
  <c r="P1166" i="1"/>
  <c r="R1163" i="1"/>
  <c r="G1161" i="1"/>
  <c r="Q1158" i="1"/>
  <c r="I1156" i="1"/>
  <c r="C1154" i="1"/>
  <c r="I1152" i="1"/>
  <c r="N1150" i="1"/>
  <c r="R1148" i="1"/>
  <c r="D1147" i="1"/>
  <c r="M1145" i="1"/>
  <c r="A1144" i="1"/>
  <c r="H1142" i="1"/>
  <c r="AA1140" i="1"/>
  <c r="L1139" i="1"/>
  <c r="B1138" i="1"/>
  <c r="L1136" i="1"/>
  <c r="Q1134" i="1"/>
  <c r="I1133" i="1"/>
  <c r="B1132" i="1"/>
  <c r="K1130" i="1"/>
  <c r="D1129" i="1"/>
  <c r="I1127" i="1"/>
  <c r="U1125" i="1"/>
  <c r="I1124" i="1"/>
  <c r="R1122" i="1"/>
  <c r="E1121" i="1"/>
  <c r="O1119" i="1"/>
  <c r="F1118" i="1"/>
  <c r="R1116" i="1"/>
  <c r="J1115" i="1"/>
  <c r="D1114" i="1"/>
  <c r="R1112" i="1"/>
  <c r="G1111" i="1"/>
  <c r="AA1109" i="1"/>
  <c r="L1108" i="1"/>
  <c r="F1107" i="1"/>
  <c r="A1106" i="1"/>
  <c r="N1104" i="1"/>
  <c r="D1103" i="1"/>
  <c r="Q1101" i="1"/>
  <c r="L1100" i="1"/>
  <c r="G1099" i="1"/>
  <c r="C1098" i="1"/>
  <c r="U1096" i="1"/>
  <c r="N1095" i="1"/>
  <c r="H1094" i="1"/>
  <c r="C1093" i="1"/>
  <c r="N1091" i="1"/>
  <c r="G1090" i="1"/>
  <c r="C1089" i="1"/>
  <c r="R1087" i="1"/>
  <c r="L1086" i="1"/>
  <c r="I1085" i="1"/>
  <c r="F1084" i="1"/>
  <c r="C1083" i="1"/>
  <c r="A1082" i="1"/>
  <c r="AA1080" i="1"/>
  <c r="S1079" i="1"/>
  <c r="S1078" i="1"/>
  <c r="S1077" i="1"/>
  <c r="S1076" i="1"/>
  <c r="O1075" i="1"/>
  <c r="L1074" i="1"/>
  <c r="J1073" i="1"/>
  <c r="J1072" i="1"/>
  <c r="N1071" i="1"/>
  <c r="R1070" i="1"/>
  <c r="Y1069" i="1"/>
  <c r="B1069" i="1"/>
  <c r="E1068" i="1"/>
  <c r="I1067" i="1"/>
  <c r="M1066" i="1"/>
  <c r="Q1065" i="1"/>
  <c r="X1064" i="1"/>
  <c r="B1064" i="1"/>
  <c r="G1063" i="1"/>
  <c r="L1062" i="1"/>
  <c r="Q1061" i="1"/>
  <c r="Q1060" i="1"/>
  <c r="Q1059" i="1"/>
  <c r="Q1058" i="1"/>
  <c r="Q1057" i="1"/>
  <c r="Q1056" i="1"/>
  <c r="Q1055" i="1"/>
  <c r="Q1054" i="1"/>
  <c r="O1053" i="1"/>
  <c r="N1052" i="1"/>
  <c r="M1051" i="1"/>
  <c r="L1050" i="1"/>
  <c r="K1049" i="1"/>
  <c r="K1048" i="1"/>
  <c r="K1047" i="1"/>
  <c r="K1046" i="1"/>
  <c r="K1045" i="1"/>
  <c r="L1044" i="1"/>
  <c r="M1043" i="1"/>
  <c r="N1042" i="1"/>
  <c r="O1041" i="1"/>
  <c r="P1040" i="1"/>
  <c r="Q1039" i="1"/>
  <c r="R1038" i="1"/>
  <c r="U1037" i="1"/>
  <c r="V1036" i="1"/>
  <c r="AA1035" i="1"/>
  <c r="A1035" i="1"/>
  <c r="B1034" i="1"/>
  <c r="C1033" i="1"/>
  <c r="D1032" i="1"/>
  <c r="D1031" i="1"/>
  <c r="E1030" i="1"/>
  <c r="F1029" i="1"/>
  <c r="F1028" i="1"/>
  <c r="F1027" i="1"/>
  <c r="G1026" i="1"/>
  <c r="G1025" i="1"/>
  <c r="G1024" i="1"/>
  <c r="G1023" i="1"/>
  <c r="G1022" i="1"/>
  <c r="H1021" i="1"/>
  <c r="I1020" i="1"/>
  <c r="I1019" i="1"/>
  <c r="G1018" i="1"/>
  <c r="G1017" i="1"/>
  <c r="G1016" i="1"/>
  <c r="G1015" i="1"/>
  <c r="F1014" i="1"/>
  <c r="D1013" i="1"/>
  <c r="C1012" i="1"/>
  <c r="C1011" i="1"/>
  <c r="C1010" i="1"/>
  <c r="A1009" i="1"/>
  <c r="A1008" i="1"/>
  <c r="A1007" i="1"/>
  <c r="AA1005" i="1"/>
  <c r="R1004" i="1"/>
  <c r="P1003" i="1"/>
  <c r="P1002" i="1"/>
  <c r="M1001" i="1"/>
  <c r="M1000" i="1"/>
  <c r="I999" i="1"/>
  <c r="G998" i="1"/>
  <c r="F997" i="1"/>
  <c r="E996" i="1"/>
  <c r="D995" i="1"/>
  <c r="C994" i="1"/>
  <c r="B993" i="1"/>
  <c r="A992" i="1"/>
  <c r="AA990" i="1"/>
  <c r="U989" i="1"/>
  <c r="R988" i="1"/>
  <c r="Q987" i="1"/>
  <c r="N986" i="1"/>
  <c r="M985" i="1"/>
  <c r="M984" i="1"/>
  <c r="M983" i="1"/>
  <c r="M982" i="1"/>
  <c r="M981" i="1"/>
  <c r="M980" i="1"/>
  <c r="M979" i="1"/>
  <c r="M978" i="1"/>
  <c r="M977" i="1"/>
  <c r="M976" i="1"/>
  <c r="L975" i="1"/>
  <c r="J974" i="1"/>
  <c r="I973" i="1"/>
  <c r="H972" i="1"/>
  <c r="G971" i="1"/>
  <c r="F970" i="1"/>
  <c r="E969" i="1"/>
  <c r="F968" i="1"/>
  <c r="F967" i="1"/>
  <c r="F966" i="1"/>
  <c r="F965" i="1"/>
  <c r="D964" i="1"/>
  <c r="B963" i="1"/>
  <c r="B962" i="1"/>
  <c r="B961" i="1"/>
  <c r="AA959" i="1"/>
  <c r="B959" i="1"/>
  <c r="A958" i="1"/>
  <c r="AA956" i="1"/>
  <c r="R955" i="1"/>
  <c r="P954" i="1"/>
  <c r="P953" i="1"/>
  <c r="P952" i="1"/>
  <c r="P951" i="1"/>
  <c r="Q950" i="1"/>
  <c r="R949" i="1"/>
  <c r="R948" i="1"/>
  <c r="U947" i="1"/>
  <c r="R946" i="1"/>
  <c r="P945" i="1"/>
  <c r="N944" i="1"/>
  <c r="L943" i="1"/>
  <c r="H942" i="1"/>
  <c r="F941" i="1"/>
  <c r="D940" i="1"/>
  <c r="B939" i="1"/>
  <c r="B938" i="1"/>
  <c r="B937" i="1"/>
  <c r="F1580" i="1"/>
  <c r="E1540" i="1"/>
  <c r="A1515" i="1"/>
  <c r="J1486" i="1"/>
  <c r="B1468" i="1"/>
  <c r="D1452" i="1"/>
  <c r="I1435" i="1"/>
  <c r="B1421" i="1"/>
  <c r="L1402" i="1"/>
  <c r="N1392" i="1"/>
  <c r="R1384" i="1"/>
  <c r="J1375" i="1"/>
  <c r="M1365" i="1"/>
  <c r="C1357" i="1"/>
  <c r="P1348" i="1"/>
  <c r="U1340" i="1"/>
  <c r="C1334" i="1"/>
  <c r="D1324" i="1"/>
  <c r="H1316" i="1"/>
  <c r="L1308" i="1"/>
  <c r="J1301" i="1"/>
  <c r="D1294" i="1"/>
  <c r="I1288" i="1"/>
  <c r="AA1282" i="1"/>
  <c r="A1278" i="1"/>
  <c r="G1273" i="1"/>
  <c r="G1267" i="1"/>
  <c r="Q1262" i="1"/>
  <c r="A1258" i="1"/>
  <c r="P1253" i="1"/>
  <c r="E1248" i="1"/>
  <c r="G1243" i="1"/>
  <c r="Q1238" i="1"/>
  <c r="E1234" i="1"/>
  <c r="P1229" i="1"/>
  <c r="A1224" i="1"/>
  <c r="M1219" i="1"/>
  <c r="Q1214" i="1"/>
  <c r="F1210" i="1"/>
  <c r="L1205" i="1"/>
  <c r="I1202" i="1"/>
  <c r="G1199" i="1"/>
  <c r="K1196" i="1"/>
  <c r="P1193" i="1"/>
  <c r="G1190" i="1"/>
  <c r="P1187" i="1"/>
  <c r="B1185" i="1"/>
  <c r="K1182" i="1"/>
  <c r="G1179" i="1"/>
  <c r="L1176" i="1"/>
  <c r="B1174" i="1"/>
  <c r="H1171" i="1"/>
  <c r="R1168" i="1"/>
  <c r="I1165" i="1"/>
  <c r="N1162" i="1"/>
  <c r="D1160" i="1"/>
  <c r="P1157" i="1"/>
  <c r="I1155" i="1"/>
  <c r="G1153" i="1"/>
  <c r="M1151" i="1"/>
  <c r="AA1149" i="1"/>
  <c r="G1148" i="1"/>
  <c r="I1146" i="1"/>
  <c r="AA1144" i="1"/>
  <c r="H1143" i="1"/>
  <c r="AA1141" i="1"/>
  <c r="I1140" i="1"/>
  <c r="U1138" i="1"/>
  <c r="J1137" i="1"/>
  <c r="R1135" i="1"/>
  <c r="H1134" i="1"/>
  <c r="U1132" i="1"/>
  <c r="H1131" i="1"/>
  <c r="AA1129" i="1"/>
  <c r="G1128" i="1"/>
  <c r="U1126" i="1"/>
  <c r="I1125" i="1"/>
  <c r="R1123" i="1"/>
  <c r="E1122" i="1"/>
  <c r="I1120" i="1"/>
  <c r="B1119" i="1"/>
  <c r="O1117" i="1"/>
  <c r="H1116" i="1"/>
  <c r="B1115" i="1"/>
  <c r="K1113" i="1"/>
  <c r="D1112" i="1"/>
  <c r="R1110" i="1"/>
  <c r="J1109" i="1"/>
  <c r="D1108" i="1"/>
  <c r="O1106" i="1"/>
  <c r="G1105" i="1"/>
  <c r="A1104" i="1"/>
  <c r="N1102" i="1"/>
  <c r="H1101" i="1"/>
  <c r="D1100" i="1"/>
  <c r="R1098" i="1"/>
  <c r="L1097" i="1"/>
  <c r="G1096" i="1"/>
  <c r="D1095" i="1"/>
  <c r="U1093" i="1"/>
  <c r="I1092" i="1"/>
  <c r="B1091" i="1"/>
  <c r="R1089" i="1"/>
  <c r="M1088" i="1"/>
  <c r="G1087" i="1"/>
  <c r="D1086" i="1"/>
  <c r="A1085" i="1"/>
  <c r="S1083" i="1"/>
  <c r="N1082" i="1"/>
  <c r="M1081" i="1"/>
  <c r="L1080" i="1"/>
  <c r="J1079" i="1"/>
  <c r="J1078" i="1"/>
  <c r="J1077" i="1"/>
  <c r="H1076" i="1"/>
  <c r="E1075" i="1"/>
  <c r="B1074" i="1"/>
  <c r="B1073" i="1"/>
  <c r="B1072" i="1"/>
  <c r="F1071" i="1"/>
  <c r="J1070" i="1"/>
  <c r="N1069" i="1"/>
  <c r="Q1068" i="1"/>
  <c r="V1067" i="1"/>
  <c r="A1067" i="1"/>
  <c r="E1066" i="1"/>
  <c r="I1065" i="1"/>
  <c r="N1064" i="1"/>
  <c r="T1063" i="1"/>
  <c r="Z1062" i="1"/>
  <c r="D1062" i="1"/>
  <c r="I1061" i="1"/>
  <c r="I1060" i="1"/>
  <c r="I1059" i="1"/>
  <c r="I1058" i="1"/>
  <c r="I1057" i="1"/>
  <c r="I1056" i="1"/>
  <c r="I1055" i="1"/>
  <c r="H1054" i="1"/>
  <c r="G1053" i="1"/>
  <c r="F1052" i="1"/>
  <c r="E1051" i="1"/>
  <c r="D1050" i="1"/>
  <c r="C1049" i="1"/>
  <c r="C1048" i="1"/>
  <c r="C1047" i="1"/>
  <c r="C1046" i="1"/>
  <c r="C1045" i="1"/>
  <c r="D1044" i="1"/>
  <c r="E1043" i="1"/>
  <c r="F1042" i="1"/>
  <c r="G1041" i="1"/>
  <c r="H1040" i="1"/>
  <c r="I1039" i="1"/>
  <c r="J1038" i="1"/>
  <c r="K1037" i="1"/>
  <c r="L1036" i="1"/>
  <c r="M1035" i="1"/>
  <c r="N1034" i="1"/>
  <c r="O1033" i="1"/>
  <c r="P1032" i="1"/>
  <c r="P1031" i="1"/>
  <c r="R1030" i="1"/>
  <c r="U1029" i="1"/>
  <c r="R1028" i="1"/>
  <c r="R1027" i="1"/>
  <c r="U1026" i="1"/>
  <c r="U1025" i="1"/>
  <c r="U1024" i="1"/>
  <c r="U1023" i="1"/>
  <c r="U1022" i="1"/>
  <c r="U1021" i="1"/>
  <c r="AA1020" i="1"/>
  <c r="A1020" i="1"/>
  <c r="A1019" i="1"/>
  <c r="U1017" i="1"/>
  <c r="U1016" i="1"/>
  <c r="U1015" i="1"/>
  <c r="U1014" i="1"/>
  <c r="R1013" i="1"/>
  <c r="O1012" i="1"/>
  <c r="O1011" i="1"/>
  <c r="O1010" i="1"/>
  <c r="O1009" i="1"/>
  <c r="M1008" i="1"/>
  <c r="M1007" i="1"/>
  <c r="G1563" i="1"/>
  <c r="C1504" i="1"/>
  <c r="H1459" i="1"/>
  <c r="A1428" i="1"/>
  <c r="L1397" i="1"/>
  <c r="D1380" i="1"/>
  <c r="C1362" i="1"/>
  <c r="R1344" i="1"/>
  <c r="A1330" i="1"/>
  <c r="O1312" i="1"/>
  <c r="A1299" i="1"/>
  <c r="AA1285" i="1"/>
  <c r="A1276" i="1"/>
  <c r="F1265" i="1"/>
  <c r="E1256" i="1"/>
  <c r="U1245" i="1"/>
  <c r="Q1236" i="1"/>
  <c r="N1227" i="1"/>
  <c r="E1217" i="1"/>
  <c r="H1208" i="1"/>
  <c r="U1200" i="1"/>
  <c r="F1195" i="1"/>
  <c r="C1189" i="1"/>
  <c r="U1183" i="1"/>
  <c r="A1178" i="1"/>
  <c r="N1172" i="1"/>
  <c r="M1167" i="1"/>
  <c r="J1161" i="1"/>
  <c r="N1156" i="1"/>
  <c r="N1152" i="1"/>
  <c r="C1149" i="1"/>
  <c r="U1145" i="1"/>
  <c r="P1142" i="1"/>
  <c r="P1139" i="1"/>
  <c r="R1136" i="1"/>
  <c r="L1133" i="1"/>
  <c r="P1130" i="1"/>
  <c r="R1127" i="1"/>
  <c r="L1124" i="1"/>
  <c r="H1121" i="1"/>
  <c r="K1118" i="1"/>
  <c r="N1115" i="1"/>
  <c r="A1113" i="1"/>
  <c r="D1110" i="1"/>
  <c r="I1107" i="1"/>
  <c r="R1104" i="1"/>
  <c r="A1102" i="1"/>
  <c r="J1099" i="1"/>
  <c r="B1097" i="1"/>
  <c r="N1094" i="1"/>
  <c r="AA1091" i="1"/>
  <c r="F1089" i="1"/>
  <c r="S1086" i="1"/>
  <c r="I1084" i="1"/>
  <c r="D1082" i="1"/>
  <c r="A1080" i="1"/>
  <c r="A1078" i="1"/>
  <c r="U1075" i="1"/>
  <c r="M1073" i="1"/>
  <c r="Q1071" i="1"/>
  <c r="A1070" i="1"/>
  <c r="H1068" i="1"/>
  <c r="P1066" i="1"/>
  <c r="AA1064" i="1"/>
  <c r="J1063" i="1"/>
  <c r="U1061" i="1"/>
  <c r="AA1059" i="1"/>
  <c r="AA1057" i="1"/>
  <c r="AA1055" i="1"/>
  <c r="U1053" i="1"/>
  <c r="Q1051" i="1"/>
  <c r="N1049" i="1"/>
  <c r="N1047" i="1"/>
  <c r="N1045" i="1"/>
  <c r="P1043" i="1"/>
  <c r="R1041" i="1"/>
  <c r="V1039" i="1"/>
  <c r="A1038" i="1"/>
  <c r="C1036" i="1"/>
  <c r="E1034" i="1"/>
  <c r="G1032" i="1"/>
  <c r="H1030" i="1"/>
  <c r="I1028" i="1"/>
  <c r="J1026" i="1"/>
  <c r="J1024" i="1"/>
  <c r="J1022" i="1"/>
  <c r="L1020" i="1"/>
  <c r="L1018" i="1"/>
  <c r="J1016" i="1"/>
  <c r="A1015" i="1"/>
  <c r="C1013" i="1"/>
  <c r="L1011" i="1"/>
  <c r="B1010" i="1"/>
  <c r="N1008" i="1"/>
  <c r="C1007" i="1"/>
  <c r="O1005" i="1"/>
  <c r="H1004" i="1"/>
  <c r="C1003" i="1"/>
  <c r="O1001" i="1"/>
  <c r="I1000" i="1"/>
  <c r="D999" i="1"/>
  <c r="U997" i="1"/>
  <c r="N996" i="1"/>
  <c r="J995" i="1"/>
  <c r="D994" i="1"/>
  <c r="U992" i="1"/>
  <c r="N991" i="1"/>
  <c r="J990" i="1"/>
  <c r="F989" i="1"/>
  <c r="AA987" i="1"/>
  <c r="M986" i="1"/>
  <c r="I985" i="1"/>
  <c r="F984" i="1"/>
  <c r="C983" i="1"/>
  <c r="AA981" i="1"/>
  <c r="O980" i="1"/>
  <c r="K979" i="1"/>
  <c r="H978" i="1"/>
  <c r="E977" i="1"/>
  <c r="B976" i="1"/>
  <c r="R974" i="1"/>
  <c r="J973" i="1"/>
  <c r="E972" i="1"/>
  <c r="A971" i="1"/>
  <c r="R969" i="1"/>
  <c r="N968" i="1"/>
  <c r="I967" i="1"/>
  <c r="E966" i="1"/>
  <c r="B965" i="1"/>
  <c r="Q963" i="1"/>
  <c r="L962" i="1"/>
  <c r="I961" i="1"/>
  <c r="B960" i="1"/>
  <c r="AA958" i="1"/>
  <c r="O957" i="1"/>
  <c r="L956" i="1"/>
  <c r="E955" i="1"/>
  <c r="B954" i="1"/>
  <c r="Q952" i="1"/>
  <c r="M951" i="1"/>
  <c r="K950" i="1"/>
  <c r="I949" i="1"/>
  <c r="F948" i="1"/>
  <c r="A947" i="1"/>
  <c r="O945" i="1"/>
  <c r="H944" i="1"/>
  <c r="C943" i="1"/>
  <c r="R941" i="1"/>
  <c r="M940" i="1"/>
  <c r="D939" i="1"/>
  <c r="AA937" i="1"/>
  <c r="Q936" i="1"/>
  <c r="O935" i="1"/>
  <c r="O934" i="1"/>
  <c r="O933" i="1"/>
  <c r="O932" i="1"/>
  <c r="O931" i="1"/>
  <c r="O930" i="1"/>
  <c r="N929" i="1"/>
  <c r="N928" i="1"/>
  <c r="N927" i="1"/>
  <c r="L926" i="1"/>
  <c r="L925" i="1"/>
  <c r="H924" i="1"/>
  <c r="F923" i="1"/>
  <c r="D922" i="1"/>
  <c r="B921" i="1"/>
  <c r="AA919" i="1"/>
  <c r="R918" i="1"/>
  <c r="R917" i="1"/>
  <c r="P916" i="1"/>
  <c r="P915" i="1"/>
  <c r="N914" i="1"/>
  <c r="L913" i="1"/>
  <c r="J912" i="1"/>
  <c r="H911" i="1"/>
  <c r="I910" i="1"/>
  <c r="I909" i="1"/>
  <c r="I908" i="1"/>
  <c r="I907" i="1"/>
  <c r="I906" i="1"/>
  <c r="I905" i="1"/>
  <c r="I904" i="1"/>
  <c r="G903" i="1"/>
  <c r="H902" i="1"/>
  <c r="G901" i="1"/>
  <c r="F900" i="1"/>
  <c r="F899" i="1"/>
  <c r="F898" i="1"/>
  <c r="F897" i="1"/>
  <c r="D1562" i="1"/>
  <c r="G1501" i="1"/>
  <c r="G1459" i="1"/>
  <c r="J1427" i="1"/>
  <c r="D1397" i="1"/>
  <c r="R1379" i="1"/>
  <c r="A1362" i="1"/>
  <c r="N1344" i="1"/>
  <c r="D1328" i="1"/>
  <c r="N1312" i="1"/>
  <c r="E1298" i="1"/>
  <c r="U1285" i="1"/>
  <c r="AA1275" i="1"/>
  <c r="D1265" i="1"/>
  <c r="D1256" i="1"/>
  <c r="Q1245" i="1"/>
  <c r="N1236" i="1"/>
  <c r="I1226" i="1"/>
  <c r="C1217" i="1"/>
  <c r="G1208" i="1"/>
  <c r="R1200" i="1"/>
  <c r="C1195" i="1"/>
  <c r="A1189" i="1"/>
  <c r="R1183" i="1"/>
  <c r="AA1177" i="1"/>
  <c r="M1172" i="1"/>
  <c r="U1166" i="1"/>
  <c r="I1161" i="1"/>
  <c r="K1156" i="1"/>
  <c r="K1152" i="1"/>
  <c r="B1149" i="1"/>
  <c r="P1145" i="1"/>
  <c r="L1142" i="1"/>
  <c r="N1139" i="1"/>
  <c r="Q1136" i="1"/>
  <c r="K1133" i="1"/>
  <c r="N1130" i="1"/>
  <c r="Q1127" i="1"/>
  <c r="K1124" i="1"/>
  <c r="G1121" i="1"/>
  <c r="H1118" i="1"/>
  <c r="L1115" i="1"/>
  <c r="AA1112" i="1"/>
  <c r="C1110" i="1"/>
  <c r="H1107" i="1"/>
  <c r="Q1104" i="1"/>
  <c r="AA1101" i="1"/>
  <c r="I1099" i="1"/>
  <c r="A1097" i="1"/>
  <c r="L1094" i="1"/>
  <c r="U1091" i="1"/>
  <c r="E1089" i="1"/>
  <c r="R1086" i="1"/>
  <c r="H1084" i="1"/>
  <c r="C1082" i="1"/>
  <c r="AA1079" i="1"/>
  <c r="AA1077" i="1"/>
  <c r="R1075" i="1"/>
  <c r="L1073" i="1"/>
  <c r="P1071" i="1"/>
  <c r="AA1069" i="1"/>
  <c r="G1068" i="1"/>
  <c r="O1066" i="1"/>
  <c r="Z1064" i="1"/>
  <c r="I1063" i="1"/>
  <c r="T1061" i="1"/>
  <c r="U1059" i="1"/>
  <c r="U1057" i="1"/>
  <c r="U1055" i="1"/>
  <c r="R1053" i="1"/>
  <c r="O1051" i="1"/>
  <c r="M1049" i="1"/>
  <c r="M1047" i="1"/>
  <c r="M1045" i="1"/>
  <c r="O1043" i="1"/>
  <c r="Q1041" i="1"/>
  <c r="U1039" i="1"/>
  <c r="AA1037" i="1"/>
  <c r="B1036" i="1"/>
  <c r="D1034" i="1"/>
  <c r="F1032" i="1"/>
  <c r="G1030" i="1"/>
  <c r="H1028" i="1"/>
  <c r="I1026" i="1"/>
  <c r="I1024" i="1"/>
  <c r="I1022" i="1"/>
  <c r="K1020" i="1"/>
  <c r="I1018" i="1"/>
  <c r="I1016" i="1"/>
  <c r="AA1014" i="1"/>
  <c r="B1013" i="1"/>
  <c r="J1011" i="1"/>
  <c r="A1010" i="1"/>
  <c r="K1008" i="1"/>
  <c r="B1007" i="1"/>
  <c r="N1005" i="1"/>
  <c r="F1004" i="1"/>
  <c r="B1003" i="1"/>
  <c r="N1001" i="1"/>
  <c r="H1000" i="1"/>
  <c r="C999" i="1"/>
  <c r="R997" i="1"/>
  <c r="M996" i="1"/>
  <c r="G995" i="1"/>
  <c r="B994" i="1"/>
  <c r="R992" i="1"/>
  <c r="M991" i="1"/>
  <c r="I990" i="1"/>
  <c r="E989" i="1"/>
  <c r="U987" i="1"/>
  <c r="L986" i="1"/>
  <c r="H985" i="1"/>
  <c r="E984" i="1"/>
  <c r="B983" i="1"/>
  <c r="U981" i="1"/>
  <c r="N980" i="1"/>
  <c r="J979" i="1"/>
  <c r="G978" i="1"/>
  <c r="D977" i="1"/>
  <c r="A976" i="1"/>
  <c r="M974" i="1"/>
  <c r="H973" i="1"/>
  <c r="D972" i="1"/>
  <c r="AA970" i="1"/>
  <c r="Q969" i="1"/>
  <c r="M968" i="1"/>
  <c r="H967" i="1"/>
  <c r="D966" i="1"/>
  <c r="A965" i="1"/>
  <c r="P963" i="1"/>
  <c r="K962" i="1"/>
  <c r="H961" i="1"/>
  <c r="A960" i="1"/>
  <c r="U958" i="1"/>
  <c r="N957" i="1"/>
  <c r="I956" i="1"/>
  <c r="D955" i="1"/>
  <c r="U953" i="1"/>
  <c r="O952" i="1"/>
  <c r="L951" i="1"/>
  <c r="J950" i="1"/>
  <c r="H949" i="1"/>
  <c r="E948" i="1"/>
  <c r="AA946" i="1"/>
  <c r="N945" i="1"/>
  <c r="G944" i="1"/>
  <c r="B943" i="1"/>
  <c r="Q941" i="1"/>
  <c r="L940" i="1"/>
  <c r="C939" i="1"/>
  <c r="U937" i="1"/>
  <c r="P936" i="1"/>
  <c r="N935" i="1"/>
  <c r="N934" i="1"/>
  <c r="N933" i="1"/>
  <c r="N932" i="1"/>
  <c r="N931" i="1"/>
  <c r="N930" i="1"/>
  <c r="M929" i="1"/>
  <c r="M928" i="1"/>
  <c r="M927" i="1"/>
  <c r="K926" i="1"/>
  <c r="I925" i="1"/>
  <c r="G924" i="1"/>
  <c r="E923" i="1"/>
  <c r="C922" i="1"/>
  <c r="A921" i="1"/>
  <c r="U919" i="1"/>
  <c r="Q918" i="1"/>
  <c r="Q917" i="1"/>
  <c r="O916" i="1"/>
  <c r="O915" i="1"/>
  <c r="M914" i="1"/>
  <c r="I913" i="1"/>
  <c r="I912" i="1"/>
  <c r="G911" i="1"/>
  <c r="H910" i="1"/>
  <c r="H909" i="1"/>
  <c r="H908" i="1"/>
  <c r="H907" i="1"/>
  <c r="H906" i="1"/>
  <c r="C1562" i="1"/>
  <c r="L1495" i="1"/>
  <c r="E1459" i="1"/>
  <c r="I1427" i="1"/>
  <c r="B1397" i="1"/>
  <c r="Q1379" i="1"/>
  <c r="L1361" i="1"/>
  <c r="L1344" i="1"/>
  <c r="C1328" i="1"/>
  <c r="L1312" i="1"/>
  <c r="L1296" i="1"/>
  <c r="Q1285" i="1"/>
  <c r="L1275" i="1"/>
  <c r="C1265" i="1"/>
  <c r="B1256" i="1"/>
  <c r="N1245" i="1"/>
  <c r="M1236" i="1"/>
  <c r="H1226" i="1"/>
  <c r="B1217" i="1"/>
  <c r="G1207" i="1"/>
  <c r="Q1200" i="1"/>
  <c r="B1195" i="1"/>
  <c r="AA1188" i="1"/>
  <c r="Q1183" i="1"/>
  <c r="R1177" i="1"/>
  <c r="L1172" i="1"/>
  <c r="R1166" i="1"/>
  <c r="H1161" i="1"/>
  <c r="J1156" i="1"/>
  <c r="J1152" i="1"/>
  <c r="U1148" i="1"/>
  <c r="N1145" i="1"/>
  <c r="J1142" i="1"/>
  <c r="M1139" i="1"/>
  <c r="P1136" i="1"/>
  <c r="J1133" i="1"/>
  <c r="L1130" i="1"/>
  <c r="J1127" i="1"/>
  <c r="J1124" i="1"/>
  <c r="F1121" i="1"/>
  <c r="G1118" i="1"/>
  <c r="K1115" i="1"/>
  <c r="U1112" i="1"/>
  <c r="B1110" i="1"/>
  <c r="G1107" i="1"/>
  <c r="O1104" i="1"/>
  <c r="R1101" i="1"/>
  <c r="H1099" i="1"/>
  <c r="AA1096" i="1"/>
  <c r="I1094" i="1"/>
  <c r="R1091" i="1"/>
  <c r="D1089" i="1"/>
  <c r="M1086" i="1"/>
  <c r="G1084" i="1"/>
  <c r="B1082" i="1"/>
  <c r="U1079" i="1"/>
  <c r="U1077" i="1"/>
  <c r="Q1075" i="1"/>
  <c r="K1073" i="1"/>
  <c r="O1071" i="1"/>
  <c r="Z1069" i="1"/>
  <c r="F1068" i="1"/>
  <c r="N1066" i="1"/>
  <c r="Y1064" i="1"/>
  <c r="H1063" i="1"/>
  <c r="R1061" i="1"/>
  <c r="R1059" i="1"/>
  <c r="R1057" i="1"/>
  <c r="R1055" i="1"/>
  <c r="Q1053" i="1"/>
  <c r="N1051" i="1"/>
  <c r="L1049" i="1"/>
  <c r="L1047" i="1"/>
  <c r="L1045" i="1"/>
  <c r="N1043" i="1"/>
  <c r="P1041" i="1"/>
  <c r="R1039" i="1"/>
  <c r="V1037" i="1"/>
  <c r="A1036" i="1"/>
  <c r="C1034" i="1"/>
  <c r="E1032" i="1"/>
  <c r="F1030" i="1"/>
  <c r="G1028" i="1"/>
  <c r="H1026" i="1"/>
  <c r="H1024" i="1"/>
  <c r="H1022" i="1"/>
  <c r="J1020" i="1"/>
  <c r="H1018" i="1"/>
  <c r="H1016" i="1"/>
  <c r="N1014" i="1"/>
  <c r="A1013" i="1"/>
  <c r="I1011" i="1"/>
  <c r="AA1009" i="1"/>
  <c r="J1008" i="1"/>
  <c r="AA1006" i="1"/>
  <c r="M1005" i="1"/>
  <c r="E1004" i="1"/>
  <c r="U1002" i="1"/>
  <c r="L1001" i="1"/>
  <c r="G1000" i="1"/>
  <c r="B999" i="1"/>
  <c r="Q997" i="1"/>
  <c r="L996" i="1"/>
  <c r="F995" i="1"/>
  <c r="A994" i="1"/>
  <c r="Q992" i="1"/>
  <c r="L991" i="1"/>
  <c r="H990" i="1"/>
  <c r="D989" i="1"/>
  <c r="R987" i="1"/>
  <c r="K986" i="1"/>
  <c r="G985" i="1"/>
  <c r="D984" i="1"/>
  <c r="A983" i="1"/>
  <c r="P981" i="1"/>
  <c r="L980" i="1"/>
  <c r="I979" i="1"/>
  <c r="F978" i="1"/>
  <c r="C977" i="1"/>
  <c r="AA975" i="1"/>
  <c r="L974" i="1"/>
  <c r="G973" i="1"/>
  <c r="C972" i="1"/>
  <c r="U970" i="1"/>
  <c r="P969" i="1"/>
  <c r="L968" i="1"/>
  <c r="G967" i="1"/>
  <c r="C966" i="1"/>
  <c r="AA964" i="1"/>
  <c r="O963" i="1"/>
  <c r="J962" i="1"/>
  <c r="E961" i="1"/>
  <c r="X959" i="1"/>
  <c r="R958" i="1"/>
  <c r="M957" i="1"/>
  <c r="H956" i="1"/>
  <c r="C955" i="1"/>
  <c r="R953" i="1"/>
  <c r="N952" i="1"/>
  <c r="K951" i="1"/>
  <c r="I950" i="1"/>
  <c r="G949" i="1"/>
  <c r="D948" i="1"/>
  <c r="U946" i="1"/>
  <c r="M945" i="1"/>
  <c r="F944" i="1"/>
  <c r="A943" i="1"/>
  <c r="P941" i="1"/>
  <c r="G940" i="1"/>
  <c r="A939" i="1"/>
  <c r="R937" i="1"/>
  <c r="O936" i="1"/>
  <c r="M935" i="1"/>
  <c r="M934" i="1"/>
  <c r="M933" i="1"/>
  <c r="M932" i="1"/>
  <c r="M931" i="1"/>
  <c r="M930" i="1"/>
  <c r="L929" i="1"/>
  <c r="L928" i="1"/>
  <c r="L927" i="1"/>
  <c r="J926" i="1"/>
  <c r="H925" i="1"/>
  <c r="F924" i="1"/>
  <c r="D923" i="1"/>
  <c r="B922" i="1"/>
  <c r="AA920" i="1"/>
  <c r="R919" i="1"/>
  <c r="P918" i="1"/>
  <c r="P917" i="1"/>
  <c r="N916" i="1"/>
  <c r="N915" i="1"/>
  <c r="L914" i="1"/>
  <c r="H913" i="1"/>
  <c r="H912" i="1"/>
  <c r="F1557" i="1"/>
  <c r="G1495" i="1"/>
  <c r="B1459" i="1"/>
  <c r="G1424" i="1"/>
  <c r="O1396" i="1"/>
  <c r="R1376" i="1"/>
  <c r="E1361" i="1"/>
  <c r="R1343" i="1"/>
  <c r="D1327" i="1"/>
  <c r="C1312" i="1"/>
  <c r="B1296" i="1"/>
  <c r="N1285" i="1"/>
  <c r="D1274" i="1"/>
  <c r="K1264" i="1"/>
  <c r="Q1254" i="1"/>
  <c r="E1245" i="1"/>
  <c r="C1236" i="1"/>
  <c r="D1226" i="1"/>
  <c r="AA1216" i="1"/>
  <c r="D1207" i="1"/>
  <c r="L1200" i="1"/>
  <c r="G1194" i="1"/>
  <c r="R1188" i="1"/>
  <c r="AA1182" i="1"/>
  <c r="P1177" i="1"/>
  <c r="I1172" i="1"/>
  <c r="N1166" i="1"/>
  <c r="F1161" i="1"/>
  <c r="H1156" i="1"/>
  <c r="E1152" i="1"/>
  <c r="Q1148" i="1"/>
  <c r="K1145" i="1"/>
  <c r="G1142" i="1"/>
  <c r="I1139" i="1"/>
  <c r="I1136" i="1"/>
  <c r="H1133" i="1"/>
  <c r="J1130" i="1"/>
  <c r="H1127" i="1"/>
  <c r="H1124" i="1"/>
  <c r="D1121" i="1"/>
  <c r="D1118" i="1"/>
  <c r="I1115" i="1"/>
  <c r="Q1112" i="1"/>
  <c r="U1109" i="1"/>
  <c r="E1107" i="1"/>
  <c r="M1104" i="1"/>
  <c r="P1101" i="1"/>
  <c r="F1099" i="1"/>
  <c r="R1096" i="1"/>
  <c r="G1094" i="1"/>
  <c r="L1091" i="1"/>
  <c r="A1089" i="1"/>
  <c r="K1086" i="1"/>
  <c r="E1084" i="1"/>
  <c r="AA1081" i="1"/>
  <c r="R1079" i="1"/>
  <c r="R1077" i="1"/>
  <c r="N1075" i="1"/>
  <c r="I1073" i="1"/>
  <c r="M1071" i="1"/>
  <c r="V1069" i="1"/>
  <c r="D1068" i="1"/>
  <c r="L1066" i="1"/>
  <c r="V1064" i="1"/>
  <c r="F1063" i="1"/>
  <c r="P1061" i="1"/>
  <c r="P1059" i="1"/>
  <c r="P1057" i="1"/>
  <c r="P1055" i="1"/>
  <c r="N1053" i="1"/>
  <c r="L1051" i="1"/>
  <c r="J1049" i="1"/>
  <c r="J1047" i="1"/>
  <c r="J1045" i="1"/>
  <c r="L1043" i="1"/>
  <c r="N1041" i="1"/>
  <c r="P1039" i="1"/>
  <c r="R1037" i="1"/>
  <c r="V1035" i="1"/>
  <c r="A1034" i="1"/>
  <c r="C1032" i="1"/>
  <c r="D1030" i="1"/>
  <c r="E1028" i="1"/>
  <c r="F1026" i="1"/>
  <c r="F1024" i="1"/>
  <c r="F1022" i="1"/>
  <c r="H1020" i="1"/>
  <c r="F1018" i="1"/>
  <c r="F1016" i="1"/>
  <c r="M1014" i="1"/>
  <c r="AA1012" i="1"/>
  <c r="F1011" i="1"/>
  <c r="U1009" i="1"/>
  <c r="H1008" i="1"/>
  <c r="U1006" i="1"/>
  <c r="L1005" i="1"/>
  <c r="D1004" i="1"/>
  <c r="R1002" i="1"/>
  <c r="K1001" i="1"/>
  <c r="F1000" i="1"/>
  <c r="A999" i="1"/>
  <c r="O997" i="1"/>
  <c r="K996" i="1"/>
  <c r="E995" i="1"/>
  <c r="AA993" i="1"/>
  <c r="O992" i="1"/>
  <c r="K991" i="1"/>
  <c r="G990" i="1"/>
  <c r="A989" i="1"/>
  <c r="P987" i="1"/>
  <c r="J986" i="1"/>
  <c r="F985" i="1"/>
  <c r="C984" i="1"/>
  <c r="AA982" i="1"/>
  <c r="O981" i="1"/>
  <c r="K980" i="1"/>
  <c r="H979" i="1"/>
  <c r="E978" i="1"/>
  <c r="B977" i="1"/>
  <c r="X975" i="1"/>
  <c r="K974" i="1"/>
  <c r="F973" i="1"/>
  <c r="B972" i="1"/>
  <c r="R970" i="1"/>
  <c r="O969" i="1"/>
  <c r="I968" i="1"/>
  <c r="E967" i="1"/>
  <c r="B966" i="1"/>
  <c r="U964" i="1"/>
  <c r="N963" i="1"/>
  <c r="I962" i="1"/>
  <c r="D961" i="1"/>
  <c r="U959" i="1"/>
  <c r="Q958" i="1"/>
  <c r="L957" i="1"/>
  <c r="G956" i="1"/>
  <c r="B955" i="1"/>
  <c r="Q953" i="1"/>
  <c r="M952" i="1"/>
  <c r="J951" i="1"/>
  <c r="H950" i="1"/>
  <c r="F949" i="1"/>
  <c r="A948" i="1"/>
  <c r="Q946" i="1"/>
  <c r="L945" i="1"/>
  <c r="E944" i="1"/>
  <c r="AA942" i="1"/>
  <c r="O941" i="1"/>
  <c r="F940" i="1"/>
  <c r="AA938" i="1"/>
  <c r="Q937" i="1"/>
  <c r="N936" i="1"/>
  <c r="L935" i="1"/>
  <c r="L934" i="1"/>
  <c r="L933" i="1"/>
  <c r="L932" i="1"/>
  <c r="L931" i="1"/>
  <c r="L930" i="1"/>
  <c r="K929" i="1"/>
  <c r="K928" i="1"/>
  <c r="K927" i="1"/>
  <c r="I926" i="1"/>
  <c r="G925" i="1"/>
  <c r="E924" i="1"/>
  <c r="C923" i="1"/>
  <c r="A922" i="1"/>
  <c r="U920" i="1"/>
  <c r="Q919" i="1"/>
  <c r="O918" i="1"/>
  <c r="O917" i="1"/>
  <c r="M916" i="1"/>
  <c r="M915" i="1"/>
  <c r="I914" i="1"/>
  <c r="G913" i="1"/>
  <c r="G912" i="1"/>
  <c r="E911" i="1"/>
  <c r="F910" i="1"/>
  <c r="F909" i="1"/>
  <c r="F908" i="1"/>
  <c r="F907" i="1"/>
  <c r="F906" i="1"/>
  <c r="F905" i="1"/>
  <c r="F904" i="1"/>
  <c r="G1555" i="1"/>
  <c r="E1495" i="1"/>
  <c r="O1456" i="1"/>
  <c r="C1424" i="1"/>
  <c r="G1396" i="1"/>
  <c r="K1376" i="1"/>
  <c r="D1361" i="1"/>
  <c r="A1342" i="1"/>
  <c r="AA1326" i="1"/>
  <c r="B1312" i="1"/>
  <c r="A1296" i="1"/>
  <c r="D1285" i="1"/>
  <c r="U1273" i="1"/>
  <c r="I1264" i="1"/>
  <c r="G1254" i="1"/>
  <c r="B1245" i="1"/>
  <c r="E1235" i="1"/>
  <c r="Q1225" i="1"/>
  <c r="R1216" i="1"/>
  <c r="AA1206" i="1"/>
  <c r="I1200" i="1"/>
  <c r="E1194" i="1"/>
  <c r="Q1188" i="1"/>
  <c r="X1182" i="1"/>
  <c r="N1177" i="1"/>
  <c r="U1171" i="1"/>
  <c r="M1166" i="1"/>
  <c r="E1161" i="1"/>
  <c r="G1156" i="1"/>
  <c r="C1152" i="1"/>
  <c r="P1148" i="1"/>
  <c r="I1145" i="1"/>
  <c r="F1142" i="1"/>
  <c r="H1139" i="1"/>
  <c r="H1136" i="1"/>
  <c r="G1133" i="1"/>
  <c r="I1130" i="1"/>
  <c r="E1127" i="1"/>
  <c r="G1124" i="1"/>
  <c r="C1121" i="1"/>
  <c r="C1118" i="1"/>
  <c r="H1115" i="1"/>
  <c r="O1112" i="1"/>
  <c r="R1109" i="1"/>
  <c r="D1107" i="1"/>
  <c r="H1104" i="1"/>
  <c r="O1101" i="1"/>
  <c r="E1099" i="1"/>
  <c r="Q1096" i="1"/>
  <c r="F1094" i="1"/>
  <c r="I1091" i="1"/>
  <c r="AA1088" i="1"/>
  <c r="J1086" i="1"/>
  <c r="D1084" i="1"/>
  <c r="U1081" i="1"/>
  <c r="Q1079" i="1"/>
  <c r="Q1077" i="1"/>
  <c r="M1075" i="1"/>
  <c r="H1073" i="1"/>
  <c r="L1071" i="1"/>
  <c r="U1069" i="1"/>
  <c r="C1068" i="1"/>
  <c r="K1066" i="1"/>
  <c r="U1064" i="1"/>
  <c r="E1063" i="1"/>
  <c r="O1061" i="1"/>
  <c r="O1059" i="1"/>
  <c r="O1057" i="1"/>
  <c r="O1055" i="1"/>
  <c r="M1053" i="1"/>
  <c r="K1051" i="1"/>
  <c r="I1049" i="1"/>
  <c r="I1047" i="1"/>
  <c r="I1045" i="1"/>
  <c r="K1043" i="1"/>
  <c r="M1041" i="1"/>
  <c r="O1039" i="1"/>
  <c r="Q1037" i="1"/>
  <c r="U1035" i="1"/>
  <c r="AA1033" i="1"/>
  <c r="B1032" i="1"/>
  <c r="C1030" i="1"/>
  <c r="D1028" i="1"/>
  <c r="E1026" i="1"/>
  <c r="E1024" i="1"/>
  <c r="E1022" i="1"/>
  <c r="G1020" i="1"/>
  <c r="E1018" i="1"/>
  <c r="E1016" i="1"/>
  <c r="I1014" i="1"/>
  <c r="U1012" i="1"/>
  <c r="E1011" i="1"/>
  <c r="R1009" i="1"/>
  <c r="G1008" i="1"/>
  <c r="R1006" i="1"/>
  <c r="K1005" i="1"/>
  <c r="C1004" i="1"/>
  <c r="Q1002" i="1"/>
  <c r="J1001" i="1"/>
  <c r="E1000" i="1"/>
  <c r="AA998" i="1"/>
  <c r="N997" i="1"/>
  <c r="H996" i="1"/>
  <c r="C995" i="1"/>
  <c r="U993" i="1"/>
  <c r="N992" i="1"/>
  <c r="J991" i="1"/>
  <c r="F990" i="1"/>
  <c r="AA988" i="1"/>
  <c r="O987" i="1"/>
  <c r="I986" i="1"/>
  <c r="E985" i="1"/>
  <c r="B984" i="1"/>
  <c r="U982" i="1"/>
  <c r="N981" i="1"/>
  <c r="J980" i="1"/>
  <c r="G979" i="1"/>
  <c r="D978" i="1"/>
  <c r="A977" i="1"/>
  <c r="Q975" i="1"/>
  <c r="I974" i="1"/>
  <c r="E973" i="1"/>
  <c r="A972" i="1"/>
  <c r="Q970" i="1"/>
  <c r="N969" i="1"/>
  <c r="H968" i="1"/>
  <c r="D967" i="1"/>
  <c r="A966" i="1"/>
  <c r="R964" i="1"/>
  <c r="M963" i="1"/>
  <c r="H962" i="1"/>
  <c r="C961" i="1"/>
  <c r="S959" i="1"/>
  <c r="O958" i="1"/>
  <c r="K957" i="1"/>
  <c r="F956" i="1"/>
  <c r="U954" i="1"/>
  <c r="O953" i="1"/>
  <c r="L952" i="1"/>
  <c r="I951" i="1"/>
  <c r="G950" i="1"/>
  <c r="E949" i="1"/>
  <c r="AA947" i="1"/>
  <c r="P946" i="1"/>
  <c r="I945" i="1"/>
  <c r="D944" i="1"/>
  <c r="U942" i="1"/>
  <c r="N941" i="1"/>
  <c r="E940" i="1"/>
  <c r="U938" i="1"/>
  <c r="P937" i="1"/>
  <c r="M936" i="1"/>
  <c r="K935" i="1"/>
  <c r="K934" i="1"/>
  <c r="K933" i="1"/>
  <c r="K932" i="1"/>
  <c r="K931" i="1"/>
  <c r="I930" i="1"/>
  <c r="J929" i="1"/>
  <c r="J928" i="1"/>
  <c r="J927" i="1"/>
  <c r="H926" i="1"/>
  <c r="F925" i="1"/>
  <c r="D924" i="1"/>
  <c r="B923" i="1"/>
  <c r="AA921" i="1"/>
  <c r="R920" i="1"/>
  <c r="P919" i="1"/>
  <c r="N918" i="1"/>
  <c r="N917" i="1"/>
  <c r="L916" i="1"/>
  <c r="L915" i="1"/>
  <c r="H914" i="1"/>
  <c r="J1546" i="1"/>
  <c r="D1495" i="1"/>
  <c r="N1456" i="1"/>
  <c r="N1422" i="1"/>
  <c r="F1396" i="1"/>
  <c r="A1376" i="1"/>
  <c r="C1361" i="1"/>
  <c r="AA1341" i="1"/>
  <c r="U1326" i="1"/>
  <c r="G1310" i="1"/>
  <c r="U1295" i="1"/>
  <c r="U1284" i="1"/>
  <c r="R1273" i="1"/>
  <c r="H1264" i="1"/>
  <c r="C1254" i="1"/>
  <c r="AA1244" i="1"/>
  <c r="R1234" i="1"/>
  <c r="K1225" i="1"/>
  <c r="M1215" i="1"/>
  <c r="U1206" i="1"/>
  <c r="H1200" i="1"/>
  <c r="D1194" i="1"/>
  <c r="P1188" i="1"/>
  <c r="R1182" i="1"/>
  <c r="L1177" i="1"/>
  <c r="R1171" i="1"/>
  <c r="L1166" i="1"/>
  <c r="J1160" i="1"/>
  <c r="F1156" i="1"/>
  <c r="B1152" i="1"/>
  <c r="N1148" i="1"/>
  <c r="H1145" i="1"/>
  <c r="E1142" i="1"/>
  <c r="G1139" i="1"/>
  <c r="D1136" i="1"/>
  <c r="F1133" i="1"/>
  <c r="H1130" i="1"/>
  <c r="D1127" i="1"/>
  <c r="D1124" i="1"/>
  <c r="B1121" i="1"/>
  <c r="A1118" i="1"/>
  <c r="G1115" i="1"/>
  <c r="K1112" i="1"/>
  <c r="Q1109" i="1"/>
  <c r="C1107" i="1"/>
  <c r="G1104" i="1"/>
  <c r="N1101" i="1"/>
  <c r="D1099" i="1"/>
  <c r="O1096" i="1"/>
  <c r="E1094" i="1"/>
  <c r="G1091" i="1"/>
  <c r="U1088" i="1"/>
  <c r="I1086" i="1"/>
  <c r="C1084" i="1"/>
  <c r="S1081" i="1"/>
  <c r="O1079" i="1"/>
  <c r="O1077" i="1"/>
  <c r="L1075" i="1"/>
  <c r="G1073" i="1"/>
  <c r="K1071" i="1"/>
  <c r="T1069" i="1"/>
  <c r="B1068" i="1"/>
  <c r="J1066" i="1"/>
  <c r="T1064" i="1"/>
  <c r="D1063" i="1"/>
  <c r="N1061" i="1"/>
  <c r="N1059" i="1"/>
  <c r="N1057" i="1"/>
  <c r="N1055" i="1"/>
  <c r="L1053" i="1"/>
  <c r="J1051" i="1"/>
  <c r="H1049" i="1"/>
  <c r="H1047" i="1"/>
  <c r="H1045" i="1"/>
  <c r="J1043" i="1"/>
  <c r="L1041" i="1"/>
  <c r="N1039" i="1"/>
  <c r="P1037" i="1"/>
  <c r="R1035" i="1"/>
  <c r="V1033" i="1"/>
  <c r="A1032" i="1"/>
  <c r="B1030" i="1"/>
  <c r="C1028" i="1"/>
  <c r="D1026" i="1"/>
  <c r="D1024" i="1"/>
  <c r="D1022" i="1"/>
  <c r="F1020" i="1"/>
  <c r="D1018" i="1"/>
  <c r="D1016" i="1"/>
  <c r="H1014" i="1"/>
  <c r="R1012" i="1"/>
  <c r="D1011" i="1"/>
  <c r="Q1009" i="1"/>
  <c r="D1008" i="1"/>
  <c r="Q1006" i="1"/>
  <c r="H1005" i="1"/>
  <c r="B1004" i="1"/>
  <c r="O1002" i="1"/>
  <c r="I1001" i="1"/>
  <c r="D1000" i="1"/>
  <c r="U998" i="1"/>
  <c r="M997" i="1"/>
  <c r="G996" i="1"/>
  <c r="B995" i="1"/>
  <c r="R993" i="1"/>
  <c r="M992" i="1"/>
  <c r="I991" i="1"/>
  <c r="E990" i="1"/>
  <c r="U988" i="1"/>
  <c r="N987" i="1"/>
  <c r="H986" i="1"/>
  <c r="D985" i="1"/>
  <c r="A984" i="1"/>
  <c r="P982" i="1"/>
  <c r="L981" i="1"/>
  <c r="I980" i="1"/>
  <c r="F979" i="1"/>
  <c r="C978" i="1"/>
  <c r="AA976" i="1"/>
  <c r="N975" i="1"/>
  <c r="H974" i="1"/>
  <c r="D973" i="1"/>
  <c r="AA971" i="1"/>
  <c r="O970" i="1"/>
  <c r="M969" i="1"/>
  <c r="G968" i="1"/>
  <c r="C967" i="1"/>
  <c r="AA965" i="1"/>
  <c r="Q964" i="1"/>
  <c r="L963" i="1"/>
  <c r="E962" i="1"/>
  <c r="A961" i="1"/>
  <c r="R959" i="1"/>
  <c r="N958" i="1"/>
  <c r="J957" i="1"/>
  <c r="E956" i="1"/>
  <c r="R954" i="1"/>
  <c r="N953" i="1"/>
  <c r="K952" i="1"/>
  <c r="H951" i="1"/>
  <c r="F950" i="1"/>
  <c r="D949" i="1"/>
  <c r="X947" i="1"/>
  <c r="O946" i="1"/>
  <c r="H945" i="1"/>
  <c r="C944" i="1"/>
  <c r="R942" i="1"/>
  <c r="I941" i="1"/>
  <c r="C940" i="1"/>
  <c r="R938" i="1"/>
  <c r="O937" i="1"/>
  <c r="L936" i="1"/>
  <c r="J935" i="1"/>
  <c r="J934" i="1"/>
  <c r="J933" i="1"/>
  <c r="J932" i="1"/>
  <c r="J931" i="1"/>
  <c r="H930" i="1"/>
  <c r="I929" i="1"/>
  <c r="I928" i="1"/>
  <c r="I927" i="1"/>
  <c r="G926" i="1"/>
  <c r="E925" i="1"/>
  <c r="C924" i="1"/>
  <c r="A923" i="1"/>
  <c r="U921" i="1"/>
  <c r="Q920" i="1"/>
  <c r="O919" i="1"/>
  <c r="M918" i="1"/>
  <c r="M917" i="1"/>
  <c r="K916" i="1"/>
  <c r="I915" i="1"/>
  <c r="G914" i="1"/>
  <c r="E913" i="1"/>
  <c r="E912" i="1"/>
  <c r="C911" i="1"/>
  <c r="D910" i="1"/>
  <c r="D909" i="1"/>
  <c r="D908" i="1"/>
  <c r="D907" i="1"/>
  <c r="D906" i="1"/>
  <c r="D905" i="1"/>
  <c r="D904" i="1"/>
  <c r="B903" i="1"/>
  <c r="C902" i="1"/>
  <c r="B901" i="1"/>
  <c r="A900" i="1"/>
  <c r="F1546" i="1"/>
  <c r="C1495" i="1"/>
  <c r="A1453" i="1"/>
  <c r="G1422" i="1"/>
  <c r="E1396" i="1"/>
  <c r="AA1375" i="1"/>
  <c r="L1360" i="1"/>
  <c r="I1341" i="1"/>
  <c r="G1326" i="1"/>
  <c r="F1310" i="1"/>
  <c r="Q1295" i="1"/>
  <c r="H1283" i="1"/>
  <c r="N1273" i="1"/>
  <c r="E1264" i="1"/>
  <c r="B1254" i="1"/>
  <c r="U1244" i="1"/>
  <c r="K1234" i="1"/>
  <c r="J1225" i="1"/>
  <c r="L1215" i="1"/>
  <c r="P1206" i="1"/>
  <c r="N1199" i="1"/>
  <c r="A1194" i="1"/>
  <c r="N1188" i="1"/>
  <c r="Q1182" i="1"/>
  <c r="K1177" i="1"/>
  <c r="M1171" i="1"/>
  <c r="G1166" i="1"/>
  <c r="I1160" i="1"/>
  <c r="E1156" i="1"/>
  <c r="U1151" i="1"/>
  <c r="M1148" i="1"/>
  <c r="E1145" i="1"/>
  <c r="D1142" i="1"/>
  <c r="E1139" i="1"/>
  <c r="C1136" i="1"/>
  <c r="E1133" i="1"/>
  <c r="G1130" i="1"/>
  <c r="C1127" i="1"/>
  <c r="C1124" i="1"/>
  <c r="U1120" i="1"/>
  <c r="AA1117" i="1"/>
  <c r="F1115" i="1"/>
  <c r="I1112" i="1"/>
  <c r="O1109" i="1"/>
  <c r="B1107" i="1"/>
  <c r="F1104" i="1"/>
  <c r="L1101" i="1"/>
  <c r="C1099" i="1"/>
  <c r="L1096" i="1"/>
  <c r="D1094" i="1"/>
  <c r="F1091" i="1"/>
  <c r="R1088" i="1"/>
  <c r="H1086" i="1"/>
  <c r="B1084" i="1"/>
  <c r="R1081" i="1"/>
  <c r="N1079" i="1"/>
  <c r="N1077" i="1"/>
  <c r="I1075" i="1"/>
  <c r="F1073" i="1"/>
  <c r="J1071" i="1"/>
  <c r="R1069" i="1"/>
  <c r="A1068" i="1"/>
  <c r="I1066" i="1"/>
  <c r="R1064" i="1"/>
  <c r="C1063" i="1"/>
  <c r="M1061" i="1"/>
  <c r="M1059" i="1"/>
  <c r="M1057" i="1"/>
  <c r="M1055" i="1"/>
  <c r="K1053" i="1"/>
  <c r="I1051" i="1"/>
  <c r="G1049" i="1"/>
  <c r="G1047" i="1"/>
  <c r="G1045" i="1"/>
  <c r="I1043" i="1"/>
  <c r="K1041" i="1"/>
  <c r="M1039" i="1"/>
  <c r="O1037" i="1"/>
  <c r="Q1035" i="1"/>
  <c r="U1033" i="1"/>
  <c r="AA1031" i="1"/>
  <c r="A1030" i="1"/>
  <c r="B1028" i="1"/>
  <c r="C1026" i="1"/>
  <c r="C1024" i="1"/>
  <c r="C1022" i="1"/>
  <c r="E1020" i="1"/>
  <c r="C1018" i="1"/>
  <c r="C1016" i="1"/>
  <c r="G1014" i="1"/>
  <c r="Q1012" i="1"/>
  <c r="B1011" i="1"/>
  <c r="P1009" i="1"/>
  <c r="C1008" i="1"/>
  <c r="O1006" i="1"/>
  <c r="G1005" i="1"/>
  <c r="U1003" i="1"/>
  <c r="N1002" i="1"/>
  <c r="H1001" i="1"/>
  <c r="C1000" i="1"/>
  <c r="R998" i="1"/>
  <c r="L997" i="1"/>
  <c r="F996" i="1"/>
  <c r="A995" i="1"/>
  <c r="Q993" i="1"/>
  <c r="L992" i="1"/>
  <c r="H991" i="1"/>
  <c r="B990" i="1"/>
  <c r="Q988" i="1"/>
  <c r="M987" i="1"/>
  <c r="G986" i="1"/>
  <c r="C985" i="1"/>
  <c r="AA983" i="1"/>
  <c r="O982" i="1"/>
  <c r="K981" i="1"/>
  <c r="H980" i="1"/>
  <c r="E979" i="1"/>
  <c r="B978" i="1"/>
  <c r="X976" i="1"/>
  <c r="M975" i="1"/>
  <c r="G974" i="1"/>
  <c r="C973" i="1"/>
  <c r="U971" i="1"/>
  <c r="N970" i="1"/>
  <c r="H969" i="1"/>
  <c r="E968" i="1"/>
  <c r="B967" i="1"/>
  <c r="U965" i="1"/>
  <c r="P964" i="1"/>
  <c r="I963" i="1"/>
  <c r="D962" i="1"/>
  <c r="AA960" i="1"/>
  <c r="Q959" i="1"/>
  <c r="M958" i="1"/>
  <c r="I957" i="1"/>
  <c r="D956" i="1"/>
  <c r="Q954" i="1"/>
  <c r="M953" i="1"/>
  <c r="J952" i="1"/>
  <c r="G951" i="1"/>
  <c r="E950" i="1"/>
  <c r="A949" i="1"/>
  <c r="R947" i="1"/>
  <c r="N946" i="1"/>
  <c r="G945" i="1"/>
  <c r="B944" i="1"/>
  <c r="Q942" i="1"/>
  <c r="H941" i="1"/>
  <c r="B940" i="1"/>
  <c r="Q938" i="1"/>
  <c r="N937" i="1"/>
  <c r="K936" i="1"/>
  <c r="I935" i="1"/>
  <c r="I934" i="1"/>
  <c r="I933" i="1"/>
  <c r="I932" i="1"/>
  <c r="I931" i="1"/>
  <c r="G930" i="1"/>
  <c r="H929" i="1"/>
  <c r="H928" i="1"/>
  <c r="H927" i="1"/>
  <c r="F926" i="1"/>
  <c r="D925" i="1"/>
  <c r="B924" i="1"/>
  <c r="AA922" i="1"/>
  <c r="R921" i="1"/>
  <c r="P920" i="1"/>
  <c r="N919" i="1"/>
  <c r="L918" i="1"/>
  <c r="L917" i="1"/>
  <c r="J916" i="1"/>
  <c r="H915" i="1"/>
  <c r="F914" i="1"/>
  <c r="D913" i="1"/>
  <c r="D912" i="1"/>
  <c r="C1545" i="1"/>
  <c r="D1494" i="1"/>
  <c r="P1452" i="1"/>
  <c r="F1422" i="1"/>
  <c r="AA1393" i="1"/>
  <c r="Q1375" i="1"/>
  <c r="R1359" i="1"/>
  <c r="H1341" i="1"/>
  <c r="F1326" i="1"/>
  <c r="H1309" i="1"/>
  <c r="O1295" i="1"/>
  <c r="G1283" i="1"/>
  <c r="M1273" i="1"/>
  <c r="B1263" i="1"/>
  <c r="AA1253" i="1"/>
  <c r="Q1244" i="1"/>
  <c r="J1234" i="1"/>
  <c r="I1225" i="1"/>
  <c r="H1215" i="1"/>
  <c r="M1206" i="1"/>
  <c r="L1199" i="1"/>
  <c r="AA1193" i="1"/>
  <c r="AA1187" i="1"/>
  <c r="P1182" i="1"/>
  <c r="J1177" i="1"/>
  <c r="L1171" i="1"/>
  <c r="F1166" i="1"/>
  <c r="G1160" i="1"/>
  <c r="R1155" i="1"/>
  <c r="R1151" i="1"/>
  <c r="L1148" i="1"/>
  <c r="D1145" i="1"/>
  <c r="C1142" i="1"/>
  <c r="D1139" i="1"/>
  <c r="B1136" i="1"/>
  <c r="D1133" i="1"/>
  <c r="D1130" i="1"/>
  <c r="B1127" i="1"/>
  <c r="B1124" i="1"/>
  <c r="R1120" i="1"/>
  <c r="U1117" i="1"/>
  <c r="E1115" i="1"/>
  <c r="H1112" i="1"/>
  <c r="N1109" i="1"/>
  <c r="A1107" i="1"/>
  <c r="D1104" i="1"/>
  <c r="K1101" i="1"/>
  <c r="B1099" i="1"/>
  <c r="K1096" i="1"/>
  <c r="B1094" i="1"/>
  <c r="E1091" i="1"/>
  <c r="Q1088" i="1"/>
  <c r="G1086" i="1"/>
  <c r="A1084" i="1"/>
  <c r="Q1081" i="1"/>
  <c r="M1079" i="1"/>
  <c r="M1077" i="1"/>
  <c r="H1075" i="1"/>
  <c r="E1073" i="1"/>
  <c r="I1071" i="1"/>
  <c r="Q1069" i="1"/>
  <c r="AA1067" i="1"/>
  <c r="H1066" i="1"/>
  <c r="Q1064" i="1"/>
  <c r="B1063" i="1"/>
  <c r="L1061" i="1"/>
  <c r="L1059" i="1"/>
  <c r="L1057" i="1"/>
  <c r="L1055" i="1"/>
  <c r="J1053" i="1"/>
  <c r="H1051" i="1"/>
  <c r="F1049" i="1"/>
  <c r="F1047" i="1"/>
  <c r="F1045" i="1"/>
  <c r="H1043" i="1"/>
  <c r="J1041" i="1"/>
  <c r="L1039" i="1"/>
  <c r="N1037" i="1"/>
  <c r="P1035" i="1"/>
  <c r="R1033" i="1"/>
  <c r="U1031" i="1"/>
  <c r="AA1029" i="1"/>
  <c r="A1028" i="1"/>
  <c r="B1026" i="1"/>
  <c r="B1024" i="1"/>
  <c r="B1022" i="1"/>
  <c r="D1020" i="1"/>
  <c r="B1018" i="1"/>
  <c r="B1016" i="1"/>
  <c r="E1014" i="1"/>
  <c r="L1012" i="1"/>
  <c r="A1011" i="1"/>
  <c r="M1009" i="1"/>
  <c r="B1008" i="1"/>
  <c r="N1006" i="1"/>
  <c r="F1005" i="1"/>
  <c r="R1003" i="1"/>
  <c r="M1002" i="1"/>
  <c r="G1001" i="1"/>
  <c r="B1000" i="1"/>
  <c r="Q998" i="1"/>
  <c r="I997" i="1"/>
  <c r="D996" i="1"/>
  <c r="AA994" i="1"/>
  <c r="O993" i="1"/>
  <c r="K992" i="1"/>
  <c r="G991" i="1"/>
  <c r="A990" i="1"/>
  <c r="O988" i="1"/>
  <c r="L987" i="1"/>
  <c r="F986" i="1"/>
  <c r="B985" i="1"/>
  <c r="U983" i="1"/>
  <c r="N982" i="1"/>
  <c r="J981" i="1"/>
  <c r="G980" i="1"/>
  <c r="D979" i="1"/>
  <c r="A978" i="1"/>
  <c r="Q976" i="1"/>
  <c r="K975" i="1"/>
  <c r="F974" i="1"/>
  <c r="B973" i="1"/>
  <c r="R971" i="1"/>
  <c r="M970" i="1"/>
  <c r="G969" i="1"/>
  <c r="D968" i="1"/>
  <c r="A967" i="1"/>
  <c r="R965" i="1"/>
  <c r="O964" i="1"/>
  <c r="H963" i="1"/>
  <c r="C962" i="1"/>
  <c r="U960" i="1"/>
  <c r="P959" i="1"/>
  <c r="L958" i="1"/>
  <c r="H957" i="1"/>
  <c r="A956" i="1"/>
  <c r="O954" i="1"/>
  <c r="L953" i="1"/>
  <c r="I952" i="1"/>
  <c r="F951" i="1"/>
  <c r="D950" i="1"/>
  <c r="AA948" i="1"/>
  <c r="Q947" i="1"/>
  <c r="M946" i="1"/>
  <c r="F945" i="1"/>
  <c r="A944" i="1"/>
  <c r="P942" i="1"/>
  <c r="G941" i="1"/>
  <c r="A940" i="1"/>
  <c r="P938" i="1"/>
  <c r="M937" i="1"/>
  <c r="J936" i="1"/>
  <c r="H935" i="1"/>
  <c r="H934" i="1"/>
  <c r="H933" i="1"/>
  <c r="H932" i="1"/>
  <c r="H931" i="1"/>
  <c r="F930" i="1"/>
  <c r="G929" i="1"/>
  <c r="G928" i="1"/>
  <c r="G927" i="1"/>
  <c r="E926" i="1"/>
  <c r="C925" i="1"/>
  <c r="A924" i="1"/>
  <c r="U922" i="1"/>
  <c r="Q921" i="1"/>
  <c r="O920" i="1"/>
  <c r="M919" i="1"/>
  <c r="K918" i="1"/>
  <c r="I917" i="1"/>
  <c r="I916" i="1"/>
  <c r="G915" i="1"/>
  <c r="E914" i="1"/>
  <c r="C913" i="1"/>
  <c r="C912" i="1"/>
  <c r="A911" i="1"/>
  <c r="B910" i="1"/>
  <c r="B909" i="1"/>
  <c r="B908" i="1"/>
  <c r="B907" i="1"/>
  <c r="B906" i="1"/>
  <c r="B905" i="1"/>
  <c r="B904" i="1"/>
  <c r="AA902" i="1"/>
  <c r="A902" i="1"/>
  <c r="AA900" i="1"/>
  <c r="U899" i="1"/>
  <c r="U898" i="1"/>
  <c r="U897" i="1"/>
  <c r="U896" i="1"/>
  <c r="U895" i="1"/>
  <c r="Q894" i="1"/>
  <c r="O893" i="1"/>
  <c r="M892" i="1"/>
  <c r="M891" i="1"/>
  <c r="M890" i="1"/>
  <c r="I889" i="1"/>
  <c r="F888" i="1"/>
  <c r="E887" i="1"/>
  <c r="D886" i="1"/>
  <c r="C885" i="1"/>
  <c r="B884" i="1"/>
  <c r="A883" i="1"/>
  <c r="U881" i="1"/>
  <c r="Q880" i="1"/>
  <c r="O879" i="1"/>
  <c r="P878" i="1"/>
  <c r="N877" i="1"/>
  <c r="N876" i="1"/>
  <c r="N875" i="1"/>
  <c r="N874" i="1"/>
  <c r="M873" i="1"/>
  <c r="I872" i="1"/>
  <c r="J871" i="1"/>
  <c r="K870" i="1"/>
  <c r="L869" i="1"/>
  <c r="I868" i="1"/>
  <c r="F867" i="1"/>
  <c r="D866" i="1"/>
  <c r="E865" i="1"/>
  <c r="E864" i="1"/>
  <c r="F863" i="1"/>
  <c r="I862" i="1"/>
  <c r="J861" i="1"/>
  <c r="G860" i="1"/>
  <c r="F859" i="1"/>
  <c r="F858" i="1"/>
  <c r="G857" i="1"/>
  <c r="H856" i="1"/>
  <c r="H855" i="1"/>
  <c r="H854" i="1"/>
  <c r="K853" i="1"/>
  <c r="K852" i="1"/>
  <c r="K851" i="1"/>
  <c r="M850" i="1"/>
  <c r="L849" i="1"/>
  <c r="L848" i="1"/>
  <c r="L847" i="1"/>
  <c r="K846" i="1"/>
  <c r="K845" i="1"/>
  <c r="J844" i="1"/>
  <c r="J843" i="1"/>
  <c r="I842" i="1"/>
  <c r="I841" i="1"/>
  <c r="I840" i="1"/>
  <c r="I839" i="1"/>
  <c r="I838" i="1"/>
  <c r="H837" i="1"/>
  <c r="G836" i="1"/>
  <c r="G835" i="1"/>
  <c r="G834" i="1"/>
  <c r="G833" i="1"/>
  <c r="G832" i="1"/>
  <c r="G831" i="1"/>
  <c r="G830" i="1"/>
  <c r="E829" i="1"/>
  <c r="E828" i="1"/>
  <c r="B827" i="1"/>
  <c r="A826" i="1"/>
  <c r="U824" i="1"/>
  <c r="U823" i="1"/>
  <c r="R822" i="1"/>
  <c r="T821" i="1"/>
  <c r="AA820" i="1"/>
  <c r="E820" i="1"/>
  <c r="E819" i="1"/>
  <c r="E818" i="1"/>
  <c r="C817" i="1"/>
  <c r="C816" i="1"/>
  <c r="B815" i="1"/>
  <c r="A814" i="1"/>
  <c r="AA812" i="1"/>
  <c r="U811" i="1"/>
  <c r="R810" i="1"/>
  <c r="Q809" i="1"/>
  <c r="P808" i="1"/>
  <c r="N807" i="1"/>
  <c r="N806" i="1"/>
  <c r="N805" i="1"/>
  <c r="M804" i="1"/>
  <c r="AA1610" i="1"/>
  <c r="M1523" i="1"/>
  <c r="K1477" i="1"/>
  <c r="B1444" i="1"/>
  <c r="N1410" i="1"/>
  <c r="R1388" i="1"/>
  <c r="J1371" i="1"/>
  <c r="R1352" i="1"/>
  <c r="N1337" i="1"/>
  <c r="C1320" i="1"/>
  <c r="A1305" i="1"/>
  <c r="F1291" i="1"/>
  <c r="H1280" i="1"/>
  <c r="N1269" i="1"/>
  <c r="G1260" i="1"/>
  <c r="F1251" i="1"/>
  <c r="AA1240" i="1"/>
  <c r="AA1231" i="1"/>
  <c r="L1221" i="1"/>
  <c r="P1212" i="1"/>
  <c r="D1204" i="1"/>
  <c r="U1197" i="1"/>
  <c r="M1191" i="1"/>
  <c r="H1186" i="1"/>
  <c r="D1181" i="1"/>
  <c r="G1175" i="1"/>
  <c r="C1170" i="1"/>
  <c r="A1164" i="1"/>
  <c r="A1159" i="1"/>
  <c r="F1154" i="1"/>
  <c r="U1150" i="1"/>
  <c r="F1147" i="1"/>
  <c r="E1144" i="1"/>
  <c r="B1141" i="1"/>
  <c r="D1138" i="1"/>
  <c r="A1135" i="1"/>
  <c r="D1132" i="1"/>
  <c r="F1129" i="1"/>
  <c r="B1126" i="1"/>
  <c r="A1123" i="1"/>
  <c r="R1119" i="1"/>
  <c r="A1117" i="1"/>
  <c r="F1114" i="1"/>
  <c r="L1111" i="1"/>
  <c r="O1108" i="1"/>
  <c r="C1106" i="1"/>
  <c r="H1103" i="1"/>
  <c r="O1100" i="1"/>
  <c r="E1098" i="1"/>
  <c r="Q1095" i="1"/>
  <c r="E1093" i="1"/>
  <c r="I1090" i="1"/>
  <c r="A1088" i="1"/>
  <c r="K1085" i="1"/>
  <c r="E1083" i="1"/>
  <c r="B1081" i="1"/>
  <c r="AA1078" i="1"/>
  <c r="AA1076" i="1"/>
  <c r="N1074" i="1"/>
  <c r="L1072" i="1"/>
  <c r="U1070" i="1"/>
  <c r="D1069" i="1"/>
  <c r="K1067" i="1"/>
  <c r="T1065" i="1"/>
  <c r="D1064" i="1"/>
  <c r="N1062" i="1"/>
  <c r="U1060" i="1"/>
  <c r="U1058" i="1"/>
  <c r="U1056" i="1"/>
  <c r="U1054" i="1"/>
  <c r="Q1052" i="1"/>
  <c r="N1050" i="1"/>
  <c r="M1048" i="1"/>
  <c r="M1046" i="1"/>
  <c r="N1044" i="1"/>
  <c r="P1042" i="1"/>
  <c r="R1040" i="1"/>
  <c r="V1038" i="1"/>
  <c r="A1037" i="1"/>
  <c r="C1035" i="1"/>
  <c r="E1033" i="1"/>
  <c r="F1031" i="1"/>
  <c r="H1029" i="1"/>
  <c r="H1027" i="1"/>
  <c r="I1025" i="1"/>
  <c r="I1023" i="1"/>
  <c r="J1021" i="1"/>
  <c r="K1019" i="1"/>
  <c r="I1017" i="1"/>
  <c r="M1015" i="1"/>
  <c r="A1014" i="1"/>
  <c r="E1012" i="1"/>
  <c r="Q1010" i="1"/>
  <c r="D1009" i="1"/>
  <c r="Q1007" i="1"/>
  <c r="I1006" i="1"/>
  <c r="AA1004" i="1"/>
  <c r="M1003" i="1"/>
  <c r="G1002" i="1"/>
  <c r="C1001" i="1"/>
  <c r="R999" i="1"/>
  <c r="I998" i="1"/>
  <c r="D997" i="1"/>
  <c r="AA995" i="1"/>
  <c r="O994" i="1"/>
  <c r="K993" i="1"/>
  <c r="G992" i="1"/>
  <c r="A991" i="1"/>
  <c r="O989" i="1"/>
  <c r="K988" i="1"/>
  <c r="F987" i="1"/>
  <c r="B986" i="1"/>
  <c r="P984" i="1"/>
  <c r="L983" i="1"/>
  <c r="I982" i="1"/>
  <c r="F981" i="1"/>
  <c r="C980" i="1"/>
  <c r="AA978" i="1"/>
  <c r="O977" i="1"/>
  <c r="K976" i="1"/>
  <c r="G975" i="1"/>
  <c r="B974" i="1"/>
  <c r="R972" i="1"/>
  <c r="M971" i="1"/>
  <c r="G970" i="1"/>
  <c r="B969" i="1"/>
  <c r="AA967" i="1"/>
  <c r="Q966" i="1"/>
  <c r="N965" i="1"/>
  <c r="G964" i="1"/>
  <c r="A963" i="1"/>
  <c r="R961" i="1"/>
  <c r="O960" i="1"/>
  <c r="L959" i="1"/>
  <c r="H958" i="1"/>
  <c r="B957" i="1"/>
  <c r="P955" i="1"/>
  <c r="K954" i="1"/>
  <c r="H953" i="1"/>
  <c r="E952" i="1"/>
  <c r="B951" i="1"/>
  <c r="S949" i="1"/>
  <c r="O948" i="1"/>
  <c r="L947" i="1"/>
  <c r="G946" i="1"/>
  <c r="B945" i="1"/>
  <c r="O943" i="1"/>
  <c r="G942" i="1"/>
  <c r="B941" i="1"/>
  <c r="Q939" i="1"/>
  <c r="L938" i="1"/>
  <c r="I937" i="1"/>
  <c r="E936" i="1"/>
  <c r="D935" i="1"/>
  <c r="D934" i="1"/>
  <c r="D933" i="1"/>
  <c r="D932" i="1"/>
  <c r="D931" i="1"/>
  <c r="B930" i="1"/>
  <c r="C929" i="1"/>
  <c r="C928" i="1"/>
  <c r="C927" i="1"/>
  <c r="A926" i="1"/>
  <c r="U924" i="1"/>
  <c r="Q923" i="1"/>
  <c r="O922" i="1"/>
  <c r="M921" i="1"/>
  <c r="I920" i="1"/>
  <c r="G919" i="1"/>
  <c r="G918" i="1"/>
  <c r="E917" i="1"/>
  <c r="E916" i="1"/>
  <c r="C915" i="1"/>
  <c r="A914" i="1"/>
  <c r="U912" i="1"/>
  <c r="U911" i="1"/>
  <c r="T910" i="1"/>
  <c r="R909" i="1"/>
  <c r="R908" i="1"/>
  <c r="R907" i="1"/>
  <c r="R906" i="1"/>
  <c r="R905" i="1"/>
  <c r="R904" i="1"/>
  <c r="R903" i="1"/>
  <c r="Q902" i="1"/>
  <c r="P901" i="1"/>
  <c r="O900" i="1"/>
  <c r="O899" i="1"/>
  <c r="O898" i="1"/>
  <c r="O897" i="1"/>
  <c r="O896" i="1"/>
  <c r="O895" i="1"/>
  <c r="M894" i="1"/>
  <c r="I893" i="1"/>
  <c r="I892" i="1"/>
  <c r="I891" i="1"/>
  <c r="G890" i="1"/>
  <c r="E889" i="1"/>
  <c r="B888" i="1"/>
  <c r="A887" i="1"/>
  <c r="AA885" i="1"/>
  <c r="U884" i="1"/>
  <c r="R883" i="1"/>
  <c r="Q882" i="1"/>
  <c r="O881" i="1"/>
  <c r="M880" i="1"/>
  <c r="K879" i="1"/>
  <c r="I878" i="1"/>
  <c r="J877" i="1"/>
  <c r="J876" i="1"/>
  <c r="J875" i="1"/>
  <c r="I874" i="1"/>
  <c r="G873" i="1"/>
  <c r="E872" i="1"/>
  <c r="F871" i="1"/>
  <c r="G870" i="1"/>
  <c r="F869" i="1"/>
  <c r="E868" i="1"/>
  <c r="B867" i="1"/>
  <c r="AA865" i="1"/>
  <c r="A865" i="1"/>
  <c r="A864" i="1"/>
  <c r="B863" i="1"/>
  <c r="E862" i="1"/>
  <c r="F861" i="1"/>
  <c r="C860" i="1"/>
  <c r="B859" i="1"/>
  <c r="B858" i="1"/>
  <c r="C857" i="1"/>
  <c r="D856" i="1"/>
  <c r="D855" i="1"/>
  <c r="D854" i="1"/>
  <c r="G853" i="1"/>
  <c r="G852" i="1"/>
  <c r="G851" i="1"/>
  <c r="I850" i="1"/>
  <c r="H849" i="1"/>
  <c r="H848" i="1"/>
  <c r="H847" i="1"/>
  <c r="G846" i="1"/>
  <c r="G845" i="1"/>
  <c r="F844" i="1"/>
  <c r="F843" i="1"/>
  <c r="E842" i="1"/>
  <c r="E841" i="1"/>
  <c r="E840" i="1"/>
  <c r="E839" i="1"/>
  <c r="E838" i="1"/>
  <c r="D837" i="1"/>
  <c r="C836" i="1"/>
  <c r="C835" i="1"/>
  <c r="C834" i="1"/>
  <c r="C833" i="1"/>
  <c r="C832" i="1"/>
  <c r="C831" i="1"/>
  <c r="C830" i="1"/>
  <c r="N1606" i="1"/>
  <c r="L1523" i="1"/>
  <c r="I1477" i="1"/>
  <c r="A1444" i="1"/>
  <c r="L1410" i="1"/>
  <c r="N1388" i="1"/>
  <c r="D1369" i="1"/>
  <c r="Q1352" i="1"/>
  <c r="AA1336" i="1"/>
  <c r="A1320" i="1"/>
  <c r="R1304" i="1"/>
  <c r="C1291" i="1"/>
  <c r="F1280" i="1"/>
  <c r="L1269" i="1"/>
  <c r="F1260" i="1"/>
  <c r="C1250" i="1"/>
  <c r="R1240" i="1"/>
  <c r="R1231" i="1"/>
  <c r="J1221" i="1"/>
  <c r="N1212" i="1"/>
  <c r="B1204" i="1"/>
  <c r="R1197" i="1"/>
  <c r="L1191" i="1"/>
  <c r="G1186" i="1"/>
  <c r="K1180" i="1"/>
  <c r="F1175" i="1"/>
  <c r="B1170" i="1"/>
  <c r="U1163" i="1"/>
  <c r="R1158" i="1"/>
  <c r="E1154" i="1"/>
  <c r="R1150" i="1"/>
  <c r="E1147" i="1"/>
  <c r="D1144" i="1"/>
  <c r="A1141" i="1"/>
  <c r="C1138" i="1"/>
  <c r="AA1134" i="1"/>
  <c r="C1132" i="1"/>
  <c r="E1129" i="1"/>
  <c r="AA1125" i="1"/>
  <c r="AA1122" i="1"/>
  <c r="Q1119" i="1"/>
  <c r="U1116" i="1"/>
  <c r="E1114" i="1"/>
  <c r="K1111" i="1"/>
  <c r="N1108" i="1"/>
  <c r="B1106" i="1"/>
  <c r="E1103" i="1"/>
  <c r="N1100" i="1"/>
  <c r="D1098" i="1"/>
  <c r="O1095" i="1"/>
  <c r="D1093" i="1"/>
  <c r="H1090" i="1"/>
  <c r="AA1087" i="1"/>
  <c r="J1085" i="1"/>
  <c r="D1083" i="1"/>
  <c r="A1081" i="1"/>
  <c r="U1078" i="1"/>
  <c r="U1076" i="1"/>
  <c r="M1074" i="1"/>
  <c r="K1072" i="1"/>
  <c r="T1070" i="1"/>
  <c r="C1069" i="1"/>
  <c r="J1067" i="1"/>
  <c r="R1065" i="1"/>
  <c r="C1064" i="1"/>
  <c r="M1062" i="1"/>
  <c r="R1060" i="1"/>
  <c r="R1058" i="1"/>
  <c r="R1056" i="1"/>
  <c r="R1054" i="1"/>
  <c r="O1052" i="1"/>
  <c r="M1050" i="1"/>
  <c r="L1048" i="1"/>
  <c r="L1046" i="1"/>
  <c r="M1044" i="1"/>
  <c r="O1042" i="1"/>
  <c r="Q1040" i="1"/>
  <c r="U1038" i="1"/>
  <c r="AA1036" i="1"/>
  <c r="B1035" i="1"/>
  <c r="D1033" i="1"/>
  <c r="E1031" i="1"/>
  <c r="G1029" i="1"/>
  <c r="G1027" i="1"/>
  <c r="H1025" i="1"/>
  <c r="H1023" i="1"/>
  <c r="I1021" i="1"/>
  <c r="J1019" i="1"/>
  <c r="H1017" i="1"/>
  <c r="J1015" i="1"/>
  <c r="AA1013" i="1"/>
  <c r="D1012" i="1"/>
  <c r="P1010" i="1"/>
  <c r="C1009" i="1"/>
  <c r="P1007" i="1"/>
  <c r="G1006" i="1"/>
  <c r="U1004" i="1"/>
  <c r="L1003" i="1"/>
  <c r="F1002" i="1"/>
  <c r="B1001" i="1"/>
  <c r="Q999" i="1"/>
  <c r="H998" i="1"/>
  <c r="C997" i="1"/>
  <c r="U995" i="1"/>
  <c r="N994" i="1"/>
  <c r="J993" i="1"/>
  <c r="D992" i="1"/>
  <c r="U990" i="1"/>
  <c r="N989" i="1"/>
  <c r="J988" i="1"/>
  <c r="E987" i="1"/>
  <c r="A986" i="1"/>
  <c r="O984" i="1"/>
  <c r="K983" i="1"/>
  <c r="H982" i="1"/>
  <c r="E981" i="1"/>
  <c r="B980" i="1"/>
  <c r="U978" i="1"/>
  <c r="N977" i="1"/>
  <c r="J976" i="1"/>
  <c r="F975" i="1"/>
  <c r="A974" i="1"/>
  <c r="Q972" i="1"/>
  <c r="J971" i="1"/>
  <c r="E970" i="1"/>
  <c r="A969" i="1"/>
  <c r="U967" i="1"/>
  <c r="P966" i="1"/>
  <c r="M965" i="1"/>
  <c r="F964" i="1"/>
  <c r="AA962" i="1"/>
  <c r="Q961" i="1"/>
  <c r="N960" i="1"/>
  <c r="K959" i="1"/>
  <c r="G958" i="1"/>
  <c r="A957" i="1"/>
  <c r="O955" i="1"/>
  <c r="J954" i="1"/>
  <c r="G953" i="1"/>
  <c r="D952" i="1"/>
  <c r="U950" i="1"/>
  <c r="Q949" i="1"/>
  <c r="N948" i="1"/>
  <c r="K947" i="1"/>
  <c r="F946" i="1"/>
  <c r="A945" i="1"/>
  <c r="N943" i="1"/>
  <c r="F942" i="1"/>
  <c r="A941" i="1"/>
  <c r="P939" i="1"/>
  <c r="K938" i="1"/>
  <c r="H937" i="1"/>
  <c r="D936" i="1"/>
  <c r="C935" i="1"/>
  <c r="C934" i="1"/>
  <c r="C933" i="1"/>
  <c r="C932" i="1"/>
  <c r="C931" i="1"/>
  <c r="A930" i="1"/>
  <c r="B929" i="1"/>
  <c r="B928" i="1"/>
  <c r="B927" i="1"/>
  <c r="AA925" i="1"/>
  <c r="R924" i="1"/>
  <c r="P923" i="1"/>
  <c r="N922" i="1"/>
  <c r="L921" i="1"/>
  <c r="H920" i="1"/>
  <c r="F919" i="1"/>
  <c r="F918" i="1"/>
  <c r="D917" i="1"/>
  <c r="D916" i="1"/>
  <c r="B915" i="1"/>
  <c r="AA913" i="1"/>
  <c r="R912" i="1"/>
  <c r="R911" i="1"/>
  <c r="S910" i="1"/>
  <c r="Q909" i="1"/>
  <c r="Q908" i="1"/>
  <c r="Q907" i="1"/>
  <c r="Q906" i="1"/>
  <c r="Q905" i="1"/>
  <c r="Q904" i="1"/>
  <c r="Q903" i="1"/>
  <c r="P902" i="1"/>
  <c r="O901" i="1"/>
  <c r="N900" i="1"/>
  <c r="N899" i="1"/>
  <c r="N898" i="1"/>
  <c r="N897" i="1"/>
  <c r="N896" i="1"/>
  <c r="N895" i="1"/>
  <c r="L894" i="1"/>
  <c r="H893" i="1"/>
  <c r="H892" i="1"/>
  <c r="H891" i="1"/>
  <c r="F890" i="1"/>
  <c r="D889" i="1"/>
  <c r="A888" i="1"/>
  <c r="AA886" i="1"/>
  <c r="U885" i="1"/>
  <c r="R884" i="1"/>
  <c r="Q883" i="1"/>
  <c r="P882" i="1"/>
  <c r="N881" i="1"/>
  <c r="L880" i="1"/>
  <c r="J879" i="1"/>
  <c r="H878" i="1"/>
  <c r="I877" i="1"/>
  <c r="I876" i="1"/>
  <c r="I875" i="1"/>
  <c r="H874" i="1"/>
  <c r="F873" i="1"/>
  <c r="D872" i="1"/>
  <c r="E871" i="1"/>
  <c r="F870" i="1"/>
  <c r="E869" i="1"/>
  <c r="D868" i="1"/>
  <c r="A867" i="1"/>
  <c r="X865" i="1"/>
  <c r="AA864" i="1"/>
  <c r="AA863" i="1"/>
  <c r="A863" i="1"/>
  <c r="D862" i="1"/>
  <c r="E861" i="1"/>
  <c r="B860" i="1"/>
  <c r="A859" i="1"/>
  <c r="A858" i="1"/>
  <c r="B857" i="1"/>
  <c r="C856" i="1"/>
  <c r="C855" i="1"/>
  <c r="C854" i="1"/>
  <c r="F853" i="1"/>
  <c r="F852" i="1"/>
  <c r="F851" i="1"/>
  <c r="H850" i="1"/>
  <c r="G849" i="1"/>
  <c r="G848" i="1"/>
  <c r="G847" i="1"/>
  <c r="F846" i="1"/>
  <c r="F845" i="1"/>
  <c r="E844" i="1"/>
  <c r="E843" i="1"/>
  <c r="D842" i="1"/>
  <c r="D841" i="1"/>
  <c r="D840" i="1"/>
  <c r="D839" i="1"/>
  <c r="D838" i="1"/>
  <c r="C837" i="1"/>
  <c r="B836" i="1"/>
  <c r="B835" i="1"/>
  <c r="B834" i="1"/>
  <c r="B833" i="1"/>
  <c r="B832" i="1"/>
  <c r="B831" i="1"/>
  <c r="H1580" i="1"/>
  <c r="B1515" i="1"/>
  <c r="F1468" i="1"/>
  <c r="L1435" i="1"/>
  <c r="E1403" i="1"/>
  <c r="U1384" i="1"/>
  <c r="N1367" i="1"/>
  <c r="Q1348" i="1"/>
  <c r="D1334" i="1"/>
  <c r="I1316" i="1"/>
  <c r="O1301" i="1"/>
  <c r="N1288" i="1"/>
  <c r="B1278" i="1"/>
  <c r="Q1267" i="1"/>
  <c r="D1258" i="1"/>
  <c r="C1249" i="1"/>
  <c r="D1239" i="1"/>
  <c r="B1230" i="1"/>
  <c r="N1219" i="1"/>
  <c r="H1210" i="1"/>
  <c r="P1202" i="1"/>
  <c r="L1196" i="1"/>
  <c r="H1190" i="1"/>
  <c r="C1185" i="1"/>
  <c r="X1179" i="1"/>
  <c r="C1174" i="1"/>
  <c r="U1168" i="1"/>
  <c r="P1162" i="1"/>
  <c r="Q1157" i="1"/>
  <c r="J1153" i="1"/>
  <c r="A1150" i="1"/>
  <c r="L1146" i="1"/>
  <c r="I1143" i="1"/>
  <c r="J1140" i="1"/>
  <c r="K1137" i="1"/>
  <c r="I1134" i="1"/>
  <c r="K1131" i="1"/>
  <c r="H1128" i="1"/>
  <c r="J1125" i="1"/>
  <c r="F1122" i="1"/>
  <c r="C1119" i="1"/>
  <c r="I1116" i="1"/>
  <c r="N1113" i="1"/>
  <c r="U1110" i="1"/>
  <c r="E1108" i="1"/>
  <c r="I1105" i="1"/>
  <c r="O1102" i="1"/>
  <c r="E1100" i="1"/>
  <c r="N1097" i="1"/>
  <c r="E1095" i="1"/>
  <c r="L1092" i="1"/>
  <c r="U1089" i="1"/>
  <c r="H1087" i="1"/>
  <c r="B1085" i="1"/>
  <c r="Q1082" i="1"/>
  <c r="M1080" i="1"/>
  <c r="K1078" i="1"/>
  <c r="I1076" i="1"/>
  <c r="C1074" i="1"/>
  <c r="C1072" i="1"/>
  <c r="K1070" i="1"/>
  <c r="R1068" i="1"/>
  <c r="B1067" i="1"/>
  <c r="J1065" i="1"/>
  <c r="U1063" i="1"/>
  <c r="E1062" i="1"/>
  <c r="J1060" i="1"/>
  <c r="J1058" i="1"/>
  <c r="J1056" i="1"/>
  <c r="I1054" i="1"/>
  <c r="G1052" i="1"/>
  <c r="E1050" i="1"/>
  <c r="D1048" i="1"/>
  <c r="D1046" i="1"/>
  <c r="E1044" i="1"/>
  <c r="G1042" i="1"/>
  <c r="I1040" i="1"/>
  <c r="K1038" i="1"/>
  <c r="M1036" i="1"/>
  <c r="O1034" i="1"/>
  <c r="Q1032" i="1"/>
  <c r="U1030" i="1"/>
  <c r="U1028" i="1"/>
  <c r="V1026" i="1"/>
  <c r="AA1024" i="1"/>
  <c r="AA1022" i="1"/>
  <c r="A1021" i="1"/>
  <c r="B1019" i="1"/>
  <c r="AA1016" i="1"/>
  <c r="B1015" i="1"/>
  <c r="E1013" i="1"/>
  <c r="P1011" i="1"/>
  <c r="D1010" i="1"/>
  <c r="O1008" i="1"/>
  <c r="D1007" i="1"/>
  <c r="Q1005" i="1"/>
  <c r="I1004" i="1"/>
  <c r="D1003" i="1"/>
  <c r="Q1001" i="1"/>
  <c r="L1000" i="1"/>
  <c r="E999" i="1"/>
  <c r="AA997" i="1"/>
  <c r="O996" i="1"/>
  <c r="K995" i="1"/>
  <c r="E994" i="1"/>
  <c r="AA992" i="1"/>
  <c r="O991" i="1"/>
  <c r="K990" i="1"/>
  <c r="G989" i="1"/>
  <c r="C988" i="1"/>
  <c r="O986" i="1"/>
  <c r="J985" i="1"/>
  <c r="G984" i="1"/>
  <c r="D983" i="1"/>
  <c r="A982" i="1"/>
  <c r="P980" i="1"/>
  <c r="L979" i="1"/>
  <c r="I978" i="1"/>
  <c r="F977" i="1"/>
  <c r="C976" i="1"/>
  <c r="U974" i="1"/>
  <c r="K973" i="1"/>
  <c r="F972" i="1"/>
  <c r="B971" i="1"/>
  <c r="S969" i="1"/>
  <c r="O968" i="1"/>
  <c r="L967" i="1"/>
  <c r="G966" i="1"/>
  <c r="C965" i="1"/>
  <c r="R963" i="1"/>
  <c r="M962" i="1"/>
  <c r="J961" i="1"/>
  <c r="C960" i="1"/>
  <c r="A959" i="1"/>
  <c r="Q957" i="1"/>
  <c r="M956" i="1"/>
  <c r="F955" i="1"/>
  <c r="C954" i="1"/>
  <c r="R952" i="1"/>
  <c r="N951" i="1"/>
  <c r="L950" i="1"/>
  <c r="J949" i="1"/>
  <c r="G948" i="1"/>
  <c r="D947" i="1"/>
  <c r="Q945" i="1"/>
  <c r="I944" i="1"/>
  <c r="D943" i="1"/>
  <c r="U941" i="1"/>
  <c r="N940" i="1"/>
  <c r="E939" i="1"/>
  <c r="A938" i="1"/>
  <c r="R936" i="1"/>
  <c r="Q935" i="1"/>
  <c r="P934" i="1"/>
  <c r="P933" i="1"/>
  <c r="P932" i="1"/>
  <c r="P931" i="1"/>
  <c r="P930" i="1"/>
  <c r="O929" i="1"/>
  <c r="O928" i="1"/>
  <c r="O927" i="1"/>
  <c r="M926" i="1"/>
  <c r="M925" i="1"/>
  <c r="I924" i="1"/>
  <c r="G923" i="1"/>
  <c r="E922" i="1"/>
  <c r="C921" i="1"/>
  <c r="A920" i="1"/>
  <c r="U918" i="1"/>
  <c r="U917" i="1"/>
  <c r="Q916" i="1"/>
  <c r="Q915" i="1"/>
  <c r="L1477" i="1"/>
  <c r="I1409" i="1"/>
  <c r="R1367" i="1"/>
  <c r="E1334" i="1"/>
  <c r="L1295" i="1"/>
  <c r="H1269" i="1"/>
  <c r="P1249" i="1"/>
  <c r="E1230" i="1"/>
  <c r="L1206" i="1"/>
  <c r="I1192" i="1"/>
  <c r="G1180" i="1"/>
  <c r="B1169" i="1"/>
  <c r="A1158" i="1"/>
  <c r="H1148" i="1"/>
  <c r="U1140" i="1"/>
  <c r="M1134" i="1"/>
  <c r="L1128" i="1"/>
  <c r="Q1120" i="1"/>
  <c r="G1114" i="1"/>
  <c r="J1108" i="1"/>
  <c r="U1102" i="1"/>
  <c r="O1097" i="1"/>
  <c r="C1091" i="1"/>
  <c r="H1085" i="1"/>
  <c r="R1080" i="1"/>
  <c r="M1076" i="1"/>
  <c r="H1071" i="1"/>
  <c r="L1067" i="1"/>
  <c r="AA1063" i="1"/>
  <c r="M1060" i="1"/>
  <c r="K1056" i="1"/>
  <c r="F1051" i="1"/>
  <c r="J1046" i="1"/>
  <c r="K1042" i="1"/>
  <c r="M1038" i="1"/>
  <c r="Q1033" i="1"/>
  <c r="I1029" i="1"/>
  <c r="E1025" i="1"/>
  <c r="D1021" i="1"/>
  <c r="A1017" i="1"/>
  <c r="I1012" i="1"/>
  <c r="B1009" i="1"/>
  <c r="B1006" i="1"/>
  <c r="F1003" i="1"/>
  <c r="A1000" i="1"/>
  <c r="E997" i="1"/>
  <c r="L994" i="1"/>
  <c r="U991" i="1"/>
  <c r="H989" i="1"/>
  <c r="D986" i="1"/>
  <c r="J983" i="1"/>
  <c r="B981" i="1"/>
  <c r="K978" i="1"/>
  <c r="J975" i="1"/>
  <c r="U972" i="1"/>
  <c r="C970" i="1"/>
  <c r="O967" i="1"/>
  <c r="D965" i="1"/>
  <c r="AA961" i="1"/>
  <c r="J959" i="1"/>
  <c r="Q956" i="1"/>
  <c r="E954" i="1"/>
  <c r="E951" i="1"/>
  <c r="P948" i="1"/>
  <c r="D946" i="1"/>
  <c r="G943" i="1"/>
  <c r="O940" i="1"/>
  <c r="K937" i="1"/>
  <c r="B935" i="1"/>
  <c r="AA932" i="1"/>
  <c r="R930" i="1"/>
  <c r="F928" i="1"/>
  <c r="B926" i="1"/>
  <c r="N923" i="1"/>
  <c r="F921" i="1"/>
  <c r="AA918" i="1"/>
  <c r="G916" i="1"/>
  <c r="B914" i="1"/>
  <c r="B912" i="1"/>
  <c r="N910" i="1"/>
  <c r="AA908" i="1"/>
  <c r="K907" i="1"/>
  <c r="U905" i="1"/>
  <c r="K904" i="1"/>
  <c r="A903" i="1"/>
  <c r="M901" i="1"/>
  <c r="G900" i="1"/>
  <c r="A899" i="1"/>
  <c r="P897" i="1"/>
  <c r="J896" i="1"/>
  <c r="E895" i="1"/>
  <c r="AA893" i="1"/>
  <c r="O892" i="1"/>
  <c r="K891" i="1"/>
  <c r="D890" i="1"/>
  <c r="U888" i="1"/>
  <c r="N887" i="1"/>
  <c r="H886" i="1"/>
  <c r="D885" i="1"/>
  <c r="U883" i="1"/>
  <c r="M882" i="1"/>
  <c r="F881" i="1"/>
  <c r="A880" i="1"/>
  <c r="U878" i="1"/>
  <c r="M877" i="1"/>
  <c r="H876" i="1"/>
  <c r="E875" i="1"/>
  <c r="A874" i="1"/>
  <c r="P872" i="1"/>
  <c r="L871" i="1"/>
  <c r="I870" i="1"/>
  <c r="C869" i="1"/>
  <c r="U867" i="1"/>
  <c r="M866" i="1"/>
  <c r="I865" i="1"/>
  <c r="F864" i="1"/>
  <c r="C863" i="1"/>
  <c r="A862" i="1"/>
  <c r="U860" i="1"/>
  <c r="L859" i="1"/>
  <c r="I858" i="1"/>
  <c r="F857" i="1"/>
  <c r="B856" i="1"/>
  <c r="W854" i="1"/>
  <c r="T853" i="1"/>
  <c r="Q852" i="1"/>
  <c r="M851" i="1"/>
  <c r="K850" i="1"/>
  <c r="E849" i="1"/>
  <c r="B848" i="1"/>
  <c r="R846" i="1"/>
  <c r="O845" i="1"/>
  <c r="K844" i="1"/>
  <c r="G843" i="1"/>
  <c r="A842" i="1"/>
  <c r="R840" i="1"/>
  <c r="O839" i="1"/>
  <c r="L838" i="1"/>
  <c r="G837" i="1"/>
  <c r="A836" i="1"/>
  <c r="R834" i="1"/>
  <c r="O833" i="1"/>
  <c r="L832" i="1"/>
  <c r="I831" i="1"/>
  <c r="E830" i="1"/>
  <c r="A829" i="1"/>
  <c r="AA827" i="1"/>
  <c r="P826" i="1"/>
  <c r="N825" i="1"/>
  <c r="K824" i="1"/>
  <c r="H823" i="1"/>
  <c r="E822" i="1"/>
  <c r="I821" i="1"/>
  <c r="M820" i="1"/>
  <c r="L819" i="1"/>
  <c r="K818" i="1"/>
  <c r="H817" i="1"/>
  <c r="G816" i="1"/>
  <c r="E815" i="1"/>
  <c r="C814" i="1"/>
  <c r="A813" i="1"/>
  <c r="R811" i="1"/>
  <c r="P810" i="1"/>
  <c r="M809" i="1"/>
  <c r="K808" i="1"/>
  <c r="I807" i="1"/>
  <c r="H806" i="1"/>
  <c r="G805" i="1"/>
  <c r="E804" i="1"/>
  <c r="C803" i="1"/>
  <c r="F802" i="1"/>
  <c r="E801" i="1"/>
  <c r="G800" i="1"/>
  <c r="I799" i="1"/>
  <c r="N798" i="1"/>
  <c r="R797" i="1"/>
  <c r="Y796" i="1"/>
  <c r="B796" i="1"/>
  <c r="G795" i="1"/>
  <c r="L794" i="1"/>
  <c r="O793" i="1"/>
  <c r="O792" i="1"/>
  <c r="O791" i="1"/>
  <c r="O790" i="1"/>
  <c r="O789" i="1"/>
  <c r="O788" i="1"/>
  <c r="O787" i="1"/>
  <c r="R786" i="1"/>
  <c r="Y785" i="1"/>
  <c r="C785" i="1"/>
  <c r="A784" i="1"/>
  <c r="U782" i="1"/>
  <c r="R781" i="1"/>
  <c r="W780" i="1"/>
  <c r="B780" i="1"/>
  <c r="G779" i="1"/>
  <c r="M778" i="1"/>
  <c r="R777" i="1"/>
  <c r="U776" i="1"/>
  <c r="V775" i="1"/>
  <c r="AA774" i="1"/>
  <c r="A774" i="1"/>
  <c r="A773" i="1"/>
  <c r="B772" i="1"/>
  <c r="D771" i="1"/>
  <c r="F770" i="1"/>
  <c r="G769" i="1"/>
  <c r="I768" i="1"/>
  <c r="K767" i="1"/>
  <c r="M766" i="1"/>
  <c r="N765" i="1"/>
  <c r="O764" i="1"/>
  <c r="Q763" i="1"/>
  <c r="S762" i="1"/>
  <c r="V761" i="1"/>
  <c r="A761" i="1"/>
  <c r="C760" i="1"/>
  <c r="E759" i="1"/>
  <c r="G758" i="1"/>
  <c r="H757" i="1"/>
  <c r="I756" i="1"/>
  <c r="L755" i="1"/>
  <c r="N754" i="1"/>
  <c r="P753" i="1"/>
  <c r="R752" i="1"/>
  <c r="U751" i="1"/>
  <c r="AA750" i="1"/>
  <c r="AA749" i="1"/>
  <c r="AA748" i="1"/>
  <c r="D748" i="1"/>
  <c r="G747" i="1"/>
  <c r="J746" i="1"/>
  <c r="K745" i="1"/>
  <c r="M744" i="1"/>
  <c r="O743" i="1"/>
  <c r="Q742" i="1"/>
  <c r="S741" i="1"/>
  <c r="V740" i="1"/>
  <c r="A740" i="1"/>
  <c r="C739" i="1"/>
  <c r="E738" i="1"/>
  <c r="G737" i="1"/>
  <c r="I736" i="1"/>
  <c r="I735" i="1"/>
  <c r="L734" i="1"/>
  <c r="L733" i="1"/>
  <c r="L732" i="1"/>
  <c r="I731" i="1"/>
  <c r="J730" i="1"/>
  <c r="K729" i="1"/>
  <c r="L728" i="1"/>
  <c r="M727" i="1"/>
  <c r="O726" i="1"/>
  <c r="Q725" i="1"/>
  <c r="E1476" i="1"/>
  <c r="B1409" i="1"/>
  <c r="P1367" i="1"/>
  <c r="E1326" i="1"/>
  <c r="G1291" i="1"/>
  <c r="G1269" i="1"/>
  <c r="N1249" i="1"/>
  <c r="D1230" i="1"/>
  <c r="J1206" i="1"/>
  <c r="H1191" i="1"/>
  <c r="F1180" i="1"/>
  <c r="A1169" i="1"/>
  <c r="L1155" i="1"/>
  <c r="G1147" i="1"/>
  <c r="R1140" i="1"/>
  <c r="L1134" i="1"/>
  <c r="K1128" i="1"/>
  <c r="L1120" i="1"/>
  <c r="C1114" i="1"/>
  <c r="I1108" i="1"/>
  <c r="R1102" i="1"/>
  <c r="J1096" i="1"/>
  <c r="L1090" i="1"/>
  <c r="G1085" i="1"/>
  <c r="Q1080" i="1"/>
  <c r="L1076" i="1"/>
  <c r="G1071" i="1"/>
  <c r="H1067" i="1"/>
  <c r="Z1063" i="1"/>
  <c r="L1060" i="1"/>
  <c r="K1055" i="1"/>
  <c r="O1050" i="1"/>
  <c r="I1046" i="1"/>
  <c r="J1042" i="1"/>
  <c r="L1038" i="1"/>
  <c r="P1033" i="1"/>
  <c r="E1029" i="1"/>
  <c r="D1025" i="1"/>
  <c r="C1021" i="1"/>
  <c r="A1016" i="1"/>
  <c r="F1012" i="1"/>
  <c r="AA1008" i="1"/>
  <c r="A1006" i="1"/>
  <c r="E1003" i="1"/>
  <c r="AA999" i="1"/>
  <c r="B997" i="1"/>
  <c r="K994" i="1"/>
  <c r="R991" i="1"/>
  <c r="N988" i="1"/>
  <c r="C986" i="1"/>
  <c r="I983" i="1"/>
  <c r="A981" i="1"/>
  <c r="J978" i="1"/>
  <c r="I975" i="1"/>
  <c r="O972" i="1"/>
  <c r="B970" i="1"/>
  <c r="N967" i="1"/>
  <c r="N964" i="1"/>
  <c r="U961" i="1"/>
  <c r="I959" i="1"/>
  <c r="P956" i="1"/>
  <c r="D954" i="1"/>
  <c r="D951" i="1"/>
  <c r="M948" i="1"/>
  <c r="C946" i="1"/>
  <c r="F943" i="1"/>
  <c r="AA939" i="1"/>
  <c r="J937" i="1"/>
  <c r="A935" i="1"/>
  <c r="U932" i="1"/>
  <c r="Q930" i="1"/>
  <c r="E928" i="1"/>
  <c r="U925" i="1"/>
  <c r="M923" i="1"/>
  <c r="E921" i="1"/>
  <c r="J918" i="1"/>
  <c r="F916" i="1"/>
  <c r="U913" i="1"/>
  <c r="A912" i="1"/>
  <c r="M910" i="1"/>
  <c r="U908" i="1"/>
  <c r="J907" i="1"/>
  <c r="P905" i="1"/>
  <c r="J904" i="1"/>
  <c r="U902" i="1"/>
  <c r="L901" i="1"/>
  <c r="E900" i="1"/>
  <c r="AA898" i="1"/>
  <c r="M897" i="1"/>
  <c r="I896" i="1"/>
  <c r="D895" i="1"/>
  <c r="U893" i="1"/>
  <c r="N892" i="1"/>
  <c r="J891" i="1"/>
  <c r="C890" i="1"/>
  <c r="R888" i="1"/>
  <c r="M887" i="1"/>
  <c r="G886" i="1"/>
  <c r="B885" i="1"/>
  <c r="O883" i="1"/>
  <c r="L882" i="1"/>
  <c r="E881" i="1"/>
  <c r="AA879" i="1"/>
  <c r="R878" i="1"/>
  <c r="L877" i="1"/>
  <c r="G876" i="1"/>
  <c r="D875" i="1"/>
  <c r="AA873" i="1"/>
  <c r="O872" i="1"/>
  <c r="K871" i="1"/>
  <c r="H870" i="1"/>
  <c r="B869" i="1"/>
  <c r="R867" i="1"/>
  <c r="L866" i="1"/>
  <c r="H865" i="1"/>
  <c r="D864" i="1"/>
  <c r="AA862" i="1"/>
  <c r="AA861" i="1"/>
  <c r="R860" i="1"/>
  <c r="K859" i="1"/>
  <c r="H858" i="1"/>
  <c r="E857" i="1"/>
  <c r="A856" i="1"/>
  <c r="R854" i="1"/>
  <c r="R853" i="1"/>
  <c r="P852" i="1"/>
  <c r="L851" i="1"/>
  <c r="J850" i="1"/>
  <c r="D849" i="1"/>
  <c r="A848" i="1"/>
  <c r="Q846" i="1"/>
  <c r="N845" i="1"/>
  <c r="I844" i="1"/>
  <c r="D843" i="1"/>
  <c r="AA841" i="1"/>
  <c r="Q840" i="1"/>
  <c r="N839" i="1"/>
  <c r="K838" i="1"/>
  <c r="F837" i="1"/>
  <c r="AA835" i="1"/>
  <c r="Q834" i="1"/>
  <c r="N833" i="1"/>
  <c r="K832" i="1"/>
  <c r="H831" i="1"/>
  <c r="D830" i="1"/>
  <c r="AA828" i="1"/>
  <c r="R827" i="1"/>
  <c r="N826" i="1"/>
  <c r="M825" i="1"/>
  <c r="J824" i="1"/>
  <c r="G823" i="1"/>
  <c r="D822" i="1"/>
  <c r="H821" i="1"/>
  <c r="L820" i="1"/>
  <c r="K819" i="1"/>
  <c r="J818" i="1"/>
  <c r="G817" i="1"/>
  <c r="F816" i="1"/>
  <c r="D815" i="1"/>
  <c r="B814" i="1"/>
  <c r="U812" i="1"/>
  <c r="Q811" i="1"/>
  <c r="N810" i="1"/>
  <c r="L809" i="1"/>
  <c r="J808" i="1"/>
  <c r="H807" i="1"/>
  <c r="G806" i="1"/>
  <c r="F805" i="1"/>
  <c r="D804" i="1"/>
  <c r="B803" i="1"/>
  <c r="E802" i="1"/>
  <c r="D801" i="1"/>
  <c r="F800" i="1"/>
  <c r="H799" i="1"/>
  <c r="M798" i="1"/>
  <c r="Q797" i="1"/>
  <c r="U796" i="1"/>
  <c r="A796" i="1"/>
  <c r="F795" i="1"/>
  <c r="I794" i="1"/>
  <c r="N793" i="1"/>
  <c r="N792" i="1"/>
  <c r="N791" i="1"/>
  <c r="N790" i="1"/>
  <c r="N789" i="1"/>
  <c r="N788" i="1"/>
  <c r="N787" i="1"/>
  <c r="Q786" i="1"/>
  <c r="X785" i="1"/>
  <c r="B785" i="1"/>
  <c r="AA783" i="1"/>
  <c r="R782" i="1"/>
  <c r="Q781" i="1"/>
  <c r="V780" i="1"/>
  <c r="A780" i="1"/>
  <c r="F779" i="1"/>
  <c r="L778" i="1"/>
  <c r="Q777" i="1"/>
  <c r="R776" i="1"/>
  <c r="U775" i="1"/>
  <c r="V774" i="1"/>
  <c r="AA773" i="1"/>
  <c r="AA772" i="1"/>
  <c r="A772" i="1"/>
  <c r="C771" i="1"/>
  <c r="E770" i="1"/>
  <c r="F769" i="1"/>
  <c r="H768" i="1"/>
  <c r="J767" i="1"/>
  <c r="L766" i="1"/>
  <c r="M765" i="1"/>
  <c r="N764" i="1"/>
  <c r="P763" i="1"/>
  <c r="R762" i="1"/>
  <c r="U761" i="1"/>
  <c r="AA760" i="1"/>
  <c r="B760" i="1"/>
  <c r="D759" i="1"/>
  <c r="F758" i="1"/>
  <c r="G757" i="1"/>
  <c r="H756" i="1"/>
  <c r="K755" i="1"/>
  <c r="M754" i="1"/>
  <c r="O753" i="1"/>
  <c r="Q752" i="1"/>
  <c r="S751" i="1"/>
  <c r="X750" i="1"/>
  <c r="X749" i="1"/>
  <c r="X748" i="1"/>
  <c r="C748" i="1"/>
  <c r="F747" i="1"/>
  <c r="I746" i="1"/>
  <c r="J745" i="1"/>
  <c r="L744" i="1"/>
  <c r="N743" i="1"/>
  <c r="P742" i="1"/>
  <c r="R741" i="1"/>
  <c r="U740" i="1"/>
  <c r="AA739" i="1"/>
  <c r="B739" i="1"/>
  <c r="D738" i="1"/>
  <c r="F737" i="1"/>
  <c r="H736" i="1"/>
  <c r="H735" i="1"/>
  <c r="I734" i="1"/>
  <c r="I733" i="1"/>
  <c r="I732" i="1"/>
  <c r="H731" i="1"/>
  <c r="I730" i="1"/>
  <c r="J729" i="1"/>
  <c r="K728" i="1"/>
  <c r="M1620" i="1"/>
  <c r="D1476" i="1"/>
  <c r="A1409" i="1"/>
  <c r="O1367" i="1"/>
  <c r="I1324" i="1"/>
  <c r="J1290" i="1"/>
  <c r="F1269" i="1"/>
  <c r="L1249" i="1"/>
  <c r="G1225" i="1"/>
  <c r="E1204" i="1"/>
  <c r="G1191" i="1"/>
  <c r="C1180" i="1"/>
  <c r="AA1168" i="1"/>
  <c r="J1155" i="1"/>
  <c r="C1147" i="1"/>
  <c r="Q1140" i="1"/>
  <c r="K1134" i="1"/>
  <c r="A1127" i="1"/>
  <c r="U1119" i="1"/>
  <c r="B1114" i="1"/>
  <c r="H1108" i="1"/>
  <c r="Q1102" i="1"/>
  <c r="H1096" i="1"/>
  <c r="F1090" i="1"/>
  <c r="F1085" i="1"/>
  <c r="O1080" i="1"/>
  <c r="G1075" i="1"/>
  <c r="V1070" i="1"/>
  <c r="G1067" i="1"/>
  <c r="Y1063" i="1"/>
  <c r="K1060" i="1"/>
  <c r="J1055" i="1"/>
  <c r="K1050" i="1"/>
  <c r="H1046" i="1"/>
  <c r="I1042" i="1"/>
  <c r="M1037" i="1"/>
  <c r="F1033" i="1"/>
  <c r="D1029" i="1"/>
  <c r="C1025" i="1"/>
  <c r="B1021" i="1"/>
  <c r="AA1015" i="1"/>
  <c r="B1012" i="1"/>
  <c r="U1008" i="1"/>
  <c r="U1005" i="1"/>
  <c r="L1002" i="1"/>
  <c r="U999" i="1"/>
  <c r="A997" i="1"/>
  <c r="J994" i="1"/>
  <c r="Q991" i="1"/>
  <c r="M988" i="1"/>
  <c r="AA985" i="1"/>
  <c r="H983" i="1"/>
  <c r="AA980" i="1"/>
  <c r="AA977" i="1"/>
  <c r="H975" i="1"/>
  <c r="N972" i="1"/>
  <c r="A970" i="1"/>
  <c r="M967" i="1"/>
  <c r="M964" i="1"/>
  <c r="P961" i="1"/>
  <c r="H959" i="1"/>
  <c r="O956" i="1"/>
  <c r="K953" i="1"/>
  <c r="C951" i="1"/>
  <c r="L948" i="1"/>
  <c r="B946" i="1"/>
  <c r="E943" i="1"/>
  <c r="U939" i="1"/>
  <c r="E937" i="1"/>
  <c r="AA934" i="1"/>
  <c r="R932" i="1"/>
  <c r="E930" i="1"/>
  <c r="D928" i="1"/>
  <c r="R925" i="1"/>
  <c r="L923" i="1"/>
  <c r="D921" i="1"/>
  <c r="I918" i="1"/>
  <c r="C916" i="1"/>
  <c r="R913" i="1"/>
  <c r="AA911" i="1"/>
  <c r="L910" i="1"/>
  <c r="P908" i="1"/>
  <c r="G907" i="1"/>
  <c r="O905" i="1"/>
  <c r="H904" i="1"/>
  <c r="S902" i="1"/>
  <c r="K901" i="1"/>
  <c r="D900" i="1"/>
  <c r="R898" i="1"/>
  <c r="L897" i="1"/>
  <c r="H896" i="1"/>
  <c r="C895" i="1"/>
  <c r="R893" i="1"/>
  <c r="L892" i="1"/>
  <c r="G891" i="1"/>
  <c r="B890" i="1"/>
  <c r="Q888" i="1"/>
  <c r="L887" i="1"/>
  <c r="F886" i="1"/>
  <c r="A885" i="1"/>
  <c r="N883" i="1"/>
  <c r="I882" i="1"/>
  <c r="D881" i="1"/>
  <c r="U879" i="1"/>
  <c r="Q878" i="1"/>
  <c r="K877" i="1"/>
  <c r="F876" i="1"/>
  <c r="C875" i="1"/>
  <c r="U873" i="1"/>
  <c r="N872" i="1"/>
  <c r="I871" i="1"/>
  <c r="E870" i="1"/>
  <c r="A869" i="1"/>
  <c r="P867" i="1"/>
  <c r="I866" i="1"/>
  <c r="G865" i="1"/>
  <c r="C864" i="1"/>
  <c r="X862" i="1"/>
  <c r="X861" i="1"/>
  <c r="Q860" i="1"/>
  <c r="J859" i="1"/>
  <c r="G858" i="1"/>
  <c r="D857" i="1"/>
  <c r="AA855" i="1"/>
  <c r="Q854" i="1"/>
  <c r="Q853" i="1"/>
  <c r="O852" i="1"/>
  <c r="J851" i="1"/>
  <c r="G850" i="1"/>
  <c r="C849" i="1"/>
  <c r="AA847" i="1"/>
  <c r="P846" i="1"/>
  <c r="M845" i="1"/>
  <c r="H844" i="1"/>
  <c r="C843" i="1"/>
  <c r="U841" i="1"/>
  <c r="P840" i="1"/>
  <c r="M839" i="1"/>
  <c r="J838" i="1"/>
  <c r="E837" i="1"/>
  <c r="U835" i="1"/>
  <c r="P834" i="1"/>
  <c r="M833" i="1"/>
  <c r="J832" i="1"/>
  <c r="F831" i="1"/>
  <c r="B830" i="1"/>
  <c r="V828" i="1"/>
  <c r="Q827" i="1"/>
  <c r="M826" i="1"/>
  <c r="L825" i="1"/>
  <c r="I824" i="1"/>
  <c r="F823" i="1"/>
  <c r="C822" i="1"/>
  <c r="G821" i="1"/>
  <c r="K820" i="1"/>
  <c r="J819" i="1"/>
  <c r="I818" i="1"/>
  <c r="F817" i="1"/>
  <c r="E816" i="1"/>
  <c r="C815" i="1"/>
  <c r="AA813" i="1"/>
  <c r="R812" i="1"/>
  <c r="P811" i="1"/>
  <c r="M810" i="1"/>
  <c r="K809" i="1"/>
  <c r="I808" i="1"/>
  <c r="G807" i="1"/>
  <c r="F806" i="1"/>
  <c r="E805" i="1"/>
  <c r="C804" i="1"/>
  <c r="A803" i="1"/>
  <c r="D802" i="1"/>
  <c r="C801" i="1"/>
  <c r="E800" i="1"/>
  <c r="G799" i="1"/>
  <c r="L798" i="1"/>
  <c r="P797" i="1"/>
  <c r="T796" i="1"/>
  <c r="AA795" i="1"/>
  <c r="E795" i="1"/>
  <c r="H794" i="1"/>
  <c r="M793" i="1"/>
  <c r="M792" i="1"/>
  <c r="M791" i="1"/>
  <c r="M790" i="1"/>
  <c r="M789" i="1"/>
  <c r="M788" i="1"/>
  <c r="M787" i="1"/>
  <c r="P786" i="1"/>
  <c r="U785" i="1"/>
  <c r="A785" i="1"/>
  <c r="R783" i="1"/>
  <c r="Q782" i="1"/>
  <c r="O781" i="1"/>
  <c r="U780" i="1"/>
  <c r="AA779" i="1"/>
  <c r="E779" i="1"/>
  <c r="K778" i="1"/>
  <c r="P777" i="1"/>
  <c r="Q776" i="1"/>
  <c r="R775" i="1"/>
  <c r="U774" i="1"/>
  <c r="V773" i="1"/>
  <c r="V772" i="1"/>
  <c r="AA771" i="1"/>
  <c r="B771" i="1"/>
  <c r="D770" i="1"/>
  <c r="E769" i="1"/>
  <c r="G768" i="1"/>
  <c r="I767" i="1"/>
  <c r="K766" i="1"/>
  <c r="L765" i="1"/>
  <c r="M764" i="1"/>
  <c r="O763" i="1"/>
  <c r="Q762" i="1"/>
  <c r="S761" i="1"/>
  <c r="V760" i="1"/>
  <c r="A760" i="1"/>
  <c r="C759" i="1"/>
  <c r="E758" i="1"/>
  <c r="F757" i="1"/>
  <c r="G756" i="1"/>
  <c r="J755" i="1"/>
  <c r="L754" i="1"/>
  <c r="N753" i="1"/>
  <c r="P752" i="1"/>
  <c r="R751" i="1"/>
  <c r="V750" i="1"/>
  <c r="V749" i="1"/>
  <c r="W748" i="1"/>
  <c r="B748" i="1"/>
  <c r="E747" i="1"/>
  <c r="H746" i="1"/>
  <c r="I745" i="1"/>
  <c r="K744" i="1"/>
  <c r="M743" i="1"/>
  <c r="O742" i="1"/>
  <c r="Q741" i="1"/>
  <c r="S740" i="1"/>
  <c r="V739" i="1"/>
  <c r="A739" i="1"/>
  <c r="C738" i="1"/>
  <c r="E737" i="1"/>
  <c r="G736" i="1"/>
  <c r="G735" i="1"/>
  <c r="H734" i="1"/>
  <c r="H733" i="1"/>
  <c r="H732" i="1"/>
  <c r="G731" i="1"/>
  <c r="H730" i="1"/>
  <c r="E1604" i="1"/>
  <c r="C1476" i="1"/>
  <c r="E1408" i="1"/>
  <c r="R1357" i="1"/>
  <c r="E1320" i="1"/>
  <c r="I1290" i="1"/>
  <c r="E1269" i="1"/>
  <c r="K1249" i="1"/>
  <c r="D1224" i="1"/>
  <c r="AA1203" i="1"/>
  <c r="F1191" i="1"/>
  <c r="B1180" i="1"/>
  <c r="E1166" i="1"/>
  <c r="G1154" i="1"/>
  <c r="B1147" i="1"/>
  <c r="P1140" i="1"/>
  <c r="J1134" i="1"/>
  <c r="AA1126" i="1"/>
  <c r="K1119" i="1"/>
  <c r="A1114" i="1"/>
  <c r="G1108" i="1"/>
  <c r="J1101" i="1"/>
  <c r="R1095" i="1"/>
  <c r="D1090" i="1"/>
  <c r="E1085" i="1"/>
  <c r="N1080" i="1"/>
  <c r="F1075" i="1"/>
  <c r="Q1070" i="1"/>
  <c r="F1067" i="1"/>
  <c r="X1063" i="1"/>
  <c r="K1059" i="1"/>
  <c r="AA1054" i="1"/>
  <c r="J1050" i="1"/>
  <c r="G1046" i="1"/>
  <c r="H1042" i="1"/>
  <c r="L1037" i="1"/>
  <c r="B1033" i="1"/>
  <c r="C1029" i="1"/>
  <c r="B1025" i="1"/>
  <c r="C1020" i="1"/>
  <c r="N1015" i="1"/>
  <c r="A1012" i="1"/>
  <c r="R1008" i="1"/>
  <c r="R1005" i="1"/>
  <c r="I1002" i="1"/>
  <c r="N999" i="1"/>
  <c r="AA996" i="1"/>
  <c r="I994" i="1"/>
  <c r="F991" i="1"/>
  <c r="L988" i="1"/>
  <c r="Q985" i="1"/>
  <c r="G983" i="1"/>
  <c r="U980" i="1"/>
  <c r="X977" i="1"/>
  <c r="E975" i="1"/>
  <c r="K972" i="1"/>
  <c r="AA969" i="1"/>
  <c r="AA966" i="1"/>
  <c r="L964" i="1"/>
  <c r="O961" i="1"/>
  <c r="E959" i="1"/>
  <c r="N956" i="1"/>
  <c r="J953" i="1"/>
  <c r="S950" i="1"/>
  <c r="K948" i="1"/>
  <c r="U945" i="1"/>
  <c r="M942" i="1"/>
  <c r="R939" i="1"/>
  <c r="D937" i="1"/>
  <c r="U934" i="1"/>
  <c r="Q932" i="1"/>
  <c r="D930" i="1"/>
  <c r="A928" i="1"/>
  <c r="Q925" i="1"/>
  <c r="I923" i="1"/>
  <c r="N920" i="1"/>
  <c r="H918" i="1"/>
  <c r="B916" i="1"/>
  <c r="Q913" i="1"/>
  <c r="Q911" i="1"/>
  <c r="G910" i="1"/>
  <c r="O908" i="1"/>
  <c r="E907" i="1"/>
  <c r="N905" i="1"/>
  <c r="G904" i="1"/>
  <c r="R902" i="1"/>
  <c r="J901" i="1"/>
  <c r="C900" i="1"/>
  <c r="Q898" i="1"/>
  <c r="K897" i="1"/>
  <c r="G896" i="1"/>
  <c r="B895" i="1"/>
  <c r="Q893" i="1"/>
  <c r="K892" i="1"/>
  <c r="F891" i="1"/>
  <c r="A890" i="1"/>
  <c r="O888" i="1"/>
  <c r="I887" i="1"/>
  <c r="E886" i="1"/>
  <c r="AA884" i="1"/>
  <c r="M883" i="1"/>
  <c r="H882" i="1"/>
  <c r="C881" i="1"/>
  <c r="R879" i="1"/>
  <c r="O878" i="1"/>
  <c r="H877" i="1"/>
  <c r="E876" i="1"/>
  <c r="B875" i="1"/>
  <c r="R873" i="1"/>
  <c r="M872" i="1"/>
  <c r="H871" i="1"/>
  <c r="D870" i="1"/>
  <c r="AA868" i="1"/>
  <c r="O867" i="1"/>
  <c r="H866" i="1"/>
  <c r="F865" i="1"/>
  <c r="B864" i="1"/>
  <c r="W862" i="1"/>
  <c r="U861" i="1"/>
  <c r="P860" i="1"/>
  <c r="I859" i="1"/>
  <c r="E858" i="1"/>
  <c r="A857" i="1"/>
  <c r="W855" i="1"/>
  <c r="P854" i="1"/>
  <c r="P853" i="1"/>
  <c r="N852" i="1"/>
  <c r="I851" i="1"/>
  <c r="F850" i="1"/>
  <c r="B849" i="1"/>
  <c r="U847" i="1"/>
  <c r="O846" i="1"/>
  <c r="L845" i="1"/>
  <c r="G844" i="1"/>
  <c r="B843" i="1"/>
  <c r="R841" i="1"/>
  <c r="O840" i="1"/>
  <c r="L839" i="1"/>
  <c r="H838" i="1"/>
  <c r="B837" i="1"/>
  <c r="R835" i="1"/>
  <c r="O834" i="1"/>
  <c r="L833" i="1"/>
  <c r="I832" i="1"/>
  <c r="E831" i="1"/>
  <c r="A830" i="1"/>
  <c r="U828" i="1"/>
  <c r="N827" i="1"/>
  <c r="L826" i="1"/>
  <c r="I825" i="1"/>
  <c r="H824" i="1"/>
  <c r="E823" i="1"/>
  <c r="B822" i="1"/>
  <c r="F821" i="1"/>
  <c r="J820" i="1"/>
  <c r="I819" i="1"/>
  <c r="H818" i="1"/>
  <c r="E817" i="1"/>
  <c r="D816" i="1"/>
  <c r="A815" i="1"/>
  <c r="U813" i="1"/>
  <c r="Q812" i="1"/>
  <c r="N811" i="1"/>
  <c r="L810" i="1"/>
  <c r="J809" i="1"/>
  <c r="H808" i="1"/>
  <c r="F807" i="1"/>
  <c r="E806" i="1"/>
  <c r="D805" i="1"/>
  <c r="B804" i="1"/>
  <c r="AA802" i="1"/>
  <c r="C802" i="1"/>
  <c r="B801" i="1"/>
  <c r="D800" i="1"/>
  <c r="F799" i="1"/>
  <c r="K798" i="1"/>
  <c r="O797" i="1"/>
  <c r="S796" i="1"/>
  <c r="Z795" i="1"/>
  <c r="D795" i="1"/>
  <c r="G794" i="1"/>
  <c r="L793" i="1"/>
  <c r="L792" i="1"/>
  <c r="L791" i="1"/>
  <c r="L790" i="1"/>
  <c r="L789" i="1"/>
  <c r="L788" i="1"/>
  <c r="L787" i="1"/>
  <c r="O786" i="1"/>
  <c r="T785" i="1"/>
  <c r="AA784" i="1"/>
  <c r="Q783" i="1"/>
  <c r="O782" i="1"/>
  <c r="N781" i="1"/>
  <c r="T780" i="1"/>
  <c r="Z779" i="1"/>
  <c r="D779" i="1"/>
  <c r="J778" i="1"/>
  <c r="O777" i="1"/>
  <c r="P776" i="1"/>
  <c r="Q775" i="1"/>
  <c r="R774" i="1"/>
  <c r="R773" i="1"/>
  <c r="U772" i="1"/>
  <c r="V771" i="1"/>
  <c r="A771" i="1"/>
  <c r="C770" i="1"/>
  <c r="D769" i="1"/>
  <c r="F768" i="1"/>
  <c r="H767" i="1"/>
  <c r="J766" i="1"/>
  <c r="K765" i="1"/>
  <c r="L764" i="1"/>
  <c r="N763" i="1"/>
  <c r="P762" i="1"/>
  <c r="R761" i="1"/>
  <c r="U760" i="1"/>
  <c r="AA759" i="1"/>
  <c r="B759" i="1"/>
  <c r="D758" i="1"/>
  <c r="E757" i="1"/>
  <c r="F756" i="1"/>
  <c r="I755" i="1"/>
  <c r="K754" i="1"/>
  <c r="M753" i="1"/>
  <c r="O752" i="1"/>
  <c r="Q751" i="1"/>
  <c r="U750" i="1"/>
  <c r="U749" i="1"/>
  <c r="V748" i="1"/>
  <c r="A748" i="1"/>
  <c r="D747" i="1"/>
  <c r="G746" i="1"/>
  <c r="H745" i="1"/>
  <c r="J744" i="1"/>
  <c r="L743" i="1"/>
  <c r="N742" i="1"/>
  <c r="P741" i="1"/>
  <c r="R740" i="1"/>
  <c r="U739" i="1"/>
  <c r="AA738" i="1"/>
  <c r="B738" i="1"/>
  <c r="D737" i="1"/>
  <c r="F736" i="1"/>
  <c r="F735" i="1"/>
  <c r="G734" i="1"/>
  <c r="G733" i="1"/>
  <c r="G732" i="1"/>
  <c r="F731" i="1"/>
  <c r="G730" i="1"/>
  <c r="H729" i="1"/>
  <c r="I728" i="1"/>
  <c r="J727" i="1"/>
  <c r="L726" i="1"/>
  <c r="C1604" i="1"/>
  <c r="N1473" i="1"/>
  <c r="I1406" i="1"/>
  <c r="P1357" i="1"/>
  <c r="U1319" i="1"/>
  <c r="E1290" i="1"/>
  <c r="C1269" i="1"/>
  <c r="K1243" i="1"/>
  <c r="U1221" i="1"/>
  <c r="U1203" i="1"/>
  <c r="E1191" i="1"/>
  <c r="A1180" i="1"/>
  <c r="L1165" i="1"/>
  <c r="B1154" i="1"/>
  <c r="A1147" i="1"/>
  <c r="N1140" i="1"/>
  <c r="C1133" i="1"/>
  <c r="C1126" i="1"/>
  <c r="J1119" i="1"/>
  <c r="AA1113" i="1"/>
  <c r="F1108" i="1"/>
  <c r="I1101" i="1"/>
  <c r="L1095" i="1"/>
  <c r="C1090" i="1"/>
  <c r="D1085" i="1"/>
  <c r="L1079" i="1"/>
  <c r="O1074" i="1"/>
  <c r="P1070" i="1"/>
  <c r="E1067" i="1"/>
  <c r="V1063" i="1"/>
  <c r="J1059" i="1"/>
  <c r="O1054" i="1"/>
  <c r="I1050" i="1"/>
  <c r="F1046" i="1"/>
  <c r="I1041" i="1"/>
  <c r="B1037" i="1"/>
  <c r="A1033" i="1"/>
  <c r="B1029" i="1"/>
  <c r="A1025" i="1"/>
  <c r="B1020" i="1"/>
  <c r="I1015" i="1"/>
  <c r="AA1011" i="1"/>
  <c r="Q1008" i="1"/>
  <c r="E1005" i="1"/>
  <c r="H1002" i="1"/>
  <c r="M999" i="1"/>
  <c r="U996" i="1"/>
  <c r="F994" i="1"/>
  <c r="C991" i="1"/>
  <c r="I988" i="1"/>
  <c r="O985" i="1"/>
  <c r="F983" i="1"/>
  <c r="F980" i="1"/>
  <c r="Q977" i="1"/>
  <c r="D975" i="1"/>
  <c r="J972" i="1"/>
  <c r="U969" i="1"/>
  <c r="U966" i="1"/>
  <c r="E964" i="1"/>
  <c r="N961" i="1"/>
  <c r="D959" i="1"/>
  <c r="AA955" i="1"/>
  <c r="I953" i="1"/>
  <c r="R950" i="1"/>
  <c r="J948" i="1"/>
  <c r="R945" i="1"/>
  <c r="L942" i="1"/>
  <c r="O939" i="1"/>
  <c r="C937" i="1"/>
  <c r="R934" i="1"/>
  <c r="G932" i="1"/>
  <c r="C930" i="1"/>
  <c r="AA927" i="1"/>
  <c r="P925" i="1"/>
  <c r="H923" i="1"/>
  <c r="M920" i="1"/>
  <c r="E918" i="1"/>
  <c r="A916" i="1"/>
  <c r="P913" i="1"/>
  <c r="P911" i="1"/>
  <c r="E910" i="1"/>
  <c r="N908" i="1"/>
  <c r="C907" i="1"/>
  <c r="M905" i="1"/>
  <c r="E904" i="1"/>
  <c r="O902" i="1"/>
  <c r="I901" i="1"/>
  <c r="B900" i="1"/>
  <c r="P898" i="1"/>
  <c r="J897" i="1"/>
  <c r="F896" i="1"/>
  <c r="A895" i="1"/>
  <c r="P893" i="1"/>
  <c r="J892" i="1"/>
  <c r="E891" i="1"/>
  <c r="AA889" i="1"/>
  <c r="N888" i="1"/>
  <c r="H887" i="1"/>
  <c r="C886" i="1"/>
  <c r="Q884" i="1"/>
  <c r="L883" i="1"/>
  <c r="G882" i="1"/>
  <c r="B881" i="1"/>
  <c r="Q879" i="1"/>
  <c r="N878" i="1"/>
  <c r="G877" i="1"/>
  <c r="D876" i="1"/>
  <c r="A875" i="1"/>
  <c r="Q873" i="1"/>
  <c r="L872" i="1"/>
  <c r="G871" i="1"/>
  <c r="C870" i="1"/>
  <c r="U868" i="1"/>
  <c r="N867" i="1"/>
  <c r="G866" i="1"/>
  <c r="D865" i="1"/>
  <c r="X863" i="1"/>
  <c r="V862" i="1"/>
  <c r="R861" i="1"/>
  <c r="N860" i="1"/>
  <c r="H859" i="1"/>
  <c r="D858" i="1"/>
  <c r="AA856" i="1"/>
  <c r="R855" i="1"/>
  <c r="O854" i="1"/>
  <c r="O853" i="1"/>
  <c r="L852" i="1"/>
  <c r="H851" i="1"/>
  <c r="E850" i="1"/>
  <c r="A849" i="1"/>
  <c r="R847" i="1"/>
  <c r="N846" i="1"/>
  <c r="J845" i="1"/>
  <c r="D844" i="1"/>
  <c r="A843" i="1"/>
  <c r="Q841" i="1"/>
  <c r="N840" i="1"/>
  <c r="K839" i="1"/>
  <c r="G838" i="1"/>
  <c r="A837" i="1"/>
  <c r="Q835" i="1"/>
  <c r="N834" i="1"/>
  <c r="K833" i="1"/>
  <c r="H832" i="1"/>
  <c r="D831" i="1"/>
  <c r="AA829" i="1"/>
  <c r="R828" i="1"/>
  <c r="M827" i="1"/>
  <c r="K826" i="1"/>
  <c r="H825" i="1"/>
  <c r="G824" i="1"/>
  <c r="D823" i="1"/>
  <c r="A822" i="1"/>
  <c r="E821" i="1"/>
  <c r="I820" i="1"/>
  <c r="H819" i="1"/>
  <c r="G818" i="1"/>
  <c r="D817" i="1"/>
  <c r="B816" i="1"/>
  <c r="AA814" i="1"/>
  <c r="R813" i="1"/>
  <c r="P812" i="1"/>
  <c r="M811" i="1"/>
  <c r="K810" i="1"/>
  <c r="I809" i="1"/>
  <c r="G808" i="1"/>
  <c r="E807" i="1"/>
  <c r="D806" i="1"/>
  <c r="C805" i="1"/>
  <c r="A804" i="1"/>
  <c r="Z802" i="1"/>
  <c r="B802" i="1"/>
  <c r="A801" i="1"/>
  <c r="C800" i="1"/>
  <c r="E799" i="1"/>
  <c r="J798" i="1"/>
  <c r="N797" i="1"/>
  <c r="R796" i="1"/>
  <c r="Y795" i="1"/>
  <c r="C795" i="1"/>
  <c r="F794" i="1"/>
  <c r="K793" i="1"/>
  <c r="K792" i="1"/>
  <c r="K791" i="1"/>
  <c r="K790" i="1"/>
  <c r="K789" i="1"/>
  <c r="K788" i="1"/>
  <c r="K787" i="1"/>
  <c r="N786" i="1"/>
  <c r="S785" i="1"/>
  <c r="R784" i="1"/>
  <c r="P783" i="1"/>
  <c r="N782" i="1"/>
  <c r="M781" i="1"/>
  <c r="S780" i="1"/>
  <c r="Y779" i="1"/>
  <c r="C779" i="1"/>
  <c r="I778" i="1"/>
  <c r="N777" i="1"/>
  <c r="O776" i="1"/>
  <c r="P775" i="1"/>
  <c r="Q774" i="1"/>
  <c r="Q773" i="1"/>
  <c r="R772" i="1"/>
  <c r="U771" i="1"/>
  <c r="AA770" i="1"/>
  <c r="B770" i="1"/>
  <c r="C769" i="1"/>
  <c r="E768" i="1"/>
  <c r="G767" i="1"/>
  <c r="I766" i="1"/>
  <c r="J765" i="1"/>
  <c r="K764" i="1"/>
  <c r="M763" i="1"/>
  <c r="O762" i="1"/>
  <c r="Q761" i="1"/>
  <c r="S760" i="1"/>
  <c r="V759" i="1"/>
  <c r="A759" i="1"/>
  <c r="C758" i="1"/>
  <c r="D757" i="1"/>
  <c r="E756" i="1"/>
  <c r="H755" i="1"/>
  <c r="J754" i="1"/>
  <c r="L753" i="1"/>
  <c r="N752" i="1"/>
  <c r="P751" i="1"/>
  <c r="R750" i="1"/>
  <c r="R749" i="1"/>
  <c r="U748" i="1"/>
  <c r="AA747" i="1"/>
  <c r="C747" i="1"/>
  <c r="F746" i="1"/>
  <c r="G745" i="1"/>
  <c r="I744" i="1"/>
  <c r="K743" i="1"/>
  <c r="M742" i="1"/>
  <c r="O741" i="1"/>
  <c r="Q740" i="1"/>
  <c r="S739" i="1"/>
  <c r="V738" i="1"/>
  <c r="A738" i="1"/>
  <c r="C737" i="1"/>
  <c r="E736" i="1"/>
  <c r="E735" i="1"/>
  <c r="F734" i="1"/>
  <c r="F733" i="1"/>
  <c r="F732" i="1"/>
  <c r="E731" i="1"/>
  <c r="AA1603" i="1"/>
  <c r="L1473" i="1"/>
  <c r="R1393" i="1"/>
  <c r="C1353" i="1"/>
  <c r="R1319" i="1"/>
  <c r="D1290" i="1"/>
  <c r="P1268" i="1"/>
  <c r="I1243" i="1"/>
  <c r="G1221" i="1"/>
  <c r="Q1203" i="1"/>
  <c r="D1191" i="1"/>
  <c r="Q1176" i="1"/>
  <c r="C1164" i="1"/>
  <c r="A1154" i="1"/>
  <c r="AA1146" i="1"/>
  <c r="M1140" i="1"/>
  <c r="B1133" i="1"/>
  <c r="R1125" i="1"/>
  <c r="I1119" i="1"/>
  <c r="U1113" i="1"/>
  <c r="AA1106" i="1"/>
  <c r="P1100" i="1"/>
  <c r="K1095" i="1"/>
  <c r="B1090" i="1"/>
  <c r="C1085" i="1"/>
  <c r="K1079" i="1"/>
  <c r="I1074" i="1"/>
  <c r="O1070" i="1"/>
  <c r="D1067" i="1"/>
  <c r="A1063" i="1"/>
  <c r="AA1058" i="1"/>
  <c r="N1054" i="1"/>
  <c r="H1050" i="1"/>
  <c r="E1046" i="1"/>
  <c r="H1041" i="1"/>
  <c r="U1036" i="1"/>
  <c r="AA1032" i="1"/>
  <c r="A1029" i="1"/>
  <c r="A1024" i="1"/>
  <c r="L1019" i="1"/>
  <c r="H1015" i="1"/>
  <c r="U1011" i="1"/>
  <c r="P1008" i="1"/>
  <c r="D1005" i="1"/>
  <c r="E1002" i="1"/>
  <c r="L999" i="1"/>
  <c r="R996" i="1"/>
  <c r="N993" i="1"/>
  <c r="B991" i="1"/>
  <c r="H988" i="1"/>
  <c r="N985" i="1"/>
  <c r="E983" i="1"/>
  <c r="E980" i="1"/>
  <c r="L977" i="1"/>
  <c r="C975" i="1"/>
  <c r="I972" i="1"/>
  <c r="F969" i="1"/>
  <c r="R966" i="1"/>
  <c r="C964" i="1"/>
  <c r="M961" i="1"/>
  <c r="C959" i="1"/>
  <c r="U955" i="1"/>
  <c r="F953" i="1"/>
  <c r="P950" i="1"/>
  <c r="I948" i="1"/>
  <c r="E945" i="1"/>
  <c r="I942" i="1"/>
  <c r="N939" i="1"/>
  <c r="A937" i="1"/>
  <c r="Q934" i="1"/>
  <c r="F932" i="1"/>
  <c r="AA929" i="1"/>
  <c r="U927" i="1"/>
  <c r="O925" i="1"/>
  <c r="R922" i="1"/>
  <c r="L920" i="1"/>
  <c r="D918" i="1"/>
  <c r="AA915" i="1"/>
  <c r="O913" i="1"/>
  <c r="O911" i="1"/>
  <c r="C910" i="1"/>
  <c r="M908" i="1"/>
  <c r="A907" i="1"/>
  <c r="L905" i="1"/>
  <c r="C904" i="1"/>
  <c r="N902" i="1"/>
  <c r="H901" i="1"/>
  <c r="AA899" i="1"/>
  <c r="M898" i="1"/>
  <c r="I897" i="1"/>
  <c r="E896" i="1"/>
  <c r="AA894" i="1"/>
  <c r="N893" i="1"/>
  <c r="G892" i="1"/>
  <c r="D891" i="1"/>
  <c r="U889" i="1"/>
  <c r="M888" i="1"/>
  <c r="G887" i="1"/>
  <c r="B886" i="1"/>
  <c r="O884" i="1"/>
  <c r="K883" i="1"/>
  <c r="F882" i="1"/>
  <c r="A881" i="1"/>
  <c r="P879" i="1"/>
  <c r="L878" i="1"/>
  <c r="F877" i="1"/>
  <c r="C876" i="1"/>
  <c r="AA874" i="1"/>
  <c r="P873" i="1"/>
  <c r="H872" i="1"/>
  <c r="D871" i="1"/>
  <c r="B870" i="1"/>
  <c r="T868" i="1"/>
  <c r="M867" i="1"/>
  <c r="F866" i="1"/>
  <c r="C865" i="1"/>
  <c r="U863" i="1"/>
  <c r="U862" i="1"/>
  <c r="Q861" i="1"/>
  <c r="M860" i="1"/>
  <c r="G859" i="1"/>
  <c r="C858" i="1"/>
  <c r="W856" i="1"/>
  <c r="Q855" i="1"/>
  <c r="N854" i="1"/>
  <c r="N853" i="1"/>
  <c r="J852" i="1"/>
  <c r="E851" i="1"/>
  <c r="D850" i="1"/>
  <c r="AA848" i="1"/>
  <c r="Q847" i="1"/>
  <c r="M846" i="1"/>
  <c r="I845" i="1"/>
  <c r="C844" i="1"/>
  <c r="AA842" i="1"/>
  <c r="P841" i="1"/>
  <c r="M840" i="1"/>
  <c r="J839" i="1"/>
  <c r="F838" i="1"/>
  <c r="AA836" i="1"/>
  <c r="P835" i="1"/>
  <c r="M834" i="1"/>
  <c r="J833" i="1"/>
  <c r="F832" i="1"/>
  <c r="A831" i="1"/>
  <c r="V829" i="1"/>
  <c r="Q828" i="1"/>
  <c r="L827" i="1"/>
  <c r="J826" i="1"/>
  <c r="G825" i="1"/>
  <c r="F824" i="1"/>
  <c r="C823" i="1"/>
  <c r="AA821" i="1"/>
  <c r="D821" i="1"/>
  <c r="H820" i="1"/>
  <c r="G819" i="1"/>
  <c r="F818" i="1"/>
  <c r="B817" i="1"/>
  <c r="A816" i="1"/>
  <c r="U814" i="1"/>
  <c r="Q813" i="1"/>
  <c r="N812" i="1"/>
  <c r="L811" i="1"/>
  <c r="J810" i="1"/>
  <c r="H809" i="1"/>
  <c r="F808" i="1"/>
  <c r="D807" i="1"/>
  <c r="C806" i="1"/>
  <c r="B805" i="1"/>
  <c r="AA803" i="1"/>
  <c r="Y802" i="1"/>
  <c r="A802" i="1"/>
  <c r="AA800" i="1"/>
  <c r="B800" i="1"/>
  <c r="D799" i="1"/>
  <c r="I798" i="1"/>
  <c r="M797" i="1"/>
  <c r="Q796" i="1"/>
  <c r="V795" i="1"/>
  <c r="B795" i="1"/>
  <c r="E794" i="1"/>
  <c r="J793" i="1"/>
  <c r="J792" i="1"/>
  <c r="J791" i="1"/>
  <c r="J790" i="1"/>
  <c r="J789" i="1"/>
  <c r="J788" i="1"/>
  <c r="J787" i="1"/>
  <c r="M786" i="1"/>
  <c r="R785" i="1"/>
  <c r="Q784" i="1"/>
  <c r="O783" i="1"/>
  <c r="M782" i="1"/>
  <c r="L781" i="1"/>
  <c r="R780" i="1"/>
  <c r="W779" i="1"/>
  <c r="B779" i="1"/>
  <c r="H778" i="1"/>
  <c r="M777" i="1"/>
  <c r="N776" i="1"/>
  <c r="O775" i="1"/>
  <c r="P774" i="1"/>
  <c r="P773" i="1"/>
  <c r="Q772" i="1"/>
  <c r="S771" i="1"/>
  <c r="V770" i="1"/>
  <c r="A770" i="1"/>
  <c r="B769" i="1"/>
  <c r="D768" i="1"/>
  <c r="F767" i="1"/>
  <c r="H766" i="1"/>
  <c r="I765" i="1"/>
  <c r="J764" i="1"/>
  <c r="L763" i="1"/>
  <c r="N762" i="1"/>
  <c r="P761" i="1"/>
  <c r="R760" i="1"/>
  <c r="U759" i="1"/>
  <c r="AA758" i="1"/>
  <c r="B758" i="1"/>
  <c r="C757" i="1"/>
  <c r="D756" i="1"/>
  <c r="G755" i="1"/>
  <c r="I754" i="1"/>
  <c r="K753" i="1"/>
  <c r="M752" i="1"/>
  <c r="O751" i="1"/>
  <c r="Q750" i="1"/>
  <c r="Q749" i="1"/>
  <c r="S748" i="1"/>
  <c r="X747" i="1"/>
  <c r="B747" i="1"/>
  <c r="E746" i="1"/>
  <c r="F745" i="1"/>
  <c r="H744" i="1"/>
  <c r="J743" i="1"/>
  <c r="L742" i="1"/>
  <c r="N741" i="1"/>
  <c r="P740" i="1"/>
  <c r="R739" i="1"/>
  <c r="U738" i="1"/>
  <c r="AA737" i="1"/>
  <c r="B737" i="1"/>
  <c r="D736" i="1"/>
  <c r="D735" i="1"/>
  <c r="E734" i="1"/>
  <c r="E733" i="1"/>
  <c r="E732" i="1"/>
  <c r="D731" i="1"/>
  <c r="E730" i="1"/>
  <c r="F729" i="1"/>
  <c r="G728" i="1"/>
  <c r="H727" i="1"/>
  <c r="J726" i="1"/>
  <c r="L725" i="1"/>
  <c r="I1603" i="1"/>
  <c r="R1468" i="1"/>
  <c r="H1393" i="1"/>
  <c r="O1352" i="1"/>
  <c r="B1319" i="1"/>
  <c r="B1290" i="1"/>
  <c r="AA1262" i="1"/>
  <c r="A1241" i="1"/>
  <c r="F1221" i="1"/>
  <c r="P1203" i="1"/>
  <c r="C1191" i="1"/>
  <c r="P1176" i="1"/>
  <c r="Q1163" i="1"/>
  <c r="AA1153" i="1"/>
  <c r="Q1146" i="1"/>
  <c r="A1139" i="1"/>
  <c r="E1132" i="1"/>
  <c r="Q1125" i="1"/>
  <c r="G1119" i="1"/>
  <c r="O1113" i="1"/>
  <c r="U1106" i="1"/>
  <c r="K1100" i="1"/>
  <c r="J1095" i="1"/>
  <c r="A1090" i="1"/>
  <c r="AA1083" i="1"/>
  <c r="A1079" i="1"/>
  <c r="H1074" i="1"/>
  <c r="N1070" i="1"/>
  <c r="C1067" i="1"/>
  <c r="AA1062" i="1"/>
  <c r="P1058" i="1"/>
  <c r="M1054" i="1"/>
  <c r="G1050" i="1"/>
  <c r="E1045" i="1"/>
  <c r="U1040" i="1"/>
  <c r="R1036" i="1"/>
  <c r="V1032" i="1"/>
  <c r="AA1028" i="1"/>
  <c r="AA1023" i="1"/>
  <c r="H1019" i="1"/>
  <c r="F1015" i="1"/>
  <c r="R1011" i="1"/>
  <c r="AA1007" i="1"/>
  <c r="A1005" i="1"/>
  <c r="D1002" i="1"/>
  <c r="H999" i="1"/>
  <c r="Q996" i="1"/>
  <c r="M993" i="1"/>
  <c r="R990" i="1"/>
  <c r="G988" i="1"/>
  <c r="L985" i="1"/>
  <c r="L982" i="1"/>
  <c r="D980" i="1"/>
  <c r="K977" i="1"/>
  <c r="B975" i="1"/>
  <c r="G972" i="1"/>
  <c r="D969" i="1"/>
  <c r="O966" i="1"/>
  <c r="B964" i="1"/>
  <c r="L961" i="1"/>
  <c r="K958" i="1"/>
  <c r="Q955" i="1"/>
  <c r="E953" i="1"/>
  <c r="O950" i="1"/>
  <c r="H948" i="1"/>
  <c r="D945" i="1"/>
  <c r="E942" i="1"/>
  <c r="M939" i="1"/>
  <c r="AA936" i="1"/>
  <c r="G934" i="1"/>
  <c r="E932" i="1"/>
  <c r="X929" i="1"/>
  <c r="R927" i="1"/>
  <c r="N925" i="1"/>
  <c r="Q922" i="1"/>
  <c r="G920" i="1"/>
  <c r="C918" i="1"/>
  <c r="U915" i="1"/>
  <c r="N913" i="1"/>
  <c r="N911" i="1"/>
  <c r="A910" i="1"/>
  <c r="L908" i="1"/>
  <c r="AA906" i="1"/>
  <c r="K905" i="1"/>
  <c r="A904" i="1"/>
  <c r="M902" i="1"/>
  <c r="F901" i="1"/>
  <c r="R899" i="1"/>
  <c r="L898" i="1"/>
  <c r="H897" i="1"/>
  <c r="D896" i="1"/>
  <c r="U894" i="1"/>
  <c r="M893" i="1"/>
  <c r="F892" i="1"/>
  <c r="C891" i="1"/>
  <c r="R889" i="1"/>
  <c r="L888" i="1"/>
  <c r="F887" i="1"/>
  <c r="A886" i="1"/>
  <c r="N884" i="1"/>
  <c r="J883" i="1"/>
  <c r="E882" i="1"/>
  <c r="AA880" i="1"/>
  <c r="N879" i="1"/>
  <c r="G878" i="1"/>
  <c r="E877" i="1"/>
  <c r="B876" i="1"/>
  <c r="U874" i="1"/>
  <c r="O873" i="1"/>
  <c r="G872" i="1"/>
  <c r="C871" i="1"/>
  <c r="A870" i="1"/>
  <c r="R868" i="1"/>
  <c r="L867" i="1"/>
  <c r="E866" i="1"/>
  <c r="B865" i="1"/>
  <c r="R863" i="1"/>
  <c r="R862" i="1"/>
  <c r="P861" i="1"/>
  <c r="L860" i="1"/>
  <c r="E859" i="1"/>
  <c r="AA857" i="1"/>
  <c r="U856" i="1"/>
  <c r="P855" i="1"/>
  <c r="M854" i="1"/>
  <c r="M853" i="1"/>
  <c r="I852" i="1"/>
  <c r="D851" i="1"/>
  <c r="C850" i="1"/>
  <c r="U848" i="1"/>
  <c r="P847" i="1"/>
  <c r="L846" i="1"/>
  <c r="H845" i="1"/>
  <c r="B844" i="1"/>
  <c r="R842" i="1"/>
  <c r="O841" i="1"/>
  <c r="L840" i="1"/>
  <c r="H839" i="1"/>
  <c r="C838" i="1"/>
  <c r="U836" i="1"/>
  <c r="O835" i="1"/>
  <c r="L834" i="1"/>
  <c r="I833" i="1"/>
  <c r="E832" i="1"/>
  <c r="AA830" i="1"/>
  <c r="U829" i="1"/>
  <c r="O828" i="1"/>
  <c r="K827" i="1"/>
  <c r="I826" i="1"/>
  <c r="F825" i="1"/>
  <c r="E824" i="1"/>
  <c r="B823" i="1"/>
  <c r="Z821" i="1"/>
  <c r="C821" i="1"/>
  <c r="G820" i="1"/>
  <c r="F819" i="1"/>
  <c r="D818" i="1"/>
  <c r="A817" i="1"/>
  <c r="AA815" i="1"/>
  <c r="R814" i="1"/>
  <c r="P813" i="1"/>
  <c r="M812" i="1"/>
  <c r="K811" i="1"/>
  <c r="I810" i="1"/>
  <c r="G809" i="1"/>
  <c r="E808" i="1"/>
  <c r="C807" i="1"/>
  <c r="B806" i="1"/>
  <c r="A805" i="1"/>
  <c r="V803" i="1"/>
  <c r="U802" i="1"/>
  <c r="AA801" i="1"/>
  <c r="Z800" i="1"/>
  <c r="A800" i="1"/>
  <c r="C799" i="1"/>
  <c r="H798" i="1"/>
  <c r="L797" i="1"/>
  <c r="P796" i="1"/>
  <c r="U795" i="1"/>
  <c r="A795" i="1"/>
  <c r="D794" i="1"/>
  <c r="I793" i="1"/>
  <c r="I792" i="1"/>
  <c r="I791" i="1"/>
  <c r="I790" i="1"/>
  <c r="I789" i="1"/>
  <c r="I788" i="1"/>
  <c r="I787" i="1"/>
  <c r="L786" i="1"/>
  <c r="Q785" i="1"/>
  <c r="P784" i="1"/>
  <c r="N783" i="1"/>
  <c r="L782" i="1"/>
  <c r="K781" i="1"/>
  <c r="Q780" i="1"/>
  <c r="V779" i="1"/>
  <c r="A779" i="1"/>
  <c r="G778" i="1"/>
  <c r="L777" i="1"/>
  <c r="M776" i="1"/>
  <c r="N775" i="1"/>
  <c r="O774" i="1"/>
  <c r="O773" i="1"/>
  <c r="P772" i="1"/>
  <c r="R771" i="1"/>
  <c r="U770" i="1"/>
  <c r="AA769" i="1"/>
  <c r="A769" i="1"/>
  <c r="C768" i="1"/>
  <c r="E767" i="1"/>
  <c r="G766" i="1"/>
  <c r="H765" i="1"/>
  <c r="I764" i="1"/>
  <c r="K763" i="1"/>
  <c r="M762" i="1"/>
  <c r="O761" i="1"/>
  <c r="Q760" i="1"/>
  <c r="S759" i="1"/>
  <c r="V758" i="1"/>
  <c r="A758" i="1"/>
  <c r="B757" i="1"/>
  <c r="C756" i="1"/>
  <c r="F755" i="1"/>
  <c r="H754" i="1"/>
  <c r="J753" i="1"/>
  <c r="L752" i="1"/>
  <c r="N751" i="1"/>
  <c r="P750" i="1"/>
  <c r="P749" i="1"/>
  <c r="R748" i="1"/>
  <c r="V747" i="1"/>
  <c r="A747" i="1"/>
  <c r="D746" i="1"/>
  <c r="E745" i="1"/>
  <c r="G744" i="1"/>
  <c r="I743" i="1"/>
  <c r="K742" i="1"/>
  <c r="M741" i="1"/>
  <c r="O740" i="1"/>
  <c r="Q739" i="1"/>
  <c r="S738" i="1"/>
  <c r="V737" i="1"/>
  <c r="A737" i="1"/>
  <c r="C736" i="1"/>
  <c r="C735" i="1"/>
  <c r="D734" i="1"/>
  <c r="D733" i="1"/>
  <c r="D732" i="1"/>
  <c r="C731" i="1"/>
  <c r="D730" i="1"/>
  <c r="E729" i="1"/>
  <c r="F728" i="1"/>
  <c r="G727" i="1"/>
  <c r="I726" i="1"/>
  <c r="K725" i="1"/>
  <c r="M724" i="1"/>
  <c r="O723" i="1"/>
  <c r="B1588" i="1"/>
  <c r="K1452" i="1"/>
  <c r="Q1389" i="1"/>
  <c r="N1352" i="1"/>
  <c r="Q1318" i="1"/>
  <c r="Q1288" i="1"/>
  <c r="R1262" i="1"/>
  <c r="P1240" i="1"/>
  <c r="D1221" i="1"/>
  <c r="N1203" i="1"/>
  <c r="U1187" i="1"/>
  <c r="H1175" i="1"/>
  <c r="P1163" i="1"/>
  <c r="U1153" i="1"/>
  <c r="N1146" i="1"/>
  <c r="AA1138" i="1"/>
  <c r="A1132" i="1"/>
  <c r="N1125" i="1"/>
  <c r="F1119" i="1"/>
  <c r="F1112" i="1"/>
  <c r="D1106" i="1"/>
  <c r="J1100" i="1"/>
  <c r="I1095" i="1"/>
  <c r="AA1089" i="1"/>
  <c r="U1083" i="1"/>
  <c r="R1078" i="1"/>
  <c r="G1074" i="1"/>
  <c r="M1070" i="1"/>
  <c r="G1066" i="1"/>
  <c r="O1062" i="1"/>
  <c r="O1058" i="1"/>
  <c r="L1054" i="1"/>
  <c r="F1050" i="1"/>
  <c r="D1045" i="1"/>
  <c r="O1040" i="1"/>
  <c r="Q1036" i="1"/>
  <c r="U1032" i="1"/>
  <c r="AA1027" i="1"/>
  <c r="J1023" i="1"/>
  <c r="G1019" i="1"/>
  <c r="E1015" i="1"/>
  <c r="Q1011" i="1"/>
  <c r="U1007" i="1"/>
  <c r="Q1004" i="1"/>
  <c r="C1002" i="1"/>
  <c r="G999" i="1"/>
  <c r="C996" i="1"/>
  <c r="L993" i="1"/>
  <c r="Q990" i="1"/>
  <c r="F988" i="1"/>
  <c r="K985" i="1"/>
  <c r="K982" i="1"/>
  <c r="A980" i="1"/>
  <c r="J977" i="1"/>
  <c r="A975" i="1"/>
  <c r="Q971" i="1"/>
  <c r="C969" i="1"/>
  <c r="N966" i="1"/>
  <c r="A964" i="1"/>
  <c r="K961" i="1"/>
  <c r="J958" i="1"/>
  <c r="N955" i="1"/>
  <c r="D953" i="1"/>
  <c r="N950" i="1"/>
  <c r="O947" i="1"/>
  <c r="C945" i="1"/>
  <c r="D942" i="1"/>
  <c r="L939" i="1"/>
  <c r="U936" i="1"/>
  <c r="F934" i="1"/>
  <c r="B932" i="1"/>
  <c r="U929" i="1"/>
  <c r="Q927" i="1"/>
  <c r="B925" i="1"/>
  <c r="P922" i="1"/>
  <c r="F920" i="1"/>
  <c r="B918" i="1"/>
  <c r="R915" i="1"/>
  <c r="M913" i="1"/>
  <c r="M911" i="1"/>
  <c r="AA909" i="1"/>
  <c r="K908" i="1"/>
  <c r="U906" i="1"/>
  <c r="J905" i="1"/>
  <c r="AA903" i="1"/>
  <c r="L902" i="1"/>
  <c r="E901" i="1"/>
  <c r="Q899" i="1"/>
  <c r="K898" i="1"/>
  <c r="G897" i="1"/>
  <c r="C896" i="1"/>
  <c r="R894" i="1"/>
  <c r="L893" i="1"/>
  <c r="E892" i="1"/>
  <c r="B891" i="1"/>
  <c r="Q889" i="1"/>
  <c r="I888" i="1"/>
  <c r="D887" i="1"/>
  <c r="R885" i="1"/>
  <c r="M884" i="1"/>
  <c r="I883" i="1"/>
  <c r="D882" i="1"/>
  <c r="U880" i="1"/>
  <c r="M879" i="1"/>
  <c r="F878" i="1"/>
  <c r="D877" i="1"/>
  <c r="A876" i="1"/>
  <c r="R874" i="1"/>
  <c r="N873" i="1"/>
  <c r="F872" i="1"/>
  <c r="B871" i="1"/>
  <c r="AA869" i="1"/>
  <c r="Q868" i="1"/>
  <c r="I867" i="1"/>
  <c r="C866" i="1"/>
  <c r="U864" i="1"/>
  <c r="Q863" i="1"/>
  <c r="Q862" i="1"/>
  <c r="O861" i="1"/>
  <c r="I860" i="1"/>
  <c r="D859" i="1"/>
  <c r="W857" i="1"/>
  <c r="R856" i="1"/>
  <c r="O855" i="1"/>
  <c r="L854" i="1"/>
  <c r="L853" i="1"/>
  <c r="H852" i="1"/>
  <c r="C851" i="1"/>
  <c r="B850" i="1"/>
  <c r="R848" i="1"/>
  <c r="O847" i="1"/>
  <c r="J846" i="1"/>
  <c r="E845" i="1"/>
  <c r="A844" i="1"/>
  <c r="Q842" i="1"/>
  <c r="N841" i="1"/>
  <c r="K840" i="1"/>
  <c r="G839" i="1"/>
  <c r="B838" i="1"/>
  <c r="R836" i="1"/>
  <c r="N835" i="1"/>
  <c r="K834" i="1"/>
  <c r="H833" i="1"/>
  <c r="D832" i="1"/>
  <c r="V830" i="1"/>
  <c r="R829" i="1"/>
  <c r="N828" i="1"/>
  <c r="J827" i="1"/>
  <c r="H826" i="1"/>
  <c r="E825" i="1"/>
  <c r="D824" i="1"/>
  <c r="A823" i="1"/>
  <c r="Y821" i="1"/>
  <c r="B821" i="1"/>
  <c r="F820" i="1"/>
  <c r="D819" i="1"/>
  <c r="C818" i="1"/>
  <c r="AA816" i="1"/>
  <c r="U815" i="1"/>
  <c r="Q814" i="1"/>
  <c r="N813" i="1"/>
  <c r="L812" i="1"/>
  <c r="J811" i="1"/>
  <c r="H810" i="1"/>
  <c r="F809" i="1"/>
  <c r="D808" i="1"/>
  <c r="B807" i="1"/>
  <c r="A806" i="1"/>
  <c r="AA804" i="1"/>
  <c r="U803" i="1"/>
  <c r="T802" i="1"/>
  <c r="Y801" i="1"/>
  <c r="Y800" i="1"/>
  <c r="AA799" i="1"/>
  <c r="B799" i="1"/>
  <c r="G798" i="1"/>
  <c r="K797" i="1"/>
  <c r="O796" i="1"/>
  <c r="T795" i="1"/>
  <c r="AA794" i="1"/>
  <c r="C794" i="1"/>
  <c r="H793" i="1"/>
  <c r="H792" i="1"/>
  <c r="H791" i="1"/>
  <c r="H790" i="1"/>
  <c r="H789" i="1"/>
  <c r="H788" i="1"/>
  <c r="H787" i="1"/>
  <c r="K786" i="1"/>
  <c r="P785" i="1"/>
  <c r="O784" i="1"/>
  <c r="M783" i="1"/>
  <c r="K782" i="1"/>
  <c r="J781" i="1"/>
  <c r="O780" i="1"/>
  <c r="U779" i="1"/>
  <c r="AA778" i="1"/>
  <c r="F778" i="1"/>
  <c r="K777" i="1"/>
  <c r="L776" i="1"/>
  <c r="M775" i="1"/>
  <c r="N774" i="1"/>
  <c r="N773" i="1"/>
  <c r="O772" i="1"/>
  <c r="Q771" i="1"/>
  <c r="S770" i="1"/>
  <c r="V769" i="1"/>
  <c r="AA768" i="1"/>
  <c r="B768" i="1"/>
  <c r="D767" i="1"/>
  <c r="F766" i="1"/>
  <c r="G765" i="1"/>
  <c r="H764" i="1"/>
  <c r="J763" i="1"/>
  <c r="L762" i="1"/>
  <c r="N761" i="1"/>
  <c r="P760" i="1"/>
  <c r="R759" i="1"/>
  <c r="U758" i="1"/>
  <c r="AA757" i="1"/>
  <c r="A757" i="1"/>
  <c r="B756" i="1"/>
  <c r="E755" i="1"/>
  <c r="G754" i="1"/>
  <c r="I753" i="1"/>
  <c r="K752" i="1"/>
  <c r="M751" i="1"/>
  <c r="O750" i="1"/>
  <c r="O749" i="1"/>
  <c r="Q748" i="1"/>
  <c r="U747" i="1"/>
  <c r="AA746" i="1"/>
  <c r="C746" i="1"/>
  <c r="D745" i="1"/>
  <c r="F744" i="1"/>
  <c r="H743" i="1"/>
  <c r="J742" i="1"/>
  <c r="L741" i="1"/>
  <c r="N740" i="1"/>
  <c r="P739" i="1"/>
  <c r="R738" i="1"/>
  <c r="U737" i="1"/>
  <c r="AA736" i="1"/>
  <c r="B736" i="1"/>
  <c r="B735" i="1"/>
  <c r="C734" i="1"/>
  <c r="C733" i="1"/>
  <c r="C732" i="1"/>
  <c r="B731" i="1"/>
  <c r="C730" i="1"/>
  <c r="D729" i="1"/>
  <c r="E728" i="1"/>
  <c r="F727" i="1"/>
  <c r="H726" i="1"/>
  <c r="J725" i="1"/>
  <c r="L724" i="1"/>
  <c r="N723" i="1"/>
  <c r="P722" i="1"/>
  <c r="R721" i="1"/>
  <c r="S720" i="1"/>
  <c r="U719" i="1"/>
  <c r="AA718" i="1"/>
  <c r="B718" i="1"/>
  <c r="E717" i="1"/>
  <c r="H716" i="1"/>
  <c r="I715" i="1"/>
  <c r="J714" i="1"/>
  <c r="M713" i="1"/>
  <c r="O712" i="1"/>
  <c r="R711" i="1"/>
  <c r="U710" i="1"/>
  <c r="V709" i="1"/>
  <c r="A709" i="1"/>
  <c r="C708" i="1"/>
  <c r="D707" i="1"/>
  <c r="E706" i="1"/>
  <c r="H705" i="1"/>
  <c r="K704" i="1"/>
  <c r="N703" i="1"/>
  <c r="Q702" i="1"/>
  <c r="U701" i="1"/>
  <c r="AA700" i="1"/>
  <c r="B700" i="1"/>
  <c r="E699" i="1"/>
  <c r="E698" i="1"/>
  <c r="E697" i="1"/>
  <c r="G696" i="1"/>
  <c r="F695" i="1"/>
  <c r="G694" i="1"/>
  <c r="F693" i="1"/>
  <c r="G692" i="1"/>
  <c r="H691" i="1"/>
  <c r="J690" i="1"/>
  <c r="L689" i="1"/>
  <c r="O688" i="1"/>
  <c r="O687" i="1"/>
  <c r="R686" i="1"/>
  <c r="Y685" i="1"/>
  <c r="C685" i="1"/>
  <c r="H684" i="1"/>
  <c r="M683" i="1"/>
  <c r="R682" i="1"/>
  <c r="Y681" i="1"/>
  <c r="C681" i="1"/>
  <c r="H680" i="1"/>
  <c r="M679" i="1"/>
  <c r="R678" i="1"/>
  <c r="Y677" i="1"/>
  <c r="C677" i="1"/>
  <c r="H676" i="1"/>
  <c r="M675" i="1"/>
  <c r="R674" i="1"/>
  <c r="Y673" i="1"/>
  <c r="C673" i="1"/>
  <c r="H672" i="1"/>
  <c r="M671" i="1"/>
  <c r="R670" i="1"/>
  <c r="Y669" i="1"/>
  <c r="C669" i="1"/>
  <c r="H668" i="1"/>
  <c r="M667" i="1"/>
  <c r="R666" i="1"/>
  <c r="Y665" i="1"/>
  <c r="C665" i="1"/>
  <c r="H664" i="1"/>
  <c r="M663" i="1"/>
  <c r="R662" i="1"/>
  <c r="Y661" i="1"/>
  <c r="C661" i="1"/>
  <c r="H660" i="1"/>
  <c r="M659" i="1"/>
  <c r="R658" i="1"/>
  <c r="Y657" i="1"/>
  <c r="C657" i="1"/>
  <c r="C656" i="1"/>
  <c r="E655" i="1"/>
  <c r="Q1523" i="1"/>
  <c r="L1437" i="1"/>
  <c r="D1385" i="1"/>
  <c r="C1349" i="1"/>
  <c r="C1309" i="1"/>
  <c r="D1280" i="1"/>
  <c r="R1258" i="1"/>
  <c r="H1239" i="1"/>
  <c r="B1215" i="1"/>
  <c r="AA1197" i="1"/>
  <c r="C1186" i="1"/>
  <c r="G1174" i="1"/>
  <c r="R1162" i="1"/>
  <c r="N1151" i="1"/>
  <c r="AA1143" i="1"/>
  <c r="Q1137" i="1"/>
  <c r="M1131" i="1"/>
  <c r="AA1123" i="1"/>
  <c r="C1117" i="1"/>
  <c r="E1111" i="1"/>
  <c r="Q1105" i="1"/>
  <c r="F1100" i="1"/>
  <c r="AA1093" i="1"/>
  <c r="Q1087" i="1"/>
  <c r="AA1082" i="1"/>
  <c r="M1078" i="1"/>
  <c r="D1073" i="1"/>
  <c r="E1069" i="1"/>
  <c r="O1065" i="1"/>
  <c r="H1062" i="1"/>
  <c r="K1058" i="1"/>
  <c r="H1053" i="1"/>
  <c r="J1048" i="1"/>
  <c r="I1044" i="1"/>
  <c r="K1040" i="1"/>
  <c r="O1035" i="1"/>
  <c r="G1031" i="1"/>
  <c r="D1027" i="1"/>
  <c r="C1023" i="1"/>
  <c r="C1019" i="1"/>
  <c r="C1014" i="1"/>
  <c r="M1010" i="1"/>
  <c r="K1007" i="1"/>
  <c r="L1004" i="1"/>
  <c r="F1001" i="1"/>
  <c r="L998" i="1"/>
  <c r="Q995" i="1"/>
  <c r="D993" i="1"/>
  <c r="L990" i="1"/>
  <c r="H987" i="1"/>
  <c r="N984" i="1"/>
  <c r="E982" i="1"/>
  <c r="O979" i="1"/>
  <c r="O976" i="1"/>
  <c r="C974" i="1"/>
  <c r="H971" i="1"/>
  <c r="R968" i="1"/>
  <c r="H966" i="1"/>
  <c r="D963" i="1"/>
  <c r="M960" i="1"/>
  <c r="B958" i="1"/>
  <c r="H955" i="1"/>
  <c r="H952" i="1"/>
  <c r="U949" i="1"/>
  <c r="I947" i="1"/>
  <c r="O944" i="1"/>
  <c r="AA941" i="1"/>
  <c r="N938" i="1"/>
  <c r="C936" i="1"/>
  <c r="AA933" i="1"/>
  <c r="R931" i="1"/>
  <c r="F929" i="1"/>
  <c r="D927" i="1"/>
  <c r="P924" i="1"/>
  <c r="H922" i="1"/>
  <c r="B920" i="1"/>
  <c r="G917" i="1"/>
  <c r="A915" i="1"/>
  <c r="AA912" i="1"/>
  <c r="D911" i="1"/>
  <c r="N909" i="1"/>
  <c r="C908" i="1"/>
  <c r="M906" i="1"/>
  <c r="C905" i="1"/>
  <c r="N903" i="1"/>
  <c r="G902" i="1"/>
  <c r="U900" i="1"/>
  <c r="K899" i="1"/>
  <c r="G898" i="1"/>
  <c r="B897" i="1"/>
  <c r="R895" i="1"/>
  <c r="I894" i="1"/>
  <c r="D893" i="1"/>
  <c r="A892" i="1"/>
  <c r="R890" i="1"/>
  <c r="M889" i="1"/>
  <c r="D888" i="1"/>
  <c r="R886" i="1"/>
  <c r="M885" i="1"/>
  <c r="I884" i="1"/>
  <c r="E883" i="1"/>
  <c r="AA881" i="1"/>
  <c r="N880" i="1"/>
  <c r="G879" i="1"/>
  <c r="B878" i="1"/>
  <c r="AA876" i="1"/>
  <c r="Q875" i="1"/>
  <c r="M874" i="1"/>
  <c r="E873" i="1"/>
  <c r="AA871" i="1"/>
  <c r="U870" i="1"/>
  <c r="Q869" i="1"/>
  <c r="M868" i="1"/>
  <c r="D867" i="1"/>
  <c r="R865" i="1"/>
  <c r="O864" i="1"/>
  <c r="M863" i="1"/>
  <c r="M862" i="1"/>
  <c r="K861" i="1"/>
  <c r="D860" i="1"/>
  <c r="U858" i="1"/>
  <c r="P857" i="1"/>
  <c r="N856" i="1"/>
  <c r="K855" i="1"/>
  <c r="G854" i="1"/>
  <c r="E853" i="1"/>
  <c r="B852" i="1"/>
  <c r="W850" i="1"/>
  <c r="R849" i="1"/>
  <c r="N848" i="1"/>
  <c r="J847" i="1"/>
  <c r="D846" i="1"/>
  <c r="A845" i="1"/>
  <c r="Q843" i="1"/>
  <c r="M842" i="1"/>
  <c r="J841" i="1"/>
  <c r="F840" i="1"/>
  <c r="A839" i="1"/>
  <c r="R837" i="1"/>
  <c r="M836" i="1"/>
  <c r="J835" i="1"/>
  <c r="F834" i="1"/>
  <c r="A833" i="1"/>
  <c r="U831" i="1"/>
  <c r="O830" i="1"/>
  <c r="M829" i="1"/>
  <c r="J828" i="1"/>
  <c r="F827" i="1"/>
  <c r="D826" i="1"/>
  <c r="A825" i="1"/>
  <c r="AA823" i="1"/>
  <c r="Q822" i="1"/>
  <c r="R821" i="1"/>
  <c r="V820" i="1"/>
  <c r="A820" i="1"/>
  <c r="AA818" i="1"/>
  <c r="U817" i="1"/>
  <c r="P816" i="1"/>
  <c r="N815" i="1"/>
  <c r="L814" i="1"/>
  <c r="J813" i="1"/>
  <c r="H812" i="1"/>
  <c r="F811" i="1"/>
  <c r="D810" i="1"/>
  <c r="B809" i="1"/>
  <c r="AA807" i="1"/>
  <c r="R806" i="1"/>
  <c r="Q805" i="1"/>
  <c r="O804" i="1"/>
  <c r="N803" i="1"/>
  <c r="O802" i="1"/>
  <c r="P801" i="1"/>
  <c r="Q800" i="1"/>
  <c r="T799" i="1"/>
  <c r="Y798" i="1"/>
  <c r="C798" i="1"/>
  <c r="G797" i="1"/>
  <c r="K796" i="1"/>
  <c r="P795" i="1"/>
  <c r="U794" i="1"/>
  <c r="Z793" i="1"/>
  <c r="D793" i="1"/>
  <c r="D792" i="1"/>
  <c r="D791" i="1"/>
  <c r="D790" i="1"/>
  <c r="D789" i="1"/>
  <c r="D788" i="1"/>
  <c r="D787" i="1"/>
  <c r="G786" i="1"/>
  <c r="L785" i="1"/>
  <c r="J784" i="1"/>
  <c r="H783" i="1"/>
  <c r="G782" i="1"/>
  <c r="F781" i="1"/>
  <c r="K780" i="1"/>
  <c r="Q779" i="1"/>
  <c r="V778" i="1"/>
  <c r="B778" i="1"/>
  <c r="G777" i="1"/>
  <c r="H776" i="1"/>
  <c r="I775" i="1"/>
  <c r="J774" i="1"/>
  <c r="J773" i="1"/>
  <c r="K772" i="1"/>
  <c r="M771" i="1"/>
  <c r="O770" i="1"/>
  <c r="Q769" i="1"/>
  <c r="R768" i="1"/>
  <c r="U767" i="1"/>
  <c r="AA766" i="1"/>
  <c r="B766" i="1"/>
  <c r="C765" i="1"/>
  <c r="D764" i="1"/>
  <c r="F763" i="1"/>
  <c r="H762" i="1"/>
  <c r="J761" i="1"/>
  <c r="L760" i="1"/>
  <c r="N759" i="1"/>
  <c r="P758" i="1"/>
  <c r="Q757" i="1"/>
  <c r="S756" i="1"/>
  <c r="U755" i="1"/>
  <c r="A755" i="1"/>
  <c r="C754" i="1"/>
  <c r="E753" i="1"/>
  <c r="G752" i="1"/>
  <c r="I751" i="1"/>
  <c r="I750" i="1"/>
  <c r="I749" i="1"/>
  <c r="M748" i="1"/>
  <c r="P747" i="1"/>
  <c r="S746" i="1"/>
  <c r="X745" i="1"/>
  <c r="AA744" i="1"/>
  <c r="B744" i="1"/>
  <c r="D743" i="1"/>
  <c r="F742" i="1"/>
  <c r="H741" i="1"/>
  <c r="J740" i="1"/>
  <c r="L739" i="1"/>
  <c r="N738" i="1"/>
  <c r="P737" i="1"/>
  <c r="S736" i="1"/>
  <c r="V735" i="1"/>
  <c r="V734" i="1"/>
  <c r="W733" i="1"/>
  <c r="W732" i="1"/>
  <c r="W731" i="1"/>
  <c r="U730" i="1"/>
  <c r="V729" i="1"/>
  <c r="AA728" i="1"/>
  <c r="A728" i="1"/>
  <c r="B727" i="1"/>
  <c r="D726" i="1"/>
  <c r="F725" i="1"/>
  <c r="H724" i="1"/>
  <c r="J723" i="1"/>
  <c r="L722" i="1"/>
  <c r="N721" i="1"/>
  <c r="O720" i="1"/>
  <c r="P719" i="1"/>
  <c r="R718" i="1"/>
  <c r="V717" i="1"/>
  <c r="A717" i="1"/>
  <c r="D716" i="1"/>
  <c r="E715" i="1"/>
  <c r="F714" i="1"/>
  <c r="H713" i="1"/>
  <c r="K712" i="1"/>
  <c r="N711" i="1"/>
  <c r="P710" i="1"/>
  <c r="Q709" i="1"/>
  <c r="S708" i="1"/>
  <c r="W707" i="1"/>
  <c r="AA706" i="1"/>
  <c r="A706" i="1"/>
  <c r="D705" i="1"/>
  <c r="G704" i="1"/>
  <c r="J703" i="1"/>
  <c r="M702" i="1"/>
  <c r="P701" i="1"/>
  <c r="R700" i="1"/>
  <c r="V699" i="1"/>
  <c r="A699" i="1"/>
  <c r="A698" i="1"/>
  <c r="A697" i="1"/>
  <c r="C696" i="1"/>
  <c r="B695" i="1"/>
  <c r="C694" i="1"/>
  <c r="B693" i="1"/>
  <c r="C692" i="1"/>
  <c r="D691" i="1"/>
  <c r="F690" i="1"/>
  <c r="H689" i="1"/>
  <c r="H688" i="1"/>
  <c r="I687" i="1"/>
  <c r="N686" i="1"/>
  <c r="S685" i="1"/>
  <c r="Z684" i="1"/>
  <c r="D684" i="1"/>
  <c r="I683" i="1"/>
  <c r="N682" i="1"/>
  <c r="S681" i="1"/>
  <c r="Z680" i="1"/>
  <c r="D680" i="1"/>
  <c r="I679" i="1"/>
  <c r="N678" i="1"/>
  <c r="S677" i="1"/>
  <c r="Z676" i="1"/>
  <c r="D676" i="1"/>
  <c r="I675" i="1"/>
  <c r="N674" i="1"/>
  <c r="S673" i="1"/>
  <c r="Z672" i="1"/>
  <c r="D672" i="1"/>
  <c r="I671" i="1"/>
  <c r="N670" i="1"/>
  <c r="S669" i="1"/>
  <c r="Z668" i="1"/>
  <c r="D668" i="1"/>
  <c r="I667" i="1"/>
  <c r="N666" i="1"/>
  <c r="S665" i="1"/>
  <c r="Z664" i="1"/>
  <c r="D664" i="1"/>
  <c r="I663" i="1"/>
  <c r="N662" i="1"/>
  <c r="S661" i="1"/>
  <c r="Z660" i="1"/>
  <c r="D660" i="1"/>
  <c r="I659" i="1"/>
  <c r="N658" i="1"/>
  <c r="S657" i="1"/>
  <c r="V656" i="1"/>
  <c r="U655" i="1"/>
  <c r="A655" i="1"/>
  <c r="F654" i="1"/>
  <c r="R1582" i="1"/>
  <c r="AA1414" i="1"/>
  <c r="L1334" i="1"/>
  <c r="Q1278" i="1"/>
  <c r="E1239" i="1"/>
  <c r="I1199" i="1"/>
  <c r="H1180" i="1"/>
  <c r="F1158" i="1"/>
  <c r="L1143" i="1"/>
  <c r="C1130" i="1"/>
  <c r="Q1117" i="1"/>
  <c r="AA1105" i="1"/>
  <c r="U1097" i="1"/>
  <c r="I1087" i="1"/>
  <c r="K1077" i="1"/>
  <c r="A1069" i="1"/>
  <c r="J1062" i="1"/>
  <c r="L1056" i="1"/>
  <c r="E1047" i="1"/>
  <c r="AA1038" i="1"/>
  <c r="B1031" i="1"/>
  <c r="D1023" i="1"/>
  <c r="D1015" i="1"/>
  <c r="H1009" i="1"/>
  <c r="K1003" i="1"/>
  <c r="D998" i="1"/>
  <c r="C993" i="1"/>
  <c r="D988" i="1"/>
  <c r="N983" i="1"/>
  <c r="O978" i="1"/>
  <c r="Q973" i="1"/>
  <c r="P968" i="1"/>
  <c r="E963" i="1"/>
  <c r="I958" i="1"/>
  <c r="G954" i="1"/>
  <c r="L949" i="1"/>
  <c r="AA943" i="1"/>
  <c r="M938" i="1"/>
  <c r="B934" i="1"/>
  <c r="U930" i="1"/>
  <c r="N926" i="1"/>
  <c r="O921" i="1"/>
  <c r="C917" i="1"/>
  <c r="A913" i="1"/>
  <c r="U909" i="1"/>
  <c r="M907" i="1"/>
  <c r="O904" i="1"/>
  <c r="D902" i="1"/>
  <c r="J899" i="1"/>
  <c r="D897" i="1"/>
  <c r="F895" i="1"/>
  <c r="R892" i="1"/>
  <c r="N890" i="1"/>
  <c r="AA887" i="1"/>
  <c r="N885" i="1"/>
  <c r="H883" i="1"/>
  <c r="H881" i="1"/>
  <c r="B879" i="1"/>
  <c r="Q876" i="1"/>
  <c r="L874" i="1"/>
  <c r="B872" i="1"/>
  <c r="J870" i="1"/>
  <c r="B868" i="1"/>
  <c r="N865" i="1"/>
  <c r="K863" i="1"/>
  <c r="L861" i="1"/>
  <c r="C859" i="1"/>
  <c r="I857" i="1"/>
  <c r="E855" i="1"/>
  <c r="B853" i="1"/>
  <c r="U850" i="1"/>
  <c r="P848" i="1"/>
  <c r="AA846" i="1"/>
  <c r="N844" i="1"/>
  <c r="H842" i="1"/>
  <c r="B840" i="1"/>
  <c r="U837" i="1"/>
  <c r="M835" i="1"/>
  <c r="R833" i="1"/>
  <c r="M831" i="1"/>
  <c r="H829" i="1"/>
  <c r="E827" i="1"/>
  <c r="C825" i="1"/>
  <c r="I823" i="1"/>
  <c r="L821" i="1"/>
  <c r="Q819" i="1"/>
  <c r="Q817" i="1"/>
  <c r="O815" i="1"/>
  <c r="M813" i="1"/>
  <c r="A812" i="1"/>
  <c r="U809" i="1"/>
  <c r="Q807" i="1"/>
  <c r="P805" i="1"/>
  <c r="Q803" i="1"/>
  <c r="G802" i="1"/>
  <c r="J800" i="1"/>
  <c r="S798" i="1"/>
  <c r="E797" i="1"/>
  <c r="Q795" i="1"/>
  <c r="B794" i="1"/>
  <c r="R792" i="1"/>
  <c r="U790" i="1"/>
  <c r="A789" i="1"/>
  <c r="C787" i="1"/>
  <c r="N785" i="1"/>
  <c r="B784" i="1"/>
  <c r="A782" i="1"/>
  <c r="G780" i="1"/>
  <c r="T778" i="1"/>
  <c r="H777" i="1"/>
  <c r="L775" i="1"/>
  <c r="C774" i="1"/>
  <c r="F772" i="1"/>
  <c r="L770" i="1"/>
  <c r="Q768" i="1"/>
  <c r="B767" i="1"/>
  <c r="O765" i="1"/>
  <c r="U763" i="1"/>
  <c r="D762" i="1"/>
  <c r="J760" i="1"/>
  <c r="Q758" i="1"/>
  <c r="AA756" i="1"/>
  <c r="N755" i="1"/>
  <c r="U753" i="1"/>
  <c r="D752" i="1"/>
  <c r="H750" i="1"/>
  <c r="O748" i="1"/>
  <c r="H747" i="1"/>
  <c r="O745" i="1"/>
  <c r="U743" i="1"/>
  <c r="D742" i="1"/>
  <c r="K740" i="1"/>
  <c r="Q738" i="1"/>
  <c r="I737" i="1"/>
  <c r="O735" i="1"/>
  <c r="R733" i="1"/>
  <c r="U731" i="1"/>
  <c r="B730" i="1"/>
  <c r="Q728" i="1"/>
  <c r="E727" i="1"/>
  <c r="AA725" i="1"/>
  <c r="S724" i="1"/>
  <c r="R723" i="1"/>
  <c r="Q722" i="1"/>
  <c r="P721" i="1"/>
  <c r="N720" i="1"/>
  <c r="M719" i="1"/>
  <c r="M718" i="1"/>
  <c r="O717" i="1"/>
  <c r="P716" i="1"/>
  <c r="O715" i="1"/>
  <c r="N714" i="1"/>
  <c r="N713" i="1"/>
  <c r="M712" i="1"/>
  <c r="M711" i="1"/>
  <c r="M710" i="1"/>
  <c r="L709" i="1"/>
  <c r="L708" i="1"/>
  <c r="M707" i="1"/>
  <c r="J706" i="1"/>
  <c r="K705" i="1"/>
  <c r="L704" i="1"/>
  <c r="L703" i="1"/>
  <c r="L702" i="1"/>
  <c r="M701" i="1"/>
  <c r="M700" i="1"/>
  <c r="N699" i="1"/>
  <c r="N698" i="1"/>
  <c r="L697" i="1"/>
  <c r="J696" i="1"/>
  <c r="G695" i="1"/>
  <c r="E694" i="1"/>
  <c r="A693" i="1"/>
  <c r="AA691" i="1"/>
  <c r="X690" i="1"/>
  <c r="X689" i="1"/>
  <c r="Z688" i="1"/>
  <c r="U687" i="1"/>
  <c r="U686" i="1"/>
  <c r="Z685" i="1"/>
  <c r="A685" i="1"/>
  <c r="C684" i="1"/>
  <c r="F683" i="1"/>
  <c r="I682" i="1"/>
  <c r="L681" i="1"/>
  <c r="O680" i="1"/>
  <c r="R679" i="1"/>
  <c r="U678" i="1"/>
  <c r="Z677" i="1"/>
  <c r="A677" i="1"/>
  <c r="C676" i="1"/>
  <c r="F675" i="1"/>
  <c r="I674" i="1"/>
  <c r="L673" i="1"/>
  <c r="O672" i="1"/>
  <c r="R671" i="1"/>
  <c r="U670" i="1"/>
  <c r="Z669" i="1"/>
  <c r="A669" i="1"/>
  <c r="C668" i="1"/>
  <c r="F667" i="1"/>
  <c r="I666" i="1"/>
  <c r="L665" i="1"/>
  <c r="O664" i="1"/>
  <c r="R663" i="1"/>
  <c r="U662" i="1"/>
  <c r="Z661" i="1"/>
  <c r="A661" i="1"/>
  <c r="C660" i="1"/>
  <c r="F659" i="1"/>
  <c r="I658" i="1"/>
  <c r="L657" i="1"/>
  <c r="L656" i="1"/>
  <c r="J655" i="1"/>
  <c r="M654" i="1"/>
  <c r="Q653" i="1"/>
  <c r="V652" i="1"/>
  <c r="B652" i="1"/>
  <c r="G651" i="1"/>
  <c r="L650" i="1"/>
  <c r="Q649" i="1"/>
  <c r="V648" i="1"/>
  <c r="B648" i="1"/>
  <c r="F647" i="1"/>
  <c r="J646" i="1"/>
  <c r="N645" i="1"/>
  <c r="R644" i="1"/>
  <c r="Y643" i="1"/>
  <c r="B643" i="1"/>
  <c r="F642" i="1"/>
  <c r="J641" i="1"/>
  <c r="N640" i="1"/>
  <c r="R639" i="1"/>
  <c r="Y638" i="1"/>
  <c r="AA637" i="1"/>
  <c r="B637" i="1"/>
  <c r="G636" i="1"/>
  <c r="L635" i="1"/>
  <c r="Q634" i="1"/>
  <c r="V633" i="1"/>
  <c r="B633" i="1"/>
  <c r="G632" i="1"/>
  <c r="L631" i="1"/>
  <c r="Q630" i="1"/>
  <c r="V629" i="1"/>
  <c r="B629" i="1"/>
  <c r="G628" i="1"/>
  <c r="L627" i="1"/>
  <c r="Q626" i="1"/>
  <c r="V625" i="1"/>
  <c r="B625" i="1"/>
  <c r="G624" i="1"/>
  <c r="A1545" i="1"/>
  <c r="G1410" i="1"/>
  <c r="I1334" i="1"/>
  <c r="N1278" i="1"/>
  <c r="G1234" i="1"/>
  <c r="H1199" i="1"/>
  <c r="D1175" i="1"/>
  <c r="C1158" i="1"/>
  <c r="K1143" i="1"/>
  <c r="B1130" i="1"/>
  <c r="Q1116" i="1"/>
  <c r="U1105" i="1"/>
  <c r="R1097" i="1"/>
  <c r="F1086" i="1"/>
  <c r="A1077" i="1"/>
  <c r="AA1068" i="1"/>
  <c r="I1062" i="1"/>
  <c r="K1054" i="1"/>
  <c r="D1047" i="1"/>
  <c r="Q1038" i="1"/>
  <c r="A1031" i="1"/>
  <c r="B1023" i="1"/>
  <c r="C1015" i="1"/>
  <c r="G1009" i="1"/>
  <c r="J1003" i="1"/>
  <c r="C998" i="1"/>
  <c r="A993" i="1"/>
  <c r="I987" i="1"/>
  <c r="J982" i="1"/>
  <c r="N978" i="1"/>
  <c r="O973" i="1"/>
  <c r="C968" i="1"/>
  <c r="C963" i="1"/>
  <c r="D958" i="1"/>
  <c r="F954" i="1"/>
  <c r="K949" i="1"/>
  <c r="U943" i="1"/>
  <c r="J938" i="1"/>
  <c r="A934" i="1"/>
  <c r="R929" i="1"/>
  <c r="D926" i="1"/>
  <c r="N921" i="1"/>
  <c r="B917" i="1"/>
  <c r="Q912" i="1"/>
  <c r="P909" i="1"/>
  <c r="L907" i="1"/>
  <c r="N904" i="1"/>
  <c r="B902" i="1"/>
  <c r="I899" i="1"/>
  <c r="C897" i="1"/>
  <c r="P894" i="1"/>
  <c r="Q892" i="1"/>
  <c r="L890" i="1"/>
  <c r="U887" i="1"/>
  <c r="L885" i="1"/>
  <c r="G883" i="1"/>
  <c r="G881" i="1"/>
  <c r="A879" i="1"/>
  <c r="P876" i="1"/>
  <c r="K874" i="1"/>
  <c r="A872" i="1"/>
  <c r="U869" i="1"/>
  <c r="A868" i="1"/>
  <c r="M865" i="1"/>
  <c r="J863" i="1"/>
  <c r="I861" i="1"/>
  <c r="AA858" i="1"/>
  <c r="H857" i="1"/>
  <c r="B855" i="1"/>
  <c r="A853" i="1"/>
  <c r="T850" i="1"/>
  <c r="O848" i="1"/>
  <c r="I846" i="1"/>
  <c r="M844" i="1"/>
  <c r="G842" i="1"/>
  <c r="A840" i="1"/>
  <c r="Q837" i="1"/>
  <c r="L835" i="1"/>
  <c r="Q833" i="1"/>
  <c r="L831" i="1"/>
  <c r="G829" i="1"/>
  <c r="D827" i="1"/>
  <c r="B825" i="1"/>
  <c r="AA822" i="1"/>
  <c r="K821" i="1"/>
  <c r="P819" i="1"/>
  <c r="N817" i="1"/>
  <c r="M815" i="1"/>
  <c r="L813" i="1"/>
  <c r="AA811" i="1"/>
  <c r="R809" i="1"/>
  <c r="O807" i="1"/>
  <c r="O805" i="1"/>
  <c r="O803" i="1"/>
  <c r="U801" i="1"/>
  <c r="I800" i="1"/>
  <c r="R798" i="1"/>
  <c r="D797" i="1"/>
  <c r="O795" i="1"/>
  <c r="A794" i="1"/>
  <c r="Q792" i="1"/>
  <c r="R790" i="1"/>
  <c r="AA788" i="1"/>
  <c r="B787" i="1"/>
  <c r="M785" i="1"/>
  <c r="L783" i="1"/>
  <c r="AA781" i="1"/>
  <c r="F780" i="1"/>
  <c r="S778" i="1"/>
  <c r="F777" i="1"/>
  <c r="K775" i="1"/>
  <c r="B774" i="1"/>
  <c r="E772" i="1"/>
  <c r="K770" i="1"/>
  <c r="P768" i="1"/>
  <c r="A767" i="1"/>
  <c r="F765" i="1"/>
  <c r="S763" i="1"/>
  <c r="C762" i="1"/>
  <c r="I760" i="1"/>
  <c r="O758" i="1"/>
  <c r="V756" i="1"/>
  <c r="M755" i="1"/>
  <c r="S753" i="1"/>
  <c r="C752" i="1"/>
  <c r="G750" i="1"/>
  <c r="N748" i="1"/>
  <c r="X746" i="1"/>
  <c r="N745" i="1"/>
  <c r="S743" i="1"/>
  <c r="C742" i="1"/>
  <c r="I740" i="1"/>
  <c r="P738" i="1"/>
  <c r="H737" i="1"/>
  <c r="N735" i="1"/>
  <c r="Q733" i="1"/>
  <c r="R731" i="1"/>
  <c r="A730" i="1"/>
  <c r="P728" i="1"/>
  <c r="D727" i="1"/>
  <c r="V725" i="1"/>
  <c r="R724" i="1"/>
  <c r="Q723" i="1"/>
  <c r="O722" i="1"/>
  <c r="O721" i="1"/>
  <c r="L720" i="1"/>
  <c r="L719" i="1"/>
  <c r="L718" i="1"/>
  <c r="N717" i="1"/>
  <c r="O716" i="1"/>
  <c r="N715" i="1"/>
  <c r="L714" i="1"/>
  <c r="L713" i="1"/>
  <c r="L712" i="1"/>
  <c r="L711" i="1"/>
  <c r="L710" i="1"/>
  <c r="K709" i="1"/>
  <c r="K708" i="1"/>
  <c r="L707" i="1"/>
  <c r="I706" i="1"/>
  <c r="J705" i="1"/>
  <c r="J704" i="1"/>
  <c r="K703" i="1"/>
  <c r="K702" i="1"/>
  <c r="L701" i="1"/>
  <c r="L700" i="1"/>
  <c r="M699" i="1"/>
  <c r="M698" i="1"/>
  <c r="I697" i="1"/>
  <c r="I696" i="1"/>
  <c r="E695" i="1"/>
  <c r="D694" i="1"/>
  <c r="AA692" i="1"/>
  <c r="X691" i="1"/>
  <c r="V690" i="1"/>
  <c r="V689" i="1"/>
  <c r="Y688" i="1"/>
  <c r="T687" i="1"/>
  <c r="T686" i="1"/>
  <c r="W685" i="1"/>
  <c r="AA684" i="1"/>
  <c r="B684" i="1"/>
  <c r="E683" i="1"/>
  <c r="H682" i="1"/>
  <c r="K681" i="1"/>
  <c r="N680" i="1"/>
  <c r="Q679" i="1"/>
  <c r="T678" i="1"/>
  <c r="W677" i="1"/>
  <c r="AA676" i="1"/>
  <c r="B676" i="1"/>
  <c r="E675" i="1"/>
  <c r="H674" i="1"/>
  <c r="K673" i="1"/>
  <c r="N672" i="1"/>
  <c r="Q671" i="1"/>
  <c r="T670" i="1"/>
  <c r="W669" i="1"/>
  <c r="AA668" i="1"/>
  <c r="B668" i="1"/>
  <c r="E667" i="1"/>
  <c r="H666" i="1"/>
  <c r="K665" i="1"/>
  <c r="N664" i="1"/>
  <c r="Q663" i="1"/>
  <c r="T662" i="1"/>
  <c r="W661" i="1"/>
  <c r="AA660" i="1"/>
  <c r="B660" i="1"/>
  <c r="E659" i="1"/>
  <c r="H658" i="1"/>
  <c r="K657" i="1"/>
  <c r="I656" i="1"/>
  <c r="I655" i="1"/>
  <c r="L654" i="1"/>
  <c r="P653" i="1"/>
  <c r="U652" i="1"/>
  <c r="A652" i="1"/>
  <c r="F651" i="1"/>
  <c r="K650" i="1"/>
  <c r="P649" i="1"/>
  <c r="U648" i="1"/>
  <c r="A648" i="1"/>
  <c r="E647" i="1"/>
  <c r="I646" i="1"/>
  <c r="M645" i="1"/>
  <c r="Q644" i="1"/>
  <c r="U643" i="1"/>
  <c r="A643" i="1"/>
  <c r="E642" i="1"/>
  <c r="I641" i="1"/>
  <c r="M640" i="1"/>
  <c r="Q639" i="1"/>
  <c r="V638" i="1"/>
  <c r="Z637" i="1"/>
  <c r="A637" i="1"/>
  <c r="F636" i="1"/>
  <c r="K635" i="1"/>
  <c r="P634" i="1"/>
  <c r="U633" i="1"/>
  <c r="A633" i="1"/>
  <c r="F632" i="1"/>
  <c r="K631" i="1"/>
  <c r="P630" i="1"/>
  <c r="U629" i="1"/>
  <c r="A629" i="1"/>
  <c r="F628" i="1"/>
  <c r="K627" i="1"/>
  <c r="P626" i="1"/>
  <c r="U625" i="1"/>
  <c r="A625" i="1"/>
  <c r="F624" i="1"/>
  <c r="K623" i="1"/>
  <c r="P622" i="1"/>
  <c r="L1544" i="1"/>
  <c r="AA1387" i="1"/>
  <c r="G1334" i="1"/>
  <c r="F1278" i="1"/>
  <c r="F1234" i="1"/>
  <c r="P1197" i="1"/>
  <c r="C1175" i="1"/>
  <c r="B1158" i="1"/>
  <c r="B1142" i="1"/>
  <c r="G1129" i="1"/>
  <c r="O1116" i="1"/>
  <c r="R1105" i="1"/>
  <c r="H1095" i="1"/>
  <c r="E1086" i="1"/>
  <c r="R1076" i="1"/>
  <c r="Z1068" i="1"/>
  <c r="G1062" i="1"/>
  <c r="J1054" i="1"/>
  <c r="N1046" i="1"/>
  <c r="P1038" i="1"/>
  <c r="AA1030" i="1"/>
  <c r="A1023" i="1"/>
  <c r="D1014" i="1"/>
  <c r="R1007" i="1"/>
  <c r="I1003" i="1"/>
  <c r="B998" i="1"/>
  <c r="J992" i="1"/>
  <c r="G987" i="1"/>
  <c r="G982" i="1"/>
  <c r="L978" i="1"/>
  <c r="L973" i="1"/>
  <c r="B968" i="1"/>
  <c r="U962" i="1"/>
  <c r="C958" i="1"/>
  <c r="C953" i="1"/>
  <c r="U948" i="1"/>
  <c r="R943" i="1"/>
  <c r="I938" i="1"/>
  <c r="U933" i="1"/>
  <c r="Q929" i="1"/>
  <c r="C926" i="1"/>
  <c r="I921" i="1"/>
  <c r="A917" i="1"/>
  <c r="P912" i="1"/>
  <c r="O909" i="1"/>
  <c r="P906" i="1"/>
  <c r="M904" i="1"/>
  <c r="AA901" i="1"/>
  <c r="H899" i="1"/>
  <c r="A897" i="1"/>
  <c r="O894" i="1"/>
  <c r="P892" i="1"/>
  <c r="I890" i="1"/>
  <c r="T887" i="1"/>
  <c r="K885" i="1"/>
  <c r="F883" i="1"/>
  <c r="R880" i="1"/>
  <c r="AA878" i="1"/>
  <c r="O876" i="1"/>
  <c r="G874" i="1"/>
  <c r="X871" i="1"/>
  <c r="T869" i="1"/>
  <c r="AA867" i="1"/>
  <c r="L865" i="1"/>
  <c r="I863" i="1"/>
  <c r="H861" i="1"/>
  <c r="X858" i="1"/>
  <c r="Q856" i="1"/>
  <c r="A855" i="1"/>
  <c r="AA852" i="1"/>
  <c r="R850" i="1"/>
  <c r="M848" i="1"/>
  <c r="H846" i="1"/>
  <c r="L844" i="1"/>
  <c r="F842" i="1"/>
  <c r="AA839" i="1"/>
  <c r="O837" i="1"/>
  <c r="K835" i="1"/>
  <c r="F833" i="1"/>
  <c r="K831" i="1"/>
  <c r="F829" i="1"/>
  <c r="C827" i="1"/>
  <c r="AA824" i="1"/>
  <c r="V822" i="1"/>
  <c r="J821" i="1"/>
  <c r="O819" i="1"/>
  <c r="M817" i="1"/>
  <c r="L815" i="1"/>
  <c r="K813" i="1"/>
  <c r="I811" i="1"/>
  <c r="P809" i="1"/>
  <c r="M807" i="1"/>
  <c r="M805" i="1"/>
  <c r="M803" i="1"/>
  <c r="R801" i="1"/>
  <c r="H800" i="1"/>
  <c r="Q798" i="1"/>
  <c r="C797" i="1"/>
  <c r="N795" i="1"/>
  <c r="AA793" i="1"/>
  <c r="G792" i="1"/>
  <c r="Q790" i="1"/>
  <c r="U788" i="1"/>
  <c r="A787" i="1"/>
  <c r="K785" i="1"/>
  <c r="J783" i="1"/>
  <c r="U781" i="1"/>
  <c r="E780" i="1"/>
  <c r="R778" i="1"/>
  <c r="E777" i="1"/>
  <c r="J775" i="1"/>
  <c r="M773" i="1"/>
  <c r="D772" i="1"/>
  <c r="J770" i="1"/>
  <c r="O768" i="1"/>
  <c r="V766" i="1"/>
  <c r="E765" i="1"/>
  <c r="R763" i="1"/>
  <c r="B762" i="1"/>
  <c r="H760" i="1"/>
  <c r="N758" i="1"/>
  <c r="U756" i="1"/>
  <c r="D755" i="1"/>
  <c r="R753" i="1"/>
  <c r="B752" i="1"/>
  <c r="F750" i="1"/>
  <c r="L748" i="1"/>
  <c r="V746" i="1"/>
  <c r="L745" i="1"/>
  <c r="R743" i="1"/>
  <c r="B742" i="1"/>
  <c r="H740" i="1"/>
  <c r="O738" i="1"/>
  <c r="X736" i="1"/>
  <c r="M735" i="1"/>
  <c r="P733" i="1"/>
  <c r="Q731" i="1"/>
  <c r="AA729" i="1"/>
  <c r="O728" i="1"/>
  <c r="C727" i="1"/>
  <c r="U725" i="1"/>
  <c r="Q724" i="1"/>
  <c r="P723" i="1"/>
  <c r="N722" i="1"/>
  <c r="L721" i="1"/>
  <c r="K720" i="1"/>
  <c r="K719" i="1"/>
  <c r="K718" i="1"/>
  <c r="L717" i="1"/>
  <c r="N716" i="1"/>
  <c r="L715" i="1"/>
  <c r="K714" i="1"/>
  <c r="J713" i="1"/>
  <c r="J712" i="1"/>
  <c r="K711" i="1"/>
  <c r="I710" i="1"/>
  <c r="J709" i="1"/>
  <c r="J708" i="1"/>
  <c r="I707" i="1"/>
  <c r="H706" i="1"/>
  <c r="I705" i="1"/>
  <c r="I704" i="1"/>
  <c r="I703" i="1"/>
  <c r="J702" i="1"/>
  <c r="K701" i="1"/>
  <c r="K700" i="1"/>
  <c r="L699" i="1"/>
  <c r="L698" i="1"/>
  <c r="H697" i="1"/>
  <c r="H696" i="1"/>
  <c r="D695" i="1"/>
  <c r="B694" i="1"/>
  <c r="X692" i="1"/>
  <c r="U691" i="1"/>
  <c r="U690" i="1"/>
  <c r="U689" i="1"/>
  <c r="U688" i="1"/>
  <c r="S687" i="1"/>
  <c r="S686" i="1"/>
  <c r="U685" i="1"/>
  <c r="Y684" i="1"/>
  <c r="A684" i="1"/>
  <c r="D683" i="1"/>
  <c r="G682" i="1"/>
  <c r="J681" i="1"/>
  <c r="M680" i="1"/>
  <c r="P679" i="1"/>
  <c r="S678" i="1"/>
  <c r="U677" i="1"/>
  <c r="Y676" i="1"/>
  <c r="A676" i="1"/>
  <c r="D675" i="1"/>
  <c r="G674" i="1"/>
  <c r="J673" i="1"/>
  <c r="M672" i="1"/>
  <c r="P671" i="1"/>
  <c r="S670" i="1"/>
  <c r="U669" i="1"/>
  <c r="Y668" i="1"/>
  <c r="A668" i="1"/>
  <c r="D667" i="1"/>
  <c r="G666" i="1"/>
  <c r="J665" i="1"/>
  <c r="M664" i="1"/>
  <c r="P663" i="1"/>
  <c r="S662" i="1"/>
  <c r="U661" i="1"/>
  <c r="Y660" i="1"/>
  <c r="A660" i="1"/>
  <c r="D659" i="1"/>
  <c r="G658" i="1"/>
  <c r="J657" i="1"/>
  <c r="H656" i="1"/>
  <c r="H655" i="1"/>
  <c r="K654" i="1"/>
  <c r="O653" i="1"/>
  <c r="T652" i="1"/>
  <c r="AA651" i="1"/>
  <c r="E651" i="1"/>
  <c r="J650" i="1"/>
  <c r="O649" i="1"/>
  <c r="T648" i="1"/>
  <c r="AA647" i="1"/>
  <c r="D647" i="1"/>
  <c r="H646" i="1"/>
  <c r="L645" i="1"/>
  <c r="P644" i="1"/>
  <c r="T643" i="1"/>
  <c r="AA642" i="1"/>
  <c r="D642" i="1"/>
  <c r="H641" i="1"/>
  <c r="L640" i="1"/>
  <c r="P639" i="1"/>
  <c r="U638" i="1"/>
  <c r="Y637" i="1"/>
  <c r="AA636" i="1"/>
  <c r="E636" i="1"/>
  <c r="J635" i="1"/>
  <c r="O634" i="1"/>
  <c r="T633" i="1"/>
  <c r="AA632" i="1"/>
  <c r="E632" i="1"/>
  <c r="J631" i="1"/>
  <c r="O630" i="1"/>
  <c r="T629" i="1"/>
  <c r="AA628" i="1"/>
  <c r="E628" i="1"/>
  <c r="J627" i="1"/>
  <c r="O626" i="1"/>
  <c r="T625" i="1"/>
  <c r="AA624" i="1"/>
  <c r="E624" i="1"/>
  <c r="J623" i="1"/>
  <c r="O622" i="1"/>
  <c r="U621" i="1"/>
  <c r="I1518" i="1"/>
  <c r="R1387" i="1"/>
  <c r="F1334" i="1"/>
  <c r="L1273" i="1"/>
  <c r="A1232" i="1"/>
  <c r="AA1196" i="1"/>
  <c r="B1175" i="1"/>
  <c r="R1153" i="1"/>
  <c r="A1142" i="1"/>
  <c r="C1129" i="1"/>
  <c r="N1116" i="1"/>
  <c r="M1105" i="1"/>
  <c r="F1095" i="1"/>
  <c r="M1085" i="1"/>
  <c r="Q1076" i="1"/>
  <c r="Y1068" i="1"/>
  <c r="F1062" i="1"/>
  <c r="I1053" i="1"/>
  <c r="O1044" i="1"/>
  <c r="O1038" i="1"/>
  <c r="X1030" i="1"/>
  <c r="A1022" i="1"/>
  <c r="B1014" i="1"/>
  <c r="O1007" i="1"/>
  <c r="H1003" i="1"/>
  <c r="A998" i="1"/>
  <c r="I992" i="1"/>
  <c r="D987" i="1"/>
  <c r="F982" i="1"/>
  <c r="I977" i="1"/>
  <c r="A973" i="1"/>
  <c r="A968" i="1"/>
  <c r="R962" i="1"/>
  <c r="AA957" i="1"/>
  <c r="B953" i="1"/>
  <c r="Q948" i="1"/>
  <c r="M943" i="1"/>
  <c r="H938" i="1"/>
  <c r="R933" i="1"/>
  <c r="P929" i="1"/>
  <c r="A925" i="1"/>
  <c r="H921" i="1"/>
  <c r="AA916" i="1"/>
  <c r="O912" i="1"/>
  <c r="M909" i="1"/>
  <c r="O906" i="1"/>
  <c r="L904" i="1"/>
  <c r="U901" i="1"/>
  <c r="G899" i="1"/>
  <c r="AA896" i="1"/>
  <c r="N894" i="1"/>
  <c r="D892" i="1"/>
  <c r="H890" i="1"/>
  <c r="S887" i="1"/>
  <c r="J885" i="1"/>
  <c r="D883" i="1"/>
  <c r="P880" i="1"/>
  <c r="X878" i="1"/>
  <c r="M876" i="1"/>
  <c r="F874" i="1"/>
  <c r="U871" i="1"/>
  <c r="R869" i="1"/>
  <c r="H867" i="1"/>
  <c r="K865" i="1"/>
  <c r="H863" i="1"/>
  <c r="G861" i="1"/>
  <c r="R858" i="1"/>
  <c r="P856" i="1"/>
  <c r="AA854" i="1"/>
  <c r="W852" i="1"/>
  <c r="Q850" i="1"/>
  <c r="K848" i="1"/>
  <c r="E846" i="1"/>
  <c r="AA843" i="1"/>
  <c r="C842" i="1"/>
  <c r="U839" i="1"/>
  <c r="N837" i="1"/>
  <c r="I835" i="1"/>
  <c r="E833" i="1"/>
  <c r="J831" i="1"/>
  <c r="D829" i="1"/>
  <c r="A827" i="1"/>
  <c r="R824" i="1"/>
  <c r="U822" i="1"/>
  <c r="A821" i="1"/>
  <c r="N819" i="1"/>
  <c r="L817" i="1"/>
  <c r="K815" i="1"/>
  <c r="I813" i="1"/>
  <c r="H811" i="1"/>
  <c r="N809" i="1"/>
  <c r="L807" i="1"/>
  <c r="L805" i="1"/>
  <c r="L803" i="1"/>
  <c r="Q801" i="1"/>
  <c r="Z799" i="1"/>
  <c r="P798" i="1"/>
  <c r="B797" i="1"/>
  <c r="M795" i="1"/>
  <c r="Y793" i="1"/>
  <c r="F792" i="1"/>
  <c r="P790" i="1"/>
  <c r="R788" i="1"/>
  <c r="AA786" i="1"/>
  <c r="J785" i="1"/>
  <c r="I783" i="1"/>
  <c r="I781" i="1"/>
  <c r="D780" i="1"/>
  <c r="Q778" i="1"/>
  <c r="D777" i="1"/>
  <c r="H775" i="1"/>
  <c r="L773" i="1"/>
  <c r="C772" i="1"/>
  <c r="I770" i="1"/>
  <c r="N768" i="1"/>
  <c r="U766" i="1"/>
  <c r="D765" i="1"/>
  <c r="I763" i="1"/>
  <c r="A762" i="1"/>
  <c r="G760" i="1"/>
  <c r="M758" i="1"/>
  <c r="Q756" i="1"/>
  <c r="C755" i="1"/>
  <c r="Q753" i="1"/>
  <c r="A752" i="1"/>
  <c r="E750" i="1"/>
  <c r="K748" i="1"/>
  <c r="U746" i="1"/>
  <c r="C745" i="1"/>
  <c r="Q743" i="1"/>
  <c r="A742" i="1"/>
  <c r="G740" i="1"/>
  <c r="M738" i="1"/>
  <c r="V736" i="1"/>
  <c r="L735" i="1"/>
  <c r="O733" i="1"/>
  <c r="P731" i="1"/>
  <c r="U729" i="1"/>
  <c r="N728" i="1"/>
  <c r="A727" i="1"/>
  <c r="S725" i="1"/>
  <c r="P724" i="1"/>
  <c r="M723" i="1"/>
  <c r="M722" i="1"/>
  <c r="K721" i="1"/>
  <c r="J720" i="1"/>
  <c r="J719" i="1"/>
  <c r="J718" i="1"/>
  <c r="K717" i="1"/>
  <c r="L716" i="1"/>
  <c r="K715" i="1"/>
  <c r="I714" i="1"/>
  <c r="I713" i="1"/>
  <c r="I712" i="1"/>
  <c r="J711" i="1"/>
  <c r="H710" i="1"/>
  <c r="I709" i="1"/>
  <c r="I708" i="1"/>
  <c r="H707" i="1"/>
  <c r="G706" i="1"/>
  <c r="G705" i="1"/>
  <c r="H704" i="1"/>
  <c r="H703" i="1"/>
  <c r="I702" i="1"/>
  <c r="J701" i="1"/>
  <c r="J700" i="1"/>
  <c r="K699" i="1"/>
  <c r="I698" i="1"/>
  <c r="G697" i="1"/>
  <c r="F696" i="1"/>
  <c r="C695" i="1"/>
  <c r="A694" i="1"/>
  <c r="U692" i="1"/>
  <c r="S691" i="1"/>
  <c r="S690" i="1"/>
  <c r="S689" i="1"/>
  <c r="T688" i="1"/>
  <c r="R687" i="1"/>
  <c r="Q686" i="1"/>
  <c r="T685" i="1"/>
  <c r="W684" i="1"/>
  <c r="AA683" i="1"/>
  <c r="C683" i="1"/>
  <c r="F682" i="1"/>
  <c r="I681" i="1"/>
  <c r="L680" i="1"/>
  <c r="O679" i="1"/>
  <c r="Q678" i="1"/>
  <c r="T677" i="1"/>
  <c r="W676" i="1"/>
  <c r="AA675" i="1"/>
  <c r="C675" i="1"/>
  <c r="F674" i="1"/>
  <c r="I673" i="1"/>
  <c r="L672" i="1"/>
  <c r="O671" i="1"/>
  <c r="Q670" i="1"/>
  <c r="T669" i="1"/>
  <c r="W668" i="1"/>
  <c r="AA667" i="1"/>
  <c r="C667" i="1"/>
  <c r="F666" i="1"/>
  <c r="I665" i="1"/>
  <c r="L664" i="1"/>
  <c r="O663" i="1"/>
  <c r="Q662" i="1"/>
  <c r="T661" i="1"/>
  <c r="W660" i="1"/>
  <c r="AA659" i="1"/>
  <c r="C659" i="1"/>
  <c r="F658" i="1"/>
  <c r="I657" i="1"/>
  <c r="G656" i="1"/>
  <c r="G655" i="1"/>
  <c r="J654" i="1"/>
  <c r="N653" i="1"/>
  <c r="S652" i="1"/>
  <c r="Z651" i="1"/>
  <c r="D651" i="1"/>
  <c r="I650" i="1"/>
  <c r="N649" i="1"/>
  <c r="S648" i="1"/>
  <c r="Z647" i="1"/>
  <c r="C647" i="1"/>
  <c r="G646" i="1"/>
  <c r="K645" i="1"/>
  <c r="O644" i="1"/>
  <c r="S643" i="1"/>
  <c r="Z642" i="1"/>
  <c r="C642" i="1"/>
  <c r="G641" i="1"/>
  <c r="K640" i="1"/>
  <c r="O639" i="1"/>
  <c r="R638" i="1"/>
  <c r="V637" i="1"/>
  <c r="Z636" i="1"/>
  <c r="D636" i="1"/>
  <c r="I635" i="1"/>
  <c r="N634" i="1"/>
  <c r="S633" i="1"/>
  <c r="Z632" i="1"/>
  <c r="D632" i="1"/>
  <c r="I631" i="1"/>
  <c r="N630" i="1"/>
  <c r="S629" i="1"/>
  <c r="Z628" i="1"/>
  <c r="D628" i="1"/>
  <c r="I627" i="1"/>
  <c r="N626" i="1"/>
  <c r="S625" i="1"/>
  <c r="Z624" i="1"/>
  <c r="D624" i="1"/>
  <c r="I623" i="1"/>
  <c r="H1518" i="1"/>
  <c r="I1385" i="1"/>
  <c r="O1316" i="1"/>
  <c r="I1273" i="1"/>
  <c r="K1230" i="1"/>
  <c r="U1196" i="1"/>
  <c r="F1174" i="1"/>
  <c r="Q1153" i="1"/>
  <c r="C1141" i="1"/>
  <c r="AA1128" i="1"/>
  <c r="L1116" i="1"/>
  <c r="L1105" i="1"/>
  <c r="A1094" i="1"/>
  <c r="F1083" i="1"/>
  <c r="O1076" i="1"/>
  <c r="U1068" i="1"/>
  <c r="K1061" i="1"/>
  <c r="R1052" i="1"/>
  <c r="K1044" i="1"/>
  <c r="N1038" i="1"/>
  <c r="V1030" i="1"/>
  <c r="AA1021" i="1"/>
  <c r="U1013" i="1"/>
  <c r="N1007" i="1"/>
  <c r="B1002" i="1"/>
  <c r="H997" i="1"/>
  <c r="H992" i="1"/>
  <c r="C987" i="1"/>
  <c r="D982" i="1"/>
  <c r="H977" i="1"/>
  <c r="AA972" i="1"/>
  <c r="S967" i="1"/>
  <c r="Q962" i="1"/>
  <c r="U957" i="1"/>
  <c r="U952" i="1"/>
  <c r="N947" i="1"/>
  <c r="I943" i="1"/>
  <c r="E938" i="1"/>
  <c r="Q933" i="1"/>
  <c r="E929" i="1"/>
  <c r="AA924" i="1"/>
  <c r="G921" i="1"/>
  <c r="U916" i="1"/>
  <c r="N912" i="1"/>
  <c r="L909" i="1"/>
  <c r="N906" i="1"/>
  <c r="U903" i="1"/>
  <c r="R901" i="1"/>
  <c r="E899" i="1"/>
  <c r="R896" i="1"/>
  <c r="H894" i="1"/>
  <c r="C892" i="1"/>
  <c r="E890" i="1"/>
  <c r="R887" i="1"/>
  <c r="I885" i="1"/>
  <c r="C883" i="1"/>
  <c r="O880" i="1"/>
  <c r="E878" i="1"/>
  <c r="L876" i="1"/>
  <c r="E874" i="1"/>
  <c r="R871" i="1"/>
  <c r="P869" i="1"/>
  <c r="G867" i="1"/>
  <c r="J865" i="1"/>
  <c r="G863" i="1"/>
  <c r="D861" i="1"/>
  <c r="Q858" i="1"/>
  <c r="O856" i="1"/>
  <c r="K854" i="1"/>
  <c r="U852" i="1"/>
  <c r="P850" i="1"/>
  <c r="J848" i="1"/>
  <c r="C846" i="1"/>
  <c r="U843" i="1"/>
  <c r="B842" i="1"/>
  <c r="R839" i="1"/>
  <c r="M837" i="1"/>
  <c r="H835" i="1"/>
  <c r="D833" i="1"/>
  <c r="U830" i="1"/>
  <c r="C829" i="1"/>
  <c r="AA826" i="1"/>
  <c r="Q824" i="1"/>
  <c r="O822" i="1"/>
  <c r="Z820" i="1"/>
  <c r="M819" i="1"/>
  <c r="K817" i="1"/>
  <c r="J815" i="1"/>
  <c r="H813" i="1"/>
  <c r="G811" i="1"/>
  <c r="E809" i="1"/>
  <c r="K807" i="1"/>
  <c r="K805" i="1"/>
  <c r="I803" i="1"/>
  <c r="O801" i="1"/>
  <c r="Y799" i="1"/>
  <c r="O798" i="1"/>
  <c r="A797" i="1"/>
  <c r="L795" i="1"/>
  <c r="V793" i="1"/>
  <c r="E792" i="1"/>
  <c r="G790" i="1"/>
  <c r="Q788" i="1"/>
  <c r="Z786" i="1"/>
  <c r="I785" i="1"/>
  <c r="G783" i="1"/>
  <c r="H781" i="1"/>
  <c r="C780" i="1"/>
  <c r="P778" i="1"/>
  <c r="C777" i="1"/>
  <c r="G775" i="1"/>
  <c r="K773" i="1"/>
  <c r="P771" i="1"/>
  <c r="H770" i="1"/>
  <c r="M768" i="1"/>
  <c r="S766" i="1"/>
  <c r="B765" i="1"/>
  <c r="H763" i="1"/>
  <c r="AA761" i="1"/>
  <c r="F760" i="1"/>
  <c r="L758" i="1"/>
  <c r="P756" i="1"/>
  <c r="B755" i="1"/>
  <c r="H753" i="1"/>
  <c r="AA751" i="1"/>
  <c r="D750" i="1"/>
  <c r="J748" i="1"/>
  <c r="R746" i="1"/>
  <c r="B745" i="1"/>
  <c r="P743" i="1"/>
  <c r="AA741" i="1"/>
  <c r="F740" i="1"/>
  <c r="L738" i="1"/>
  <c r="U736" i="1"/>
  <c r="A735" i="1"/>
  <c r="N733" i="1"/>
  <c r="O731" i="1"/>
  <c r="S729" i="1"/>
  <c r="J728" i="1"/>
  <c r="AA726" i="1"/>
  <c r="R725" i="1"/>
  <c r="O724" i="1"/>
  <c r="L723" i="1"/>
  <c r="K722" i="1"/>
  <c r="J721" i="1"/>
  <c r="I720" i="1"/>
  <c r="I719" i="1"/>
  <c r="I718" i="1"/>
  <c r="J717" i="1"/>
  <c r="K716" i="1"/>
  <c r="J715" i="1"/>
  <c r="H714" i="1"/>
  <c r="G713" i="1"/>
  <c r="H712" i="1"/>
  <c r="I711" i="1"/>
  <c r="G710" i="1"/>
  <c r="H709" i="1"/>
  <c r="H708" i="1"/>
  <c r="G707" i="1"/>
  <c r="F706" i="1"/>
  <c r="F705" i="1"/>
  <c r="F704" i="1"/>
  <c r="G703" i="1"/>
  <c r="H702" i="1"/>
  <c r="I701" i="1"/>
  <c r="I700" i="1"/>
  <c r="J699" i="1"/>
  <c r="H698" i="1"/>
  <c r="F697" i="1"/>
  <c r="E696" i="1"/>
  <c r="A695" i="1"/>
  <c r="V693" i="1"/>
  <c r="S692" i="1"/>
  <c r="R691" i="1"/>
  <c r="R690" i="1"/>
  <c r="R689" i="1"/>
  <c r="S688" i="1"/>
  <c r="Q687" i="1"/>
  <c r="P686" i="1"/>
  <c r="R685" i="1"/>
  <c r="U684" i="1"/>
  <c r="Z683" i="1"/>
  <c r="B683" i="1"/>
  <c r="E682" i="1"/>
  <c r="H681" i="1"/>
  <c r="K680" i="1"/>
  <c r="N679" i="1"/>
  <c r="P678" i="1"/>
  <c r="R677" i="1"/>
  <c r="U676" i="1"/>
  <c r="Z675" i="1"/>
  <c r="B675" i="1"/>
  <c r="E674" i="1"/>
  <c r="H673" i="1"/>
  <c r="K672" i="1"/>
  <c r="N671" i="1"/>
  <c r="P670" i="1"/>
  <c r="R669" i="1"/>
  <c r="U668" i="1"/>
  <c r="Z667" i="1"/>
  <c r="B667" i="1"/>
  <c r="E666" i="1"/>
  <c r="H665" i="1"/>
  <c r="K664" i="1"/>
  <c r="N663" i="1"/>
  <c r="P662" i="1"/>
  <c r="R661" i="1"/>
  <c r="U660" i="1"/>
  <c r="Z659" i="1"/>
  <c r="B659" i="1"/>
  <c r="E658" i="1"/>
  <c r="H657" i="1"/>
  <c r="F656" i="1"/>
  <c r="F655" i="1"/>
  <c r="I654" i="1"/>
  <c r="M653" i="1"/>
  <c r="R652" i="1"/>
  <c r="Y651" i="1"/>
  <c r="C651" i="1"/>
  <c r="H650" i="1"/>
  <c r="M649" i="1"/>
  <c r="R648" i="1"/>
  <c r="Y647" i="1"/>
  <c r="B647" i="1"/>
  <c r="F646" i="1"/>
  <c r="J645" i="1"/>
  <c r="N644" i="1"/>
  <c r="R643" i="1"/>
  <c r="Y642" i="1"/>
  <c r="B642" i="1"/>
  <c r="F641" i="1"/>
  <c r="J640" i="1"/>
  <c r="N639" i="1"/>
  <c r="Q638" i="1"/>
  <c r="U637" i="1"/>
  <c r="Y636" i="1"/>
  <c r="C636" i="1"/>
  <c r="H635" i="1"/>
  <c r="M634" i="1"/>
  <c r="R633" i="1"/>
  <c r="Y632" i="1"/>
  <c r="C632" i="1"/>
  <c r="H631" i="1"/>
  <c r="M630" i="1"/>
  <c r="R629" i="1"/>
  <c r="Y628" i="1"/>
  <c r="C628" i="1"/>
  <c r="H627" i="1"/>
  <c r="M626" i="1"/>
  <c r="R625" i="1"/>
  <c r="Y624" i="1"/>
  <c r="C624" i="1"/>
  <c r="H623" i="1"/>
  <c r="M622" i="1"/>
  <c r="E1516" i="1"/>
  <c r="B1385" i="1"/>
  <c r="N1316" i="1"/>
  <c r="Q1270" i="1"/>
  <c r="H1230" i="1"/>
  <c r="Q1196" i="1"/>
  <c r="D1174" i="1"/>
  <c r="Q1151" i="1"/>
  <c r="F1138" i="1"/>
  <c r="U1128" i="1"/>
  <c r="K1116" i="1"/>
  <c r="C1104" i="1"/>
  <c r="F1093" i="1"/>
  <c r="B1083" i="1"/>
  <c r="N1076" i="1"/>
  <c r="T1068" i="1"/>
  <c r="J1061" i="1"/>
  <c r="M1052" i="1"/>
  <c r="J1044" i="1"/>
  <c r="P1036" i="1"/>
  <c r="X1029" i="1"/>
  <c r="K1021" i="1"/>
  <c r="N1013" i="1"/>
  <c r="J1007" i="1"/>
  <c r="A1002" i="1"/>
  <c r="G997" i="1"/>
  <c r="C992" i="1"/>
  <c r="B987" i="1"/>
  <c r="C982" i="1"/>
  <c r="G977" i="1"/>
  <c r="O971" i="1"/>
  <c r="R967" i="1"/>
  <c r="P962" i="1"/>
  <c r="R957" i="1"/>
  <c r="G952" i="1"/>
  <c r="M947" i="1"/>
  <c r="H943" i="1"/>
  <c r="D938" i="1"/>
  <c r="G933" i="1"/>
  <c r="D929" i="1"/>
  <c r="Q924" i="1"/>
  <c r="E920" i="1"/>
  <c r="R916" i="1"/>
  <c r="M912" i="1"/>
  <c r="K909" i="1"/>
  <c r="L906" i="1"/>
  <c r="P903" i="1"/>
  <c r="N901" i="1"/>
  <c r="D899" i="1"/>
  <c r="Q896" i="1"/>
  <c r="G894" i="1"/>
  <c r="B892" i="1"/>
  <c r="P889" i="1"/>
  <c r="Q887" i="1"/>
  <c r="H885" i="1"/>
  <c r="B883" i="1"/>
  <c r="I880" i="1"/>
  <c r="D878" i="1"/>
  <c r="K876" i="1"/>
  <c r="D874" i="1"/>
  <c r="Q871" i="1"/>
  <c r="O869" i="1"/>
  <c r="E867" i="1"/>
  <c r="R864" i="1"/>
  <c r="E863" i="1"/>
  <c r="C861" i="1"/>
  <c r="O858" i="1"/>
  <c r="M856" i="1"/>
  <c r="J854" i="1"/>
  <c r="R852" i="1"/>
  <c r="O850" i="1"/>
  <c r="I848" i="1"/>
  <c r="B846" i="1"/>
  <c r="R843" i="1"/>
  <c r="M841" i="1"/>
  <c r="Q839" i="1"/>
  <c r="L837" i="1"/>
  <c r="F835" i="1"/>
  <c r="AA832" i="1"/>
  <c r="R830" i="1"/>
  <c r="B829" i="1"/>
  <c r="U826" i="1"/>
  <c r="P824" i="1"/>
  <c r="N822" i="1"/>
  <c r="Y820" i="1"/>
  <c r="C819" i="1"/>
  <c r="J817" i="1"/>
  <c r="I815" i="1"/>
  <c r="G813" i="1"/>
  <c r="E811" i="1"/>
  <c r="D809" i="1"/>
  <c r="J807" i="1"/>
  <c r="J805" i="1"/>
  <c r="H803" i="1"/>
  <c r="N801" i="1"/>
  <c r="U799" i="1"/>
  <c r="F798" i="1"/>
  <c r="AA796" i="1"/>
  <c r="K795" i="1"/>
  <c r="U793" i="1"/>
  <c r="C792" i="1"/>
  <c r="F790" i="1"/>
  <c r="P788" i="1"/>
  <c r="Y786" i="1"/>
  <c r="H785" i="1"/>
  <c r="F783" i="1"/>
  <c r="G781" i="1"/>
  <c r="T779" i="1"/>
  <c r="O778" i="1"/>
  <c r="B777" i="1"/>
  <c r="F775" i="1"/>
  <c r="I773" i="1"/>
  <c r="O771" i="1"/>
  <c r="G770" i="1"/>
  <c r="L768" i="1"/>
  <c r="R766" i="1"/>
  <c r="A765" i="1"/>
  <c r="G763" i="1"/>
  <c r="M761" i="1"/>
  <c r="E760" i="1"/>
  <c r="K758" i="1"/>
  <c r="O756" i="1"/>
  <c r="AA754" i="1"/>
  <c r="G753" i="1"/>
  <c r="V751" i="1"/>
  <c r="C750" i="1"/>
  <c r="I748" i="1"/>
  <c r="Q746" i="1"/>
  <c r="A745" i="1"/>
  <c r="G743" i="1"/>
  <c r="V741" i="1"/>
  <c r="E740" i="1"/>
  <c r="K738" i="1"/>
  <c r="R736" i="1"/>
  <c r="AA734" i="1"/>
  <c r="M733" i="1"/>
  <c r="N731" i="1"/>
  <c r="R729" i="1"/>
  <c r="H728" i="1"/>
  <c r="V726" i="1"/>
  <c r="P725" i="1"/>
  <c r="N724" i="1"/>
  <c r="K723" i="1"/>
  <c r="J722" i="1"/>
  <c r="I721" i="1"/>
  <c r="H720" i="1"/>
  <c r="H719" i="1"/>
  <c r="H718" i="1"/>
  <c r="I717" i="1"/>
  <c r="J716" i="1"/>
  <c r="H715" i="1"/>
  <c r="G714" i="1"/>
  <c r="F713" i="1"/>
  <c r="G712" i="1"/>
  <c r="H711" i="1"/>
  <c r="F710" i="1"/>
  <c r="G709" i="1"/>
  <c r="G708" i="1"/>
  <c r="F707" i="1"/>
  <c r="D706" i="1"/>
  <c r="E705" i="1"/>
  <c r="E704" i="1"/>
  <c r="F703" i="1"/>
  <c r="G702" i="1"/>
  <c r="H701" i="1"/>
  <c r="H700" i="1"/>
  <c r="I699" i="1"/>
  <c r="G698" i="1"/>
  <c r="D697" i="1"/>
  <c r="D696" i="1"/>
  <c r="V694" i="1"/>
  <c r="U693" i="1"/>
  <c r="R692" i="1"/>
  <c r="Q691" i="1"/>
  <c r="Q690" i="1"/>
  <c r="Q689" i="1"/>
  <c r="R688" i="1"/>
  <c r="N687" i="1"/>
  <c r="O686" i="1"/>
  <c r="Q685" i="1"/>
  <c r="T684" i="1"/>
  <c r="Y683" i="1"/>
  <c r="A683" i="1"/>
  <c r="D682" i="1"/>
  <c r="G681" i="1"/>
  <c r="J680" i="1"/>
  <c r="L679" i="1"/>
  <c r="O678" i="1"/>
  <c r="Q677" i="1"/>
  <c r="T676" i="1"/>
  <c r="Y675" i="1"/>
  <c r="A675" i="1"/>
  <c r="D674" i="1"/>
  <c r="G673" i="1"/>
  <c r="J672" i="1"/>
  <c r="L671" i="1"/>
  <c r="O670" i="1"/>
  <c r="Q669" i="1"/>
  <c r="T668" i="1"/>
  <c r="Y667" i="1"/>
  <c r="A667" i="1"/>
  <c r="D666" i="1"/>
  <c r="G665" i="1"/>
  <c r="J664" i="1"/>
  <c r="L663" i="1"/>
  <c r="O662" i="1"/>
  <c r="Q661" i="1"/>
  <c r="T660" i="1"/>
  <c r="Y659" i="1"/>
  <c r="A659" i="1"/>
  <c r="D658" i="1"/>
  <c r="G657" i="1"/>
  <c r="E656" i="1"/>
  <c r="D655" i="1"/>
  <c r="H654" i="1"/>
  <c r="L653" i="1"/>
  <c r="Q652" i="1"/>
  <c r="V651" i="1"/>
  <c r="B651" i="1"/>
  <c r="G650" i="1"/>
  <c r="L649" i="1"/>
  <c r="Q648" i="1"/>
  <c r="U647" i="1"/>
  <c r="A647" i="1"/>
  <c r="E646" i="1"/>
  <c r="I645" i="1"/>
  <c r="M644" i="1"/>
  <c r="Q643" i="1"/>
  <c r="U642" i="1"/>
  <c r="A642" i="1"/>
  <c r="E641" i="1"/>
  <c r="I640" i="1"/>
  <c r="M639" i="1"/>
  <c r="P638" i="1"/>
  <c r="T637" i="1"/>
  <c r="V636" i="1"/>
  <c r="B636" i="1"/>
  <c r="F1515" i="1"/>
  <c r="AA1384" i="1"/>
  <c r="D1309" i="1"/>
  <c r="K1260" i="1"/>
  <c r="G1230" i="1"/>
  <c r="P1196" i="1"/>
  <c r="J1171" i="1"/>
  <c r="A1151" i="1"/>
  <c r="A1138" i="1"/>
  <c r="R1128" i="1"/>
  <c r="J1116" i="1"/>
  <c r="B1104" i="1"/>
  <c r="B1093" i="1"/>
  <c r="A1083" i="1"/>
  <c r="F1074" i="1"/>
  <c r="Z1067" i="1"/>
  <c r="AA1060" i="1"/>
  <c r="L1052" i="1"/>
  <c r="H1044" i="1"/>
  <c r="O1036" i="1"/>
  <c r="V1029" i="1"/>
  <c r="G1021" i="1"/>
  <c r="L1013" i="1"/>
  <c r="H1007" i="1"/>
  <c r="AA1001" i="1"/>
  <c r="B996" i="1"/>
  <c r="B992" i="1"/>
  <c r="A987" i="1"/>
  <c r="B982" i="1"/>
  <c r="N976" i="1"/>
  <c r="N971" i="1"/>
  <c r="Q967" i="1"/>
  <c r="O962" i="1"/>
  <c r="G957" i="1"/>
  <c r="F952" i="1"/>
  <c r="J947" i="1"/>
  <c r="C942" i="1"/>
  <c r="C938" i="1"/>
  <c r="F933" i="1"/>
  <c r="A929" i="1"/>
  <c r="O924" i="1"/>
  <c r="D920" i="1"/>
  <c r="H916" i="1"/>
  <c r="L912" i="1"/>
  <c r="J909" i="1"/>
  <c r="K906" i="1"/>
  <c r="O903" i="1"/>
  <c r="D901" i="1"/>
  <c r="C899" i="1"/>
  <c r="P896" i="1"/>
  <c r="F894" i="1"/>
  <c r="AA891" i="1"/>
  <c r="O889" i="1"/>
  <c r="O887" i="1"/>
  <c r="G885" i="1"/>
  <c r="AA882" i="1"/>
  <c r="H880" i="1"/>
  <c r="C878" i="1"/>
  <c r="AA875" i="1"/>
  <c r="C874" i="1"/>
  <c r="P871" i="1"/>
  <c r="N869" i="1"/>
  <c r="C867" i="1"/>
  <c r="Q864" i="1"/>
  <c r="D863" i="1"/>
  <c r="B861" i="1"/>
  <c r="N858" i="1"/>
  <c r="L856" i="1"/>
  <c r="I854" i="1"/>
  <c r="E852" i="1"/>
  <c r="N850" i="1"/>
  <c r="F848" i="1"/>
  <c r="A846" i="1"/>
  <c r="P843" i="1"/>
  <c r="L841" i="1"/>
  <c r="P839" i="1"/>
  <c r="K837" i="1"/>
  <c r="E835" i="1"/>
  <c r="V832" i="1"/>
  <c r="Q830" i="1"/>
  <c r="M828" i="1"/>
  <c r="R826" i="1"/>
  <c r="O824" i="1"/>
  <c r="M822" i="1"/>
  <c r="U820" i="1"/>
  <c r="B819" i="1"/>
  <c r="I817" i="1"/>
  <c r="H815" i="1"/>
  <c r="F813" i="1"/>
  <c r="D811" i="1"/>
  <c r="C809" i="1"/>
  <c r="A807" i="1"/>
  <c r="I805" i="1"/>
  <c r="G803" i="1"/>
  <c r="M801" i="1"/>
  <c r="R799" i="1"/>
  <c r="E798" i="1"/>
  <c r="Z796" i="1"/>
  <c r="J795" i="1"/>
  <c r="T793" i="1"/>
  <c r="B792" i="1"/>
  <c r="E790" i="1"/>
  <c r="G788" i="1"/>
  <c r="U786" i="1"/>
  <c r="G785" i="1"/>
  <c r="E783" i="1"/>
  <c r="E781" i="1"/>
  <c r="S779" i="1"/>
  <c r="N778" i="1"/>
  <c r="A777" i="1"/>
  <c r="E775" i="1"/>
  <c r="H773" i="1"/>
  <c r="N771" i="1"/>
  <c r="U769" i="1"/>
  <c r="K768" i="1"/>
  <c r="Q766" i="1"/>
  <c r="AA764" i="1"/>
  <c r="E763" i="1"/>
  <c r="L761" i="1"/>
  <c r="D760" i="1"/>
  <c r="J758" i="1"/>
  <c r="N756" i="1"/>
  <c r="V754" i="1"/>
  <c r="F753" i="1"/>
  <c r="L751" i="1"/>
  <c r="B750" i="1"/>
  <c r="H748" i="1"/>
  <c r="P746" i="1"/>
  <c r="V744" i="1"/>
  <c r="F743" i="1"/>
  <c r="U741" i="1"/>
  <c r="D740" i="1"/>
  <c r="J738" i="1"/>
  <c r="Q736" i="1"/>
  <c r="W734" i="1"/>
  <c r="B733" i="1"/>
  <c r="M731" i="1"/>
  <c r="Q729" i="1"/>
  <c r="D728" i="1"/>
  <c r="U726" i="1"/>
  <c r="O725" i="1"/>
  <c r="K724" i="1"/>
  <c r="I723" i="1"/>
  <c r="I722" i="1"/>
  <c r="H721" i="1"/>
  <c r="G720" i="1"/>
  <c r="G719" i="1"/>
  <c r="G718" i="1"/>
  <c r="H717" i="1"/>
  <c r="I716" i="1"/>
  <c r="G715" i="1"/>
  <c r="E714" i="1"/>
  <c r="E713" i="1"/>
  <c r="F712" i="1"/>
  <c r="G711" i="1"/>
  <c r="E710" i="1"/>
  <c r="F709" i="1"/>
  <c r="F708" i="1"/>
  <c r="E707" i="1"/>
  <c r="C706" i="1"/>
  <c r="C705" i="1"/>
  <c r="D704" i="1"/>
  <c r="E703" i="1"/>
  <c r="F702" i="1"/>
  <c r="G701" i="1"/>
  <c r="G700" i="1"/>
  <c r="H699" i="1"/>
  <c r="F698" i="1"/>
  <c r="C697" i="1"/>
  <c r="B696" i="1"/>
  <c r="U694" i="1"/>
  <c r="S693" i="1"/>
  <c r="Q692" i="1"/>
  <c r="P691" i="1"/>
  <c r="P690" i="1"/>
  <c r="P689" i="1"/>
  <c r="Q688" i="1"/>
  <c r="L687" i="1"/>
  <c r="M686" i="1"/>
  <c r="P685" i="1"/>
  <c r="S684" i="1"/>
  <c r="W683" i="1"/>
  <c r="AA682" i="1"/>
  <c r="C682" i="1"/>
  <c r="F681" i="1"/>
  <c r="I680" i="1"/>
  <c r="K679" i="1"/>
  <c r="M678" i="1"/>
  <c r="P677" i="1"/>
  <c r="S676" i="1"/>
  <c r="W675" i="1"/>
  <c r="AA674" i="1"/>
  <c r="C674" i="1"/>
  <c r="F673" i="1"/>
  <c r="I672" i="1"/>
  <c r="K671" i="1"/>
  <c r="M670" i="1"/>
  <c r="P669" i="1"/>
  <c r="S668" i="1"/>
  <c r="W667" i="1"/>
  <c r="AA666" i="1"/>
  <c r="C666" i="1"/>
  <c r="F665" i="1"/>
  <c r="I664" i="1"/>
  <c r="K663" i="1"/>
  <c r="M662" i="1"/>
  <c r="P661" i="1"/>
  <c r="S660" i="1"/>
  <c r="W659" i="1"/>
  <c r="AA658" i="1"/>
  <c r="C658" i="1"/>
  <c r="F657" i="1"/>
  <c r="D656" i="1"/>
  <c r="C655" i="1"/>
  <c r="G654" i="1"/>
  <c r="K653" i="1"/>
  <c r="P652" i="1"/>
  <c r="U651" i="1"/>
  <c r="A651" i="1"/>
  <c r="F650" i="1"/>
  <c r="K649" i="1"/>
  <c r="P648" i="1"/>
  <c r="T647" i="1"/>
  <c r="AA646" i="1"/>
  <c r="D646" i="1"/>
  <c r="H645" i="1"/>
  <c r="L644" i="1"/>
  <c r="P643" i="1"/>
  <c r="T642" i="1"/>
  <c r="AA641" i="1"/>
  <c r="D641" i="1"/>
  <c r="H640" i="1"/>
  <c r="L639" i="1"/>
  <c r="O638" i="1"/>
  <c r="S637" i="1"/>
  <c r="U636" i="1"/>
  <c r="A636" i="1"/>
  <c r="F635" i="1"/>
  <c r="K634" i="1"/>
  <c r="P633" i="1"/>
  <c r="U632" i="1"/>
  <c r="A632" i="1"/>
  <c r="F631" i="1"/>
  <c r="K630" i="1"/>
  <c r="P629" i="1"/>
  <c r="U628" i="1"/>
  <c r="A628" i="1"/>
  <c r="F627" i="1"/>
  <c r="K626" i="1"/>
  <c r="P625" i="1"/>
  <c r="U624" i="1"/>
  <c r="A624" i="1"/>
  <c r="F623" i="1"/>
  <c r="K622" i="1"/>
  <c r="Q621" i="1"/>
  <c r="X620" i="1"/>
  <c r="C620" i="1"/>
  <c r="I619" i="1"/>
  <c r="O618" i="1"/>
  <c r="U617" i="1"/>
  <c r="A617" i="1"/>
  <c r="G616" i="1"/>
  <c r="M615" i="1"/>
  <c r="S614" i="1"/>
  <c r="Z613" i="1"/>
  <c r="E613" i="1"/>
  <c r="K612" i="1"/>
  <c r="Q611" i="1"/>
  <c r="W610" i="1"/>
  <c r="C610" i="1"/>
  <c r="H609" i="1"/>
  <c r="M608" i="1"/>
  <c r="R607" i="1"/>
  <c r="Y606" i="1"/>
  <c r="C606" i="1"/>
  <c r="H605" i="1"/>
  <c r="M604" i="1"/>
  <c r="R603" i="1"/>
  <c r="Y602" i="1"/>
  <c r="C602" i="1"/>
  <c r="H601" i="1"/>
  <c r="M600" i="1"/>
  <c r="R599" i="1"/>
  <c r="V598" i="1"/>
  <c r="A598" i="1"/>
  <c r="E597" i="1"/>
  <c r="I596" i="1"/>
  <c r="N595" i="1"/>
  <c r="R594" i="1"/>
  <c r="V593" i="1"/>
  <c r="A593" i="1"/>
  <c r="F592" i="1"/>
  <c r="K591" i="1"/>
  <c r="P590" i="1"/>
  <c r="U589" i="1"/>
  <c r="A589" i="1"/>
  <c r="F588" i="1"/>
  <c r="K587" i="1"/>
  <c r="P586" i="1"/>
  <c r="U585" i="1"/>
  <c r="A585" i="1"/>
  <c r="F584" i="1"/>
  <c r="K583" i="1"/>
  <c r="P582" i="1"/>
  <c r="U581" i="1"/>
  <c r="A581" i="1"/>
  <c r="F580" i="1"/>
  <c r="K579" i="1"/>
  <c r="P578" i="1"/>
  <c r="U577" i="1"/>
  <c r="A577" i="1"/>
  <c r="G576" i="1"/>
  <c r="M575" i="1"/>
  <c r="S574" i="1"/>
  <c r="Z573" i="1"/>
  <c r="E573" i="1"/>
  <c r="K572" i="1"/>
  <c r="Q571" i="1"/>
  <c r="W570" i="1"/>
  <c r="C570" i="1"/>
  <c r="I569" i="1"/>
  <c r="O568" i="1"/>
  <c r="U567" i="1"/>
  <c r="A567" i="1"/>
  <c r="G566" i="1"/>
  <c r="M565" i="1"/>
  <c r="S564" i="1"/>
  <c r="Z563" i="1"/>
  <c r="E563" i="1"/>
  <c r="K562" i="1"/>
  <c r="Q561" i="1"/>
  <c r="W560" i="1"/>
  <c r="C560" i="1"/>
  <c r="I559" i="1"/>
  <c r="O558" i="1"/>
  <c r="T557" i="1"/>
  <c r="AA556" i="1"/>
  <c r="A556" i="1"/>
  <c r="F555" i="1"/>
  <c r="K554" i="1"/>
  <c r="O553" i="1"/>
  <c r="T552" i="1"/>
  <c r="AA551" i="1"/>
  <c r="F551" i="1"/>
  <c r="K550" i="1"/>
  <c r="P549" i="1"/>
  <c r="V548" i="1"/>
  <c r="B548" i="1"/>
  <c r="G547" i="1"/>
  <c r="L546" i="1"/>
  <c r="Q545" i="1"/>
  <c r="V544" i="1"/>
  <c r="B544" i="1"/>
  <c r="H543" i="1"/>
  <c r="M542" i="1"/>
  <c r="S541" i="1"/>
  <c r="Z540" i="1"/>
  <c r="C540" i="1"/>
  <c r="I539" i="1"/>
  <c r="O538" i="1"/>
  <c r="U537" i="1"/>
  <c r="D1515" i="1"/>
  <c r="K1375" i="1"/>
  <c r="Q1302" i="1"/>
  <c r="B1260" i="1"/>
  <c r="C1221" i="1"/>
  <c r="U1193" i="1"/>
  <c r="D1170" i="1"/>
  <c r="L1150" i="1"/>
  <c r="P1137" i="1"/>
  <c r="L1125" i="1"/>
  <c r="C1115" i="1"/>
  <c r="C1103" i="1"/>
  <c r="AA1092" i="1"/>
  <c r="S1082" i="1"/>
  <c r="D1074" i="1"/>
  <c r="F1066" i="1"/>
  <c r="O1060" i="1"/>
  <c r="J1052" i="1"/>
  <c r="F1044" i="1"/>
  <c r="N1035" i="1"/>
  <c r="I1027" i="1"/>
  <c r="E1021" i="1"/>
  <c r="G1013" i="1"/>
  <c r="M1006" i="1"/>
  <c r="D1001" i="1"/>
  <c r="R995" i="1"/>
  <c r="O990" i="1"/>
  <c r="Q986" i="1"/>
  <c r="H981" i="1"/>
  <c r="I976" i="1"/>
  <c r="F971" i="1"/>
  <c r="L966" i="1"/>
  <c r="A962" i="1"/>
  <c r="C957" i="1"/>
  <c r="B952" i="1"/>
  <c r="G947" i="1"/>
  <c r="A942" i="1"/>
  <c r="I936" i="1"/>
  <c r="B933" i="1"/>
  <c r="U928" i="1"/>
  <c r="M924" i="1"/>
  <c r="L919" i="1"/>
  <c r="E915" i="1"/>
  <c r="F912" i="1"/>
  <c r="E909" i="1"/>
  <c r="G906" i="1"/>
  <c r="L903" i="1"/>
  <c r="A901" i="1"/>
  <c r="J898" i="1"/>
  <c r="L896" i="1"/>
  <c r="D894" i="1"/>
  <c r="R891" i="1"/>
  <c r="L889" i="1"/>
  <c r="B887" i="1"/>
  <c r="E885" i="1"/>
  <c r="R882" i="1"/>
  <c r="F880" i="1"/>
  <c r="AA877" i="1"/>
  <c r="R875" i="1"/>
  <c r="L873" i="1"/>
  <c r="N871" i="1"/>
  <c r="I869" i="1"/>
  <c r="U866" i="1"/>
  <c r="N864" i="1"/>
  <c r="O862" i="1"/>
  <c r="AA860" i="1"/>
  <c r="L858" i="1"/>
  <c r="J856" i="1"/>
  <c r="E854" i="1"/>
  <c r="C852" i="1"/>
  <c r="A850" i="1"/>
  <c r="D848" i="1"/>
  <c r="U845" i="1"/>
  <c r="N843" i="1"/>
  <c r="H841" i="1"/>
  <c r="C839" i="1"/>
  <c r="I837" i="1"/>
  <c r="A835" i="1"/>
  <c r="R832" i="1"/>
  <c r="M830" i="1"/>
  <c r="K828" i="1"/>
  <c r="G826" i="1"/>
  <c r="M824" i="1"/>
  <c r="I822" i="1"/>
  <c r="S820" i="1"/>
  <c r="U818" i="1"/>
  <c r="R816" i="1"/>
  <c r="F815" i="1"/>
  <c r="D813" i="1"/>
  <c r="B811" i="1"/>
  <c r="AA808" i="1"/>
  <c r="U806" i="1"/>
  <c r="U804" i="1"/>
  <c r="E803" i="1"/>
  <c r="I801" i="1"/>
  <c r="O799" i="1"/>
  <c r="B798" i="1"/>
  <c r="M796" i="1"/>
  <c r="H795" i="1"/>
  <c r="R793" i="1"/>
  <c r="AA791" i="1"/>
  <c r="B790" i="1"/>
  <c r="E788" i="1"/>
  <c r="J786" i="1"/>
  <c r="E785" i="1"/>
  <c r="C783" i="1"/>
  <c r="C781" i="1"/>
  <c r="O779" i="1"/>
  <c r="D778" i="1"/>
  <c r="V776" i="1"/>
  <c r="C775" i="1"/>
  <c r="F773" i="1"/>
  <c r="K771" i="1"/>
  <c r="R769" i="1"/>
  <c r="A768" i="1"/>
  <c r="O766" i="1"/>
  <c r="U764" i="1"/>
  <c r="C763" i="1"/>
  <c r="I761" i="1"/>
  <c r="P759" i="1"/>
  <c r="H758" i="1"/>
  <c r="L756" i="1"/>
  <c r="S754" i="1"/>
  <c r="C753" i="1"/>
  <c r="J751" i="1"/>
  <c r="N749" i="1"/>
  <c r="F748" i="1"/>
  <c r="N746" i="1"/>
  <c r="S744" i="1"/>
  <c r="C743" i="1"/>
  <c r="J741" i="1"/>
  <c r="B740" i="1"/>
  <c r="H738" i="1"/>
  <c r="O736" i="1"/>
  <c r="S734" i="1"/>
  <c r="AA732" i="1"/>
  <c r="A731" i="1"/>
  <c r="O729" i="1"/>
  <c r="B728" i="1"/>
  <c r="R726" i="1"/>
  <c r="M725" i="1"/>
  <c r="I724" i="1"/>
  <c r="G723" i="1"/>
  <c r="G722" i="1"/>
  <c r="F721" i="1"/>
  <c r="E720" i="1"/>
  <c r="E719" i="1"/>
  <c r="E718" i="1"/>
  <c r="F717" i="1"/>
  <c r="F716" i="1"/>
  <c r="D715" i="1"/>
  <c r="C714" i="1"/>
  <c r="C713" i="1"/>
  <c r="D712" i="1"/>
  <c r="E711" i="1"/>
  <c r="C710" i="1"/>
  <c r="D709" i="1"/>
  <c r="D708" i="1"/>
  <c r="B707" i="1"/>
  <c r="AA705" i="1"/>
  <c r="A705" i="1"/>
  <c r="B704" i="1"/>
  <c r="C703" i="1"/>
  <c r="D702" i="1"/>
  <c r="E701" i="1"/>
  <c r="E700" i="1"/>
  <c r="F699" i="1"/>
  <c r="C698" i="1"/>
  <c r="AA696" i="1"/>
  <c r="AA695" i="1"/>
  <c r="R694" i="1"/>
  <c r="Q693" i="1"/>
  <c r="O692" i="1"/>
  <c r="N691" i="1"/>
  <c r="N690" i="1"/>
  <c r="N689" i="1"/>
  <c r="L688" i="1"/>
  <c r="H687" i="1"/>
  <c r="K686" i="1"/>
  <c r="N685" i="1"/>
  <c r="Q684" i="1"/>
  <c r="T683" i="1"/>
  <c r="Y682" i="1"/>
  <c r="A682" i="1"/>
  <c r="D681" i="1"/>
  <c r="F680" i="1"/>
  <c r="H679" i="1"/>
  <c r="K678" i="1"/>
  <c r="N677" i="1"/>
  <c r="Q676" i="1"/>
  <c r="T675" i="1"/>
  <c r="Y674" i="1"/>
  <c r="A674" i="1"/>
  <c r="D673" i="1"/>
  <c r="F672" i="1"/>
  <c r="H671" i="1"/>
  <c r="K670" i="1"/>
  <c r="N669" i="1"/>
  <c r="Q668" i="1"/>
  <c r="T667" i="1"/>
  <c r="Y666" i="1"/>
  <c r="A666" i="1"/>
  <c r="D665" i="1"/>
  <c r="F664" i="1"/>
  <c r="H663" i="1"/>
  <c r="K662" i="1"/>
  <c r="N661" i="1"/>
  <c r="Q660" i="1"/>
  <c r="T659" i="1"/>
  <c r="Y658" i="1"/>
  <c r="A658" i="1"/>
  <c r="D657" i="1"/>
  <c r="A656" i="1"/>
  <c r="AA654" i="1"/>
  <c r="D654" i="1"/>
  <c r="I653" i="1"/>
  <c r="N652" i="1"/>
  <c r="S651" i="1"/>
  <c r="Z650" i="1"/>
  <c r="D650" i="1"/>
  <c r="I649" i="1"/>
  <c r="N648" i="1"/>
  <c r="R647" i="1"/>
  <c r="Y646" i="1"/>
  <c r="B646" i="1"/>
  <c r="F645" i="1"/>
  <c r="J644" i="1"/>
  <c r="N643" i="1"/>
  <c r="R642" i="1"/>
  <c r="Y641" i="1"/>
  <c r="B641" i="1"/>
  <c r="F640" i="1"/>
  <c r="J639" i="1"/>
  <c r="M638" i="1"/>
  <c r="Q637" i="1"/>
  <c r="S636" i="1"/>
  <c r="Z635" i="1"/>
  <c r="D635" i="1"/>
  <c r="I634" i="1"/>
  <c r="J1452" i="1"/>
  <c r="E1368" i="1"/>
  <c r="K1302" i="1"/>
  <c r="L1258" i="1"/>
  <c r="A1215" i="1"/>
  <c r="I1186" i="1"/>
  <c r="C1169" i="1"/>
  <c r="C1150" i="1"/>
  <c r="AA1135" i="1"/>
  <c r="B1123" i="1"/>
  <c r="F1111" i="1"/>
  <c r="I1100" i="1"/>
  <c r="N1092" i="1"/>
  <c r="N1081" i="1"/>
  <c r="I1072" i="1"/>
  <c r="N1065" i="1"/>
  <c r="M1058" i="1"/>
  <c r="G1051" i="1"/>
  <c r="Q1042" i="1"/>
  <c r="V1034" i="1"/>
  <c r="B1027" i="1"/>
  <c r="D1019" i="1"/>
  <c r="AA1010" i="1"/>
  <c r="F1006" i="1"/>
  <c r="U1000" i="1"/>
  <c r="M995" i="1"/>
  <c r="AA989" i="1"/>
  <c r="AA984" i="1"/>
  <c r="C981" i="1"/>
  <c r="F976" i="1"/>
  <c r="C971" i="1"/>
  <c r="P965" i="1"/>
  <c r="P960" i="1"/>
  <c r="M955" i="1"/>
  <c r="Q951" i="1"/>
  <c r="L946" i="1"/>
  <c r="C941" i="1"/>
  <c r="B936" i="1"/>
  <c r="AA931" i="1"/>
  <c r="P928" i="1"/>
  <c r="U923" i="1"/>
  <c r="E919" i="1"/>
  <c r="U914" i="1"/>
  <c r="F911" i="1"/>
  <c r="J908" i="1"/>
  <c r="A906" i="1"/>
  <c r="F903" i="1"/>
  <c r="M900" i="1"/>
  <c r="E898" i="1"/>
  <c r="A896" i="1"/>
  <c r="A894" i="1"/>
  <c r="O891" i="1"/>
  <c r="F889" i="1"/>
  <c r="O886" i="1"/>
  <c r="J884" i="1"/>
  <c r="C882" i="1"/>
  <c r="C880" i="1"/>
  <c r="R877" i="1"/>
  <c r="M875" i="1"/>
  <c r="D873" i="1"/>
  <c r="AA870" i="1"/>
  <c r="D869" i="1"/>
  <c r="P866" i="1"/>
  <c r="K864" i="1"/>
  <c r="K862" i="1"/>
  <c r="E860" i="1"/>
  <c r="U857" i="1"/>
  <c r="F856" i="1"/>
  <c r="AA853" i="1"/>
  <c r="U851" i="1"/>
  <c r="Q849" i="1"/>
  <c r="M847" i="1"/>
  <c r="P845" i="1"/>
  <c r="K843" i="1"/>
  <c r="C841" i="1"/>
  <c r="U838" i="1"/>
  <c r="N836" i="1"/>
  <c r="J834" i="1"/>
  <c r="N832" i="1"/>
  <c r="J830" i="1"/>
  <c r="G828" i="1"/>
  <c r="C826" i="1"/>
  <c r="B824" i="1"/>
  <c r="F822" i="1"/>
  <c r="P820" i="1"/>
  <c r="P818" i="1"/>
  <c r="N816" i="1"/>
  <c r="M814" i="1"/>
  <c r="K812" i="1"/>
  <c r="U810" i="1"/>
  <c r="Q808" i="1"/>
  <c r="O806" i="1"/>
  <c r="N804" i="1"/>
  <c r="Q802" i="1"/>
  <c r="F801" i="1"/>
  <c r="L799" i="1"/>
  <c r="Z797" i="1"/>
  <c r="I796" i="1"/>
  <c r="V794" i="1"/>
  <c r="G793" i="1"/>
  <c r="Q791" i="1"/>
  <c r="U789" i="1"/>
  <c r="A788" i="1"/>
  <c r="F786" i="1"/>
  <c r="M784" i="1"/>
  <c r="AA782" i="1"/>
  <c r="AA780" i="1"/>
  <c r="L779" i="1"/>
  <c r="AA777" i="1"/>
  <c r="I776" i="1"/>
  <c r="M774" i="1"/>
  <c r="C773" i="1"/>
  <c r="H771" i="1"/>
  <c r="M769" i="1"/>
  <c r="S767" i="1"/>
  <c r="D766" i="1"/>
  <c r="P764" i="1"/>
  <c r="AA762" i="1"/>
  <c r="F761" i="1"/>
  <c r="L759" i="1"/>
  <c r="S757" i="1"/>
  <c r="A756" i="1"/>
  <c r="P754" i="1"/>
  <c r="AA752" i="1"/>
  <c r="F751" i="1"/>
  <c r="H749" i="1"/>
  <c r="R747" i="1"/>
  <c r="K746" i="1"/>
  <c r="P744" i="1"/>
  <c r="AA742" i="1"/>
  <c r="F741" i="1"/>
  <c r="M739" i="1"/>
  <c r="S737" i="1"/>
  <c r="K736" i="1"/>
  <c r="P734" i="1"/>
  <c r="R732" i="1"/>
  <c r="S730" i="1"/>
  <c r="I729" i="1"/>
  <c r="U727" i="1"/>
  <c r="N726" i="1"/>
  <c r="G725" i="1"/>
  <c r="E724" i="1"/>
  <c r="D723" i="1"/>
  <c r="D722" i="1"/>
  <c r="C721" i="1"/>
  <c r="B720" i="1"/>
  <c r="B719" i="1"/>
  <c r="A718" i="1"/>
  <c r="B717" i="1"/>
  <c r="B716" i="1"/>
  <c r="A715" i="1"/>
  <c r="AA713" i="1"/>
  <c r="AA712" i="1"/>
  <c r="A712" i="1"/>
  <c r="B711" i="1"/>
  <c r="AA709" i="1"/>
  <c r="AA708" i="1"/>
  <c r="AA707" i="1"/>
  <c r="U706" i="1"/>
  <c r="U705" i="1"/>
  <c r="V704" i="1"/>
  <c r="W703" i="1"/>
  <c r="AA702" i="1"/>
  <c r="A702" i="1"/>
  <c r="B701" i="1"/>
  <c r="A700" i="1"/>
  <c r="B699" i="1"/>
  <c r="V697" i="1"/>
  <c r="S696" i="1"/>
  <c r="S695" i="1"/>
  <c r="O694" i="1"/>
  <c r="N693" i="1"/>
  <c r="K692" i="1"/>
  <c r="J691" i="1"/>
  <c r="I690" i="1"/>
  <c r="I689" i="1"/>
  <c r="F688" i="1"/>
  <c r="E687" i="1"/>
  <c r="H686" i="1"/>
  <c r="K685" i="1"/>
  <c r="N684" i="1"/>
  <c r="Q683" i="1"/>
  <c r="T682" i="1"/>
  <c r="W681" i="1"/>
  <c r="AA680" i="1"/>
  <c r="B680" i="1"/>
  <c r="E679" i="1"/>
  <c r="H678" i="1"/>
  <c r="K677" i="1"/>
  <c r="N676" i="1"/>
  <c r="Q675" i="1"/>
  <c r="T674" i="1"/>
  <c r="W673" i="1"/>
  <c r="AA672" i="1"/>
  <c r="B672" i="1"/>
  <c r="E671" i="1"/>
  <c r="H670" i="1"/>
  <c r="K669" i="1"/>
  <c r="N668" i="1"/>
  <c r="Q667" i="1"/>
  <c r="T666" i="1"/>
  <c r="W665" i="1"/>
  <c r="AA664" i="1"/>
  <c r="B664" i="1"/>
  <c r="E663" i="1"/>
  <c r="H662" i="1"/>
  <c r="K661" i="1"/>
  <c r="N660" i="1"/>
  <c r="Q659" i="1"/>
  <c r="T658" i="1"/>
  <c r="W657" i="1"/>
  <c r="AA656" i="1"/>
  <c r="S655" i="1"/>
  <c r="V654" i="1"/>
  <c r="A654" i="1"/>
  <c r="F653" i="1"/>
  <c r="K652" i="1"/>
  <c r="P651" i="1"/>
  <c r="U650" i="1"/>
  <c r="A650" i="1"/>
  <c r="F649" i="1"/>
  <c r="K648" i="1"/>
  <c r="O647" i="1"/>
  <c r="S646" i="1"/>
  <c r="Z645" i="1"/>
  <c r="C645" i="1"/>
  <c r="G644" i="1"/>
  <c r="K643" i="1"/>
  <c r="O642" i="1"/>
  <c r="S641" i="1"/>
  <c r="Z640" i="1"/>
  <c r="C640" i="1"/>
  <c r="G639" i="1"/>
  <c r="J638" i="1"/>
  <c r="N637" i="1"/>
  <c r="P636" i="1"/>
  <c r="U635" i="1"/>
  <c r="A635" i="1"/>
  <c r="F634" i="1"/>
  <c r="K633" i="1"/>
  <c r="P632" i="1"/>
  <c r="U631" i="1"/>
  <c r="A631" i="1"/>
  <c r="F630" i="1"/>
  <c r="K629" i="1"/>
  <c r="P628" i="1"/>
  <c r="U627" i="1"/>
  <c r="A627" i="1"/>
  <c r="F626" i="1"/>
  <c r="K625" i="1"/>
  <c r="P624" i="1"/>
  <c r="U623" i="1"/>
  <c r="A623" i="1"/>
  <c r="F622" i="1"/>
  <c r="L621" i="1"/>
  <c r="R620" i="1"/>
  <c r="Y619" i="1"/>
  <c r="D619" i="1"/>
  <c r="J618" i="1"/>
  <c r="P617" i="1"/>
  <c r="V616" i="1"/>
  <c r="B616" i="1"/>
  <c r="H615" i="1"/>
  <c r="N614" i="1"/>
  <c r="T613" i="1"/>
  <c r="AA612" i="1"/>
  <c r="F612" i="1"/>
  <c r="L611" i="1"/>
  <c r="R610" i="1"/>
  <c r="Y609" i="1"/>
  <c r="C609" i="1"/>
  <c r="H608" i="1"/>
  <c r="M607" i="1"/>
  <c r="R606" i="1"/>
  <c r="Y605" i="1"/>
  <c r="C605" i="1"/>
  <c r="H604" i="1"/>
  <c r="M603" i="1"/>
  <c r="R602" i="1"/>
  <c r="Y601" i="1"/>
  <c r="C601" i="1"/>
  <c r="H600" i="1"/>
  <c r="M599" i="1"/>
  <c r="Q598" i="1"/>
  <c r="U597" i="1"/>
  <c r="AA596" i="1"/>
  <c r="D596" i="1"/>
  <c r="H595" i="1"/>
  <c r="M594" i="1"/>
  <c r="Q593" i="1"/>
  <c r="U592" i="1"/>
  <c r="A592" i="1"/>
  <c r="F591" i="1"/>
  <c r="K590" i="1"/>
  <c r="P589" i="1"/>
  <c r="U588" i="1"/>
  <c r="A588" i="1"/>
  <c r="F587" i="1"/>
  <c r="K586" i="1"/>
  <c r="P585" i="1"/>
  <c r="U584" i="1"/>
  <c r="A584" i="1"/>
  <c r="F583" i="1"/>
  <c r="K582" i="1"/>
  <c r="P581" i="1"/>
  <c r="U580" i="1"/>
  <c r="A580" i="1"/>
  <c r="F579" i="1"/>
  <c r="K578" i="1"/>
  <c r="P577" i="1"/>
  <c r="V576" i="1"/>
  <c r="B576" i="1"/>
  <c r="H575" i="1"/>
  <c r="N574" i="1"/>
  <c r="T573" i="1"/>
  <c r="AA572" i="1"/>
  <c r="F572" i="1"/>
  <c r="L571" i="1"/>
  <c r="R570" i="1"/>
  <c r="Y569" i="1"/>
  <c r="D569" i="1"/>
  <c r="J568" i="1"/>
  <c r="P567" i="1"/>
  <c r="V566" i="1"/>
  <c r="B566" i="1"/>
  <c r="H565" i="1"/>
  <c r="N564" i="1"/>
  <c r="T563" i="1"/>
  <c r="AA562" i="1"/>
  <c r="F562" i="1"/>
  <c r="L561" i="1"/>
  <c r="R560" i="1"/>
  <c r="Y559" i="1"/>
  <c r="D559" i="1"/>
  <c r="J558" i="1"/>
  <c r="O557" i="1"/>
  <c r="T556" i="1"/>
  <c r="U555" i="1"/>
  <c r="A555" i="1"/>
  <c r="F554" i="1"/>
  <c r="J553" i="1"/>
  <c r="O552" i="1"/>
  <c r="U551" i="1"/>
  <c r="A551" i="1"/>
  <c r="F550" i="1"/>
  <c r="K549" i="1"/>
  <c r="Q548" i="1"/>
  <c r="V547" i="1"/>
  <c r="B547" i="1"/>
  <c r="G546" i="1"/>
  <c r="L545" i="1"/>
  <c r="Q544" i="1"/>
  <c r="W543" i="1"/>
  <c r="C543" i="1"/>
  <c r="H542" i="1"/>
  <c r="N541" i="1"/>
  <c r="T540" i="1"/>
  <c r="Y539" i="1"/>
  <c r="D539" i="1"/>
  <c r="J538" i="1"/>
  <c r="P537" i="1"/>
  <c r="C1421" i="1"/>
  <c r="P1334" i="1"/>
  <c r="U1278" i="1"/>
  <c r="I1239" i="1"/>
  <c r="Q1202" i="1"/>
  <c r="G1181" i="1"/>
  <c r="M1158" i="1"/>
  <c r="M1143" i="1"/>
  <c r="L1131" i="1"/>
  <c r="R1117" i="1"/>
  <c r="K1108" i="1"/>
  <c r="AA1097" i="1"/>
  <c r="L1087" i="1"/>
  <c r="L1077" i="1"/>
  <c r="O1069" i="1"/>
  <c r="K1062" i="1"/>
  <c r="M1056" i="1"/>
  <c r="E1048" i="1"/>
  <c r="J1039" i="1"/>
  <c r="C1031" i="1"/>
  <c r="E1023" i="1"/>
  <c r="B1017" i="1"/>
  <c r="L1009" i="1"/>
  <c r="N1003" i="1"/>
  <c r="E998" i="1"/>
  <c r="E993" i="1"/>
  <c r="E988" i="1"/>
  <c r="O983" i="1"/>
  <c r="P978" i="1"/>
  <c r="R973" i="1"/>
  <c r="Q968" i="1"/>
  <c r="U963" i="1"/>
  <c r="M959" i="1"/>
  <c r="H954" i="1"/>
  <c r="M949" i="1"/>
  <c r="L944" i="1"/>
  <c r="O938" i="1"/>
  <c r="E934" i="1"/>
  <c r="AA930" i="1"/>
  <c r="P926" i="1"/>
  <c r="P921" i="1"/>
  <c r="F917" i="1"/>
  <c r="B913" i="1"/>
  <c r="O910" i="1"/>
  <c r="N907" i="1"/>
  <c r="P904" i="1"/>
  <c r="E902" i="1"/>
  <c r="L899" i="1"/>
  <c r="E897" i="1"/>
  <c r="G895" i="1"/>
  <c r="U892" i="1"/>
  <c r="O890" i="1"/>
  <c r="C888" i="1"/>
  <c r="O885" i="1"/>
  <c r="AA883" i="1"/>
  <c r="I881" i="1"/>
  <c r="C879" i="1"/>
  <c r="R876" i="1"/>
  <c r="O874" i="1"/>
  <c r="C872" i="1"/>
  <c r="L870" i="1"/>
  <c r="C868" i="1"/>
  <c r="O865" i="1"/>
  <c r="L863" i="1"/>
  <c r="M861" i="1"/>
  <c r="M859" i="1"/>
  <c r="J857" i="1"/>
  <c r="F855" i="1"/>
  <c r="C853" i="1"/>
  <c r="AA850" i="1"/>
  <c r="Q848" i="1"/>
  <c r="A847" i="1"/>
  <c r="O844" i="1"/>
  <c r="J842" i="1"/>
  <c r="C840" i="1"/>
  <c r="AA837" i="1"/>
  <c r="D836" i="1"/>
  <c r="U833" i="1"/>
  <c r="N831" i="1"/>
  <c r="I829" i="1"/>
  <c r="G827" i="1"/>
  <c r="D825" i="1"/>
  <c r="L823" i="1"/>
  <c r="M821" i="1"/>
  <c r="R819" i="1"/>
  <c r="R817" i="1"/>
  <c r="Q815" i="1"/>
  <c r="D814" i="1"/>
  <c r="B812" i="1"/>
  <c r="AA809" i="1"/>
  <c r="R807" i="1"/>
  <c r="R805" i="1"/>
  <c r="R803" i="1"/>
  <c r="H802" i="1"/>
  <c r="K800" i="1"/>
  <c r="T798" i="1"/>
  <c r="F797" i="1"/>
  <c r="R795" i="1"/>
  <c r="M794" i="1"/>
  <c r="U792" i="1"/>
  <c r="AA790" i="1"/>
  <c r="B789" i="1"/>
  <c r="E787" i="1"/>
  <c r="O785" i="1"/>
  <c r="C784" i="1"/>
  <c r="B782" i="1"/>
  <c r="H780" i="1"/>
  <c r="U778" i="1"/>
  <c r="I777" i="1"/>
  <c r="AA775" i="1"/>
  <c r="D774" i="1"/>
  <c r="G772" i="1"/>
  <c r="M770" i="1"/>
  <c r="S768" i="1"/>
  <c r="C767" i="1"/>
  <c r="P765" i="1"/>
  <c r="V763" i="1"/>
  <c r="E762" i="1"/>
  <c r="K760" i="1"/>
  <c r="R758" i="1"/>
  <c r="I757" i="1"/>
  <c r="O755" i="1"/>
  <c r="V753" i="1"/>
  <c r="E752" i="1"/>
  <c r="L750" i="1"/>
  <c r="P748" i="1"/>
  <c r="I747" i="1"/>
  <c r="P745" i="1"/>
  <c r="V743" i="1"/>
  <c r="E742" i="1"/>
  <c r="L740" i="1"/>
  <c r="D739" i="1"/>
  <c r="J737" i="1"/>
  <c r="P735" i="1"/>
  <c r="U733" i="1"/>
  <c r="AA731" i="1"/>
  <c r="F730" i="1"/>
  <c r="R728" i="1"/>
  <c r="I727" i="1"/>
  <c r="A726" i="1"/>
  <c r="U724" i="1"/>
  <c r="S723" i="1"/>
  <c r="R722" i="1"/>
  <c r="Q721" i="1"/>
  <c r="P720" i="1"/>
  <c r="N719" i="1"/>
  <c r="N718" i="1"/>
  <c r="P717" i="1"/>
  <c r="Q716" i="1"/>
  <c r="P715" i="1"/>
  <c r="O714" i="1"/>
  <c r="O713" i="1"/>
  <c r="N712" i="1"/>
  <c r="O711" i="1"/>
  <c r="N710" i="1"/>
  <c r="M709" i="1"/>
  <c r="M708" i="1"/>
  <c r="N707" i="1"/>
  <c r="K706" i="1"/>
  <c r="L705" i="1"/>
  <c r="M704" i="1"/>
  <c r="M703" i="1"/>
  <c r="N702" i="1"/>
  <c r="N701" i="1"/>
  <c r="N700" i="1"/>
  <c r="O699" i="1"/>
  <c r="O698" i="1"/>
  <c r="M697" i="1"/>
  <c r="K696" i="1"/>
  <c r="H695" i="1"/>
  <c r="F694" i="1"/>
  <c r="C693" i="1"/>
  <c r="A692" i="1"/>
  <c r="AA690" i="1"/>
  <c r="AA689" i="1"/>
  <c r="AA688" i="1"/>
  <c r="Y687" i="1"/>
  <c r="W686" i="1"/>
  <c r="AA685" i="1"/>
  <c r="B685" i="1"/>
  <c r="E684" i="1"/>
  <c r="G683" i="1"/>
  <c r="J682" i="1"/>
  <c r="M681" i="1"/>
  <c r="P680" i="1"/>
  <c r="S679" i="1"/>
  <c r="W678" i="1"/>
  <c r="AA677" i="1"/>
  <c r="B677" i="1"/>
  <c r="E676" i="1"/>
  <c r="G675" i="1"/>
  <c r="J674" i="1"/>
  <c r="M673" i="1"/>
  <c r="P672" i="1"/>
  <c r="S671" i="1"/>
  <c r="W670" i="1"/>
  <c r="AA669" i="1"/>
  <c r="B669" i="1"/>
  <c r="E668" i="1"/>
  <c r="G667" i="1"/>
  <c r="J666" i="1"/>
  <c r="M665" i="1"/>
  <c r="P664" i="1"/>
  <c r="S663" i="1"/>
  <c r="W662" i="1"/>
  <c r="AA661" i="1"/>
  <c r="B661" i="1"/>
  <c r="E660" i="1"/>
  <c r="G659" i="1"/>
  <c r="J658" i="1"/>
  <c r="M657" i="1"/>
  <c r="M656" i="1"/>
  <c r="K655" i="1"/>
  <c r="N654" i="1"/>
  <c r="R653" i="1"/>
  <c r="Y652" i="1"/>
  <c r="C652" i="1"/>
  <c r="H651" i="1"/>
  <c r="M650" i="1"/>
  <c r="R649" i="1"/>
  <c r="Y648" i="1"/>
  <c r="C648" i="1"/>
  <c r="G647" i="1"/>
  <c r="K646" i="1"/>
  <c r="O645" i="1"/>
  <c r="S644" i="1"/>
  <c r="Z643" i="1"/>
  <c r="E1515" i="1"/>
  <c r="B1305" i="1"/>
  <c r="F1230" i="1"/>
  <c r="I1171" i="1"/>
  <c r="AA1137" i="1"/>
  <c r="D1115" i="1"/>
  <c r="A1093" i="1"/>
  <c r="E1074" i="1"/>
  <c r="P1060" i="1"/>
  <c r="G1044" i="1"/>
  <c r="U1027" i="1"/>
  <c r="K1013" i="1"/>
  <c r="E1001" i="1"/>
  <c r="AA991" i="1"/>
  <c r="I981" i="1"/>
  <c r="I971" i="1"/>
  <c r="N962" i="1"/>
  <c r="C952" i="1"/>
  <c r="B942" i="1"/>
  <c r="E933" i="1"/>
  <c r="N924" i="1"/>
  <c r="F915" i="1"/>
  <c r="G909" i="1"/>
  <c r="M903" i="1"/>
  <c r="B899" i="1"/>
  <c r="E894" i="1"/>
  <c r="N889" i="1"/>
  <c r="F885" i="1"/>
  <c r="G880" i="1"/>
  <c r="U875" i="1"/>
  <c r="O871" i="1"/>
  <c r="AA866" i="1"/>
  <c r="P862" i="1"/>
  <c r="M858" i="1"/>
  <c r="F854" i="1"/>
  <c r="L850" i="1"/>
  <c r="AA845" i="1"/>
  <c r="K841" i="1"/>
  <c r="J837" i="1"/>
  <c r="U832" i="1"/>
  <c r="L828" i="1"/>
  <c r="N824" i="1"/>
  <c r="T820" i="1"/>
  <c r="U816" i="1"/>
  <c r="E813" i="1"/>
  <c r="A809" i="1"/>
  <c r="H805" i="1"/>
  <c r="L801" i="1"/>
  <c r="D798" i="1"/>
  <c r="I795" i="1"/>
  <c r="A792" i="1"/>
  <c r="F788" i="1"/>
  <c r="F785" i="1"/>
  <c r="D781" i="1"/>
  <c r="E778" i="1"/>
  <c r="D775" i="1"/>
  <c r="L771" i="1"/>
  <c r="J768" i="1"/>
  <c r="V764" i="1"/>
  <c r="K761" i="1"/>
  <c r="I758" i="1"/>
  <c r="U754" i="1"/>
  <c r="K751" i="1"/>
  <c r="G748" i="1"/>
  <c r="U744" i="1"/>
  <c r="K741" i="1"/>
  <c r="I738" i="1"/>
  <c r="U734" i="1"/>
  <c r="L731" i="1"/>
  <c r="C728" i="1"/>
  <c r="N725" i="1"/>
  <c r="H723" i="1"/>
  <c r="G721" i="1"/>
  <c r="F719" i="1"/>
  <c r="G717" i="1"/>
  <c r="F715" i="1"/>
  <c r="D713" i="1"/>
  <c r="F711" i="1"/>
  <c r="E709" i="1"/>
  <c r="C707" i="1"/>
  <c r="B705" i="1"/>
  <c r="D703" i="1"/>
  <c r="F701" i="1"/>
  <c r="G699" i="1"/>
  <c r="B697" i="1"/>
  <c r="S694" i="1"/>
  <c r="P692" i="1"/>
  <c r="O690" i="1"/>
  <c r="N688" i="1"/>
  <c r="L686" i="1"/>
  <c r="R684" i="1"/>
  <c r="Z682" i="1"/>
  <c r="E681" i="1"/>
  <c r="J679" i="1"/>
  <c r="O677" i="1"/>
  <c r="U675" i="1"/>
  <c r="B674" i="1"/>
  <c r="G672" i="1"/>
  <c r="L670" i="1"/>
  <c r="R668" i="1"/>
  <c r="Z666" i="1"/>
  <c r="E665" i="1"/>
  <c r="J663" i="1"/>
  <c r="O661" i="1"/>
  <c r="U659" i="1"/>
  <c r="B658" i="1"/>
  <c r="B656" i="1"/>
  <c r="E654" i="1"/>
  <c r="O652" i="1"/>
  <c r="AA650" i="1"/>
  <c r="J649" i="1"/>
  <c r="S647" i="1"/>
  <c r="C646" i="1"/>
  <c r="K644" i="1"/>
  <c r="C643" i="1"/>
  <c r="M641" i="1"/>
  <c r="Z639" i="1"/>
  <c r="G638" i="1"/>
  <c r="Q636" i="1"/>
  <c r="G635" i="1"/>
  <c r="A634" i="1"/>
  <c r="R632" i="1"/>
  <c r="O631" i="1"/>
  <c r="G630" i="1"/>
  <c r="D629" i="1"/>
  <c r="T627" i="1"/>
  <c r="R626" i="1"/>
  <c r="I625" i="1"/>
  <c r="B624" i="1"/>
  <c r="Z622" i="1"/>
  <c r="Z621" i="1"/>
  <c r="B621" i="1"/>
  <c r="F620" i="1"/>
  <c r="J619" i="1"/>
  <c r="M618" i="1"/>
  <c r="Q617" i="1"/>
  <c r="T616" i="1"/>
  <c r="Y615" i="1"/>
  <c r="B615" i="1"/>
  <c r="F614" i="1"/>
  <c r="J613" i="1"/>
  <c r="N612" i="1"/>
  <c r="R611" i="1"/>
  <c r="U610" i="1"/>
  <c r="Z609" i="1"/>
  <c r="A609" i="1"/>
  <c r="D608" i="1"/>
  <c r="G607" i="1"/>
  <c r="J606" i="1"/>
  <c r="M605" i="1"/>
  <c r="P604" i="1"/>
  <c r="S603" i="1"/>
  <c r="U602" i="1"/>
  <c r="Z601" i="1"/>
  <c r="A601" i="1"/>
  <c r="D600" i="1"/>
  <c r="F599" i="1"/>
  <c r="H598" i="1"/>
  <c r="K597" i="1"/>
  <c r="M596" i="1"/>
  <c r="O595" i="1"/>
  <c r="P594" i="1"/>
  <c r="R593" i="1"/>
  <c r="S592" i="1"/>
  <c r="V591" i="1"/>
  <c r="AA590" i="1"/>
  <c r="C590" i="1"/>
  <c r="F589" i="1"/>
  <c r="I588" i="1"/>
  <c r="L587" i="1"/>
  <c r="N586" i="1"/>
  <c r="Q585" i="1"/>
  <c r="S584" i="1"/>
  <c r="V583" i="1"/>
  <c r="AA582" i="1"/>
  <c r="C582" i="1"/>
  <c r="F581" i="1"/>
  <c r="I580" i="1"/>
  <c r="L579" i="1"/>
  <c r="N578" i="1"/>
  <c r="Q577" i="1"/>
  <c r="T576" i="1"/>
  <c r="Y575" i="1"/>
  <c r="B575" i="1"/>
  <c r="F574" i="1"/>
  <c r="J573" i="1"/>
  <c r="N572" i="1"/>
  <c r="R571" i="1"/>
  <c r="U570" i="1"/>
  <c r="Z569" i="1"/>
  <c r="B569" i="1"/>
  <c r="F568" i="1"/>
  <c r="J567" i="1"/>
  <c r="N566" i="1"/>
  <c r="R565" i="1"/>
  <c r="V564" i="1"/>
  <c r="AA563" i="1"/>
  <c r="C563" i="1"/>
  <c r="G562" i="1"/>
  <c r="J561" i="1"/>
  <c r="N560" i="1"/>
  <c r="R559" i="1"/>
  <c r="V558" i="1"/>
  <c r="AA557" i="1"/>
  <c r="C557" i="1"/>
  <c r="B556" i="1"/>
  <c r="D555" i="1"/>
  <c r="G554" i="1"/>
  <c r="H553" i="1"/>
  <c r="K552" i="1"/>
  <c r="O551" i="1"/>
  <c r="R550" i="1"/>
  <c r="U549" i="1"/>
  <c r="Z548" i="1"/>
  <c r="C548" i="1"/>
  <c r="E547" i="1"/>
  <c r="H546" i="1"/>
  <c r="J545" i="1"/>
  <c r="M544" i="1"/>
  <c r="Q543" i="1"/>
  <c r="T542" i="1"/>
  <c r="Y541" i="1"/>
  <c r="B541" i="1"/>
  <c r="D540" i="1"/>
  <c r="G539" i="1"/>
  <c r="K538" i="1"/>
  <c r="N537" i="1"/>
  <c r="T536" i="1"/>
  <c r="AA535" i="1"/>
  <c r="F535" i="1"/>
  <c r="K534" i="1"/>
  <c r="O533" i="1"/>
  <c r="S532" i="1"/>
  <c r="Z531" i="1"/>
  <c r="C531" i="1"/>
  <c r="G530" i="1"/>
  <c r="K529" i="1"/>
  <c r="O528" i="1"/>
  <c r="S527" i="1"/>
  <c r="Z526" i="1"/>
  <c r="D526" i="1"/>
  <c r="I525" i="1"/>
  <c r="N524" i="1"/>
  <c r="S523" i="1"/>
  <c r="Z522" i="1"/>
  <c r="D522" i="1"/>
  <c r="I521" i="1"/>
  <c r="N520" i="1"/>
  <c r="S519" i="1"/>
  <c r="Z518" i="1"/>
  <c r="D518" i="1"/>
  <c r="I517" i="1"/>
  <c r="N516" i="1"/>
  <c r="S515" i="1"/>
  <c r="Z514" i="1"/>
  <c r="D514" i="1"/>
  <c r="I513" i="1"/>
  <c r="N512" i="1"/>
  <c r="R511" i="1"/>
  <c r="Y510" i="1"/>
  <c r="F1492" i="1"/>
  <c r="O1302" i="1"/>
  <c r="R1219" i="1"/>
  <c r="F1169" i="1"/>
  <c r="N1137" i="1"/>
  <c r="E1112" i="1"/>
  <c r="R1092" i="1"/>
  <c r="C1073" i="1"/>
  <c r="N1060" i="1"/>
  <c r="G1043" i="1"/>
  <c r="E1027" i="1"/>
  <c r="F1013" i="1"/>
  <c r="A1001" i="1"/>
  <c r="N990" i="1"/>
  <c r="G981" i="1"/>
  <c r="E971" i="1"/>
  <c r="R960" i="1"/>
  <c r="U951" i="1"/>
  <c r="E941" i="1"/>
  <c r="A933" i="1"/>
  <c r="L924" i="1"/>
  <c r="D915" i="1"/>
  <c r="C909" i="1"/>
  <c r="I903" i="1"/>
  <c r="I898" i="1"/>
  <c r="C894" i="1"/>
  <c r="H889" i="1"/>
  <c r="L884" i="1"/>
  <c r="E880" i="1"/>
  <c r="P875" i="1"/>
  <c r="M871" i="1"/>
  <c r="R866" i="1"/>
  <c r="N862" i="1"/>
  <c r="K858" i="1"/>
  <c r="B854" i="1"/>
  <c r="AA849" i="1"/>
  <c r="R845" i="1"/>
  <c r="G841" i="1"/>
  <c r="Q836" i="1"/>
  <c r="Q832" i="1"/>
  <c r="I828" i="1"/>
  <c r="L824" i="1"/>
  <c r="R820" i="1"/>
  <c r="Q816" i="1"/>
  <c r="C813" i="1"/>
  <c r="U808" i="1"/>
  <c r="R804" i="1"/>
  <c r="H801" i="1"/>
  <c r="A798" i="1"/>
  <c r="Z794" i="1"/>
  <c r="U791" i="1"/>
  <c r="C788" i="1"/>
  <c r="D785" i="1"/>
  <c r="B781" i="1"/>
  <c r="C778" i="1"/>
  <c r="B775" i="1"/>
  <c r="J771" i="1"/>
  <c r="AA767" i="1"/>
  <c r="R764" i="1"/>
  <c r="H761" i="1"/>
  <c r="V757" i="1"/>
  <c r="R754" i="1"/>
  <c r="H751" i="1"/>
  <c r="E748" i="1"/>
  <c r="R744" i="1"/>
  <c r="I741" i="1"/>
  <c r="G738" i="1"/>
  <c r="R734" i="1"/>
  <c r="AA730" i="1"/>
  <c r="AA727" i="1"/>
  <c r="I725" i="1"/>
  <c r="F723" i="1"/>
  <c r="E721" i="1"/>
  <c r="D719" i="1"/>
  <c r="D717" i="1"/>
  <c r="C715" i="1"/>
  <c r="B713" i="1"/>
  <c r="D711" i="1"/>
  <c r="C709" i="1"/>
  <c r="A707" i="1"/>
  <c r="AA704" i="1"/>
  <c r="B703" i="1"/>
  <c r="D701" i="1"/>
  <c r="D699" i="1"/>
  <c r="V696" i="1"/>
  <c r="Q694" i="1"/>
  <c r="N692" i="1"/>
  <c r="L690" i="1"/>
  <c r="I688" i="1"/>
  <c r="J686" i="1"/>
  <c r="P684" i="1"/>
  <c r="W682" i="1"/>
  <c r="B681" i="1"/>
  <c r="G679" i="1"/>
  <c r="M677" i="1"/>
  <c r="S675" i="1"/>
  <c r="AA673" i="1"/>
  <c r="E672" i="1"/>
  <c r="J670" i="1"/>
  <c r="P668" i="1"/>
  <c r="W666" i="1"/>
  <c r="B665" i="1"/>
  <c r="G663" i="1"/>
  <c r="M661" i="1"/>
  <c r="S659" i="1"/>
  <c r="AA657" i="1"/>
  <c r="V655" i="1"/>
  <c r="C654" i="1"/>
  <c r="M652" i="1"/>
  <c r="Y650" i="1"/>
  <c r="H649" i="1"/>
  <c r="Q647" i="1"/>
  <c r="A646" i="1"/>
  <c r="I644" i="1"/>
  <c r="S642" i="1"/>
  <c r="L641" i="1"/>
  <c r="Y639" i="1"/>
  <c r="F638" i="1"/>
  <c r="O636" i="1"/>
  <c r="E635" i="1"/>
  <c r="AA633" i="1"/>
  <c r="Q632" i="1"/>
  <c r="N631" i="1"/>
  <c r="E630" i="1"/>
  <c r="C629" i="1"/>
  <c r="S627" i="1"/>
  <c r="L626" i="1"/>
  <c r="H625" i="1"/>
  <c r="AA623" i="1"/>
  <c r="Y622" i="1"/>
  <c r="Y621" i="1"/>
  <c r="A621" i="1"/>
  <c r="E620" i="1"/>
  <c r="H619" i="1"/>
  <c r="L618" i="1"/>
  <c r="O617" i="1"/>
  <c r="S616" i="1"/>
  <c r="X615" i="1"/>
  <c r="A615" i="1"/>
  <c r="E614" i="1"/>
  <c r="I613" i="1"/>
  <c r="M612" i="1"/>
  <c r="P611" i="1"/>
  <c r="T610" i="1"/>
  <c r="W609" i="1"/>
  <c r="AA608" i="1"/>
  <c r="C608" i="1"/>
  <c r="F607" i="1"/>
  <c r="I606" i="1"/>
  <c r="L605" i="1"/>
  <c r="O604" i="1"/>
  <c r="Q603" i="1"/>
  <c r="T602" i="1"/>
  <c r="W601" i="1"/>
  <c r="AA600" i="1"/>
  <c r="C600" i="1"/>
  <c r="E599" i="1"/>
  <c r="G598" i="1"/>
  <c r="I597" i="1"/>
  <c r="L596" i="1"/>
  <c r="M595" i="1"/>
  <c r="O594" i="1"/>
  <c r="P593" i="1"/>
  <c r="R592" i="1"/>
  <c r="U591" i="1"/>
  <c r="Z590" i="1"/>
  <c r="B590" i="1"/>
  <c r="E589" i="1"/>
  <c r="H588" i="1"/>
  <c r="J587" i="1"/>
  <c r="M586" i="1"/>
  <c r="O585" i="1"/>
  <c r="R584" i="1"/>
  <c r="U583" i="1"/>
  <c r="Z582" i="1"/>
  <c r="B582" i="1"/>
  <c r="E581" i="1"/>
  <c r="H580" i="1"/>
  <c r="J579" i="1"/>
  <c r="M578" i="1"/>
  <c r="O577" i="1"/>
  <c r="S576" i="1"/>
  <c r="W575" i="1"/>
  <c r="A575" i="1"/>
  <c r="E574" i="1"/>
  <c r="I573" i="1"/>
  <c r="M572" i="1"/>
  <c r="P571" i="1"/>
  <c r="T570" i="1"/>
  <c r="W569" i="1"/>
  <c r="A569" i="1"/>
  <c r="E568" i="1"/>
  <c r="I567" i="1"/>
  <c r="M566" i="1"/>
  <c r="Q565" i="1"/>
  <c r="U564" i="1"/>
  <c r="Y563" i="1"/>
  <c r="B563" i="1"/>
  <c r="E562" i="1"/>
  <c r="I561" i="1"/>
  <c r="M560" i="1"/>
  <c r="Q559" i="1"/>
  <c r="U558" i="1"/>
  <c r="Z557" i="1"/>
  <c r="B557" i="1"/>
  <c r="AA555" i="1"/>
  <c r="C555" i="1"/>
  <c r="E554" i="1"/>
  <c r="G553" i="1"/>
  <c r="J552" i="1"/>
  <c r="N551" i="1"/>
  <c r="Q550" i="1"/>
  <c r="T549" i="1"/>
  <c r="Y548" i="1"/>
  <c r="A548" i="1"/>
  <c r="D547" i="1"/>
  <c r="F546" i="1"/>
  <c r="I545" i="1"/>
  <c r="L544" i="1"/>
  <c r="P543" i="1"/>
  <c r="S542" i="1"/>
  <c r="W541" i="1"/>
  <c r="A541" i="1"/>
  <c r="B540" i="1"/>
  <c r="F539" i="1"/>
  <c r="I538" i="1"/>
  <c r="M537" i="1"/>
  <c r="S536" i="1"/>
  <c r="Z535" i="1"/>
  <c r="E535" i="1"/>
  <c r="J534" i="1"/>
  <c r="N533" i="1"/>
  <c r="R532" i="1"/>
  <c r="Y531" i="1"/>
  <c r="B531" i="1"/>
  <c r="F530" i="1"/>
  <c r="J529" i="1"/>
  <c r="N528" i="1"/>
  <c r="AA1491" i="1"/>
  <c r="L1302" i="1"/>
  <c r="Q1219" i="1"/>
  <c r="D1169" i="1"/>
  <c r="L1137" i="1"/>
  <c r="N1111" i="1"/>
  <c r="Q1092" i="1"/>
  <c r="M1072" i="1"/>
  <c r="N1058" i="1"/>
  <c r="F1043" i="1"/>
  <c r="C1027" i="1"/>
  <c r="J1012" i="1"/>
  <c r="AA1000" i="1"/>
  <c r="M990" i="1"/>
  <c r="D981" i="1"/>
  <c r="D971" i="1"/>
  <c r="Q960" i="1"/>
  <c r="R951" i="1"/>
  <c r="D941" i="1"/>
  <c r="A932" i="1"/>
  <c r="AA923" i="1"/>
  <c r="AA914" i="1"/>
  <c r="A909" i="1"/>
  <c r="H903" i="1"/>
  <c r="H898" i="1"/>
  <c r="B894" i="1"/>
  <c r="G889" i="1"/>
  <c r="K884" i="1"/>
  <c r="D880" i="1"/>
  <c r="O875" i="1"/>
  <c r="A871" i="1"/>
  <c r="Q866" i="1"/>
  <c r="L862" i="1"/>
  <c r="J858" i="1"/>
  <c r="A854" i="1"/>
  <c r="U849" i="1"/>
  <c r="Q845" i="1"/>
  <c r="F841" i="1"/>
  <c r="O836" i="1"/>
  <c r="O832" i="1"/>
  <c r="H828" i="1"/>
  <c r="C824" i="1"/>
  <c r="Q820" i="1"/>
  <c r="O816" i="1"/>
  <c r="B813" i="1"/>
  <c r="R808" i="1"/>
  <c r="Q804" i="1"/>
  <c r="G801" i="1"/>
  <c r="AA797" i="1"/>
  <c r="Y794" i="1"/>
  <c r="R791" i="1"/>
  <c r="B788" i="1"/>
  <c r="N784" i="1"/>
  <c r="A781" i="1"/>
  <c r="A778" i="1"/>
  <c r="A775" i="1"/>
  <c r="I771" i="1"/>
  <c r="V767" i="1"/>
  <c r="Q764" i="1"/>
  <c r="G761" i="1"/>
  <c r="U757" i="1"/>
  <c r="Q754" i="1"/>
  <c r="G751" i="1"/>
  <c r="S747" i="1"/>
  <c r="Q744" i="1"/>
  <c r="G741" i="1"/>
  <c r="F738" i="1"/>
  <c r="Q734" i="1"/>
  <c r="V730" i="1"/>
  <c r="V727" i="1"/>
  <c r="H725" i="1"/>
  <c r="E723" i="1"/>
  <c r="D721" i="1"/>
  <c r="C719" i="1"/>
  <c r="C717" i="1"/>
  <c r="B715" i="1"/>
  <c r="A713" i="1"/>
  <c r="C711" i="1"/>
  <c r="B709" i="1"/>
  <c r="V706" i="1"/>
  <c r="W704" i="1"/>
  <c r="A703" i="1"/>
  <c r="C701" i="1"/>
  <c r="C699" i="1"/>
  <c r="U696" i="1"/>
  <c r="P694" i="1"/>
  <c r="L692" i="1"/>
  <c r="K690" i="1"/>
  <c r="G688" i="1"/>
  <c r="I686" i="1"/>
  <c r="O684" i="1"/>
  <c r="U682" i="1"/>
  <c r="A681" i="1"/>
  <c r="F679" i="1"/>
  <c r="L677" i="1"/>
  <c r="R675" i="1"/>
  <c r="Z673" i="1"/>
  <c r="C672" i="1"/>
  <c r="I670" i="1"/>
  <c r="O668" i="1"/>
  <c r="U666" i="1"/>
  <c r="A665" i="1"/>
  <c r="F663" i="1"/>
  <c r="L661" i="1"/>
  <c r="R659" i="1"/>
  <c r="Z657" i="1"/>
  <c r="T655" i="1"/>
  <c r="B654" i="1"/>
  <c r="L652" i="1"/>
  <c r="V650" i="1"/>
  <c r="G649" i="1"/>
  <c r="P647" i="1"/>
  <c r="AA645" i="1"/>
  <c r="H644" i="1"/>
  <c r="Q642" i="1"/>
  <c r="K641" i="1"/>
  <c r="U639" i="1"/>
  <c r="E638" i="1"/>
  <c r="N636" i="1"/>
  <c r="C635" i="1"/>
  <c r="Z633" i="1"/>
  <c r="O632" i="1"/>
  <c r="M631" i="1"/>
  <c r="D630" i="1"/>
  <c r="V628" i="1"/>
  <c r="R627" i="1"/>
  <c r="J626" i="1"/>
  <c r="G625" i="1"/>
  <c r="Z623" i="1"/>
  <c r="V622" i="1"/>
  <c r="X621" i="1"/>
  <c r="AA620" i="1"/>
  <c r="D620" i="1"/>
  <c r="G619" i="1"/>
  <c r="K618" i="1"/>
  <c r="N617" i="1"/>
  <c r="R616" i="1"/>
  <c r="V615" i="1"/>
  <c r="AA614" i="1"/>
  <c r="D614" i="1"/>
  <c r="H613" i="1"/>
  <c r="L612" i="1"/>
  <c r="O611" i="1"/>
  <c r="S610" i="1"/>
  <c r="U609" i="1"/>
  <c r="Z608" i="1"/>
  <c r="B608" i="1"/>
  <c r="E607" i="1"/>
  <c r="H606" i="1"/>
  <c r="K605" i="1"/>
  <c r="N604" i="1"/>
  <c r="P603" i="1"/>
  <c r="S602" i="1"/>
  <c r="U601" i="1"/>
  <c r="Z600" i="1"/>
  <c r="B600" i="1"/>
  <c r="D599" i="1"/>
  <c r="F598" i="1"/>
  <c r="H597" i="1"/>
  <c r="K596" i="1"/>
  <c r="L595" i="1"/>
  <c r="N594" i="1"/>
  <c r="O593" i="1"/>
  <c r="Q592" i="1"/>
  <c r="T591" i="1"/>
  <c r="Y590" i="1"/>
  <c r="A590" i="1"/>
  <c r="D589" i="1"/>
  <c r="G588" i="1"/>
  <c r="I587" i="1"/>
  <c r="L586" i="1"/>
  <c r="N585" i="1"/>
  <c r="Q584" i="1"/>
  <c r="T583" i="1"/>
  <c r="Y582" i="1"/>
  <c r="A582" i="1"/>
  <c r="D581" i="1"/>
  <c r="G580" i="1"/>
  <c r="I579" i="1"/>
  <c r="L578" i="1"/>
  <c r="N577" i="1"/>
  <c r="R576" i="1"/>
  <c r="V575" i="1"/>
  <c r="AA574" i="1"/>
  <c r="D574" i="1"/>
  <c r="H573" i="1"/>
  <c r="L572" i="1"/>
  <c r="O571" i="1"/>
  <c r="S570" i="1"/>
  <c r="V569" i="1"/>
  <c r="AA568" i="1"/>
  <c r="D568" i="1"/>
  <c r="H567" i="1"/>
  <c r="L566" i="1"/>
  <c r="P565" i="1"/>
  <c r="T564" i="1"/>
  <c r="W563" i="1"/>
  <c r="A563" i="1"/>
  <c r="D562" i="1"/>
  <c r="H561" i="1"/>
  <c r="L560" i="1"/>
  <c r="P559" i="1"/>
  <c r="T558" i="1"/>
  <c r="Y557" i="1"/>
  <c r="A557" i="1"/>
  <c r="Z555" i="1"/>
  <c r="B555" i="1"/>
  <c r="D554" i="1"/>
  <c r="F553" i="1"/>
  <c r="I552" i="1"/>
  <c r="M551" i="1"/>
  <c r="P550" i="1"/>
  <c r="S549" i="1"/>
  <c r="W548" i="1"/>
  <c r="AA547" i="1"/>
  <c r="C547" i="1"/>
  <c r="E546" i="1"/>
  <c r="H545" i="1"/>
  <c r="K544" i="1"/>
  <c r="O543" i="1"/>
  <c r="R542" i="1"/>
  <c r="V541" i="1"/>
  <c r="AA540" i="1"/>
  <c r="A540" i="1"/>
  <c r="E539" i="1"/>
  <c r="H538" i="1"/>
  <c r="L537" i="1"/>
  <c r="R536" i="1"/>
  <c r="Y535" i="1"/>
  <c r="D535" i="1"/>
  <c r="I534" i="1"/>
  <c r="M533" i="1"/>
  <c r="Q532" i="1"/>
  <c r="W531" i="1"/>
  <c r="A531" i="1"/>
  <c r="E530" i="1"/>
  <c r="I529" i="1"/>
  <c r="M528" i="1"/>
  <c r="Q527" i="1"/>
  <c r="W526" i="1"/>
  <c r="B526" i="1"/>
  <c r="G525" i="1"/>
  <c r="L524" i="1"/>
  <c r="Q523" i="1"/>
  <c r="W522" i="1"/>
  <c r="B522" i="1"/>
  <c r="G521" i="1"/>
  <c r="L520" i="1"/>
  <c r="Q519" i="1"/>
  <c r="W518" i="1"/>
  <c r="B518" i="1"/>
  <c r="E1444" i="1"/>
  <c r="J1302" i="1"/>
  <c r="Q1212" i="1"/>
  <c r="N1163" i="1"/>
  <c r="U1135" i="1"/>
  <c r="C1111" i="1"/>
  <c r="D1091" i="1"/>
  <c r="H1072" i="1"/>
  <c r="L1058" i="1"/>
  <c r="M1042" i="1"/>
  <c r="A1027" i="1"/>
  <c r="U1010" i="1"/>
  <c r="P1000" i="1"/>
  <c r="R989" i="1"/>
  <c r="AA979" i="1"/>
  <c r="L970" i="1"/>
  <c r="L960" i="1"/>
  <c r="O951" i="1"/>
  <c r="AA940" i="1"/>
  <c r="U931" i="1"/>
  <c r="R923" i="1"/>
  <c r="R914" i="1"/>
  <c r="G908" i="1"/>
  <c r="E903" i="1"/>
  <c r="D898" i="1"/>
  <c r="G893" i="1"/>
  <c r="C889" i="1"/>
  <c r="H884" i="1"/>
  <c r="B880" i="1"/>
  <c r="L875" i="1"/>
  <c r="W870" i="1"/>
  <c r="O866" i="1"/>
  <c r="J862" i="1"/>
  <c r="R857" i="1"/>
  <c r="W853" i="1"/>
  <c r="P849" i="1"/>
  <c r="D845" i="1"/>
  <c r="B841" i="1"/>
  <c r="L836" i="1"/>
  <c r="M832" i="1"/>
  <c r="F828" i="1"/>
  <c r="A824" i="1"/>
  <c r="O820" i="1"/>
  <c r="M816" i="1"/>
  <c r="J812" i="1"/>
  <c r="N808" i="1"/>
  <c r="L804" i="1"/>
  <c r="U800" i="1"/>
  <c r="Y797" i="1"/>
  <c r="T794" i="1"/>
  <c r="P791" i="1"/>
  <c r="AA787" i="1"/>
  <c r="L784" i="1"/>
  <c r="Z780" i="1"/>
  <c r="Z777" i="1"/>
  <c r="L774" i="1"/>
  <c r="G771" i="1"/>
  <c r="R767" i="1"/>
  <c r="G764" i="1"/>
  <c r="E761" i="1"/>
  <c r="P757" i="1"/>
  <c r="O754" i="1"/>
  <c r="E751" i="1"/>
  <c r="Q747" i="1"/>
  <c r="O744" i="1"/>
  <c r="E741" i="1"/>
  <c r="R737" i="1"/>
  <c r="O734" i="1"/>
  <c r="R730" i="1"/>
  <c r="R727" i="1"/>
  <c r="E725" i="1"/>
  <c r="C723" i="1"/>
  <c r="B721" i="1"/>
  <c r="A719" i="1"/>
  <c r="AA716" i="1"/>
  <c r="AA714" i="1"/>
  <c r="X712" i="1"/>
  <c r="A711" i="1"/>
  <c r="V708" i="1"/>
  <c r="R706" i="1"/>
  <c r="U704" i="1"/>
  <c r="W702" i="1"/>
  <c r="A701" i="1"/>
  <c r="AA698" i="1"/>
  <c r="R696" i="1"/>
  <c r="N694" i="1"/>
  <c r="J692" i="1"/>
  <c r="H690" i="1"/>
  <c r="E688" i="1"/>
  <c r="G686" i="1"/>
  <c r="M684" i="1"/>
  <c r="S682" i="1"/>
  <c r="Y680" i="1"/>
  <c r="D679" i="1"/>
  <c r="J677" i="1"/>
  <c r="P675" i="1"/>
  <c r="U673" i="1"/>
  <c r="A672" i="1"/>
  <c r="G670" i="1"/>
  <c r="M668" i="1"/>
  <c r="S666" i="1"/>
  <c r="Y664" i="1"/>
  <c r="D663" i="1"/>
  <c r="J661" i="1"/>
  <c r="P659" i="1"/>
  <c r="U657" i="1"/>
  <c r="R655" i="1"/>
  <c r="AA653" i="1"/>
  <c r="J652" i="1"/>
  <c r="T650" i="1"/>
  <c r="E649" i="1"/>
  <c r="N647" i="1"/>
  <c r="Y645" i="1"/>
  <c r="F644" i="1"/>
  <c r="P642" i="1"/>
  <c r="C641" i="1"/>
  <c r="T639" i="1"/>
  <c r="D638" i="1"/>
  <c r="M636" i="1"/>
  <c r="B635" i="1"/>
  <c r="Y633" i="1"/>
  <c r="N632" i="1"/>
  <c r="G631" i="1"/>
  <c r="C630" i="1"/>
  <c r="T628" i="1"/>
  <c r="Q627" i="1"/>
  <c r="I626" i="1"/>
  <c r="F625" i="1"/>
  <c r="Y623" i="1"/>
  <c r="U622" i="1"/>
  <c r="V621" i="1"/>
  <c r="Z620" i="1"/>
  <c r="B620" i="1"/>
  <c r="F619" i="1"/>
  <c r="I618" i="1"/>
  <c r="M617" i="1"/>
  <c r="Q616" i="1"/>
  <c r="U615" i="1"/>
  <c r="Z614" i="1"/>
  <c r="C614" i="1"/>
  <c r="G613" i="1"/>
  <c r="J612" i="1"/>
  <c r="N611" i="1"/>
  <c r="Q610" i="1"/>
  <c r="T609" i="1"/>
  <c r="Y608" i="1"/>
  <c r="A608" i="1"/>
  <c r="D607" i="1"/>
  <c r="G606" i="1"/>
  <c r="J605" i="1"/>
  <c r="L604" i="1"/>
  <c r="O603" i="1"/>
  <c r="Q602" i="1"/>
  <c r="T601" i="1"/>
  <c r="Y600" i="1"/>
  <c r="A600" i="1"/>
  <c r="C599" i="1"/>
  <c r="E598" i="1"/>
  <c r="G597" i="1"/>
  <c r="H596" i="1"/>
  <c r="K595" i="1"/>
  <c r="L594" i="1"/>
  <c r="N593" i="1"/>
  <c r="P592" i="1"/>
  <c r="S591" i="1"/>
  <c r="V590" i="1"/>
  <c r="AA589" i="1"/>
  <c r="C589" i="1"/>
  <c r="E588" i="1"/>
  <c r="H587" i="1"/>
  <c r="J586" i="1"/>
  <c r="M585" i="1"/>
  <c r="P584" i="1"/>
  <c r="S583" i="1"/>
  <c r="V582" i="1"/>
  <c r="AA581" i="1"/>
  <c r="C581" i="1"/>
  <c r="E580" i="1"/>
  <c r="H579" i="1"/>
  <c r="J578" i="1"/>
  <c r="M577" i="1"/>
  <c r="Q576" i="1"/>
  <c r="U575" i="1"/>
  <c r="Z574" i="1"/>
  <c r="C574" i="1"/>
  <c r="G573" i="1"/>
  <c r="J572" i="1"/>
  <c r="N571" i="1"/>
  <c r="Q570" i="1"/>
  <c r="U569" i="1"/>
  <c r="Z568" i="1"/>
  <c r="C568" i="1"/>
  <c r="G567" i="1"/>
  <c r="K566" i="1"/>
  <c r="O565" i="1"/>
  <c r="R564" i="1"/>
  <c r="V563" i="1"/>
  <c r="Z562" i="1"/>
  <c r="C562" i="1"/>
  <c r="G561" i="1"/>
  <c r="K560" i="1"/>
  <c r="O559" i="1"/>
  <c r="S558" i="1"/>
  <c r="V557" i="1"/>
  <c r="Z556" i="1"/>
  <c r="Y555" i="1"/>
  <c r="AA554" i="1"/>
  <c r="C554" i="1"/>
  <c r="E553" i="1"/>
  <c r="H552" i="1"/>
  <c r="L551" i="1"/>
  <c r="O550" i="1"/>
  <c r="R549" i="1"/>
  <c r="U548" i="1"/>
  <c r="Z547" i="1"/>
  <c r="A547" i="1"/>
  <c r="D546" i="1"/>
  <c r="G545" i="1"/>
  <c r="J544" i="1"/>
  <c r="N543" i="1"/>
  <c r="Q542" i="1"/>
  <c r="U541" i="1"/>
  <c r="Y540" i="1"/>
  <c r="AA539" i="1"/>
  <c r="C539" i="1"/>
  <c r="G538" i="1"/>
  <c r="K537" i="1"/>
  <c r="Q536" i="1"/>
  <c r="W535" i="1"/>
  <c r="C535" i="1"/>
  <c r="H534" i="1"/>
  <c r="L533" i="1"/>
  <c r="P532" i="1"/>
  <c r="U531" i="1"/>
  <c r="AA530" i="1"/>
  <c r="D530" i="1"/>
  <c r="H529" i="1"/>
  <c r="L528" i="1"/>
  <c r="E1442" i="1"/>
  <c r="I1302" i="1"/>
  <c r="G1211" i="1"/>
  <c r="M1163" i="1"/>
  <c r="D1135" i="1"/>
  <c r="B1111" i="1"/>
  <c r="O1088" i="1"/>
  <c r="G1072" i="1"/>
  <c r="K1057" i="1"/>
  <c r="L1042" i="1"/>
  <c r="AA1026" i="1"/>
  <c r="R1010" i="1"/>
  <c r="O1000" i="1"/>
  <c r="Q989" i="1"/>
  <c r="U979" i="1"/>
  <c r="I970" i="1"/>
  <c r="I960" i="1"/>
  <c r="M950" i="1"/>
  <c r="U940" i="1"/>
  <c r="Q931" i="1"/>
  <c r="O923" i="1"/>
  <c r="Q914" i="1"/>
  <c r="E908" i="1"/>
  <c r="D903" i="1"/>
  <c r="C898" i="1"/>
  <c r="F893" i="1"/>
  <c r="B889" i="1"/>
  <c r="G884" i="1"/>
  <c r="L879" i="1"/>
  <c r="K875" i="1"/>
  <c r="R870" i="1"/>
  <c r="N866" i="1"/>
  <c r="H862" i="1"/>
  <c r="Q857" i="1"/>
  <c r="V853" i="1"/>
  <c r="O849" i="1"/>
  <c r="C845" i="1"/>
  <c r="A841" i="1"/>
  <c r="K836" i="1"/>
  <c r="A832" i="1"/>
  <c r="D828" i="1"/>
  <c r="R823" i="1"/>
  <c r="N820" i="1"/>
  <c r="L816" i="1"/>
  <c r="I812" i="1"/>
  <c r="M808" i="1"/>
  <c r="K804" i="1"/>
  <c r="T800" i="1"/>
  <c r="U797" i="1"/>
  <c r="S794" i="1"/>
  <c r="G791" i="1"/>
  <c r="U787" i="1"/>
  <c r="I784" i="1"/>
  <c r="Y780" i="1"/>
  <c r="Y777" i="1"/>
  <c r="K774" i="1"/>
  <c r="F771" i="1"/>
  <c r="Q767" i="1"/>
  <c r="F764" i="1"/>
  <c r="D761" i="1"/>
  <c r="O757" i="1"/>
  <c r="F754" i="1"/>
  <c r="D751" i="1"/>
  <c r="O747" i="1"/>
  <c r="N744" i="1"/>
  <c r="D741" i="1"/>
  <c r="Q737" i="1"/>
  <c r="N734" i="1"/>
  <c r="Q730" i="1"/>
  <c r="Q727" i="1"/>
  <c r="D725" i="1"/>
  <c r="B723" i="1"/>
  <c r="A721" i="1"/>
  <c r="V718" i="1"/>
  <c r="X716" i="1"/>
  <c r="V714" i="1"/>
  <c r="V712" i="1"/>
  <c r="AA710" i="1"/>
  <c r="U708" i="1"/>
  <c r="Q706" i="1"/>
  <c r="S704" i="1"/>
  <c r="V702" i="1"/>
  <c r="V700" i="1"/>
  <c r="V698" i="1"/>
  <c r="Q696" i="1"/>
  <c r="M694" i="1"/>
  <c r="I692" i="1"/>
  <c r="G690" i="1"/>
  <c r="D688" i="1"/>
  <c r="F686" i="1"/>
  <c r="L684" i="1"/>
  <c r="Q682" i="1"/>
  <c r="W680" i="1"/>
  <c r="C679" i="1"/>
  <c r="I677" i="1"/>
  <c r="O675" i="1"/>
  <c r="T673" i="1"/>
  <c r="AA671" i="1"/>
  <c r="F670" i="1"/>
  <c r="L668" i="1"/>
  <c r="Q666" i="1"/>
  <c r="W664" i="1"/>
  <c r="C663" i="1"/>
  <c r="I661" i="1"/>
  <c r="O659" i="1"/>
  <c r="T657" i="1"/>
  <c r="Q655" i="1"/>
  <c r="Z653" i="1"/>
  <c r="I652" i="1"/>
  <c r="S650" i="1"/>
  <c r="D649" i="1"/>
  <c r="M647" i="1"/>
  <c r="U645" i="1"/>
  <c r="E644" i="1"/>
  <c r="N642" i="1"/>
  <c r="A641" i="1"/>
  <c r="S639" i="1"/>
  <c r="C638" i="1"/>
  <c r="L636" i="1"/>
  <c r="AA634" i="1"/>
  <c r="Q633" i="1"/>
  <c r="M632" i="1"/>
  <c r="E631" i="1"/>
  <c r="B630" i="1"/>
  <c r="S628" i="1"/>
  <c r="P627" i="1"/>
  <c r="H626" i="1"/>
  <c r="E625" i="1"/>
  <c r="V623" i="1"/>
  <c r="T622" i="1"/>
  <c r="T621" i="1"/>
  <c r="Y620" i="1"/>
  <c r="A620" i="1"/>
  <c r="E619" i="1"/>
  <c r="H618" i="1"/>
  <c r="L617" i="1"/>
  <c r="P616" i="1"/>
  <c r="T615" i="1"/>
  <c r="Y614" i="1"/>
  <c r="B614" i="1"/>
  <c r="F613" i="1"/>
  <c r="I612" i="1"/>
  <c r="M611" i="1"/>
  <c r="P610" i="1"/>
  <c r="S609" i="1"/>
  <c r="W608" i="1"/>
  <c r="AA607" i="1"/>
  <c r="C607" i="1"/>
  <c r="F606" i="1"/>
  <c r="I605" i="1"/>
  <c r="K604" i="1"/>
  <c r="N603" i="1"/>
  <c r="P602" i="1"/>
  <c r="S601" i="1"/>
  <c r="W600" i="1"/>
  <c r="AA599" i="1"/>
  <c r="B599" i="1"/>
  <c r="D598" i="1"/>
  <c r="F597" i="1"/>
  <c r="G596" i="1"/>
  <c r="I595" i="1"/>
  <c r="K594" i="1"/>
  <c r="M593" i="1"/>
  <c r="O592" i="1"/>
  <c r="R591" i="1"/>
  <c r="U590" i="1"/>
  <c r="Z589" i="1"/>
  <c r="B589" i="1"/>
  <c r="D588" i="1"/>
  <c r="G587" i="1"/>
  <c r="I586" i="1"/>
  <c r="L585" i="1"/>
  <c r="O584" i="1"/>
  <c r="R583" i="1"/>
  <c r="U582" i="1"/>
  <c r="Z581" i="1"/>
  <c r="B581" i="1"/>
  <c r="D580" i="1"/>
  <c r="G579" i="1"/>
  <c r="I578" i="1"/>
  <c r="L577" i="1"/>
  <c r="P576" i="1"/>
  <c r="T575" i="1"/>
  <c r="Y574" i="1"/>
  <c r="B574" i="1"/>
  <c r="F573" i="1"/>
  <c r="I572" i="1"/>
  <c r="M571" i="1"/>
  <c r="P570" i="1"/>
  <c r="T569" i="1"/>
  <c r="Y568" i="1"/>
  <c r="B568" i="1"/>
  <c r="F567" i="1"/>
  <c r="J566" i="1"/>
  <c r="N565" i="1"/>
  <c r="Q564" i="1"/>
  <c r="U563" i="1"/>
  <c r="Y562" i="1"/>
  <c r="B562" i="1"/>
  <c r="F561" i="1"/>
  <c r="J560" i="1"/>
  <c r="N559" i="1"/>
  <c r="R558" i="1"/>
  <c r="U557" i="1"/>
  <c r="Y556" i="1"/>
  <c r="W555" i="1"/>
  <c r="Z554" i="1"/>
  <c r="B554" i="1"/>
  <c r="D553" i="1"/>
  <c r="G552" i="1"/>
  <c r="K551" i="1"/>
  <c r="N550" i="1"/>
  <c r="Q549" i="1"/>
  <c r="T548" i="1"/>
  <c r="Y547" i="1"/>
  <c r="AA546" i="1"/>
  <c r="C546" i="1"/>
  <c r="F545" i="1"/>
  <c r="I544" i="1"/>
  <c r="M543" i="1"/>
  <c r="P542" i="1"/>
  <c r="T541" i="1"/>
  <c r="W540" i="1"/>
  <c r="Z539" i="1"/>
  <c r="B539" i="1"/>
  <c r="F538" i="1"/>
  <c r="J537" i="1"/>
  <c r="P536" i="1"/>
  <c r="V535" i="1"/>
  <c r="B535" i="1"/>
  <c r="G534" i="1"/>
  <c r="K533" i="1"/>
  <c r="O532" i="1"/>
  <c r="S531" i="1"/>
  <c r="Z530" i="1"/>
  <c r="C530" i="1"/>
  <c r="G529" i="1"/>
  <c r="K528" i="1"/>
  <c r="O527" i="1"/>
  <c r="T526" i="1"/>
  <c r="AA525" i="1"/>
  <c r="E525" i="1"/>
  <c r="J524" i="1"/>
  <c r="O523" i="1"/>
  <c r="T522" i="1"/>
  <c r="AA521" i="1"/>
  <c r="E521" i="1"/>
  <c r="J520" i="1"/>
  <c r="O519" i="1"/>
  <c r="T518" i="1"/>
  <c r="AA517" i="1"/>
  <c r="E517" i="1"/>
  <c r="J516" i="1"/>
  <c r="O515" i="1"/>
  <c r="T514" i="1"/>
  <c r="E1437" i="1"/>
  <c r="N1295" i="1"/>
  <c r="F1211" i="1"/>
  <c r="AA1162" i="1"/>
  <c r="P1134" i="1"/>
  <c r="A1111" i="1"/>
  <c r="N1088" i="1"/>
  <c r="F1072" i="1"/>
  <c r="J1057" i="1"/>
  <c r="N1040" i="1"/>
  <c r="A1026" i="1"/>
  <c r="L1010" i="1"/>
  <c r="N1000" i="1"/>
  <c r="M989" i="1"/>
  <c r="P979" i="1"/>
  <c r="H970" i="1"/>
  <c r="H960" i="1"/>
  <c r="C950" i="1"/>
  <c r="R940" i="1"/>
  <c r="G931" i="1"/>
  <c r="M922" i="1"/>
  <c r="P914" i="1"/>
  <c r="A908" i="1"/>
  <c r="C903" i="1"/>
  <c r="B898" i="1"/>
  <c r="E893" i="1"/>
  <c r="A889" i="1"/>
  <c r="F884" i="1"/>
  <c r="I879" i="1"/>
  <c r="H875" i="1"/>
  <c r="Q870" i="1"/>
  <c r="B866" i="1"/>
  <c r="G862" i="1"/>
  <c r="O857" i="1"/>
  <c r="U853" i="1"/>
  <c r="N849" i="1"/>
  <c r="B845" i="1"/>
  <c r="AA840" i="1"/>
  <c r="J836" i="1"/>
  <c r="AA831" i="1"/>
  <c r="C828" i="1"/>
  <c r="Q823" i="1"/>
  <c r="D820" i="1"/>
  <c r="K816" i="1"/>
  <c r="G812" i="1"/>
  <c r="L808" i="1"/>
  <c r="J804" i="1"/>
  <c r="R800" i="1"/>
  <c r="T797" i="1"/>
  <c r="R794" i="1"/>
  <c r="F791" i="1"/>
  <c r="R787" i="1"/>
  <c r="H784" i="1"/>
  <c r="N780" i="1"/>
  <c r="V777" i="1"/>
  <c r="I774" i="1"/>
  <c r="E771" i="1"/>
  <c r="P767" i="1"/>
  <c r="E764" i="1"/>
  <c r="C761" i="1"/>
  <c r="N757" i="1"/>
  <c r="E754" i="1"/>
  <c r="C751" i="1"/>
  <c r="N747" i="1"/>
  <c r="E744" i="1"/>
  <c r="C741" i="1"/>
  <c r="O737" i="1"/>
  <c r="M734" i="1"/>
  <c r="P730" i="1"/>
  <c r="P727" i="1"/>
  <c r="C725" i="1"/>
  <c r="A723" i="1"/>
  <c r="AA720" i="1"/>
  <c r="U718" i="1"/>
  <c r="V716" i="1"/>
  <c r="U714" i="1"/>
  <c r="U712" i="1"/>
  <c r="V710" i="1"/>
  <c r="R708" i="1"/>
  <c r="P706" i="1"/>
  <c r="R704" i="1"/>
  <c r="U702" i="1"/>
  <c r="U700" i="1"/>
  <c r="U698" i="1"/>
  <c r="P696" i="1"/>
  <c r="L694" i="1"/>
  <c r="H692" i="1"/>
  <c r="E690" i="1"/>
  <c r="C688" i="1"/>
  <c r="E686" i="1"/>
  <c r="K684" i="1"/>
  <c r="P682" i="1"/>
  <c r="U680" i="1"/>
  <c r="B679" i="1"/>
  <c r="H677" i="1"/>
  <c r="N675" i="1"/>
  <c r="R673" i="1"/>
  <c r="Z671" i="1"/>
  <c r="E670" i="1"/>
  <c r="K668" i="1"/>
  <c r="P666" i="1"/>
  <c r="U664" i="1"/>
  <c r="B663" i="1"/>
  <c r="H661" i="1"/>
  <c r="N659" i="1"/>
  <c r="R657" i="1"/>
  <c r="P655" i="1"/>
  <c r="Y653" i="1"/>
  <c r="H652" i="1"/>
  <c r="R650" i="1"/>
  <c r="C649" i="1"/>
  <c r="L647" i="1"/>
  <c r="T645" i="1"/>
  <c r="D644" i="1"/>
  <c r="M642" i="1"/>
  <c r="AA640" i="1"/>
  <c r="K639" i="1"/>
  <c r="B638" i="1"/>
  <c r="K636" i="1"/>
  <c r="Z634" i="1"/>
  <c r="O633" i="1"/>
  <c r="L632" i="1"/>
  <c r="D631" i="1"/>
  <c r="A630" i="1"/>
  <c r="R628" i="1"/>
  <c r="O627" i="1"/>
  <c r="G626" i="1"/>
  <c r="D625" i="1"/>
  <c r="T623" i="1"/>
  <c r="S622" i="1"/>
  <c r="S621" i="1"/>
  <c r="V620" i="1"/>
  <c r="AA619" i="1"/>
  <c r="C619" i="1"/>
  <c r="G618" i="1"/>
  <c r="K617" i="1"/>
  <c r="O616" i="1"/>
  <c r="S615" i="1"/>
  <c r="X614" i="1"/>
  <c r="A614" i="1"/>
  <c r="D613" i="1"/>
  <c r="H612" i="1"/>
  <c r="K611" i="1"/>
  <c r="O610" i="1"/>
  <c r="R609" i="1"/>
  <c r="U608" i="1"/>
  <c r="Z607" i="1"/>
  <c r="B607" i="1"/>
  <c r="E606" i="1"/>
  <c r="G605" i="1"/>
  <c r="J604" i="1"/>
  <c r="L603" i="1"/>
  <c r="O602" i="1"/>
  <c r="R601" i="1"/>
  <c r="U600" i="1"/>
  <c r="Z599" i="1"/>
  <c r="A599" i="1"/>
  <c r="C598" i="1"/>
  <c r="D597" i="1"/>
  <c r="F596" i="1"/>
  <c r="G595" i="1"/>
  <c r="I594" i="1"/>
  <c r="L593" i="1"/>
  <c r="N592" i="1"/>
  <c r="Q591" i="1"/>
  <c r="T590" i="1"/>
  <c r="Y589" i="1"/>
  <c r="AA588" i="1"/>
  <c r="C588" i="1"/>
  <c r="E587" i="1"/>
  <c r="H586" i="1"/>
  <c r="K585" i="1"/>
  <c r="N584" i="1"/>
  <c r="Q583" i="1"/>
  <c r="T582" i="1"/>
  <c r="Y581" i="1"/>
  <c r="AA580" i="1"/>
  <c r="C580" i="1"/>
  <c r="E579" i="1"/>
  <c r="H578" i="1"/>
  <c r="K577" i="1"/>
  <c r="O576" i="1"/>
  <c r="S575" i="1"/>
  <c r="W574" i="1"/>
  <c r="A574" i="1"/>
  <c r="D573" i="1"/>
  <c r="H572" i="1"/>
  <c r="K571" i="1"/>
  <c r="O570" i="1"/>
  <c r="S569" i="1"/>
  <c r="W568" i="1"/>
  <c r="A568" i="1"/>
  <c r="E567" i="1"/>
  <c r="I566" i="1"/>
  <c r="L565" i="1"/>
  <c r="P564" i="1"/>
  <c r="S563" i="1"/>
  <c r="W562" i="1"/>
  <c r="A562" i="1"/>
  <c r="E561" i="1"/>
  <c r="I560" i="1"/>
  <c r="M559" i="1"/>
  <c r="Q558" i="1"/>
  <c r="S557" i="1"/>
  <c r="V556" i="1"/>
  <c r="T555" i="1"/>
  <c r="Y554" i="1"/>
  <c r="A554" i="1"/>
  <c r="C553" i="1"/>
  <c r="F552" i="1"/>
  <c r="J551" i="1"/>
  <c r="M550" i="1"/>
  <c r="O549" i="1"/>
  <c r="S548" i="1"/>
  <c r="U547" i="1"/>
  <c r="Z546" i="1"/>
  <c r="B546" i="1"/>
  <c r="E545" i="1"/>
  <c r="H544" i="1"/>
  <c r="L543" i="1"/>
  <c r="O542" i="1"/>
  <c r="R541" i="1"/>
  <c r="V540" i="1"/>
  <c r="W539" i="1"/>
  <c r="A539" i="1"/>
  <c r="E538" i="1"/>
  <c r="I537" i="1"/>
  <c r="O536" i="1"/>
  <c r="U535" i="1"/>
  <c r="A535" i="1"/>
  <c r="F534" i="1"/>
  <c r="J533" i="1"/>
  <c r="N532" i="1"/>
  <c r="R531" i="1"/>
  <c r="Y530" i="1"/>
  <c r="B530" i="1"/>
  <c r="F529" i="1"/>
  <c r="J528" i="1"/>
  <c r="B1437" i="1"/>
  <c r="C1283" i="1"/>
  <c r="R1210" i="1"/>
  <c r="F1160" i="1"/>
  <c r="N1134" i="1"/>
  <c r="AA1110" i="1"/>
  <c r="B1088" i="1"/>
  <c r="E1072" i="1"/>
  <c r="AA1056" i="1"/>
  <c r="M1040" i="1"/>
  <c r="AA1025" i="1"/>
  <c r="J1010" i="1"/>
  <c r="F999" i="1"/>
  <c r="L989" i="1"/>
  <c r="N979" i="1"/>
  <c r="D970" i="1"/>
  <c r="G960" i="1"/>
  <c r="AA949" i="1"/>
  <c r="Q940" i="1"/>
  <c r="F931" i="1"/>
  <c r="L922" i="1"/>
  <c r="O914" i="1"/>
  <c r="AA907" i="1"/>
  <c r="K902" i="1"/>
  <c r="A898" i="1"/>
  <c r="C893" i="1"/>
  <c r="AA888" i="1"/>
  <c r="E884" i="1"/>
  <c r="H879" i="1"/>
  <c r="G875" i="1"/>
  <c r="P870" i="1"/>
  <c r="A866" i="1"/>
  <c r="F862" i="1"/>
  <c r="N857" i="1"/>
  <c r="J853" i="1"/>
  <c r="K849" i="1"/>
  <c r="AA844" i="1"/>
  <c r="U840" i="1"/>
  <c r="I836" i="1"/>
  <c r="V831" i="1"/>
  <c r="B828" i="1"/>
  <c r="P823" i="1"/>
  <c r="C820" i="1"/>
  <c r="J816" i="1"/>
  <c r="F812" i="1"/>
  <c r="C808" i="1"/>
  <c r="I804" i="1"/>
  <c r="O800" i="1"/>
  <c r="S797" i="1"/>
  <c r="Q794" i="1"/>
  <c r="E791" i="1"/>
  <c r="Q787" i="1"/>
  <c r="G784" i="1"/>
  <c r="M780" i="1"/>
  <c r="U777" i="1"/>
  <c r="H774" i="1"/>
  <c r="R770" i="1"/>
  <c r="O767" i="1"/>
  <c r="C764" i="1"/>
  <c r="B761" i="1"/>
  <c r="M757" i="1"/>
  <c r="D754" i="1"/>
  <c r="B751" i="1"/>
  <c r="M747" i="1"/>
  <c r="D744" i="1"/>
  <c r="B741" i="1"/>
  <c r="N737" i="1"/>
  <c r="B734" i="1"/>
  <c r="O730" i="1"/>
  <c r="O727" i="1"/>
  <c r="B725" i="1"/>
  <c r="AA722" i="1"/>
  <c r="V720" i="1"/>
  <c r="S718" i="1"/>
  <c r="U716" i="1"/>
  <c r="S714" i="1"/>
  <c r="S712" i="1"/>
  <c r="S710" i="1"/>
  <c r="Q708" i="1"/>
  <c r="O706" i="1"/>
  <c r="Q704" i="1"/>
  <c r="S702" i="1"/>
  <c r="S700" i="1"/>
  <c r="S698" i="1"/>
  <c r="O696" i="1"/>
  <c r="K694" i="1"/>
  <c r="F692" i="1"/>
  <c r="D690" i="1"/>
  <c r="B688" i="1"/>
  <c r="D686" i="1"/>
  <c r="J684" i="1"/>
  <c r="O682" i="1"/>
  <c r="T680" i="1"/>
  <c r="A679" i="1"/>
  <c r="G677" i="1"/>
  <c r="L675" i="1"/>
  <c r="Q673" i="1"/>
  <c r="Y671" i="1"/>
  <c r="D670" i="1"/>
  <c r="J668" i="1"/>
  <c r="O666" i="1"/>
  <c r="T664" i="1"/>
  <c r="A663" i="1"/>
  <c r="G661" i="1"/>
  <c r="L659" i="1"/>
  <c r="Q657" i="1"/>
  <c r="O655" i="1"/>
  <c r="V653" i="1"/>
  <c r="G652" i="1"/>
  <c r="Q650" i="1"/>
  <c r="B649" i="1"/>
  <c r="K647" i="1"/>
  <c r="S645" i="1"/>
  <c r="C644" i="1"/>
  <c r="L642" i="1"/>
  <c r="Y640" i="1"/>
  <c r="I639" i="1"/>
  <c r="A638" i="1"/>
  <c r="J636" i="1"/>
  <c r="Y634" i="1"/>
  <c r="N633" i="1"/>
  <c r="K632" i="1"/>
  <c r="C631" i="1"/>
  <c r="AA629" i="1"/>
  <c r="Q628" i="1"/>
  <c r="N627" i="1"/>
  <c r="E626" i="1"/>
  <c r="C625" i="1"/>
  <c r="S623" i="1"/>
  <c r="R622" i="1"/>
  <c r="R621" i="1"/>
  <c r="U620" i="1"/>
  <c r="Z619" i="1"/>
  <c r="B619" i="1"/>
  <c r="F618" i="1"/>
  <c r="J617" i="1"/>
  <c r="N616" i="1"/>
  <c r="R615" i="1"/>
  <c r="V614" i="1"/>
  <c r="AA613" i="1"/>
  <c r="C613" i="1"/>
  <c r="G612" i="1"/>
  <c r="J611" i="1"/>
  <c r="N610" i="1"/>
  <c r="Q609" i="1"/>
  <c r="T608" i="1"/>
  <c r="Y607" i="1"/>
  <c r="A607" i="1"/>
  <c r="D606" i="1"/>
  <c r="F605" i="1"/>
  <c r="I604" i="1"/>
  <c r="K603" i="1"/>
  <c r="N602" i="1"/>
  <c r="Q601" i="1"/>
  <c r="T600" i="1"/>
  <c r="Y599" i="1"/>
  <c r="AA598" i="1"/>
  <c r="B598" i="1"/>
  <c r="C597" i="1"/>
  <c r="E596" i="1"/>
  <c r="F595" i="1"/>
  <c r="H594" i="1"/>
  <c r="K593" i="1"/>
  <c r="M592" i="1"/>
  <c r="P591" i="1"/>
  <c r="S590" i="1"/>
  <c r="V589" i="1"/>
  <c r="Z588" i="1"/>
  <c r="B588" i="1"/>
  <c r="D587" i="1"/>
  <c r="G586" i="1"/>
  <c r="J585" i="1"/>
  <c r="M584" i="1"/>
  <c r="P583" i="1"/>
  <c r="S582" i="1"/>
  <c r="V581" i="1"/>
  <c r="Z580" i="1"/>
  <c r="B580" i="1"/>
  <c r="D579" i="1"/>
  <c r="G578" i="1"/>
  <c r="J577" i="1"/>
  <c r="N576" i="1"/>
  <c r="R575" i="1"/>
  <c r="V574" i="1"/>
  <c r="AA573" i="1"/>
  <c r="C573" i="1"/>
  <c r="G572" i="1"/>
  <c r="J571" i="1"/>
  <c r="N570" i="1"/>
  <c r="R569" i="1"/>
  <c r="V568" i="1"/>
  <c r="AA567" i="1"/>
  <c r="D567" i="1"/>
  <c r="H566" i="1"/>
  <c r="K565" i="1"/>
  <c r="O564" i="1"/>
  <c r="R563" i="1"/>
  <c r="V562" i="1"/>
  <c r="AA561" i="1"/>
  <c r="D561" i="1"/>
  <c r="H560" i="1"/>
  <c r="L559" i="1"/>
  <c r="P558" i="1"/>
  <c r="R557" i="1"/>
  <c r="U556" i="1"/>
  <c r="S555" i="1"/>
  <c r="W554" i="1"/>
  <c r="AA553" i="1"/>
  <c r="B553" i="1"/>
  <c r="E552" i="1"/>
  <c r="I551" i="1"/>
  <c r="L550" i="1"/>
  <c r="N549" i="1"/>
  <c r="R548" i="1"/>
  <c r="T547" i="1"/>
  <c r="Y546" i="1"/>
  <c r="A546" i="1"/>
  <c r="D545" i="1"/>
  <c r="G544" i="1"/>
  <c r="K543" i="1"/>
  <c r="N542" i="1"/>
  <c r="Q541" i="1"/>
  <c r="U540" i="1"/>
  <c r="V539" i="1"/>
  <c r="AA538" i="1"/>
  <c r="D538" i="1"/>
  <c r="H537" i="1"/>
  <c r="N536" i="1"/>
  <c r="T535" i="1"/>
  <c r="AA534" i="1"/>
  <c r="E534" i="1"/>
  <c r="I533" i="1"/>
  <c r="M532" i="1"/>
  <c r="Q531" i="1"/>
  <c r="W530" i="1"/>
  <c r="A530" i="1"/>
  <c r="E529" i="1"/>
  <c r="I528" i="1"/>
  <c r="M527" i="1"/>
  <c r="R526" i="1"/>
  <c r="Y525" i="1"/>
  <c r="C525" i="1"/>
  <c r="I1436" i="1"/>
  <c r="B1283" i="1"/>
  <c r="Q1210" i="1"/>
  <c r="E1160" i="1"/>
  <c r="R1131" i="1"/>
  <c r="L1109" i="1"/>
  <c r="O1087" i="1"/>
  <c r="D1072" i="1"/>
  <c r="P1056" i="1"/>
  <c r="L1040" i="1"/>
  <c r="J1025" i="1"/>
  <c r="I1010" i="1"/>
  <c r="P998" i="1"/>
  <c r="K989" i="1"/>
  <c r="C979" i="1"/>
  <c r="AA968" i="1"/>
  <c r="F960" i="1"/>
  <c r="P949" i="1"/>
  <c r="P940" i="1"/>
  <c r="E931" i="1"/>
  <c r="I922" i="1"/>
  <c r="D914" i="1"/>
  <c r="U907" i="1"/>
  <c r="J902" i="1"/>
  <c r="AA897" i="1"/>
  <c r="B893" i="1"/>
  <c r="H888" i="1"/>
  <c r="D884" i="1"/>
  <c r="F879" i="1"/>
  <c r="F875" i="1"/>
  <c r="O870" i="1"/>
  <c r="U865" i="1"/>
  <c r="C862" i="1"/>
  <c r="M857" i="1"/>
  <c r="I853" i="1"/>
  <c r="J849" i="1"/>
  <c r="R844" i="1"/>
  <c r="J840" i="1"/>
  <c r="H836" i="1"/>
  <c r="R831" i="1"/>
  <c r="A828" i="1"/>
  <c r="O823" i="1"/>
  <c r="B820" i="1"/>
  <c r="I816" i="1"/>
  <c r="E812" i="1"/>
  <c r="B808" i="1"/>
  <c r="H804" i="1"/>
  <c r="N800" i="1"/>
  <c r="J797" i="1"/>
  <c r="P794" i="1"/>
  <c r="C791" i="1"/>
  <c r="P787" i="1"/>
  <c r="F784" i="1"/>
  <c r="L780" i="1"/>
  <c r="T777" i="1"/>
  <c r="G774" i="1"/>
  <c r="Q770" i="1"/>
  <c r="N767" i="1"/>
  <c r="B764" i="1"/>
  <c r="O760" i="1"/>
  <c r="L757" i="1"/>
  <c r="B754" i="1"/>
  <c r="A751" i="1"/>
  <c r="L747" i="1"/>
  <c r="C744" i="1"/>
  <c r="A741" i="1"/>
  <c r="M737" i="1"/>
  <c r="A734" i="1"/>
  <c r="N730" i="1"/>
  <c r="N727" i="1"/>
  <c r="A725" i="1"/>
  <c r="V722" i="1"/>
  <c r="U720" i="1"/>
  <c r="Q718" i="1"/>
  <c r="T716" i="1"/>
  <c r="R714" i="1"/>
  <c r="R712" i="1"/>
  <c r="R710" i="1"/>
  <c r="P708" i="1"/>
  <c r="N706" i="1"/>
  <c r="P704" i="1"/>
  <c r="R702" i="1"/>
  <c r="Q700" i="1"/>
  <c r="R698" i="1"/>
  <c r="N696" i="1"/>
  <c r="J694" i="1"/>
  <c r="E692" i="1"/>
  <c r="C690" i="1"/>
  <c r="A688" i="1"/>
  <c r="C686" i="1"/>
  <c r="I684" i="1"/>
  <c r="M682" i="1"/>
  <c r="S680" i="1"/>
  <c r="AA678" i="1"/>
  <c r="F677" i="1"/>
  <c r="K675" i="1"/>
  <c r="P673" i="1"/>
  <c r="W671" i="1"/>
  <c r="C670" i="1"/>
  <c r="I668" i="1"/>
  <c r="M666" i="1"/>
  <c r="S664" i="1"/>
  <c r="AA662" i="1"/>
  <c r="F661" i="1"/>
  <c r="K659" i="1"/>
  <c r="P657" i="1"/>
  <c r="N655" i="1"/>
  <c r="U653" i="1"/>
  <c r="F652" i="1"/>
  <c r="P650" i="1"/>
  <c r="A649" i="1"/>
  <c r="J647" i="1"/>
  <c r="R645" i="1"/>
  <c r="B644" i="1"/>
  <c r="K642" i="1"/>
  <c r="U640" i="1"/>
  <c r="H639" i="1"/>
  <c r="R637" i="1"/>
  <c r="I636" i="1"/>
  <c r="V634" i="1"/>
  <c r="M633" i="1"/>
  <c r="J632" i="1"/>
  <c r="B631" i="1"/>
  <c r="Z629" i="1"/>
  <c r="O628" i="1"/>
  <c r="M627" i="1"/>
  <c r="D626" i="1"/>
  <c r="V624" i="1"/>
  <c r="R623" i="1"/>
  <c r="Q622" i="1"/>
  <c r="P621" i="1"/>
  <c r="T620" i="1"/>
  <c r="X619" i="1"/>
  <c r="A619" i="1"/>
  <c r="E618" i="1"/>
  <c r="I617" i="1"/>
  <c r="M616" i="1"/>
  <c r="Q615" i="1"/>
  <c r="U614" i="1"/>
  <c r="Y613" i="1"/>
  <c r="B613" i="1"/>
  <c r="E612" i="1"/>
  <c r="I611" i="1"/>
  <c r="M610" i="1"/>
  <c r="P609" i="1"/>
  <c r="S608" i="1"/>
  <c r="W607" i="1"/>
  <c r="AA606" i="1"/>
  <c r="B606" i="1"/>
  <c r="E605" i="1"/>
  <c r="G604" i="1"/>
  <c r="J603" i="1"/>
  <c r="M602" i="1"/>
  <c r="P601" i="1"/>
  <c r="S600" i="1"/>
  <c r="V599" i="1"/>
  <c r="Z598" i="1"/>
  <c r="AA597" i="1"/>
  <c r="B597" i="1"/>
  <c r="C596" i="1"/>
  <c r="E595" i="1"/>
  <c r="G594" i="1"/>
  <c r="I593" i="1"/>
  <c r="L592" i="1"/>
  <c r="O591" i="1"/>
  <c r="R590" i="1"/>
  <c r="T589" i="1"/>
  <c r="Y588" i="1"/>
  <c r="AA587" i="1"/>
  <c r="C587" i="1"/>
  <c r="F586" i="1"/>
  <c r="I585" i="1"/>
  <c r="L584" i="1"/>
  <c r="O583" i="1"/>
  <c r="R582" i="1"/>
  <c r="T581" i="1"/>
  <c r="Y580" i="1"/>
  <c r="AA579" i="1"/>
  <c r="C579" i="1"/>
  <c r="F578" i="1"/>
  <c r="I577" i="1"/>
  <c r="M576" i="1"/>
  <c r="Q575" i="1"/>
  <c r="U574" i="1"/>
  <c r="Y573" i="1"/>
  <c r="B573" i="1"/>
  <c r="E572" i="1"/>
  <c r="I571" i="1"/>
  <c r="M570" i="1"/>
  <c r="Q569" i="1"/>
  <c r="U568" i="1"/>
  <c r="Z567" i="1"/>
  <c r="C567" i="1"/>
  <c r="F566" i="1"/>
  <c r="J565" i="1"/>
  <c r="M564" i="1"/>
  <c r="Q563" i="1"/>
  <c r="U562" i="1"/>
  <c r="Z561" i="1"/>
  <c r="C561" i="1"/>
  <c r="G560" i="1"/>
  <c r="K559" i="1"/>
  <c r="N558" i="1"/>
  <c r="Q557" i="1"/>
  <c r="R556" i="1"/>
  <c r="R555" i="1"/>
  <c r="U554" i="1"/>
  <c r="Z553" i="1"/>
  <c r="A553" i="1"/>
  <c r="D552" i="1"/>
  <c r="H551" i="1"/>
  <c r="J550" i="1"/>
  <c r="M549" i="1"/>
  <c r="P548" i="1"/>
  <c r="S547" i="1"/>
  <c r="V546" i="1"/>
  <c r="AA545" i="1"/>
  <c r="C545" i="1"/>
  <c r="F544" i="1"/>
  <c r="J543" i="1"/>
  <c r="L542" i="1"/>
  <c r="P541" i="1"/>
  <c r="S540" i="1"/>
  <c r="U539" i="1"/>
  <c r="Z538" i="1"/>
  <c r="C538" i="1"/>
  <c r="G537" i="1"/>
  <c r="M536" i="1"/>
  <c r="S535" i="1"/>
  <c r="Z534" i="1"/>
  <c r="D534" i="1"/>
  <c r="H533" i="1"/>
  <c r="L532" i="1"/>
  <c r="P531" i="1"/>
  <c r="U530" i="1"/>
  <c r="AA529" i="1"/>
  <c r="D529" i="1"/>
  <c r="H528" i="1"/>
  <c r="L527" i="1"/>
  <c r="Q526" i="1"/>
  <c r="W525" i="1"/>
  <c r="B525" i="1"/>
  <c r="G524" i="1"/>
  <c r="L523" i="1"/>
  <c r="Q522" i="1"/>
  <c r="W521" i="1"/>
  <c r="B521" i="1"/>
  <c r="G520" i="1"/>
  <c r="L519" i="1"/>
  <c r="Q518" i="1"/>
  <c r="W517" i="1"/>
  <c r="B517" i="1"/>
  <c r="G516" i="1"/>
  <c r="L515" i="1"/>
  <c r="Q514" i="1"/>
  <c r="W513" i="1"/>
  <c r="B513" i="1"/>
  <c r="G512" i="1"/>
  <c r="K511" i="1"/>
  <c r="P510" i="1"/>
  <c r="T509" i="1"/>
  <c r="AA508" i="1"/>
  <c r="E508" i="1"/>
  <c r="J507" i="1"/>
  <c r="O506" i="1"/>
  <c r="T505" i="1"/>
  <c r="AA504" i="1"/>
  <c r="E504" i="1"/>
  <c r="J503" i="1"/>
  <c r="O502" i="1"/>
  <c r="T501" i="1"/>
  <c r="AA500" i="1"/>
  <c r="E500" i="1"/>
  <c r="J499" i="1"/>
  <c r="O498" i="1"/>
  <c r="T497" i="1"/>
  <c r="AA496" i="1"/>
  <c r="E496" i="1"/>
  <c r="F495" i="1"/>
  <c r="F494" i="1"/>
  <c r="H493" i="1"/>
  <c r="L492" i="1"/>
  <c r="P491" i="1"/>
  <c r="U490" i="1"/>
  <c r="AA489" i="1"/>
  <c r="D489" i="1"/>
  <c r="H488" i="1"/>
  <c r="L487" i="1"/>
  <c r="P486" i="1"/>
  <c r="U485" i="1"/>
  <c r="AA484" i="1"/>
  <c r="D484" i="1"/>
  <c r="H483" i="1"/>
  <c r="L482" i="1"/>
  <c r="Q481" i="1"/>
  <c r="U480" i="1"/>
  <c r="A480" i="1"/>
  <c r="F479" i="1"/>
  <c r="K478" i="1"/>
  <c r="K477" i="1"/>
  <c r="K476" i="1"/>
  <c r="K475" i="1"/>
  <c r="I474" i="1"/>
  <c r="I473" i="1"/>
  <c r="F472" i="1"/>
  <c r="D471" i="1"/>
  <c r="A470" i="1"/>
  <c r="U468" i="1"/>
  <c r="M467" i="1"/>
  <c r="P466" i="1"/>
  <c r="P465" i="1"/>
  <c r="R464" i="1"/>
  <c r="Y463" i="1"/>
  <c r="C463" i="1"/>
  <c r="F462" i="1"/>
  <c r="K461" i="1"/>
  <c r="P460" i="1"/>
  <c r="U459" i="1"/>
  <c r="A459" i="1"/>
  <c r="B458" i="1"/>
  <c r="D457" i="1"/>
  <c r="C456" i="1"/>
  <c r="E455" i="1"/>
  <c r="I454" i="1"/>
  <c r="N453" i="1"/>
  <c r="S452" i="1"/>
  <c r="Z451" i="1"/>
  <c r="D451" i="1"/>
  <c r="I450" i="1"/>
  <c r="N449" i="1"/>
  <c r="R448" i="1"/>
  <c r="Y447" i="1"/>
  <c r="C447" i="1"/>
  <c r="H446" i="1"/>
  <c r="M445" i="1"/>
  <c r="P444" i="1"/>
  <c r="R443" i="1"/>
  <c r="T442" i="1"/>
  <c r="V441" i="1"/>
  <c r="AA440" i="1"/>
  <c r="B440" i="1"/>
  <c r="H439" i="1"/>
  <c r="M438" i="1"/>
  <c r="R437" i="1"/>
  <c r="Y436" i="1"/>
  <c r="C436" i="1"/>
  <c r="H435" i="1"/>
  <c r="L434" i="1"/>
  <c r="Q433" i="1"/>
  <c r="P432" i="1"/>
  <c r="Q431" i="1"/>
  <c r="U430" i="1"/>
  <c r="V429" i="1"/>
  <c r="Z428" i="1"/>
  <c r="E428" i="1"/>
  <c r="K427" i="1"/>
  <c r="Q426" i="1"/>
  <c r="V425" i="1"/>
  <c r="B425" i="1"/>
  <c r="D424" i="1"/>
  <c r="F423" i="1"/>
  <c r="H422" i="1"/>
  <c r="H421" i="1"/>
  <c r="J420" i="1"/>
  <c r="K419" i="1"/>
  <c r="M418" i="1"/>
  <c r="O417" i="1"/>
  <c r="O416" i="1"/>
  <c r="P415" i="1"/>
  <c r="N414" i="1"/>
  <c r="R413" i="1"/>
  <c r="Y412" i="1"/>
  <c r="B412" i="1"/>
  <c r="H411" i="1"/>
  <c r="N410" i="1"/>
  <c r="T409" i="1"/>
  <c r="AA408" i="1"/>
  <c r="D408" i="1"/>
  <c r="H407" i="1"/>
  <c r="N406" i="1"/>
  <c r="S405" i="1"/>
  <c r="Z404" i="1"/>
  <c r="B404" i="1"/>
  <c r="E403" i="1"/>
  <c r="H402" i="1"/>
  <c r="N401" i="1"/>
  <c r="S400" i="1"/>
  <c r="W399" i="1"/>
  <c r="C399" i="1"/>
  <c r="I398" i="1"/>
  <c r="O397" i="1"/>
  <c r="T396" i="1"/>
  <c r="K1371" i="1"/>
  <c r="Q1258" i="1"/>
  <c r="Q1193" i="1"/>
  <c r="F1150" i="1"/>
  <c r="K1125" i="1"/>
  <c r="A1103" i="1"/>
  <c r="R1082" i="1"/>
  <c r="U1065" i="1"/>
  <c r="I1052" i="1"/>
  <c r="D1035" i="1"/>
  <c r="F1019" i="1"/>
  <c r="L1006" i="1"/>
  <c r="O995" i="1"/>
  <c r="E986" i="1"/>
  <c r="H976" i="1"/>
  <c r="I966" i="1"/>
  <c r="U956" i="1"/>
  <c r="F947" i="1"/>
  <c r="H936" i="1"/>
  <c r="R928" i="1"/>
  <c r="I919" i="1"/>
  <c r="L911" i="1"/>
  <c r="E906" i="1"/>
  <c r="R900" i="1"/>
  <c r="K896" i="1"/>
  <c r="Q891" i="1"/>
  <c r="U886" i="1"/>
  <c r="O882" i="1"/>
  <c r="V877" i="1"/>
  <c r="I873" i="1"/>
  <c r="H869" i="1"/>
  <c r="M864" i="1"/>
  <c r="H860" i="1"/>
  <c r="I856" i="1"/>
  <c r="A852" i="1"/>
  <c r="C848" i="1"/>
  <c r="M843" i="1"/>
  <c r="B839" i="1"/>
  <c r="AA834" i="1"/>
  <c r="L830" i="1"/>
  <c r="F826" i="1"/>
  <c r="H822" i="1"/>
  <c r="R818" i="1"/>
  <c r="P814" i="1"/>
  <c r="A811" i="1"/>
  <c r="Q806" i="1"/>
  <c r="D803" i="1"/>
  <c r="N799" i="1"/>
  <c r="L796" i="1"/>
  <c r="Q793" i="1"/>
  <c r="A790" i="1"/>
  <c r="I786" i="1"/>
  <c r="B783" i="1"/>
  <c r="N779" i="1"/>
  <c r="K776" i="1"/>
  <c r="E773" i="1"/>
  <c r="O769" i="1"/>
  <c r="N766" i="1"/>
  <c r="B763" i="1"/>
  <c r="O759" i="1"/>
  <c r="K756" i="1"/>
  <c r="B753" i="1"/>
  <c r="M749" i="1"/>
  <c r="M746" i="1"/>
  <c r="B743" i="1"/>
  <c r="O739" i="1"/>
  <c r="N736" i="1"/>
  <c r="V732" i="1"/>
  <c r="N729" i="1"/>
  <c r="Q726" i="1"/>
  <c r="G724" i="1"/>
  <c r="F722" i="1"/>
  <c r="D720" i="1"/>
  <c r="D718" i="1"/>
  <c r="E716" i="1"/>
  <c r="B714" i="1"/>
  <c r="C712" i="1"/>
  <c r="B710" i="1"/>
  <c r="B708" i="1"/>
  <c r="W705" i="1"/>
  <c r="A704" i="1"/>
  <c r="C702" i="1"/>
  <c r="D700" i="1"/>
  <c r="B698" i="1"/>
  <c r="V695" i="1"/>
  <c r="P693" i="1"/>
  <c r="L691" i="1"/>
  <c r="K689" i="1"/>
  <c r="G687" i="1"/>
  <c r="M685" i="1"/>
  <c r="S683" i="1"/>
  <c r="AA681" i="1"/>
  <c r="E680" i="1"/>
  <c r="J678" i="1"/>
  <c r="P676" i="1"/>
  <c r="W674" i="1"/>
  <c r="B673" i="1"/>
  <c r="G671" i="1"/>
  <c r="M669" i="1"/>
  <c r="S667" i="1"/>
  <c r="AA665" i="1"/>
  <c r="E664" i="1"/>
  <c r="J662" i="1"/>
  <c r="P660" i="1"/>
  <c r="W658" i="1"/>
  <c r="B657" i="1"/>
  <c r="Z654" i="1"/>
  <c r="H653" i="1"/>
  <c r="R651" i="1"/>
  <c r="C650" i="1"/>
  <c r="M648" i="1"/>
  <c r="U646" i="1"/>
  <c r="E645" i="1"/>
  <c r="M643" i="1"/>
  <c r="G642" i="1"/>
  <c r="Q640" i="1"/>
  <c r="C639" i="1"/>
  <c r="L637" i="1"/>
  <c r="V635" i="1"/>
  <c r="R634" i="1"/>
  <c r="H633" i="1"/>
  <c r="AA631" i="1"/>
  <c r="V630" i="1"/>
  <c r="N629" i="1"/>
  <c r="K628" i="1"/>
  <c r="C627" i="1"/>
  <c r="AA625" i="1"/>
  <c r="Q624" i="1"/>
  <c r="N623" i="1"/>
  <c r="I622" i="1"/>
  <c r="K621" i="1"/>
  <c r="O620" i="1"/>
  <c r="S619" i="1"/>
  <c r="X618" i="1"/>
  <c r="A618" i="1"/>
  <c r="E617" i="1"/>
  <c r="I616" i="1"/>
  <c r="L615" i="1"/>
  <c r="P614" i="1"/>
  <c r="S613" i="1"/>
  <c r="W612" i="1"/>
  <c r="A612" i="1"/>
  <c r="E611" i="1"/>
  <c r="I610" i="1"/>
  <c r="L609" i="1"/>
  <c r="O608" i="1"/>
  <c r="Q607" i="1"/>
  <c r="T606" i="1"/>
  <c r="W605" i="1"/>
  <c r="AA604" i="1"/>
  <c r="C604" i="1"/>
  <c r="F603" i="1"/>
  <c r="I602" i="1"/>
  <c r="L601" i="1"/>
  <c r="O600" i="1"/>
  <c r="Q599" i="1"/>
  <c r="S598" i="1"/>
  <c r="T597" i="1"/>
  <c r="V596" i="1"/>
  <c r="Z595" i="1"/>
  <c r="A595" i="1"/>
  <c r="C594" i="1"/>
  <c r="E593" i="1"/>
  <c r="H592" i="1"/>
  <c r="J591" i="1"/>
  <c r="M590" i="1"/>
  <c r="O589" i="1"/>
  <c r="R588" i="1"/>
  <c r="U587" i="1"/>
  <c r="Z586" i="1"/>
  <c r="B586" i="1"/>
  <c r="E585" i="1"/>
  <c r="H584" i="1"/>
  <c r="J583" i="1"/>
  <c r="M582" i="1"/>
  <c r="O581" i="1"/>
  <c r="R580" i="1"/>
  <c r="U579" i="1"/>
  <c r="Z578" i="1"/>
  <c r="B578" i="1"/>
  <c r="E577" i="1"/>
  <c r="I576" i="1"/>
  <c r="L575" i="1"/>
  <c r="P574" i="1"/>
  <c r="S573" i="1"/>
  <c r="W572" i="1"/>
  <c r="A572" i="1"/>
  <c r="E571" i="1"/>
  <c r="I570" i="1"/>
  <c r="M569" i="1"/>
  <c r="Q568" i="1"/>
  <c r="T567" i="1"/>
  <c r="Y566" i="1"/>
  <c r="A566" i="1"/>
  <c r="E565" i="1"/>
  <c r="I564" i="1"/>
  <c r="M563" i="1"/>
  <c r="Q562" i="1"/>
  <c r="U561" i="1"/>
  <c r="Z560" i="1"/>
  <c r="B560" i="1"/>
  <c r="F559" i="1"/>
  <c r="I558" i="1"/>
  <c r="L557" i="1"/>
  <c r="N556" i="1"/>
  <c r="N555" i="1"/>
  <c r="Q554" i="1"/>
  <c r="S553" i="1"/>
  <c r="W552" i="1"/>
  <c r="Z551" i="1"/>
  <c r="C551" i="1"/>
  <c r="E550" i="1"/>
  <c r="H549" i="1"/>
  <c r="L548" i="1"/>
  <c r="O547" i="1"/>
  <c r="R546" i="1"/>
  <c r="U545" i="1"/>
  <c r="Z544" i="1"/>
  <c r="A544" i="1"/>
  <c r="E543" i="1"/>
  <c r="G542" i="1"/>
  <c r="K541" i="1"/>
  <c r="O540" i="1"/>
  <c r="Q539" i="1"/>
  <c r="U538" i="1"/>
  <c r="Z537" i="1"/>
  <c r="C537" i="1"/>
  <c r="I536" i="1"/>
  <c r="O535" i="1"/>
  <c r="T534" i="1"/>
  <c r="AA533" i="1"/>
  <c r="D533" i="1"/>
  <c r="H532" i="1"/>
  <c r="L531" i="1"/>
  <c r="P530" i="1"/>
  <c r="U529" i="1"/>
  <c r="AA528" i="1"/>
  <c r="D528" i="1"/>
  <c r="H527" i="1"/>
  <c r="M526" i="1"/>
  <c r="R525" i="1"/>
  <c r="Y524" i="1"/>
  <c r="C524" i="1"/>
  <c r="H523" i="1"/>
  <c r="M522" i="1"/>
  <c r="R521" i="1"/>
  <c r="Y520" i="1"/>
  <c r="C520" i="1"/>
  <c r="H519" i="1"/>
  <c r="M518" i="1"/>
  <c r="R517" i="1"/>
  <c r="Y516" i="1"/>
  <c r="C516" i="1"/>
  <c r="H515" i="1"/>
  <c r="M514" i="1"/>
  <c r="R513" i="1"/>
  <c r="Y512" i="1"/>
  <c r="C512" i="1"/>
  <c r="G511" i="1"/>
  <c r="K510" i="1"/>
  <c r="P509" i="1"/>
  <c r="U508" i="1"/>
  <c r="A508" i="1"/>
  <c r="F507" i="1"/>
  <c r="K506" i="1"/>
  <c r="P505" i="1"/>
  <c r="U504" i="1"/>
  <c r="A504" i="1"/>
  <c r="F503" i="1"/>
  <c r="K502" i="1"/>
  <c r="P501" i="1"/>
  <c r="U500" i="1"/>
  <c r="A500" i="1"/>
  <c r="F499" i="1"/>
  <c r="K498" i="1"/>
  <c r="P497" i="1"/>
  <c r="U496" i="1"/>
  <c r="A496" i="1"/>
  <c r="B495" i="1"/>
  <c r="B494" i="1"/>
  <c r="D493" i="1"/>
  <c r="H492" i="1"/>
  <c r="L491" i="1"/>
  <c r="P490" i="1"/>
  <c r="U489" i="1"/>
  <c r="AA488" i="1"/>
  <c r="D488" i="1"/>
  <c r="H487" i="1"/>
  <c r="L486" i="1"/>
  <c r="P485" i="1"/>
  <c r="U484" i="1"/>
  <c r="AA483" i="1"/>
  <c r="D483" i="1"/>
  <c r="H482" i="1"/>
  <c r="L481" i="1"/>
  <c r="Q480" i="1"/>
  <c r="V479" i="1"/>
  <c r="B479" i="1"/>
  <c r="G478" i="1"/>
  <c r="G477" i="1"/>
  <c r="G476" i="1"/>
  <c r="G475" i="1"/>
  <c r="E474" i="1"/>
  <c r="E473" i="1"/>
  <c r="B472" i="1"/>
  <c r="AA470" i="1"/>
  <c r="Q469" i="1"/>
  <c r="O468" i="1"/>
  <c r="I467" i="1"/>
  <c r="L466" i="1"/>
  <c r="L465" i="1"/>
  <c r="N464" i="1"/>
  <c r="S463" i="1"/>
  <c r="Z462" i="1"/>
  <c r="B462" i="1"/>
  <c r="G461" i="1"/>
  <c r="L460" i="1"/>
  <c r="Q459" i="1"/>
  <c r="T458" i="1"/>
  <c r="U457" i="1"/>
  <c r="AA456" i="1"/>
  <c r="V455" i="1"/>
  <c r="A455" i="1"/>
  <c r="E454" i="1"/>
  <c r="J453" i="1"/>
  <c r="O452" i="1"/>
  <c r="T451" i="1"/>
  <c r="AA450" i="1"/>
  <c r="E450" i="1"/>
  <c r="I449" i="1"/>
  <c r="N448" i="1"/>
  <c r="S447" i="1"/>
  <c r="Z446" i="1"/>
  <c r="D446" i="1"/>
  <c r="I445" i="1"/>
  <c r="K444" i="1"/>
  <c r="M443" i="1"/>
  <c r="P442" i="1"/>
  <c r="Q441" i="1"/>
  <c r="S440" i="1"/>
  <c r="Y439" i="1"/>
  <c r="D439" i="1"/>
  <c r="I438" i="1"/>
  <c r="N437" i="1"/>
  <c r="S436" i="1"/>
  <c r="Z435" i="1"/>
  <c r="D435" i="1"/>
  <c r="H434" i="1"/>
  <c r="M433" i="1"/>
  <c r="L432" i="1"/>
  <c r="M431" i="1"/>
  <c r="N430" i="1"/>
  <c r="O429" i="1"/>
  <c r="U428" i="1"/>
  <c r="A428" i="1"/>
  <c r="G427" i="1"/>
  <c r="M426" i="1"/>
  <c r="R425" i="1"/>
  <c r="V424" i="1"/>
  <c r="AA423" i="1"/>
  <c r="B423" i="1"/>
  <c r="D422" i="1"/>
  <c r="D421" i="1"/>
  <c r="F420" i="1"/>
  <c r="G419" i="1"/>
  <c r="I418" i="1"/>
  <c r="I417" i="1"/>
  <c r="I416" i="1"/>
  <c r="I415" i="1"/>
  <c r="H414" i="1"/>
  <c r="N413" i="1"/>
  <c r="T412" i="1"/>
  <c r="Y411" i="1"/>
  <c r="D411" i="1"/>
  <c r="J410" i="1"/>
  <c r="P409" i="1"/>
  <c r="V408" i="1"/>
  <c r="AA407" i="1"/>
  <c r="D407" i="1"/>
  <c r="J406" i="1"/>
  <c r="O405" i="1"/>
  <c r="T404" i="1"/>
  <c r="Y403" i="1"/>
  <c r="A403" i="1"/>
  <c r="D402" i="1"/>
  <c r="J401" i="1"/>
  <c r="O400" i="1"/>
  <c r="S399" i="1"/>
  <c r="Z398" i="1"/>
  <c r="E398" i="1"/>
  <c r="J397" i="1"/>
  <c r="P396" i="1"/>
  <c r="P1337" i="1"/>
  <c r="M1240" i="1"/>
  <c r="L1182" i="1"/>
  <c r="Q1143" i="1"/>
  <c r="E1119" i="1"/>
  <c r="A1098" i="1"/>
  <c r="L1078" i="1"/>
  <c r="A1064" i="1"/>
  <c r="F1048" i="1"/>
  <c r="Q1031" i="1"/>
  <c r="C1017" i="1"/>
  <c r="O1003" i="1"/>
  <c r="H993" i="1"/>
  <c r="P983" i="1"/>
  <c r="U973" i="1"/>
  <c r="AA963" i="1"/>
  <c r="I954" i="1"/>
  <c r="M944" i="1"/>
  <c r="E935" i="1"/>
  <c r="Q926" i="1"/>
  <c r="H917" i="1"/>
  <c r="P910" i="1"/>
  <c r="U904" i="1"/>
  <c r="M899" i="1"/>
  <c r="H895" i="1"/>
  <c r="P890" i="1"/>
  <c r="Q885" i="1"/>
  <c r="L881" i="1"/>
  <c r="U876" i="1"/>
  <c r="Q872" i="1"/>
  <c r="F868" i="1"/>
  <c r="N863" i="1"/>
  <c r="N859" i="1"/>
  <c r="G855" i="1"/>
  <c r="A851" i="1"/>
  <c r="B847" i="1"/>
  <c r="K842" i="1"/>
  <c r="A838" i="1"/>
  <c r="V833" i="1"/>
  <c r="L829" i="1"/>
  <c r="O825" i="1"/>
  <c r="N821" i="1"/>
  <c r="AA817" i="1"/>
  <c r="E814" i="1"/>
  <c r="A810" i="1"/>
  <c r="U805" i="1"/>
  <c r="I802" i="1"/>
  <c r="U798" i="1"/>
  <c r="S795" i="1"/>
  <c r="V792" i="1"/>
  <c r="C789" i="1"/>
  <c r="Z785" i="1"/>
  <c r="C782" i="1"/>
  <c r="W778" i="1"/>
  <c r="A776" i="1"/>
  <c r="H772" i="1"/>
  <c r="U768" i="1"/>
  <c r="Q765" i="1"/>
  <c r="F762" i="1"/>
  <c r="S758" i="1"/>
  <c r="P755" i="1"/>
  <c r="F752" i="1"/>
  <c r="A749" i="1"/>
  <c r="Q745" i="1"/>
  <c r="G742" i="1"/>
  <c r="E739" i="1"/>
  <c r="Q735" i="1"/>
  <c r="A732" i="1"/>
  <c r="S728" i="1"/>
  <c r="B726" i="1"/>
  <c r="U723" i="1"/>
  <c r="S721" i="1"/>
  <c r="O719" i="1"/>
  <c r="Q717" i="1"/>
  <c r="Q715" i="1"/>
  <c r="P713" i="1"/>
  <c r="P711" i="1"/>
  <c r="N709" i="1"/>
  <c r="O707" i="1"/>
  <c r="M705" i="1"/>
  <c r="O703" i="1"/>
  <c r="O701" i="1"/>
  <c r="P699" i="1"/>
  <c r="N697" i="1"/>
  <c r="I695" i="1"/>
  <c r="D693" i="1"/>
  <c r="A691" i="1"/>
  <c r="A689" i="1"/>
  <c r="Y686" i="1"/>
  <c r="D685" i="1"/>
  <c r="H683" i="1"/>
  <c r="N681" i="1"/>
  <c r="T679" i="1"/>
  <c r="A678" i="1"/>
  <c r="F676" i="1"/>
  <c r="K674" i="1"/>
  <c r="Q672" i="1"/>
  <c r="Y670" i="1"/>
  <c r="D669" i="1"/>
  <c r="H667" i="1"/>
  <c r="N665" i="1"/>
  <c r="T663" i="1"/>
  <c r="A662" i="1"/>
  <c r="F660" i="1"/>
  <c r="K658" i="1"/>
  <c r="N656" i="1"/>
  <c r="O654" i="1"/>
  <c r="Z652" i="1"/>
  <c r="I651" i="1"/>
  <c r="S649" i="1"/>
  <c r="D648" i="1"/>
  <c r="L646" i="1"/>
  <c r="T644" i="1"/>
  <c r="D643" i="1"/>
  <c r="N641" i="1"/>
  <c r="AA639" i="1"/>
  <c r="I638" i="1"/>
  <c r="R636" i="1"/>
  <c r="M635" i="1"/>
  <c r="B634" i="1"/>
  <c r="S632" i="1"/>
  <c r="P631" i="1"/>
  <c r="H630" i="1"/>
  <c r="E629" i="1"/>
  <c r="V627" i="1"/>
  <c r="S626" i="1"/>
  <c r="J625" i="1"/>
  <c r="H624" i="1"/>
  <c r="AA622" i="1"/>
  <c r="AA621" i="1"/>
  <c r="C621" i="1"/>
  <c r="G620" i="1"/>
  <c r="K619" i="1"/>
  <c r="N618" i="1"/>
  <c r="R617" i="1"/>
  <c r="U616" i="1"/>
  <c r="Z615" i="1"/>
  <c r="C615" i="1"/>
  <c r="G614" i="1"/>
  <c r="K613" i="1"/>
  <c r="O612" i="1"/>
  <c r="S611" i="1"/>
  <c r="V610" i="1"/>
  <c r="AA609" i="1"/>
  <c r="B609" i="1"/>
  <c r="E608" i="1"/>
  <c r="H607" i="1"/>
  <c r="K606" i="1"/>
  <c r="N605" i="1"/>
  <c r="Q604" i="1"/>
  <c r="T603" i="1"/>
  <c r="W602" i="1"/>
  <c r="AA601" i="1"/>
  <c r="B601" i="1"/>
  <c r="E600" i="1"/>
  <c r="G599" i="1"/>
  <c r="I598" i="1"/>
  <c r="L597" i="1"/>
  <c r="N596" i="1"/>
  <c r="P595" i="1"/>
  <c r="Q594" i="1"/>
  <c r="S593" i="1"/>
  <c r="T592" i="1"/>
  <c r="Y591" i="1"/>
  <c r="A591" i="1"/>
  <c r="D590" i="1"/>
  <c r="G589" i="1"/>
  <c r="J588" i="1"/>
  <c r="M587" i="1"/>
  <c r="O586" i="1"/>
  <c r="R585" i="1"/>
  <c r="T584" i="1"/>
  <c r="Y583" i="1"/>
  <c r="A583" i="1"/>
  <c r="D582" i="1"/>
  <c r="G581" i="1"/>
  <c r="J580" i="1"/>
  <c r="M579" i="1"/>
  <c r="O578" i="1"/>
  <c r="R577" i="1"/>
  <c r="U576" i="1"/>
  <c r="Z575" i="1"/>
  <c r="C575" i="1"/>
  <c r="G574" i="1"/>
  <c r="K573" i="1"/>
  <c r="O572" i="1"/>
  <c r="S571" i="1"/>
  <c r="V570" i="1"/>
  <c r="AA569" i="1"/>
  <c r="C569" i="1"/>
  <c r="G568" i="1"/>
  <c r="K567" i="1"/>
  <c r="O566" i="1"/>
  <c r="S565" i="1"/>
  <c r="W564" i="1"/>
  <c r="A564" i="1"/>
  <c r="D563" i="1"/>
  <c r="H562" i="1"/>
  <c r="K561" i="1"/>
  <c r="O560" i="1"/>
  <c r="S559" i="1"/>
  <c r="W558" i="1"/>
  <c r="A558" i="1"/>
  <c r="D557" i="1"/>
  <c r="C556" i="1"/>
  <c r="E555" i="1"/>
  <c r="H554" i="1"/>
  <c r="I553" i="1"/>
  <c r="L552" i="1"/>
  <c r="P551" i="1"/>
  <c r="S550" i="1"/>
  <c r="V549" i="1"/>
  <c r="AA548" i="1"/>
  <c r="D548" i="1"/>
  <c r="F547" i="1"/>
  <c r="I546" i="1"/>
  <c r="K545" i="1"/>
  <c r="N544" i="1"/>
  <c r="R543" i="1"/>
  <c r="U542" i="1"/>
  <c r="Z541" i="1"/>
  <c r="C541" i="1"/>
  <c r="E540" i="1"/>
  <c r="H539" i="1"/>
  <c r="L538" i="1"/>
  <c r="O537" i="1"/>
  <c r="U536" i="1"/>
  <c r="A536" i="1"/>
  <c r="G535" i="1"/>
  <c r="L534" i="1"/>
  <c r="P533" i="1"/>
  <c r="U532" i="1"/>
  <c r="AA531" i="1"/>
  <c r="D531" i="1"/>
  <c r="H530" i="1"/>
  <c r="L529" i="1"/>
  <c r="P528" i="1"/>
  <c r="U527" i="1"/>
  <c r="AA526" i="1"/>
  <c r="E526" i="1"/>
  <c r="J525" i="1"/>
  <c r="O524" i="1"/>
  <c r="T523" i="1"/>
  <c r="AA522" i="1"/>
  <c r="E522" i="1"/>
  <c r="J521" i="1"/>
  <c r="O520" i="1"/>
  <c r="T519" i="1"/>
  <c r="A1436" i="1"/>
  <c r="L1210" i="1"/>
  <c r="Q1131" i="1"/>
  <c r="N1087" i="1"/>
  <c r="O1056" i="1"/>
  <c r="F1025" i="1"/>
  <c r="O998" i="1"/>
  <c r="B979" i="1"/>
  <c r="O959" i="1"/>
  <c r="I939" i="1"/>
  <c r="G922" i="1"/>
  <c r="P907" i="1"/>
  <c r="R897" i="1"/>
  <c r="G888" i="1"/>
  <c r="E879" i="1"/>
  <c r="N870" i="1"/>
  <c r="B862" i="1"/>
  <c r="H853" i="1"/>
  <c r="Q844" i="1"/>
  <c r="F836" i="1"/>
  <c r="I827" i="1"/>
  <c r="AA819" i="1"/>
  <c r="D812" i="1"/>
  <c r="G804" i="1"/>
  <c r="I797" i="1"/>
  <c r="B791" i="1"/>
  <c r="E784" i="1"/>
  <c r="S777" i="1"/>
  <c r="P770" i="1"/>
  <c r="A764" i="1"/>
  <c r="K757" i="1"/>
  <c r="N750" i="1"/>
  <c r="A744" i="1"/>
  <c r="L737" i="1"/>
  <c r="L730" i="1"/>
  <c r="AA724" i="1"/>
  <c r="R720" i="1"/>
  <c r="S716" i="1"/>
  <c r="Q712" i="1"/>
  <c r="O708" i="1"/>
  <c r="O704" i="1"/>
  <c r="P700" i="1"/>
  <c r="M696" i="1"/>
  <c r="D692" i="1"/>
  <c r="AA687" i="1"/>
  <c r="G684" i="1"/>
  <c r="R680" i="1"/>
  <c r="E677" i="1"/>
  <c r="O673" i="1"/>
  <c r="B670" i="1"/>
  <c r="L666" i="1"/>
  <c r="Z662" i="1"/>
  <c r="J659" i="1"/>
  <c r="M655" i="1"/>
  <c r="E652" i="1"/>
  <c r="AA648" i="1"/>
  <c r="Q645" i="1"/>
  <c r="J642" i="1"/>
  <c r="F639" i="1"/>
  <c r="H636" i="1"/>
  <c r="L633" i="1"/>
  <c r="AA630" i="1"/>
  <c r="N628" i="1"/>
  <c r="C626" i="1"/>
  <c r="Q623" i="1"/>
  <c r="O621" i="1"/>
  <c r="V619" i="1"/>
  <c r="D618" i="1"/>
  <c r="L616" i="1"/>
  <c r="T614" i="1"/>
  <c r="A613" i="1"/>
  <c r="H611" i="1"/>
  <c r="O609" i="1"/>
  <c r="U607" i="1"/>
  <c r="A606" i="1"/>
  <c r="F604" i="1"/>
  <c r="L602" i="1"/>
  <c r="R600" i="1"/>
  <c r="Y598" i="1"/>
  <c r="A597" i="1"/>
  <c r="D595" i="1"/>
  <c r="H593" i="1"/>
  <c r="N591" i="1"/>
  <c r="S589" i="1"/>
  <c r="Z587" i="1"/>
  <c r="E586" i="1"/>
  <c r="K584" i="1"/>
  <c r="Q582" i="1"/>
  <c r="V580" i="1"/>
  <c r="B579" i="1"/>
  <c r="H577" i="1"/>
  <c r="P575" i="1"/>
  <c r="W573" i="1"/>
  <c r="D572" i="1"/>
  <c r="L570" i="1"/>
  <c r="T568" i="1"/>
  <c r="B567" i="1"/>
  <c r="I565" i="1"/>
  <c r="P563" i="1"/>
  <c r="Y561" i="1"/>
  <c r="F560" i="1"/>
  <c r="M558" i="1"/>
  <c r="Q556" i="1"/>
  <c r="T554" i="1"/>
  <c r="AA552" i="1"/>
  <c r="G551" i="1"/>
  <c r="L549" i="1"/>
  <c r="R547" i="1"/>
  <c r="Z545" i="1"/>
  <c r="E544" i="1"/>
  <c r="K542" i="1"/>
  <c r="R540" i="1"/>
  <c r="Y538" i="1"/>
  <c r="F537" i="1"/>
  <c r="R535" i="1"/>
  <c r="C534" i="1"/>
  <c r="K532" i="1"/>
  <c r="S530" i="1"/>
  <c r="C529" i="1"/>
  <c r="R527" i="1"/>
  <c r="K526" i="1"/>
  <c r="F525" i="1"/>
  <c r="A524" i="1"/>
  <c r="Y522" i="1"/>
  <c r="S521" i="1"/>
  <c r="Q520" i="1"/>
  <c r="K519" i="1"/>
  <c r="J518" i="1"/>
  <c r="J517" i="1"/>
  <c r="I516" i="1"/>
  <c r="I515" i="1"/>
  <c r="I514" i="1"/>
  <c r="K513" i="1"/>
  <c r="L512" i="1"/>
  <c r="M511" i="1"/>
  <c r="M510" i="1"/>
  <c r="O509" i="1"/>
  <c r="R508" i="1"/>
  <c r="U507" i="1"/>
  <c r="Z506" i="1"/>
  <c r="B506" i="1"/>
  <c r="E505" i="1"/>
  <c r="H504" i="1"/>
  <c r="K503" i="1"/>
  <c r="M502" i="1"/>
  <c r="O501" i="1"/>
  <c r="R500" i="1"/>
  <c r="U499" i="1"/>
  <c r="Z498" i="1"/>
  <c r="B498" i="1"/>
  <c r="E497" i="1"/>
  <c r="H496" i="1"/>
  <c r="G495" i="1"/>
  <c r="D494" i="1"/>
  <c r="C493" i="1"/>
  <c r="E492" i="1"/>
  <c r="G491" i="1"/>
  <c r="I490" i="1"/>
  <c r="K489" i="1"/>
  <c r="M488" i="1"/>
  <c r="O487" i="1"/>
  <c r="Q486" i="1"/>
  <c r="R485" i="1"/>
  <c r="T484" i="1"/>
  <c r="V483" i="1"/>
  <c r="Z482" i="1"/>
  <c r="A482" i="1"/>
  <c r="C481" i="1"/>
  <c r="F480" i="1"/>
  <c r="I479" i="1"/>
  <c r="L478" i="1"/>
  <c r="I477" i="1"/>
  <c r="F476" i="1"/>
  <c r="D475" i="1"/>
  <c r="AA473" i="1"/>
  <c r="R472" i="1"/>
  <c r="M471" i="1"/>
  <c r="F470" i="1"/>
  <c r="B469" i="1"/>
  <c r="N467" i="1"/>
  <c r="N466" i="1"/>
  <c r="K465" i="1"/>
  <c r="K464" i="1"/>
  <c r="N463" i="1"/>
  <c r="Q462" i="1"/>
  <c r="R461" i="1"/>
  <c r="U460" i="1"/>
  <c r="Z459" i="1"/>
  <c r="B459" i="1"/>
  <c r="AA457" i="1"/>
  <c r="V456" i="1"/>
  <c r="R455" i="1"/>
  <c r="U454" i="1"/>
  <c r="Y453" i="1"/>
  <c r="A453" i="1"/>
  <c r="D452" i="1"/>
  <c r="G451" i="1"/>
  <c r="J450" i="1"/>
  <c r="K449" i="1"/>
  <c r="M448" i="1"/>
  <c r="P447" i="1"/>
  <c r="S446" i="1"/>
  <c r="V445" i="1"/>
  <c r="AA444" i="1"/>
  <c r="AA443" i="1"/>
  <c r="AA442" i="1"/>
  <c r="AA441" i="1"/>
  <c r="U440" i="1"/>
  <c r="X439" i="1"/>
  <c r="A439" i="1"/>
  <c r="D438" i="1"/>
  <c r="G437" i="1"/>
  <c r="J436" i="1"/>
  <c r="N435" i="1"/>
  <c r="P434" i="1"/>
  <c r="R433" i="1"/>
  <c r="N432" i="1"/>
  <c r="L431" i="1"/>
  <c r="K430" i="1"/>
  <c r="J429" i="1"/>
  <c r="N428" i="1"/>
  <c r="R427" i="1"/>
  <c r="V426" i="1"/>
  <c r="AA425" i="1"/>
  <c r="C425" i="1"/>
  <c r="B424" i="1"/>
  <c r="A423" i="1"/>
  <c r="A422" i="1"/>
  <c r="V420" i="1"/>
  <c r="V419" i="1"/>
  <c r="U418" i="1"/>
  <c r="U417" i="1"/>
  <c r="R416" i="1"/>
  <c r="Q415" i="1"/>
  <c r="L414" i="1"/>
  <c r="M413" i="1"/>
  <c r="Q412" i="1"/>
  <c r="S411" i="1"/>
  <c r="W410" i="1"/>
  <c r="A410" i="1"/>
  <c r="E409" i="1"/>
  <c r="G408" i="1"/>
  <c r="I407" i="1"/>
  <c r="L406" i="1"/>
  <c r="N405" i="1"/>
  <c r="Q404" i="1"/>
  <c r="R403" i="1"/>
  <c r="S402" i="1"/>
  <c r="U401" i="1"/>
  <c r="Z400" i="1"/>
  <c r="AA399" i="1"/>
  <c r="D399" i="1"/>
  <c r="D1421" i="1"/>
  <c r="I1210" i="1"/>
  <c r="P1131" i="1"/>
  <c r="M1087" i="1"/>
  <c r="N1056" i="1"/>
  <c r="F1023" i="1"/>
  <c r="F998" i="1"/>
  <c r="A979" i="1"/>
  <c r="N959" i="1"/>
  <c r="H939" i="1"/>
  <c r="F922" i="1"/>
  <c r="O907" i="1"/>
  <c r="Q897" i="1"/>
  <c r="E888" i="1"/>
  <c r="D879" i="1"/>
  <c r="M870" i="1"/>
  <c r="N861" i="1"/>
  <c r="D853" i="1"/>
  <c r="P844" i="1"/>
  <c r="E836" i="1"/>
  <c r="H827" i="1"/>
  <c r="U819" i="1"/>
  <c r="C812" i="1"/>
  <c r="F804" i="1"/>
  <c r="H797" i="1"/>
  <c r="A791" i="1"/>
  <c r="D784" i="1"/>
  <c r="J777" i="1"/>
  <c r="N770" i="1"/>
  <c r="AA763" i="1"/>
  <c r="J757" i="1"/>
  <c r="M750" i="1"/>
  <c r="AA743" i="1"/>
  <c r="K737" i="1"/>
  <c r="K730" i="1"/>
  <c r="V724" i="1"/>
  <c r="Q720" i="1"/>
  <c r="R716" i="1"/>
  <c r="P712" i="1"/>
  <c r="N708" i="1"/>
  <c r="N704" i="1"/>
  <c r="O700" i="1"/>
  <c r="L696" i="1"/>
  <c r="B692" i="1"/>
  <c r="Z687" i="1"/>
  <c r="F684" i="1"/>
  <c r="Q680" i="1"/>
  <c r="D677" i="1"/>
  <c r="N673" i="1"/>
  <c r="A670" i="1"/>
  <c r="K666" i="1"/>
  <c r="Y662" i="1"/>
  <c r="H659" i="1"/>
  <c r="L655" i="1"/>
  <c r="D652" i="1"/>
  <c r="Z648" i="1"/>
  <c r="P645" i="1"/>
  <c r="I642" i="1"/>
  <c r="E639" i="1"/>
  <c r="AA635" i="1"/>
  <c r="J633" i="1"/>
  <c r="Z630" i="1"/>
  <c r="M628" i="1"/>
  <c r="B626" i="1"/>
  <c r="P623" i="1"/>
  <c r="N621" i="1"/>
  <c r="U619" i="1"/>
  <c r="C618" i="1"/>
  <c r="K616" i="1"/>
  <c r="R614" i="1"/>
  <c r="Z612" i="1"/>
  <c r="G611" i="1"/>
  <c r="N609" i="1"/>
  <c r="T607" i="1"/>
  <c r="AA605" i="1"/>
  <c r="E604" i="1"/>
  <c r="K602" i="1"/>
  <c r="Q600" i="1"/>
  <c r="U598" i="1"/>
  <c r="Z596" i="1"/>
  <c r="C595" i="1"/>
  <c r="G593" i="1"/>
  <c r="M591" i="1"/>
  <c r="R589" i="1"/>
  <c r="Y587" i="1"/>
  <c r="D586" i="1"/>
  <c r="J584" i="1"/>
  <c r="O582" i="1"/>
  <c r="T580" i="1"/>
  <c r="A579" i="1"/>
  <c r="G577" i="1"/>
  <c r="O575" i="1"/>
  <c r="V573" i="1"/>
  <c r="C572" i="1"/>
  <c r="K570" i="1"/>
  <c r="S568" i="1"/>
  <c r="AA566" i="1"/>
  <c r="G565" i="1"/>
  <c r="O563" i="1"/>
  <c r="W561" i="1"/>
  <c r="E560" i="1"/>
  <c r="L558" i="1"/>
  <c r="P556" i="1"/>
  <c r="S554" i="1"/>
  <c r="Z552" i="1"/>
  <c r="E551" i="1"/>
  <c r="J549" i="1"/>
  <c r="Q547" i="1"/>
  <c r="Y545" i="1"/>
  <c r="D544" i="1"/>
  <c r="J542" i="1"/>
  <c r="Q540" i="1"/>
  <c r="W538" i="1"/>
  <c r="E537" i="1"/>
  <c r="Q535" i="1"/>
  <c r="B534" i="1"/>
  <c r="J532" i="1"/>
  <c r="R530" i="1"/>
  <c r="B529" i="1"/>
  <c r="P527" i="1"/>
  <c r="J526" i="1"/>
  <c r="D525" i="1"/>
  <c r="AA523" i="1"/>
  <c r="U522" i="1"/>
  <c r="Q521" i="1"/>
  <c r="P520" i="1"/>
  <c r="J519" i="1"/>
  <c r="I518" i="1"/>
  <c r="H517" i="1"/>
  <c r="H516" i="1"/>
  <c r="G515" i="1"/>
  <c r="H514" i="1"/>
  <c r="J513" i="1"/>
  <c r="K512" i="1"/>
  <c r="L511" i="1"/>
  <c r="L510" i="1"/>
  <c r="N509" i="1"/>
  <c r="Q508" i="1"/>
  <c r="T507" i="1"/>
  <c r="Y506" i="1"/>
  <c r="A506" i="1"/>
  <c r="D505" i="1"/>
  <c r="G504" i="1"/>
  <c r="I503" i="1"/>
  <c r="L502" i="1"/>
  <c r="N501" i="1"/>
  <c r="Q500" i="1"/>
  <c r="T499" i="1"/>
  <c r="Y498" i="1"/>
  <c r="A498" i="1"/>
  <c r="D497" i="1"/>
  <c r="G496" i="1"/>
  <c r="E495" i="1"/>
  <c r="C494" i="1"/>
  <c r="B493" i="1"/>
  <c r="D492" i="1"/>
  <c r="F491" i="1"/>
  <c r="H490" i="1"/>
  <c r="J489" i="1"/>
  <c r="L488" i="1"/>
  <c r="N487" i="1"/>
  <c r="O486" i="1"/>
  <c r="Q485" i="1"/>
  <c r="R484" i="1"/>
  <c r="U483" i="1"/>
  <c r="Y482" i="1"/>
  <c r="AA481" i="1"/>
  <c r="B481" i="1"/>
  <c r="E480" i="1"/>
  <c r="H479" i="1"/>
  <c r="J478" i="1"/>
  <c r="H477" i="1"/>
  <c r="E476" i="1"/>
  <c r="C475" i="1"/>
  <c r="U473" i="1"/>
  <c r="P472" i="1"/>
  <c r="L471" i="1"/>
  <c r="E470" i="1"/>
  <c r="A469" i="1"/>
  <c r="L467" i="1"/>
  <c r="M466" i="1"/>
  <c r="J465" i="1"/>
  <c r="J464" i="1"/>
  <c r="M463" i="1"/>
  <c r="P462" i="1"/>
  <c r="Q461" i="1"/>
  <c r="T460" i="1"/>
  <c r="Y459" i="1"/>
  <c r="AA458" i="1"/>
  <c r="V457" i="1"/>
  <c r="U456" i="1"/>
  <c r="Q455" i="1"/>
  <c r="T454" i="1"/>
  <c r="V453" i="1"/>
  <c r="AA452" i="1"/>
  <c r="C452" i="1"/>
  <c r="F451" i="1"/>
  <c r="H450" i="1"/>
  <c r="J449" i="1"/>
  <c r="L448" i="1"/>
  <c r="O447" i="1"/>
  <c r="R446" i="1"/>
  <c r="U445" i="1"/>
  <c r="V444" i="1"/>
  <c r="V443" i="1"/>
  <c r="V442" i="1"/>
  <c r="U441" i="1"/>
  <c r="T440" i="1"/>
  <c r="V439" i="1"/>
  <c r="AA438" i="1"/>
  <c r="C438" i="1"/>
  <c r="F437" i="1"/>
  <c r="I436" i="1"/>
  <c r="L435" i="1"/>
  <c r="O434" i="1"/>
  <c r="P433" i="1"/>
  <c r="M432" i="1"/>
  <c r="K431" i="1"/>
  <c r="J430" i="1"/>
  <c r="I429" i="1"/>
  <c r="M428" i="1"/>
  <c r="Q427" i="1"/>
  <c r="U426" i="1"/>
  <c r="Z425" i="1"/>
  <c r="A425" i="1"/>
  <c r="A424" i="1"/>
  <c r="AA422" i="1"/>
  <c r="AA421" i="1"/>
  <c r="U420" i="1"/>
  <c r="U419" i="1"/>
  <c r="S418" i="1"/>
  <c r="T417" i="1"/>
  <c r="Q416" i="1"/>
  <c r="O415" i="1"/>
  <c r="I414" i="1"/>
  <c r="L413" i="1"/>
  <c r="P412" i="1"/>
  <c r="R411" i="1"/>
  <c r="V410" i="1"/>
  <c r="AA409" i="1"/>
  <c r="D409" i="1"/>
  <c r="F408" i="1"/>
  <c r="G407" i="1"/>
  <c r="K406" i="1"/>
  <c r="M405" i="1"/>
  <c r="P404" i="1"/>
  <c r="Q403" i="1"/>
  <c r="R402" i="1"/>
  <c r="T401" i="1"/>
  <c r="Y400" i="1"/>
  <c r="Z399" i="1"/>
  <c r="B399" i="1"/>
  <c r="F398" i="1"/>
  <c r="H397" i="1"/>
  <c r="K396" i="1"/>
  <c r="N1375" i="1"/>
  <c r="N1196" i="1"/>
  <c r="M1125" i="1"/>
  <c r="U1082" i="1"/>
  <c r="K1052" i="1"/>
  <c r="F1021" i="1"/>
  <c r="A996" i="1"/>
  <c r="L976" i="1"/>
  <c r="F957" i="1"/>
  <c r="L937" i="1"/>
  <c r="C920" i="1"/>
  <c r="J906" i="1"/>
  <c r="M896" i="1"/>
  <c r="C887" i="1"/>
  <c r="A878" i="1"/>
  <c r="M869" i="1"/>
  <c r="A861" i="1"/>
  <c r="D852" i="1"/>
  <c r="O843" i="1"/>
  <c r="D835" i="1"/>
  <c r="Q826" i="1"/>
  <c r="A819" i="1"/>
  <c r="C811" i="1"/>
  <c r="F803" i="1"/>
  <c r="N796" i="1"/>
  <c r="C790" i="1"/>
  <c r="D783" i="1"/>
  <c r="AA776" i="1"/>
  <c r="S769" i="1"/>
  <c r="D763" i="1"/>
  <c r="M756" i="1"/>
  <c r="A750" i="1"/>
  <c r="E743" i="1"/>
  <c r="P736" i="1"/>
  <c r="P729" i="1"/>
  <c r="J724" i="1"/>
  <c r="F720" i="1"/>
  <c r="G716" i="1"/>
  <c r="E712" i="1"/>
  <c r="E708" i="1"/>
  <c r="C704" i="1"/>
  <c r="F700" i="1"/>
  <c r="A696" i="1"/>
  <c r="O691" i="1"/>
  <c r="K687" i="1"/>
  <c r="U683" i="1"/>
  <c r="G680" i="1"/>
  <c r="R676" i="1"/>
  <c r="E673" i="1"/>
  <c r="O669" i="1"/>
  <c r="B666" i="1"/>
  <c r="L662" i="1"/>
  <c r="Z658" i="1"/>
  <c r="B655" i="1"/>
  <c r="T651" i="1"/>
  <c r="O648" i="1"/>
  <c r="G645" i="1"/>
  <c r="H642" i="1"/>
  <c r="D639" i="1"/>
  <c r="Y635" i="1"/>
  <c r="I633" i="1"/>
  <c r="Y630" i="1"/>
  <c r="L628" i="1"/>
  <c r="A626" i="1"/>
  <c r="O623" i="1"/>
  <c r="M621" i="1"/>
  <c r="T619" i="1"/>
  <c r="B618" i="1"/>
  <c r="J616" i="1"/>
  <c r="Q614" i="1"/>
  <c r="Y612" i="1"/>
  <c r="F611" i="1"/>
  <c r="M609" i="1"/>
  <c r="S607" i="1"/>
  <c r="Z605" i="1"/>
  <c r="D604" i="1"/>
  <c r="J602" i="1"/>
  <c r="P600" i="1"/>
  <c r="T598" i="1"/>
  <c r="Y596" i="1"/>
  <c r="B595" i="1"/>
  <c r="F593" i="1"/>
  <c r="L591" i="1"/>
  <c r="Q589" i="1"/>
  <c r="V587" i="1"/>
  <c r="C586" i="1"/>
  <c r="I584" i="1"/>
  <c r="N582" i="1"/>
  <c r="S580" i="1"/>
  <c r="AA578" i="1"/>
  <c r="F577" i="1"/>
  <c r="N575" i="1"/>
  <c r="U573" i="1"/>
  <c r="B572" i="1"/>
  <c r="J570" i="1"/>
  <c r="R568" i="1"/>
  <c r="Z566" i="1"/>
  <c r="F565" i="1"/>
  <c r="N563" i="1"/>
  <c r="V561" i="1"/>
  <c r="D560" i="1"/>
  <c r="K558" i="1"/>
  <c r="O556" i="1"/>
  <c r="R554" i="1"/>
  <c r="Y552" i="1"/>
  <c r="D551" i="1"/>
  <c r="I549" i="1"/>
  <c r="P547" i="1"/>
  <c r="V545" i="1"/>
  <c r="C544" i="1"/>
  <c r="I542" i="1"/>
  <c r="P540" i="1"/>
  <c r="V538" i="1"/>
  <c r="D537" i="1"/>
  <c r="P535" i="1"/>
  <c r="A534" i="1"/>
  <c r="I532" i="1"/>
  <c r="Q530" i="1"/>
  <c r="A529" i="1"/>
  <c r="N527" i="1"/>
  <c r="I526" i="1"/>
  <c r="A525" i="1"/>
  <c r="Z523" i="1"/>
  <c r="S522" i="1"/>
  <c r="P521" i="1"/>
  <c r="M520" i="1"/>
  <c r="I519" i="1"/>
  <c r="H518" i="1"/>
  <c r="G517" i="1"/>
  <c r="F516" i="1"/>
  <c r="F515" i="1"/>
  <c r="G514" i="1"/>
  <c r="H513" i="1"/>
  <c r="J512" i="1"/>
  <c r="J511" i="1"/>
  <c r="J510" i="1"/>
  <c r="M509" i="1"/>
  <c r="P508" i="1"/>
  <c r="S507" i="1"/>
  <c r="W506" i="1"/>
  <c r="AA505" i="1"/>
  <c r="C505" i="1"/>
  <c r="F504" i="1"/>
  <c r="H503" i="1"/>
  <c r="J502" i="1"/>
  <c r="M501" i="1"/>
  <c r="P500" i="1"/>
  <c r="S499" i="1"/>
  <c r="W498" i="1"/>
  <c r="AA497" i="1"/>
  <c r="C497" i="1"/>
  <c r="F496" i="1"/>
  <c r="D495" i="1"/>
  <c r="A494" i="1"/>
  <c r="A493" i="1"/>
  <c r="C492" i="1"/>
  <c r="E491" i="1"/>
  <c r="G490" i="1"/>
  <c r="I489" i="1"/>
  <c r="K488" i="1"/>
  <c r="M487" i="1"/>
  <c r="N486" i="1"/>
  <c r="O485" i="1"/>
  <c r="Q484" i="1"/>
  <c r="T483" i="1"/>
  <c r="V482" i="1"/>
  <c r="Z481" i="1"/>
  <c r="A481" i="1"/>
  <c r="D480" i="1"/>
  <c r="G479" i="1"/>
  <c r="I478" i="1"/>
  <c r="F477" i="1"/>
  <c r="D476" i="1"/>
  <c r="B475" i="1"/>
  <c r="R473" i="1"/>
  <c r="O472" i="1"/>
  <c r="I471" i="1"/>
  <c r="D470" i="1"/>
  <c r="AA468" i="1"/>
  <c r="K467" i="1"/>
  <c r="I466" i="1"/>
  <c r="I465" i="1"/>
  <c r="I464" i="1"/>
  <c r="L463" i="1"/>
  <c r="O462" i="1"/>
  <c r="P461" i="1"/>
  <c r="S460" i="1"/>
  <c r="V459" i="1"/>
  <c r="V458" i="1"/>
  <c r="T457" i="1"/>
  <c r="T456" i="1"/>
  <c r="P455" i="1"/>
  <c r="S454" i="1"/>
  <c r="U453" i="1"/>
  <c r="Z452" i="1"/>
  <c r="B452" i="1"/>
  <c r="E451" i="1"/>
  <c r="G450" i="1"/>
  <c r="H449" i="1"/>
  <c r="K448" i="1"/>
  <c r="N447" i="1"/>
  <c r="Q446" i="1"/>
  <c r="T445" i="1"/>
  <c r="U444" i="1"/>
  <c r="U443" i="1"/>
  <c r="U442" i="1"/>
  <c r="T441" i="1"/>
  <c r="R440" i="1"/>
  <c r="U439" i="1"/>
  <c r="Z438" i="1"/>
  <c r="B438" i="1"/>
  <c r="E437" i="1"/>
  <c r="H436" i="1"/>
  <c r="K435" i="1"/>
  <c r="N434" i="1"/>
  <c r="O433" i="1"/>
  <c r="K432" i="1"/>
  <c r="J431" i="1"/>
  <c r="I430" i="1"/>
  <c r="H429" i="1"/>
  <c r="L428" i="1"/>
  <c r="P427" i="1"/>
  <c r="T426" i="1"/>
  <c r="Y425" i="1"/>
  <c r="AA424" i="1"/>
  <c r="Z423" i="1"/>
  <c r="Z422" i="1"/>
  <c r="V421" i="1"/>
  <c r="T420" i="1"/>
  <c r="T419" i="1"/>
  <c r="R418" i="1"/>
  <c r="R417" i="1"/>
  <c r="P416" i="1"/>
  <c r="N415" i="1"/>
  <c r="G414" i="1"/>
  <c r="K413" i="1"/>
  <c r="O412" i="1"/>
  <c r="Q411" i="1"/>
  <c r="U410" i="1"/>
  <c r="Z409" i="1"/>
  <c r="C409" i="1"/>
  <c r="E408" i="1"/>
  <c r="F407" i="1"/>
  <c r="I406" i="1"/>
  <c r="L405" i="1"/>
  <c r="O404" i="1"/>
  <c r="P403" i="1"/>
  <c r="Q402" i="1"/>
  <c r="S401" i="1"/>
  <c r="W400" i="1"/>
  <c r="Y399" i="1"/>
  <c r="A399" i="1"/>
  <c r="D398" i="1"/>
  <c r="G397" i="1"/>
  <c r="J396" i="1"/>
  <c r="O395" i="1"/>
  <c r="R394" i="1"/>
  <c r="U393" i="1"/>
  <c r="A1369" i="1"/>
  <c r="Q1187" i="1"/>
  <c r="U1123" i="1"/>
  <c r="O1081" i="1"/>
  <c r="H1052" i="1"/>
  <c r="E1019" i="1"/>
  <c r="N995" i="1"/>
  <c r="G976" i="1"/>
  <c r="R956" i="1"/>
  <c r="G936" i="1"/>
  <c r="H919" i="1"/>
  <c r="C906" i="1"/>
  <c r="B896" i="1"/>
  <c r="Q886" i="1"/>
  <c r="U877" i="1"/>
  <c r="G869" i="1"/>
  <c r="F860" i="1"/>
  <c r="AA851" i="1"/>
  <c r="L843" i="1"/>
  <c r="U834" i="1"/>
  <c r="E826" i="1"/>
  <c r="Q818" i="1"/>
  <c r="AA810" i="1"/>
  <c r="R802" i="1"/>
  <c r="J796" i="1"/>
  <c r="AA789" i="1"/>
  <c r="A783" i="1"/>
  <c r="J776" i="1"/>
  <c r="N769" i="1"/>
  <c r="A763" i="1"/>
  <c r="J756" i="1"/>
  <c r="L749" i="1"/>
  <c r="A743" i="1"/>
  <c r="L736" i="1"/>
  <c r="L729" i="1"/>
  <c r="F724" i="1"/>
  <c r="C720" i="1"/>
  <c r="C716" i="1"/>
  <c r="B712" i="1"/>
  <c r="A708" i="1"/>
  <c r="AA703" i="1"/>
  <c r="C700" i="1"/>
  <c r="U695" i="1"/>
  <c r="K691" i="1"/>
  <c r="F687" i="1"/>
  <c r="R683" i="1"/>
  <c r="C680" i="1"/>
  <c r="O676" i="1"/>
  <c r="A673" i="1"/>
  <c r="L669" i="1"/>
  <c r="Z665" i="1"/>
  <c r="I662" i="1"/>
  <c r="U658" i="1"/>
  <c r="Y654" i="1"/>
  <c r="Q651" i="1"/>
  <c r="L648" i="1"/>
  <c r="D645" i="1"/>
  <c r="Z641" i="1"/>
  <c r="B639" i="1"/>
  <c r="T635" i="1"/>
  <c r="G633" i="1"/>
  <c r="U630" i="1"/>
  <c r="J628" i="1"/>
  <c r="Z625" i="1"/>
  <c r="M623" i="1"/>
  <c r="J621" i="1"/>
  <c r="R619" i="1"/>
  <c r="AA617" i="1"/>
  <c r="H616" i="1"/>
  <c r="O614" i="1"/>
  <c r="V612" i="1"/>
  <c r="D611" i="1"/>
  <c r="K609" i="1"/>
  <c r="P607" i="1"/>
  <c r="U605" i="1"/>
  <c r="B604" i="1"/>
  <c r="H602" i="1"/>
  <c r="N600" i="1"/>
  <c r="R598" i="1"/>
  <c r="U596" i="1"/>
  <c r="AA594" i="1"/>
  <c r="D593" i="1"/>
  <c r="I591" i="1"/>
  <c r="N589" i="1"/>
  <c r="T587" i="1"/>
  <c r="A586" i="1"/>
  <c r="G584" i="1"/>
  <c r="L582" i="1"/>
  <c r="Q580" i="1"/>
  <c r="Y578" i="1"/>
  <c r="D577" i="1"/>
  <c r="K575" i="1"/>
  <c r="R573" i="1"/>
  <c r="AA571" i="1"/>
  <c r="H570" i="1"/>
  <c r="P568" i="1"/>
  <c r="W566" i="1"/>
  <c r="D565" i="1"/>
  <c r="L563" i="1"/>
  <c r="T561" i="1"/>
  <c r="A560" i="1"/>
  <c r="H558" i="1"/>
  <c r="L556" i="1"/>
  <c r="P554" i="1"/>
  <c r="U552" i="1"/>
  <c r="B551" i="1"/>
  <c r="G549" i="1"/>
  <c r="N547" i="1"/>
  <c r="T545" i="1"/>
  <c r="AA543" i="1"/>
  <c r="F542" i="1"/>
  <c r="N540" i="1"/>
  <c r="T538" i="1"/>
  <c r="B537" i="1"/>
  <c r="N535" i="1"/>
  <c r="Z533" i="1"/>
  <c r="G532" i="1"/>
  <c r="O530" i="1"/>
  <c r="Z528" i="1"/>
  <c r="K527" i="1"/>
  <c r="H526" i="1"/>
  <c r="AA524" i="1"/>
  <c r="Y523" i="1"/>
  <c r="R522" i="1"/>
  <c r="O521" i="1"/>
  <c r="K520" i="1"/>
  <c r="G519" i="1"/>
  <c r="G518" i="1"/>
  <c r="F517" i="1"/>
  <c r="E516" i="1"/>
  <c r="E515" i="1"/>
  <c r="F514" i="1"/>
  <c r="G513" i="1"/>
  <c r="I512" i="1"/>
  <c r="I511" i="1"/>
  <c r="I510" i="1"/>
  <c r="L509" i="1"/>
  <c r="O508" i="1"/>
  <c r="R507" i="1"/>
  <c r="U506" i="1"/>
  <c r="Z505" i="1"/>
  <c r="B505" i="1"/>
  <c r="D504" i="1"/>
  <c r="G503" i="1"/>
  <c r="I502" i="1"/>
  <c r="L501" i="1"/>
  <c r="O500" i="1"/>
  <c r="R499" i="1"/>
  <c r="U498" i="1"/>
  <c r="Z497" i="1"/>
  <c r="B497" i="1"/>
  <c r="D496" i="1"/>
  <c r="C495" i="1"/>
  <c r="AA493" i="1"/>
  <c r="AA492" i="1"/>
  <c r="B492" i="1"/>
  <c r="D491" i="1"/>
  <c r="F490" i="1"/>
  <c r="H489" i="1"/>
  <c r="J488" i="1"/>
  <c r="K487" i="1"/>
  <c r="M486" i="1"/>
  <c r="N485" i="1"/>
  <c r="P484" i="1"/>
  <c r="R483" i="1"/>
  <c r="U482" i="1"/>
  <c r="Y481" i="1"/>
  <c r="AA480" i="1"/>
  <c r="C480" i="1"/>
  <c r="E479" i="1"/>
  <c r="H478" i="1"/>
  <c r="E477" i="1"/>
  <c r="C476" i="1"/>
  <c r="A475" i="1"/>
  <c r="Q473" i="1"/>
  <c r="N472" i="1"/>
  <c r="H471" i="1"/>
  <c r="C470" i="1"/>
  <c r="R468" i="1"/>
  <c r="J467" i="1"/>
  <c r="H466" i="1"/>
  <c r="H465" i="1"/>
  <c r="H464" i="1"/>
  <c r="K463" i="1"/>
  <c r="N462" i="1"/>
  <c r="O461" i="1"/>
  <c r="R460" i="1"/>
  <c r="T459" i="1"/>
  <c r="U458" i="1"/>
  <c r="R457" i="1"/>
  <c r="R456" i="1"/>
  <c r="O455" i="1"/>
  <c r="R454" i="1"/>
  <c r="T453" i="1"/>
  <c r="Y452" i="1"/>
  <c r="A452" i="1"/>
  <c r="C451" i="1"/>
  <c r="F450" i="1"/>
  <c r="G449" i="1"/>
  <c r="J448" i="1"/>
  <c r="M447" i="1"/>
  <c r="P446" i="1"/>
  <c r="S445" i="1"/>
  <c r="T444" i="1"/>
  <c r="T443" i="1"/>
  <c r="S442" i="1"/>
  <c r="R441" i="1"/>
  <c r="Q440" i="1"/>
  <c r="T439" i="1"/>
  <c r="Y438" i="1"/>
  <c r="A438" i="1"/>
  <c r="D437" i="1"/>
  <c r="G436" i="1"/>
  <c r="J435" i="1"/>
  <c r="K434" i="1"/>
  <c r="N433" i="1"/>
  <c r="J432" i="1"/>
  <c r="I431" i="1"/>
  <c r="H430" i="1"/>
  <c r="G429" i="1"/>
  <c r="K428" i="1"/>
  <c r="O427" i="1"/>
  <c r="S426" i="1"/>
  <c r="U425" i="1"/>
  <c r="Z424" i="1"/>
  <c r="V423" i="1"/>
  <c r="V422" i="1"/>
  <c r="U421" i="1"/>
  <c r="R420" i="1"/>
  <c r="R419" i="1"/>
  <c r="Q418" i="1"/>
  <c r="Q417" i="1"/>
  <c r="N416" i="1"/>
  <c r="L415" i="1"/>
  <c r="F414" i="1"/>
  <c r="J413" i="1"/>
  <c r="N412" i="1"/>
  <c r="P411" i="1"/>
  <c r="T410" i="1"/>
  <c r="Y409" i="1"/>
  <c r="B409" i="1"/>
  <c r="C408" i="1"/>
  <c r="E407" i="1"/>
  <c r="H406" i="1"/>
  <c r="K405" i="1"/>
  <c r="N404" i="1"/>
  <c r="O403" i="1"/>
  <c r="P402" i="1"/>
  <c r="R401" i="1"/>
  <c r="U400" i="1"/>
  <c r="V399" i="1"/>
  <c r="AA398" i="1"/>
  <c r="C398" i="1"/>
  <c r="AA1367" i="1"/>
  <c r="D1186" i="1"/>
  <c r="Q1122" i="1"/>
  <c r="C1081" i="1"/>
  <c r="E1049" i="1"/>
  <c r="A1018" i="1"/>
  <c r="L995" i="1"/>
  <c r="E976" i="1"/>
  <c r="L955" i="1"/>
  <c r="A936" i="1"/>
  <c r="D919" i="1"/>
  <c r="AA905" i="1"/>
  <c r="AA895" i="1"/>
  <c r="N886" i="1"/>
  <c r="Q877" i="1"/>
  <c r="P868" i="1"/>
  <c r="A860" i="1"/>
  <c r="R851" i="1"/>
  <c r="I843" i="1"/>
  <c r="I834" i="1"/>
  <c r="B826" i="1"/>
  <c r="O818" i="1"/>
  <c r="Q810" i="1"/>
  <c r="P802" i="1"/>
  <c r="H796" i="1"/>
  <c r="R789" i="1"/>
  <c r="J782" i="1"/>
  <c r="G776" i="1"/>
  <c r="L769" i="1"/>
  <c r="V762" i="1"/>
  <c r="AA755" i="1"/>
  <c r="G749" i="1"/>
  <c r="V742" i="1"/>
  <c r="J736" i="1"/>
  <c r="G729" i="1"/>
  <c r="D724" i="1"/>
  <c r="A720" i="1"/>
  <c r="A716" i="1"/>
  <c r="AA711" i="1"/>
  <c r="V707" i="1"/>
  <c r="V703" i="1"/>
  <c r="AA699" i="1"/>
  <c r="R695" i="1"/>
  <c r="I691" i="1"/>
  <c r="D687" i="1"/>
  <c r="P683" i="1"/>
  <c r="A680" i="1"/>
  <c r="M676" i="1"/>
  <c r="Y672" i="1"/>
  <c r="J669" i="1"/>
  <c r="U665" i="1"/>
  <c r="G662" i="1"/>
  <c r="S658" i="1"/>
  <c r="U654" i="1"/>
  <c r="O651" i="1"/>
  <c r="J648" i="1"/>
  <c r="B645" i="1"/>
  <c r="U641" i="1"/>
  <c r="A639" i="1"/>
  <c r="S635" i="1"/>
  <c r="F633" i="1"/>
  <c r="T630" i="1"/>
  <c r="I628" i="1"/>
  <c r="Y625" i="1"/>
  <c r="L623" i="1"/>
  <c r="I621" i="1"/>
  <c r="Q619" i="1"/>
  <c r="Z617" i="1"/>
  <c r="F616" i="1"/>
  <c r="M614" i="1"/>
  <c r="U612" i="1"/>
  <c r="C611" i="1"/>
  <c r="J609" i="1"/>
  <c r="O607" i="1"/>
  <c r="T605" i="1"/>
  <c r="A604" i="1"/>
  <c r="G602" i="1"/>
  <c r="L600" i="1"/>
  <c r="P598" i="1"/>
  <c r="T596" i="1"/>
  <c r="Z594" i="1"/>
  <c r="C593" i="1"/>
  <c r="H591" i="1"/>
  <c r="M589" i="1"/>
  <c r="S587" i="1"/>
  <c r="AA585" i="1"/>
  <c r="E584" i="1"/>
  <c r="J582" i="1"/>
  <c r="P580" i="1"/>
  <c r="V578" i="1"/>
  <c r="C577" i="1"/>
  <c r="J575" i="1"/>
  <c r="Q573" i="1"/>
  <c r="Z571" i="1"/>
  <c r="G570" i="1"/>
  <c r="N568" i="1"/>
  <c r="U566" i="1"/>
  <c r="C565" i="1"/>
  <c r="K563" i="1"/>
  <c r="S561" i="1"/>
  <c r="AA559" i="1"/>
  <c r="G558" i="1"/>
  <c r="I556" i="1"/>
  <c r="O554" i="1"/>
  <c r="S552" i="1"/>
  <c r="AA550" i="1"/>
  <c r="F549" i="1"/>
  <c r="M547" i="1"/>
  <c r="S545" i="1"/>
  <c r="Z543" i="1"/>
  <c r="E542" i="1"/>
  <c r="M540" i="1"/>
  <c r="S538" i="1"/>
  <c r="A537" i="1"/>
  <c r="M535" i="1"/>
  <c r="Y533" i="1"/>
  <c r="F532" i="1"/>
  <c r="N530" i="1"/>
  <c r="Y528" i="1"/>
  <c r="J527" i="1"/>
  <c r="G526" i="1"/>
  <c r="Z524" i="1"/>
  <c r="W523" i="1"/>
  <c r="P522" i="1"/>
  <c r="N521" i="1"/>
  <c r="I520" i="1"/>
  <c r="F519" i="1"/>
  <c r="F518" i="1"/>
  <c r="D517" i="1"/>
  <c r="D516" i="1"/>
  <c r="D515" i="1"/>
  <c r="E514" i="1"/>
  <c r="F513" i="1"/>
  <c r="H512" i="1"/>
  <c r="H511" i="1"/>
  <c r="H510" i="1"/>
  <c r="K509" i="1"/>
  <c r="N508" i="1"/>
  <c r="Q507" i="1"/>
  <c r="T506" i="1"/>
  <c r="Y505" i="1"/>
  <c r="A505" i="1"/>
  <c r="C504" i="1"/>
  <c r="E503" i="1"/>
  <c r="H502" i="1"/>
  <c r="K501" i="1"/>
  <c r="N500" i="1"/>
  <c r="Q499" i="1"/>
  <c r="T498" i="1"/>
  <c r="Y497" i="1"/>
  <c r="A497" i="1"/>
  <c r="C496" i="1"/>
  <c r="A495" i="1"/>
  <c r="Z493" i="1"/>
  <c r="Z492" i="1"/>
  <c r="A492" i="1"/>
  <c r="C491" i="1"/>
  <c r="E490" i="1"/>
  <c r="G489" i="1"/>
  <c r="I488" i="1"/>
  <c r="J487" i="1"/>
  <c r="K486" i="1"/>
  <c r="M485" i="1"/>
  <c r="O484" i="1"/>
  <c r="Q483" i="1"/>
  <c r="T482" i="1"/>
  <c r="V481" i="1"/>
  <c r="Z480" i="1"/>
  <c r="B480" i="1"/>
  <c r="D479" i="1"/>
  <c r="F478" i="1"/>
  <c r="D477" i="1"/>
  <c r="B476" i="1"/>
  <c r="AA474" i="1"/>
  <c r="P473" i="1"/>
  <c r="M472" i="1"/>
  <c r="G471" i="1"/>
  <c r="B470" i="1"/>
  <c r="Q468" i="1"/>
  <c r="H467" i="1"/>
  <c r="G466" i="1"/>
  <c r="G465" i="1"/>
  <c r="G464" i="1"/>
  <c r="J463" i="1"/>
  <c r="M462" i="1"/>
  <c r="N461" i="1"/>
  <c r="Q460" i="1"/>
  <c r="S459" i="1"/>
  <c r="R458" i="1"/>
  <c r="Q457" i="1"/>
  <c r="Q456" i="1"/>
  <c r="N455" i="1"/>
  <c r="Q454" i="1"/>
  <c r="S453" i="1"/>
  <c r="V452" i="1"/>
  <c r="AA451" i="1"/>
  <c r="B451" i="1"/>
  <c r="D450" i="1"/>
  <c r="F449" i="1"/>
  <c r="I448" i="1"/>
  <c r="L447" i="1"/>
  <c r="O446" i="1"/>
  <c r="R445" i="1"/>
  <c r="S444" i="1"/>
  <c r="S443" i="1"/>
  <c r="R442" i="1"/>
  <c r="P441" i="1"/>
  <c r="P440" i="1"/>
  <c r="S439" i="1"/>
  <c r="V438" i="1"/>
  <c r="AA437" i="1"/>
  <c r="C437" i="1"/>
  <c r="F436" i="1"/>
  <c r="I435" i="1"/>
  <c r="J434" i="1"/>
  <c r="L433" i="1"/>
  <c r="I432" i="1"/>
  <c r="H431" i="1"/>
  <c r="G430" i="1"/>
  <c r="F429" i="1"/>
  <c r="J428" i="1"/>
  <c r="N427" i="1"/>
  <c r="R426" i="1"/>
  <c r="T425" i="1"/>
  <c r="U424" i="1"/>
  <c r="U423" i="1"/>
  <c r="U422" i="1"/>
  <c r="T421" i="1"/>
  <c r="Q420" i="1"/>
  <c r="Q419" i="1"/>
  <c r="P418" i="1"/>
  <c r="P417" i="1"/>
  <c r="M416" i="1"/>
  <c r="H415" i="1"/>
  <c r="E414" i="1"/>
  <c r="I413" i="1"/>
  <c r="M412" i="1"/>
  <c r="O411" i="1"/>
  <c r="S410" i="1"/>
  <c r="W409" i="1"/>
  <c r="A409" i="1"/>
  <c r="B408" i="1"/>
  <c r="C407" i="1"/>
  <c r="G406" i="1"/>
  <c r="J405" i="1"/>
  <c r="M404" i="1"/>
  <c r="N403" i="1"/>
  <c r="O402" i="1"/>
  <c r="Q401" i="1"/>
  <c r="T400" i="1"/>
  <c r="U399" i="1"/>
  <c r="Y398" i="1"/>
  <c r="B398" i="1"/>
  <c r="E397" i="1"/>
  <c r="H396" i="1"/>
  <c r="M395" i="1"/>
  <c r="P394" i="1"/>
  <c r="S393" i="1"/>
  <c r="Z392" i="1"/>
  <c r="C392" i="1"/>
  <c r="F391" i="1"/>
  <c r="I390" i="1"/>
  <c r="N389" i="1"/>
  <c r="S388" i="1"/>
  <c r="Z387" i="1"/>
  <c r="D387" i="1"/>
  <c r="H386" i="1"/>
  <c r="L385" i="1"/>
  <c r="P384" i="1"/>
  <c r="O383" i="1"/>
  <c r="R382" i="1"/>
  <c r="V381" i="1"/>
  <c r="Z380" i="1"/>
  <c r="B380" i="1"/>
  <c r="E379" i="1"/>
  <c r="H378" i="1"/>
  <c r="M377" i="1"/>
  <c r="P376" i="1"/>
  <c r="T375" i="1"/>
  <c r="Y374" i="1"/>
  <c r="A374" i="1"/>
  <c r="D373" i="1"/>
  <c r="G372" i="1"/>
  <c r="L371" i="1"/>
  <c r="O370" i="1"/>
  <c r="Q369" i="1"/>
  <c r="U368" i="1"/>
  <c r="Z367" i="1"/>
  <c r="C367" i="1"/>
  <c r="F366" i="1"/>
  <c r="I365" i="1"/>
  <c r="L364" i="1"/>
  <c r="P363" i="1"/>
  <c r="U362" i="1"/>
  <c r="Z361" i="1"/>
  <c r="C361" i="1"/>
  <c r="G360" i="1"/>
  <c r="K359" i="1"/>
  <c r="O358" i="1"/>
  <c r="T357" i="1"/>
  <c r="Z356" i="1"/>
  <c r="D356" i="1"/>
  <c r="I355" i="1"/>
  <c r="N354" i="1"/>
  <c r="R353" i="1"/>
  <c r="X352" i="1"/>
  <c r="B352" i="1"/>
  <c r="G351" i="1"/>
  <c r="M350" i="1"/>
  <c r="S349" i="1"/>
  <c r="W348" i="1"/>
  <c r="W347" i="1"/>
  <c r="W346" i="1"/>
  <c r="W345" i="1"/>
  <c r="W344" i="1"/>
  <c r="W343" i="1"/>
  <c r="W342" i="1"/>
  <c r="Z341" i="1"/>
  <c r="D341" i="1"/>
  <c r="I340" i="1"/>
  <c r="N339" i="1"/>
  <c r="S338" i="1"/>
  <c r="Z337" i="1"/>
  <c r="D337" i="1"/>
  <c r="I336" i="1"/>
  <c r="N335" i="1"/>
  <c r="S334" i="1"/>
  <c r="Z333" i="1"/>
  <c r="D333" i="1"/>
  <c r="I332" i="1"/>
  <c r="N331" i="1"/>
  <c r="S330" i="1"/>
  <c r="Z329" i="1"/>
  <c r="D329" i="1"/>
  <c r="I328" i="1"/>
  <c r="N327" i="1"/>
  <c r="S326" i="1"/>
  <c r="Z325" i="1"/>
  <c r="B325" i="1"/>
  <c r="E324" i="1"/>
  <c r="J323" i="1"/>
  <c r="O322" i="1"/>
  <c r="U321" i="1"/>
  <c r="Z320" i="1"/>
  <c r="C320" i="1"/>
  <c r="G319" i="1"/>
  <c r="M318" i="1"/>
  <c r="Q317" i="1"/>
  <c r="U316" i="1"/>
  <c r="Z315" i="1"/>
  <c r="D315" i="1"/>
  <c r="J314" i="1"/>
  <c r="P313" i="1"/>
  <c r="V312" i="1"/>
  <c r="U311" i="1"/>
  <c r="R310" i="1"/>
  <c r="P309" i="1"/>
  <c r="P308" i="1"/>
  <c r="P307" i="1"/>
  <c r="P306" i="1"/>
  <c r="R305" i="1"/>
  <c r="R304" i="1"/>
  <c r="R303" i="1"/>
  <c r="R302" i="1"/>
  <c r="U301" i="1"/>
  <c r="U300" i="1"/>
  <c r="U299" i="1"/>
  <c r="R298" i="1"/>
  <c r="R297" i="1"/>
  <c r="N296" i="1"/>
  <c r="N295" i="1"/>
  <c r="N294" i="1"/>
  <c r="L293" i="1"/>
  <c r="K292" i="1"/>
  <c r="J291" i="1"/>
  <c r="I290" i="1"/>
  <c r="G289" i="1"/>
  <c r="F288" i="1"/>
  <c r="E287" i="1"/>
  <c r="D286" i="1"/>
  <c r="D285" i="1"/>
  <c r="E284" i="1"/>
  <c r="B283" i="1"/>
  <c r="A282" i="1"/>
  <c r="C281" i="1"/>
  <c r="A280" i="1"/>
  <c r="U278" i="1"/>
  <c r="U277" i="1"/>
  <c r="U276" i="1"/>
  <c r="Q275" i="1"/>
  <c r="N274" i="1"/>
  <c r="L273" i="1"/>
  <c r="J272" i="1"/>
  <c r="L1352" i="1"/>
  <c r="K1185" i="1"/>
  <c r="N1122" i="1"/>
  <c r="U1080" i="1"/>
  <c r="D1049" i="1"/>
  <c r="AA1017" i="1"/>
  <c r="U994" i="1"/>
  <c r="D976" i="1"/>
  <c r="I955" i="1"/>
  <c r="AA935" i="1"/>
  <c r="C919" i="1"/>
  <c r="H905" i="1"/>
  <c r="Q895" i="1"/>
  <c r="M886" i="1"/>
  <c r="P877" i="1"/>
  <c r="O868" i="1"/>
  <c r="AA859" i="1"/>
  <c r="Q851" i="1"/>
  <c r="H843" i="1"/>
  <c r="H834" i="1"/>
  <c r="AA825" i="1"/>
  <c r="N818" i="1"/>
  <c r="G810" i="1"/>
  <c r="N802" i="1"/>
  <c r="G796" i="1"/>
  <c r="Q789" i="1"/>
  <c r="I782" i="1"/>
  <c r="F776" i="1"/>
  <c r="K769" i="1"/>
  <c r="U762" i="1"/>
  <c r="V755" i="1"/>
  <c r="F749" i="1"/>
  <c r="U742" i="1"/>
  <c r="A736" i="1"/>
  <c r="C729" i="1"/>
  <c r="C724" i="1"/>
  <c r="AA719" i="1"/>
  <c r="AA715" i="1"/>
  <c r="X711" i="1"/>
  <c r="U707" i="1"/>
  <c r="U703" i="1"/>
  <c r="W699" i="1"/>
  <c r="Q695" i="1"/>
  <c r="G691" i="1"/>
  <c r="C687" i="1"/>
  <c r="O683" i="1"/>
  <c r="AA679" i="1"/>
  <c r="L676" i="1"/>
  <c r="W672" i="1"/>
  <c r="I669" i="1"/>
  <c r="T665" i="1"/>
  <c r="F662" i="1"/>
  <c r="Q658" i="1"/>
  <c r="T654" i="1"/>
  <c r="N651" i="1"/>
  <c r="I648" i="1"/>
  <c r="A645" i="1"/>
  <c r="T641" i="1"/>
  <c r="AA638" i="1"/>
  <c r="R635" i="1"/>
  <c r="E633" i="1"/>
  <c r="S630" i="1"/>
  <c r="H628" i="1"/>
  <c r="Q625" i="1"/>
  <c r="G623" i="1"/>
  <c r="H621" i="1"/>
  <c r="P619" i="1"/>
  <c r="Y617" i="1"/>
  <c r="E616" i="1"/>
  <c r="L614" i="1"/>
  <c r="T612" i="1"/>
  <c r="B611" i="1"/>
  <c r="I609" i="1"/>
  <c r="N607" i="1"/>
  <c r="S605" i="1"/>
  <c r="AA603" i="1"/>
  <c r="F602" i="1"/>
  <c r="K600" i="1"/>
  <c r="O598" i="1"/>
  <c r="S596" i="1"/>
  <c r="Y594" i="1"/>
  <c r="B593" i="1"/>
  <c r="G591" i="1"/>
  <c r="L589" i="1"/>
  <c r="R587" i="1"/>
  <c r="Z585" i="1"/>
  <c r="D584" i="1"/>
  <c r="I582" i="1"/>
  <c r="O580" i="1"/>
  <c r="U578" i="1"/>
  <c r="B577" i="1"/>
  <c r="I575" i="1"/>
  <c r="P573" i="1"/>
  <c r="Y571" i="1"/>
  <c r="F570" i="1"/>
  <c r="M568" i="1"/>
  <c r="T566" i="1"/>
  <c r="B565" i="1"/>
  <c r="J563" i="1"/>
  <c r="R561" i="1"/>
  <c r="Z559" i="1"/>
  <c r="F558" i="1"/>
  <c r="H556" i="1"/>
  <c r="N554" i="1"/>
  <c r="R552" i="1"/>
  <c r="Z550" i="1"/>
  <c r="E549" i="1"/>
  <c r="L547" i="1"/>
  <c r="R545" i="1"/>
  <c r="Y543" i="1"/>
  <c r="D542" i="1"/>
  <c r="L540" i="1"/>
  <c r="R538" i="1"/>
  <c r="AA536" i="1"/>
  <c r="L535" i="1"/>
  <c r="W533" i="1"/>
  <c r="E532" i="1"/>
  <c r="M530" i="1"/>
  <c r="W528" i="1"/>
  <c r="I527" i="1"/>
  <c r="F526" i="1"/>
  <c r="W524" i="1"/>
  <c r="U523" i="1"/>
  <c r="O522" i="1"/>
  <c r="M521" i="1"/>
  <c r="H520" i="1"/>
  <c r="E519" i="1"/>
  <c r="E518" i="1"/>
  <c r="C517" i="1"/>
  <c r="B516" i="1"/>
  <c r="C515" i="1"/>
  <c r="C514" i="1"/>
  <c r="E513" i="1"/>
  <c r="F512" i="1"/>
  <c r="F511" i="1"/>
  <c r="G510" i="1"/>
  <c r="J509" i="1"/>
  <c r="M508" i="1"/>
  <c r="P507" i="1"/>
  <c r="S506" i="1"/>
  <c r="W505" i="1"/>
  <c r="Z504" i="1"/>
  <c r="B504" i="1"/>
  <c r="D503" i="1"/>
  <c r="G502" i="1"/>
  <c r="J501" i="1"/>
  <c r="M500" i="1"/>
  <c r="P499" i="1"/>
  <c r="S498" i="1"/>
  <c r="W497" i="1"/>
  <c r="Z496" i="1"/>
  <c r="B496" i="1"/>
  <c r="AA494" i="1"/>
  <c r="Y493" i="1"/>
  <c r="Y492" i="1"/>
  <c r="AA491" i="1"/>
  <c r="B491" i="1"/>
  <c r="D490" i="1"/>
  <c r="F489" i="1"/>
  <c r="G488" i="1"/>
  <c r="I487" i="1"/>
  <c r="J486" i="1"/>
  <c r="L485" i="1"/>
  <c r="N484" i="1"/>
  <c r="P483" i="1"/>
  <c r="S482" i="1"/>
  <c r="U481" i="1"/>
  <c r="Y480" i="1"/>
  <c r="AA479" i="1"/>
  <c r="C479" i="1"/>
  <c r="E478" i="1"/>
  <c r="C477" i="1"/>
  <c r="A476" i="1"/>
  <c r="U474" i="1"/>
  <c r="O473" i="1"/>
  <c r="L472" i="1"/>
  <c r="F471" i="1"/>
  <c r="AA469" i="1"/>
  <c r="P468" i="1"/>
  <c r="G467" i="1"/>
  <c r="F466" i="1"/>
  <c r="F465" i="1"/>
  <c r="F464" i="1"/>
  <c r="I463" i="1"/>
  <c r="L462" i="1"/>
  <c r="M461" i="1"/>
  <c r="O460" i="1"/>
  <c r="R459" i="1"/>
  <c r="Q458" i="1"/>
  <c r="P457" i="1"/>
  <c r="P456" i="1"/>
  <c r="M455" i="1"/>
  <c r="P454" i="1"/>
  <c r="R453" i="1"/>
  <c r="U452" i="1"/>
  <c r="Y451" i="1"/>
  <c r="A451" i="1"/>
  <c r="C450" i="1"/>
  <c r="E449" i="1"/>
  <c r="H448" i="1"/>
  <c r="K447" i="1"/>
  <c r="N446" i="1"/>
  <c r="Q445" i="1"/>
  <c r="R444" i="1"/>
  <c r="Q443" i="1"/>
  <c r="Q442" i="1"/>
  <c r="N441" i="1"/>
  <c r="N440" i="1"/>
  <c r="R439" i="1"/>
  <c r="U438" i="1"/>
  <c r="Z437" i="1"/>
  <c r="B437" i="1"/>
  <c r="E436" i="1"/>
  <c r="G435" i="1"/>
  <c r="I434" i="1"/>
  <c r="I433" i="1"/>
  <c r="H432" i="1"/>
  <c r="G431" i="1"/>
  <c r="F430" i="1"/>
  <c r="E429" i="1"/>
  <c r="I428" i="1"/>
  <c r="M427" i="1"/>
  <c r="P426" i="1"/>
  <c r="S425" i="1"/>
  <c r="R424" i="1"/>
  <c r="R423" i="1"/>
  <c r="R422" i="1"/>
  <c r="R421" i="1"/>
  <c r="P420" i="1"/>
  <c r="P419" i="1"/>
  <c r="O418" i="1"/>
  <c r="N417" i="1"/>
  <c r="L416" i="1"/>
  <c r="G415" i="1"/>
  <c r="D414" i="1"/>
  <c r="H413" i="1"/>
  <c r="L412" i="1"/>
  <c r="N411" i="1"/>
  <c r="R410" i="1"/>
  <c r="V409" i="1"/>
  <c r="Z408" i="1"/>
  <c r="A408" i="1"/>
  <c r="B407" i="1"/>
  <c r="F406" i="1"/>
  <c r="I405" i="1"/>
  <c r="L404" i="1"/>
  <c r="M403" i="1"/>
  <c r="N402" i="1"/>
  <c r="P401" i="1"/>
  <c r="R400" i="1"/>
  <c r="T399" i="1"/>
  <c r="W398" i="1"/>
  <c r="A398" i="1"/>
  <c r="C1350" i="1"/>
  <c r="H1185" i="1"/>
  <c r="M1122" i="1"/>
  <c r="S1080" i="1"/>
  <c r="N1048" i="1"/>
  <c r="J1017" i="1"/>
  <c r="R994" i="1"/>
  <c r="AA974" i="1"/>
  <c r="G955" i="1"/>
  <c r="U935" i="1"/>
  <c r="B919" i="1"/>
  <c r="G905" i="1"/>
  <c r="P895" i="1"/>
  <c r="L886" i="1"/>
  <c r="O877" i="1"/>
  <c r="N868" i="1"/>
  <c r="U859" i="1"/>
  <c r="P851" i="1"/>
  <c r="P842" i="1"/>
  <c r="E834" i="1"/>
  <c r="U825" i="1"/>
  <c r="M818" i="1"/>
  <c r="F810" i="1"/>
  <c r="M802" i="1"/>
  <c r="F796" i="1"/>
  <c r="P789" i="1"/>
  <c r="H782" i="1"/>
  <c r="E776" i="1"/>
  <c r="J769" i="1"/>
  <c r="K762" i="1"/>
  <c r="T755" i="1"/>
  <c r="E749" i="1"/>
  <c r="S742" i="1"/>
  <c r="AA735" i="1"/>
  <c r="B729" i="1"/>
  <c r="B724" i="1"/>
  <c r="V719" i="1"/>
  <c r="V715" i="1"/>
  <c r="V711" i="1"/>
  <c r="S707" i="1"/>
  <c r="S703" i="1"/>
  <c r="U699" i="1"/>
  <c r="P695" i="1"/>
  <c r="F691" i="1"/>
  <c r="B687" i="1"/>
  <c r="N683" i="1"/>
  <c r="Z679" i="1"/>
  <c r="K676" i="1"/>
  <c r="U672" i="1"/>
  <c r="H669" i="1"/>
  <c r="R665" i="1"/>
  <c r="E662" i="1"/>
  <c r="P658" i="1"/>
  <c r="S654" i="1"/>
  <c r="M651" i="1"/>
  <c r="H648" i="1"/>
  <c r="AA644" i="1"/>
  <c r="R641" i="1"/>
  <c r="Z638" i="1"/>
  <c r="Q635" i="1"/>
  <c r="D633" i="1"/>
  <c r="R630" i="1"/>
  <c r="B628" i="1"/>
  <c r="O625" i="1"/>
  <c r="E623" i="1"/>
  <c r="G621" i="1"/>
  <c r="O619" i="1"/>
  <c r="X617" i="1"/>
  <c r="D616" i="1"/>
  <c r="K614" i="1"/>
  <c r="S612" i="1"/>
  <c r="A611" i="1"/>
  <c r="G609" i="1"/>
  <c r="L607" i="1"/>
  <c r="R605" i="1"/>
  <c r="Z603" i="1"/>
  <c r="E602" i="1"/>
  <c r="J600" i="1"/>
  <c r="N598" i="1"/>
  <c r="R596" i="1"/>
  <c r="V594" i="1"/>
  <c r="AA592" i="1"/>
  <c r="E591" i="1"/>
  <c r="K589" i="1"/>
  <c r="Q587" i="1"/>
  <c r="Y585" i="1"/>
  <c r="C584" i="1"/>
  <c r="H582" i="1"/>
  <c r="N580" i="1"/>
  <c r="T578" i="1"/>
  <c r="AA576" i="1"/>
  <c r="G575" i="1"/>
  <c r="O573" i="1"/>
  <c r="W571" i="1"/>
  <c r="E570" i="1"/>
  <c r="L568" i="1"/>
  <c r="S566" i="1"/>
  <c r="A565" i="1"/>
  <c r="I563" i="1"/>
  <c r="P561" i="1"/>
  <c r="W559" i="1"/>
  <c r="E558" i="1"/>
  <c r="G556" i="1"/>
  <c r="M554" i="1"/>
  <c r="Q552" i="1"/>
  <c r="Y550" i="1"/>
  <c r="D549" i="1"/>
  <c r="K547" i="1"/>
  <c r="P545" i="1"/>
  <c r="V543" i="1"/>
  <c r="C542" i="1"/>
  <c r="I540" i="1"/>
  <c r="Q538" i="1"/>
  <c r="Z536" i="1"/>
  <c r="K535" i="1"/>
  <c r="U533" i="1"/>
  <c r="D532" i="1"/>
  <c r="L530" i="1"/>
  <c r="U528" i="1"/>
  <c r="G527" i="1"/>
  <c r="C526" i="1"/>
  <c r="U524" i="1"/>
  <c r="R523" i="1"/>
  <c r="N522" i="1"/>
  <c r="L521" i="1"/>
  <c r="F520" i="1"/>
  <c r="D519" i="1"/>
  <c r="C518" i="1"/>
  <c r="A517" i="1"/>
  <c r="A516" i="1"/>
  <c r="B515" i="1"/>
  <c r="B514" i="1"/>
  <c r="D513" i="1"/>
  <c r="E512" i="1"/>
  <c r="E511" i="1"/>
  <c r="F510" i="1"/>
  <c r="I509" i="1"/>
  <c r="L508" i="1"/>
  <c r="O507" i="1"/>
  <c r="R506" i="1"/>
  <c r="U505" i="1"/>
  <c r="Y504" i="1"/>
  <c r="AA503" i="1"/>
  <c r="C503" i="1"/>
  <c r="F502" i="1"/>
  <c r="I501" i="1"/>
  <c r="L500" i="1"/>
  <c r="O499" i="1"/>
  <c r="R498" i="1"/>
  <c r="U497" i="1"/>
  <c r="Y496" i="1"/>
  <c r="AA495" i="1"/>
  <c r="V494" i="1"/>
  <c r="V493" i="1"/>
  <c r="V492" i="1"/>
  <c r="Z491" i="1"/>
  <c r="A491" i="1"/>
  <c r="C490" i="1"/>
  <c r="E489" i="1"/>
  <c r="F488" i="1"/>
  <c r="G487" i="1"/>
  <c r="I486" i="1"/>
  <c r="K485" i="1"/>
  <c r="M484" i="1"/>
  <c r="O483" i="1"/>
  <c r="R482" i="1"/>
  <c r="T481" i="1"/>
  <c r="V480" i="1"/>
  <c r="Z479" i="1"/>
  <c r="A479" i="1"/>
  <c r="D478" i="1"/>
  <c r="B477" i="1"/>
  <c r="AA475" i="1"/>
  <c r="R474" i="1"/>
  <c r="N473" i="1"/>
  <c r="I472" i="1"/>
  <c r="E471" i="1"/>
  <c r="U469" i="1"/>
  <c r="N468" i="1"/>
  <c r="F467" i="1"/>
  <c r="E466" i="1"/>
  <c r="E465" i="1"/>
  <c r="E464" i="1"/>
  <c r="H463" i="1"/>
  <c r="I462" i="1"/>
  <c r="L461" i="1"/>
  <c r="N460" i="1"/>
  <c r="P459" i="1"/>
  <c r="P458" i="1"/>
  <c r="O457" i="1"/>
  <c r="O456" i="1"/>
  <c r="L455" i="1"/>
  <c r="O454" i="1"/>
  <c r="Q453" i="1"/>
  <c r="T452" i="1"/>
  <c r="V451" i="1"/>
  <c r="Z450" i="1"/>
  <c r="B450" i="1"/>
  <c r="D449" i="1"/>
  <c r="G448" i="1"/>
  <c r="J447" i="1"/>
  <c r="M446" i="1"/>
  <c r="P445" i="1"/>
  <c r="Q444" i="1"/>
  <c r="P443" i="1"/>
  <c r="N442" i="1"/>
  <c r="M441" i="1"/>
  <c r="M440" i="1"/>
  <c r="Q439" i="1"/>
  <c r="T438" i="1"/>
  <c r="Y437" i="1"/>
  <c r="A437" i="1"/>
  <c r="D436" i="1"/>
  <c r="F435" i="1"/>
  <c r="G434" i="1"/>
  <c r="H433" i="1"/>
  <c r="G432" i="1"/>
  <c r="F431" i="1"/>
  <c r="E430" i="1"/>
  <c r="D429" i="1"/>
  <c r="H428" i="1"/>
  <c r="L427" i="1"/>
  <c r="O426" i="1"/>
  <c r="Q425" i="1"/>
  <c r="Q424" i="1"/>
  <c r="Q423" i="1"/>
  <c r="Q422" i="1"/>
  <c r="Q421" i="1"/>
  <c r="O420" i="1"/>
  <c r="O419" i="1"/>
  <c r="N418" i="1"/>
  <c r="M417" i="1"/>
  <c r="H416" i="1"/>
  <c r="F415" i="1"/>
  <c r="C414" i="1"/>
  <c r="G413" i="1"/>
  <c r="I412" i="1"/>
  <c r="M411" i="1"/>
  <c r="Q410" i="1"/>
  <c r="U409" i="1"/>
  <c r="Y408" i="1"/>
  <c r="Z407" i="1"/>
  <c r="A407" i="1"/>
  <c r="E406" i="1"/>
  <c r="H405" i="1"/>
  <c r="I404" i="1"/>
  <c r="L403" i="1"/>
  <c r="M402" i="1"/>
  <c r="O401" i="1"/>
  <c r="Q400" i="1"/>
  <c r="R399" i="1"/>
  <c r="V398" i="1"/>
  <c r="AA397" i="1"/>
  <c r="C397" i="1"/>
  <c r="F396" i="1"/>
  <c r="I395" i="1"/>
  <c r="N394" i="1"/>
  <c r="Q393" i="1"/>
  <c r="V392" i="1"/>
  <c r="A392" i="1"/>
  <c r="D391" i="1"/>
  <c r="B1350" i="1"/>
  <c r="F1185" i="1"/>
  <c r="L1122" i="1"/>
  <c r="Q1078" i="1"/>
  <c r="I1048" i="1"/>
  <c r="F1017" i="1"/>
  <c r="Q994" i="1"/>
  <c r="E974" i="1"/>
  <c r="N954" i="1"/>
  <c r="R935" i="1"/>
  <c r="A919" i="1"/>
  <c r="E905" i="1"/>
  <c r="M895" i="1"/>
  <c r="K886" i="1"/>
  <c r="C877" i="1"/>
  <c r="L868" i="1"/>
  <c r="R859" i="1"/>
  <c r="O851" i="1"/>
  <c r="O842" i="1"/>
  <c r="D834" i="1"/>
  <c r="R825" i="1"/>
  <c r="L818" i="1"/>
  <c r="E810" i="1"/>
  <c r="L802" i="1"/>
  <c r="E796" i="1"/>
  <c r="G789" i="1"/>
  <c r="F782" i="1"/>
  <c r="D776" i="1"/>
  <c r="I769" i="1"/>
  <c r="J762" i="1"/>
  <c r="S755" i="1"/>
  <c r="D749" i="1"/>
  <c r="R742" i="1"/>
  <c r="W735" i="1"/>
  <c r="A729" i="1"/>
  <c r="A724" i="1"/>
  <c r="S719" i="1"/>
  <c r="U715" i="1"/>
  <c r="U711" i="1"/>
  <c r="R707" i="1"/>
  <c r="R703" i="1"/>
  <c r="S699" i="1"/>
  <c r="O695" i="1"/>
  <c r="E691" i="1"/>
  <c r="A687" i="1"/>
  <c r="L683" i="1"/>
  <c r="Y679" i="1"/>
  <c r="J676" i="1"/>
  <c r="T672" i="1"/>
  <c r="G669" i="1"/>
  <c r="Q665" i="1"/>
  <c r="D662" i="1"/>
  <c r="O658" i="1"/>
  <c r="R654" i="1"/>
  <c r="L651" i="1"/>
  <c r="G648" i="1"/>
  <c r="Z644" i="1"/>
  <c r="Q641" i="1"/>
  <c r="N638" i="1"/>
  <c r="P635" i="1"/>
  <c r="C633" i="1"/>
  <c r="L630" i="1"/>
  <c r="AA627" i="1"/>
  <c r="N625" i="1"/>
  <c r="D623" i="1"/>
  <c r="F621" i="1"/>
  <c r="N619" i="1"/>
  <c r="V617" i="1"/>
  <c r="C616" i="1"/>
  <c r="J614" i="1"/>
  <c r="R612" i="1"/>
  <c r="AA610" i="1"/>
  <c r="F609" i="1"/>
  <c r="K607" i="1"/>
  <c r="Q605" i="1"/>
  <c r="Y603" i="1"/>
  <c r="D602" i="1"/>
  <c r="I600" i="1"/>
  <c r="M598" i="1"/>
  <c r="Q596" i="1"/>
  <c r="U594" i="1"/>
  <c r="Z592" i="1"/>
  <c r="D591" i="1"/>
  <c r="J589" i="1"/>
  <c r="P587" i="1"/>
  <c r="V585" i="1"/>
  <c r="B584" i="1"/>
  <c r="G582" i="1"/>
  <c r="M580" i="1"/>
  <c r="S578" i="1"/>
  <c r="Z576" i="1"/>
  <c r="F575" i="1"/>
  <c r="N573" i="1"/>
  <c r="V571" i="1"/>
  <c r="D570" i="1"/>
  <c r="K568" i="1"/>
  <c r="R566" i="1"/>
  <c r="AA564" i="1"/>
  <c r="H563" i="1"/>
  <c r="O561" i="1"/>
  <c r="V559" i="1"/>
  <c r="D558" i="1"/>
  <c r="F556" i="1"/>
  <c r="L554" i="1"/>
  <c r="P552" i="1"/>
  <c r="V550" i="1"/>
  <c r="C549" i="1"/>
  <c r="J547" i="1"/>
  <c r="O545" i="1"/>
  <c r="U543" i="1"/>
  <c r="B542" i="1"/>
  <c r="H540" i="1"/>
  <c r="P538" i="1"/>
  <c r="Y536" i="1"/>
  <c r="J535" i="1"/>
  <c r="S533" i="1"/>
  <c r="C532" i="1"/>
  <c r="K530" i="1"/>
  <c r="S528" i="1"/>
  <c r="F527" i="1"/>
  <c r="A526" i="1"/>
  <c r="T524" i="1"/>
  <c r="P523" i="1"/>
  <c r="L522" i="1"/>
  <c r="K521" i="1"/>
  <c r="E520" i="1"/>
  <c r="C519" i="1"/>
  <c r="A518" i="1"/>
  <c r="AA516" i="1"/>
  <c r="AA515" i="1"/>
  <c r="A515" i="1"/>
  <c r="A514" i="1"/>
  <c r="C513" i="1"/>
  <c r="D512" i="1"/>
  <c r="D511" i="1"/>
  <c r="E510" i="1"/>
  <c r="H509" i="1"/>
  <c r="K508" i="1"/>
  <c r="N507" i="1"/>
  <c r="Q506" i="1"/>
  <c r="S505" i="1"/>
  <c r="W504" i="1"/>
  <c r="Z503" i="1"/>
  <c r="B503" i="1"/>
  <c r="E502" i="1"/>
  <c r="H501" i="1"/>
  <c r="K500" i="1"/>
  <c r="N499" i="1"/>
  <c r="Q498" i="1"/>
  <c r="S497" i="1"/>
  <c r="W496" i="1"/>
  <c r="V495" i="1"/>
  <c r="U494" i="1"/>
  <c r="U493" i="1"/>
  <c r="U492" i="1"/>
  <c r="Y491" i="1"/>
  <c r="AA490" i="1"/>
  <c r="B490" i="1"/>
  <c r="C489" i="1"/>
  <c r="E488" i="1"/>
  <c r="F487" i="1"/>
  <c r="H486" i="1"/>
  <c r="J485" i="1"/>
  <c r="L484" i="1"/>
  <c r="N483" i="1"/>
  <c r="Q482" i="1"/>
  <c r="S481" i="1"/>
  <c r="T480" i="1"/>
  <c r="Y479" i="1"/>
  <c r="AA478" i="1"/>
  <c r="C478" i="1"/>
  <c r="A477" i="1"/>
  <c r="U475" i="1"/>
  <c r="Q474" i="1"/>
  <c r="M473" i="1"/>
  <c r="H472" i="1"/>
  <c r="C471" i="1"/>
  <c r="R469" i="1"/>
  <c r="M468" i="1"/>
  <c r="E467" i="1"/>
  <c r="D466" i="1"/>
  <c r="D465" i="1"/>
  <c r="D464" i="1"/>
  <c r="G463" i="1"/>
  <c r="H462" i="1"/>
  <c r="J461" i="1"/>
  <c r="M460" i="1"/>
  <c r="O459" i="1"/>
  <c r="O458" i="1"/>
  <c r="N457" i="1"/>
  <c r="N456" i="1"/>
  <c r="K455" i="1"/>
  <c r="N454" i="1"/>
  <c r="P453" i="1"/>
  <c r="R452" i="1"/>
  <c r="U451" i="1"/>
  <c r="Y450" i="1"/>
  <c r="A450" i="1"/>
  <c r="C449" i="1"/>
  <c r="F448" i="1"/>
  <c r="I447" i="1"/>
  <c r="L446" i="1"/>
  <c r="O445" i="1"/>
  <c r="N444" i="1"/>
  <c r="N443" i="1"/>
  <c r="M442" i="1"/>
  <c r="L441" i="1"/>
  <c r="L440" i="1"/>
  <c r="P439" i="1"/>
  <c r="S438" i="1"/>
  <c r="V437" i="1"/>
  <c r="AA436" i="1"/>
  <c r="B436" i="1"/>
  <c r="E435" i="1"/>
  <c r="F434" i="1"/>
  <c r="G433" i="1"/>
  <c r="F432" i="1"/>
  <c r="E431" i="1"/>
  <c r="D430" i="1"/>
  <c r="C429" i="1"/>
  <c r="G428" i="1"/>
  <c r="J427" i="1"/>
  <c r="N426" i="1"/>
  <c r="P425" i="1"/>
  <c r="P424" i="1"/>
  <c r="P423" i="1"/>
  <c r="P422" i="1"/>
  <c r="P421" i="1"/>
  <c r="N420" i="1"/>
  <c r="N419" i="1"/>
  <c r="L418" i="1"/>
  <c r="L417" i="1"/>
  <c r="G416" i="1"/>
  <c r="E415" i="1"/>
  <c r="B414" i="1"/>
  <c r="F413" i="1"/>
  <c r="H412" i="1"/>
  <c r="L411" i="1"/>
  <c r="P410" i="1"/>
  <c r="S409" i="1"/>
  <c r="W408" i="1"/>
  <c r="Y407" i="1"/>
  <c r="AA406" i="1"/>
  <c r="D406" i="1"/>
  <c r="G405" i="1"/>
  <c r="H404" i="1"/>
  <c r="I403" i="1"/>
  <c r="L402" i="1"/>
  <c r="M401" i="1"/>
  <c r="P400" i="1"/>
  <c r="Q399" i="1"/>
  <c r="U398" i="1"/>
  <c r="Z397" i="1"/>
  <c r="B397" i="1"/>
  <c r="E396" i="1"/>
  <c r="H395" i="1"/>
  <c r="M394" i="1"/>
  <c r="P393" i="1"/>
  <c r="U392" i="1"/>
  <c r="AA391" i="1"/>
  <c r="C391" i="1"/>
  <c r="F390" i="1"/>
  <c r="K389" i="1"/>
  <c r="P388" i="1"/>
  <c r="AA1278" i="1"/>
  <c r="P1158" i="1"/>
  <c r="Q1108" i="1"/>
  <c r="P1069" i="1"/>
  <c r="K1039" i="1"/>
  <c r="E1010" i="1"/>
  <c r="I989" i="1"/>
  <c r="S968" i="1"/>
  <c r="N949" i="1"/>
  <c r="A931" i="1"/>
  <c r="F913" i="1"/>
  <c r="F902" i="1"/>
  <c r="AA892" i="1"/>
  <c r="A884" i="1"/>
  <c r="P874" i="1"/>
  <c r="P865" i="1"/>
  <c r="K857" i="1"/>
  <c r="F849" i="1"/>
  <c r="G840" i="1"/>
  <c r="O831" i="1"/>
  <c r="M823" i="1"/>
  <c r="R815" i="1"/>
  <c r="U807" i="1"/>
  <c r="L800" i="1"/>
  <c r="N794" i="1"/>
  <c r="F787" i="1"/>
  <c r="I780" i="1"/>
  <c r="E774" i="1"/>
  <c r="L767" i="1"/>
  <c r="M760" i="1"/>
  <c r="AA753" i="1"/>
  <c r="J747" i="1"/>
  <c r="M740" i="1"/>
  <c r="V733" i="1"/>
  <c r="K727" i="1"/>
  <c r="S722" i="1"/>
  <c r="O718" i="1"/>
  <c r="P714" i="1"/>
  <c r="O710" i="1"/>
  <c r="L706" i="1"/>
  <c r="O702" i="1"/>
  <c r="P698" i="1"/>
  <c r="H694" i="1"/>
  <c r="A690" i="1"/>
  <c r="A686" i="1"/>
  <c r="K682" i="1"/>
  <c r="Y678" i="1"/>
  <c r="H675" i="1"/>
  <c r="T671" i="1"/>
  <c r="F668" i="1"/>
  <c r="Q664" i="1"/>
  <c r="D661" i="1"/>
  <c r="N657" i="1"/>
  <c r="S653" i="1"/>
  <c r="N650" i="1"/>
  <c r="H647" i="1"/>
  <c r="AA643" i="1"/>
  <c r="S640" i="1"/>
  <c r="O637" i="1"/>
  <c r="T634" i="1"/>
  <c r="H632" i="1"/>
  <c r="Q629" i="1"/>
  <c r="E627" i="1"/>
  <c r="S624" i="1"/>
  <c r="L622" i="1"/>
  <c r="Q620" i="1"/>
  <c r="Z618" i="1"/>
  <c r="G617" i="1"/>
  <c r="O615" i="1"/>
  <c r="V613" i="1"/>
  <c r="C612" i="1"/>
  <c r="K610" i="1"/>
  <c r="Q608" i="1"/>
  <c r="W606" i="1"/>
  <c r="B605" i="1"/>
  <c r="H603" i="1"/>
  <c r="N601" i="1"/>
  <c r="T599" i="1"/>
  <c r="Y597" i="1"/>
  <c r="A596" i="1"/>
  <c r="E594" i="1"/>
  <c r="J592" i="1"/>
  <c r="O590" i="1"/>
  <c r="T588" i="1"/>
  <c r="A587" i="1"/>
  <c r="G585" i="1"/>
  <c r="M583" i="1"/>
  <c r="R581" i="1"/>
  <c r="Y579" i="1"/>
  <c r="D578" i="1"/>
  <c r="K576" i="1"/>
  <c r="R574" i="1"/>
  <c r="Z572" i="1"/>
  <c r="G571" i="1"/>
  <c r="O569" i="1"/>
  <c r="W567" i="1"/>
  <c r="D566" i="1"/>
  <c r="K564" i="1"/>
  <c r="S562" i="1"/>
  <c r="A561" i="1"/>
  <c r="H559" i="1"/>
  <c r="N557" i="1"/>
  <c r="P555" i="1"/>
  <c r="U553" i="1"/>
  <c r="B552" i="1"/>
  <c r="H550" i="1"/>
  <c r="N548" i="1"/>
  <c r="T546" i="1"/>
  <c r="A545" i="1"/>
  <c r="G543" i="1"/>
  <c r="M541" i="1"/>
  <c r="S539" i="1"/>
  <c r="A538" i="1"/>
  <c r="K536" i="1"/>
  <c r="V534" i="1"/>
  <c r="F533" i="1"/>
  <c r="N531" i="1"/>
  <c r="Y529" i="1"/>
  <c r="F528" i="1"/>
  <c r="B527" i="1"/>
  <c r="S525" i="1"/>
  <c r="P524" i="1"/>
  <c r="J523" i="1"/>
  <c r="H522" i="1"/>
  <c r="C521" i="1"/>
  <c r="AA519" i="1"/>
  <c r="Y518" i="1"/>
  <c r="T517" i="1"/>
  <c r="T516" i="1"/>
  <c r="U515" i="1"/>
  <c r="U514" i="1"/>
  <c r="U513" i="1"/>
  <c r="V512" i="1"/>
  <c r="Z511" i="1"/>
  <c r="AA510" i="1"/>
  <c r="A510" i="1"/>
  <c r="D509" i="1"/>
  <c r="G508" i="1"/>
  <c r="I507" i="1"/>
  <c r="L506" i="1"/>
  <c r="N505" i="1"/>
  <c r="Q504" i="1"/>
  <c r="T503" i="1"/>
  <c r="Y502" i="1"/>
  <c r="A502" i="1"/>
  <c r="D501" i="1"/>
  <c r="G500" i="1"/>
  <c r="I499" i="1"/>
  <c r="L498" i="1"/>
  <c r="N497" i="1"/>
  <c r="Q496" i="1"/>
  <c r="P495" i="1"/>
  <c r="P494" i="1"/>
  <c r="P493" i="1"/>
  <c r="P492" i="1"/>
  <c r="R491" i="1"/>
  <c r="T490" i="1"/>
  <c r="V489" i="1"/>
  <c r="Y488" i="1"/>
  <c r="AA487" i="1"/>
  <c r="B487" i="1"/>
  <c r="D486" i="1"/>
  <c r="F485" i="1"/>
  <c r="H484" i="1"/>
  <c r="J483" i="1"/>
  <c r="K482" i="1"/>
  <c r="N481" i="1"/>
  <c r="O480" i="1"/>
  <c r="R479" i="1"/>
  <c r="U478" i="1"/>
  <c r="U477" i="1"/>
  <c r="Q476" i="1"/>
  <c r="O475" i="1"/>
  <c r="M474" i="1"/>
  <c r="H473" i="1"/>
  <c r="C472" i="1"/>
  <c r="R470" i="1"/>
  <c r="M469" i="1"/>
  <c r="G468" i="1"/>
  <c r="A467" i="1"/>
  <c r="AA465" i="1"/>
  <c r="AA464" i="1"/>
  <c r="AA463" i="1"/>
  <c r="B463" i="1"/>
  <c r="C462" i="1"/>
  <c r="E461" i="1"/>
  <c r="H460" i="1"/>
  <c r="K459" i="1"/>
  <c r="J458" i="1"/>
  <c r="J457" i="1"/>
  <c r="G456" i="1"/>
  <c r="G455" i="1"/>
  <c r="H454" i="1"/>
  <c r="K453" i="1"/>
  <c r="M452" i="1"/>
  <c r="P451" i="1"/>
  <c r="S450" i="1"/>
  <c r="V449" i="1"/>
  <c r="Z448" i="1"/>
  <c r="B448" i="1"/>
  <c r="E447" i="1"/>
  <c r="G446" i="1"/>
  <c r="J445" i="1"/>
  <c r="I444" i="1"/>
  <c r="I443" i="1"/>
  <c r="I442" i="1"/>
  <c r="H441" i="1"/>
  <c r="H440" i="1"/>
  <c r="L439" i="1"/>
  <c r="O438" i="1"/>
  <c r="Q437" i="1"/>
  <c r="T436" i="1"/>
  <c r="X435" i="1"/>
  <c r="AA434" i="1"/>
  <c r="B434" i="1"/>
  <c r="C433" i="1"/>
  <c r="B432" i="1"/>
  <c r="A431" i="1"/>
  <c r="AA429" i="1"/>
  <c r="Y428" i="1"/>
  <c r="B428" i="1"/>
  <c r="E427" i="1"/>
  <c r="I426" i="1"/>
  <c r="L425" i="1"/>
  <c r="L424" i="1"/>
  <c r="L423" i="1"/>
  <c r="L422" i="1"/>
  <c r="L421" i="1"/>
  <c r="I420" i="1"/>
  <c r="H419" i="1"/>
  <c r="G418" i="1"/>
  <c r="E417" i="1"/>
  <c r="C416" i="1"/>
  <c r="A415" i="1"/>
  <c r="Y413" i="1"/>
  <c r="B413" i="1"/>
  <c r="D412" i="1"/>
  <c r="G411" i="1"/>
  <c r="K410" i="1"/>
  <c r="N409" i="1"/>
  <c r="R408" i="1"/>
  <c r="T407" i="1"/>
  <c r="V406" i="1"/>
  <c r="AA405" i="1"/>
  <c r="C405" i="1"/>
  <c r="D404" i="1"/>
  <c r="D403" i="1"/>
  <c r="E402" i="1"/>
  <c r="H401" i="1"/>
  <c r="I400" i="1"/>
  <c r="M399" i="1"/>
  <c r="Q398" i="1"/>
  <c r="U397" i="1"/>
  <c r="Y396" i="1"/>
  <c r="A396" i="1"/>
  <c r="D395" i="1"/>
  <c r="G394" i="1"/>
  <c r="L393" i="1"/>
  <c r="Q392" i="1"/>
  <c r="V391" i="1"/>
  <c r="Z390" i="1"/>
  <c r="B390" i="1"/>
  <c r="G389" i="1"/>
  <c r="L388" i="1"/>
  <c r="Q387" i="1"/>
  <c r="V386" i="1"/>
  <c r="A386" i="1"/>
  <c r="E385" i="1"/>
  <c r="I384" i="1"/>
  <c r="F383" i="1"/>
  <c r="I382" i="1"/>
  <c r="N381" i="1"/>
  <c r="Q380" i="1"/>
  <c r="U379" i="1"/>
  <c r="Y378" i="1"/>
  <c r="A378" i="1"/>
  <c r="D377" i="1"/>
  <c r="G376" i="1"/>
  <c r="M375" i="1"/>
  <c r="P374" i="1"/>
  <c r="T373" i="1"/>
  <c r="X372" i="1"/>
  <c r="AA371" i="1"/>
  <c r="C371" i="1"/>
  <c r="F370" i="1"/>
  <c r="H369" i="1"/>
  <c r="L368" i="1"/>
  <c r="Q367" i="1"/>
  <c r="U366" i="1"/>
  <c r="Z365" i="1"/>
  <c r="B365" i="1"/>
  <c r="E364" i="1"/>
  <c r="H363" i="1"/>
  <c r="L362" i="1"/>
  <c r="Q361" i="1"/>
  <c r="V360" i="1"/>
  <c r="AA359" i="1"/>
  <c r="D359" i="1"/>
  <c r="H358" i="1"/>
  <c r="L357" i="1"/>
  <c r="Q356" i="1"/>
  <c r="X355" i="1"/>
  <c r="B355" i="1"/>
  <c r="F354" i="1"/>
  <c r="J353" i="1"/>
  <c r="O352" i="1"/>
  <c r="U351" i="1"/>
  <c r="AA350" i="1"/>
  <c r="F350" i="1"/>
  <c r="L349" i="1"/>
  <c r="N348" i="1"/>
  <c r="N347" i="1"/>
  <c r="N346" i="1"/>
  <c r="N345" i="1"/>
  <c r="N344" i="1"/>
  <c r="N343" i="1"/>
  <c r="N342" i="1"/>
  <c r="Q341" i="1"/>
  <c r="V340" i="1"/>
  <c r="B340" i="1"/>
  <c r="G339" i="1"/>
  <c r="L338" i="1"/>
  <c r="Q337" i="1"/>
  <c r="V336" i="1"/>
  <c r="B336" i="1"/>
  <c r="G335" i="1"/>
  <c r="L334" i="1"/>
  <c r="Q333" i="1"/>
  <c r="V332" i="1"/>
  <c r="B332" i="1"/>
  <c r="G331" i="1"/>
  <c r="L330" i="1"/>
  <c r="Q329" i="1"/>
  <c r="V328" i="1"/>
  <c r="B328" i="1"/>
  <c r="G327" i="1"/>
  <c r="L326" i="1"/>
  <c r="Q325" i="1"/>
  <c r="T324" i="1"/>
  <c r="Y323" i="1"/>
  <c r="C323" i="1"/>
  <c r="H322" i="1"/>
  <c r="N321" i="1"/>
  <c r="R320" i="1"/>
  <c r="V319" i="1"/>
  <c r="AA318" i="1"/>
  <c r="D318" i="1"/>
  <c r="H317" i="1"/>
  <c r="N316" i="1"/>
  <c r="R315" i="1"/>
  <c r="X314" i="1"/>
  <c r="C314" i="1"/>
  <c r="I313" i="1"/>
  <c r="N312" i="1"/>
  <c r="J311" i="1"/>
  <c r="I310" i="1"/>
  <c r="I309" i="1"/>
  <c r="I308" i="1"/>
  <c r="I307" i="1"/>
  <c r="I306" i="1"/>
  <c r="J305" i="1"/>
  <c r="J304" i="1"/>
  <c r="J303" i="1"/>
  <c r="K302" i="1"/>
  <c r="L301" i="1"/>
  <c r="L300" i="1"/>
  <c r="K299" i="1"/>
  <c r="K298" i="1"/>
  <c r="I297" i="1"/>
  <c r="G296" i="1"/>
  <c r="G295" i="1"/>
  <c r="G294" i="1"/>
  <c r="E293" i="1"/>
  <c r="D292" i="1"/>
  <c r="C291" i="1"/>
  <c r="B290" i="1"/>
  <c r="AA288" i="1"/>
  <c r="U287" i="1"/>
  <c r="R286" i="1"/>
  <c r="R285" i="1"/>
  <c r="R284" i="1"/>
  <c r="R283" i="1"/>
  <c r="N282" i="1"/>
  <c r="P281" i="1"/>
  <c r="P280" i="1"/>
  <c r="N279" i="1"/>
  <c r="L278" i="1"/>
  <c r="L277" i="1"/>
  <c r="L276" i="1"/>
  <c r="H275" i="1"/>
  <c r="E274" i="1"/>
  <c r="C273" i="1"/>
  <c r="C272" i="1"/>
  <c r="C271" i="1"/>
  <c r="C270" i="1"/>
  <c r="C269" i="1"/>
  <c r="C1260" i="1"/>
  <c r="M1150" i="1"/>
  <c r="I1103" i="1"/>
  <c r="Y1067" i="1"/>
  <c r="N1036" i="1"/>
  <c r="G1007" i="1"/>
  <c r="R986" i="1"/>
  <c r="M966" i="1"/>
  <c r="H947" i="1"/>
  <c r="AA928" i="1"/>
  <c r="K912" i="1"/>
  <c r="C901" i="1"/>
  <c r="U891" i="1"/>
  <c r="U882" i="1"/>
  <c r="B874" i="1"/>
  <c r="P864" i="1"/>
  <c r="K856" i="1"/>
  <c r="E848" i="1"/>
  <c r="F839" i="1"/>
  <c r="N830" i="1"/>
  <c r="L822" i="1"/>
  <c r="G815" i="1"/>
  <c r="AA806" i="1"/>
  <c r="Q799" i="1"/>
  <c r="S793" i="1"/>
  <c r="T786" i="1"/>
  <c r="R779" i="1"/>
  <c r="G773" i="1"/>
  <c r="P766" i="1"/>
  <c r="Q759" i="1"/>
  <c r="D753" i="1"/>
  <c r="O746" i="1"/>
  <c r="C740" i="1"/>
  <c r="A733" i="1"/>
  <c r="S726" i="1"/>
  <c r="H722" i="1"/>
  <c r="F718" i="1"/>
  <c r="D714" i="1"/>
  <c r="D710" i="1"/>
  <c r="B706" i="1"/>
  <c r="E702" i="1"/>
  <c r="D698" i="1"/>
  <c r="R693" i="1"/>
  <c r="O689" i="1"/>
  <c r="O685" i="1"/>
  <c r="B682" i="1"/>
  <c r="L678" i="1"/>
  <c r="Z674" i="1"/>
  <c r="J671" i="1"/>
  <c r="U667" i="1"/>
  <c r="G664" i="1"/>
  <c r="R660" i="1"/>
  <c r="E657" i="1"/>
  <c r="J653" i="1"/>
  <c r="E650" i="1"/>
  <c r="Z646" i="1"/>
  <c r="O643" i="1"/>
  <c r="R640" i="1"/>
  <c r="M637" i="1"/>
  <c r="S634" i="1"/>
  <c r="B632" i="1"/>
  <c r="O629" i="1"/>
  <c r="D627" i="1"/>
  <c r="R624" i="1"/>
  <c r="J622" i="1"/>
  <c r="P620" i="1"/>
  <c r="Y618" i="1"/>
  <c r="F617" i="1"/>
  <c r="N615" i="1"/>
  <c r="U613" i="1"/>
  <c r="B612" i="1"/>
  <c r="J610" i="1"/>
  <c r="P608" i="1"/>
  <c r="U606" i="1"/>
  <c r="A605" i="1"/>
  <c r="G603" i="1"/>
  <c r="M601" i="1"/>
  <c r="S599" i="1"/>
  <c r="V597" i="1"/>
  <c r="AA595" i="1"/>
  <c r="D594" i="1"/>
  <c r="I592" i="1"/>
  <c r="N590" i="1"/>
  <c r="S588" i="1"/>
  <c r="AA586" i="1"/>
  <c r="F585" i="1"/>
  <c r="L583" i="1"/>
  <c r="Q581" i="1"/>
  <c r="V579" i="1"/>
  <c r="C578" i="1"/>
  <c r="J576" i="1"/>
  <c r="Q574" i="1"/>
  <c r="Y572" i="1"/>
  <c r="F571" i="1"/>
  <c r="N569" i="1"/>
  <c r="V567" i="1"/>
  <c r="C566" i="1"/>
  <c r="J564" i="1"/>
  <c r="R562" i="1"/>
  <c r="AA560" i="1"/>
  <c r="G559" i="1"/>
  <c r="M557" i="1"/>
  <c r="O555" i="1"/>
  <c r="T553" i="1"/>
  <c r="A552" i="1"/>
  <c r="G550" i="1"/>
  <c r="M548" i="1"/>
  <c r="S546" i="1"/>
  <c r="AA544" i="1"/>
  <c r="F543" i="1"/>
  <c r="L541" i="1"/>
  <c r="R539" i="1"/>
  <c r="AA537" i="1"/>
  <c r="J536" i="1"/>
  <c r="U534" i="1"/>
  <c r="E533" i="1"/>
  <c r="M531" i="1"/>
  <c r="W529" i="1"/>
  <c r="E528" i="1"/>
  <c r="A527" i="1"/>
  <c r="Q525" i="1"/>
  <c r="M524" i="1"/>
  <c r="I523" i="1"/>
  <c r="G522" i="1"/>
  <c r="A521" i="1"/>
  <c r="Z519" i="1"/>
  <c r="U518" i="1"/>
  <c r="S517" i="1"/>
  <c r="S516" i="1"/>
  <c r="T515" i="1"/>
  <c r="S514" i="1"/>
  <c r="T513" i="1"/>
  <c r="U512" i="1"/>
  <c r="Y511" i="1"/>
  <c r="Z510" i="1"/>
  <c r="AA509" i="1"/>
  <c r="C509" i="1"/>
  <c r="F508" i="1"/>
  <c r="H507" i="1"/>
  <c r="J506" i="1"/>
  <c r="M505" i="1"/>
  <c r="P504" i="1"/>
  <c r="S503" i="1"/>
  <c r="W502" i="1"/>
  <c r="AA501" i="1"/>
  <c r="C501" i="1"/>
  <c r="F500" i="1"/>
  <c r="H499" i="1"/>
  <c r="J498" i="1"/>
  <c r="M497" i="1"/>
  <c r="P496" i="1"/>
  <c r="O495" i="1"/>
  <c r="O494" i="1"/>
  <c r="O493" i="1"/>
  <c r="O492" i="1"/>
  <c r="Q491" i="1"/>
  <c r="R490" i="1"/>
  <c r="T489" i="1"/>
  <c r="V488" i="1"/>
  <c r="Z487" i="1"/>
  <c r="A487" i="1"/>
  <c r="C486" i="1"/>
  <c r="E485" i="1"/>
  <c r="G484" i="1"/>
  <c r="I483" i="1"/>
  <c r="J482" i="1"/>
  <c r="K481" i="1"/>
  <c r="N480" i="1"/>
  <c r="Q479" i="1"/>
  <c r="T478" i="1"/>
  <c r="R477" i="1"/>
  <c r="P476" i="1"/>
  <c r="N475" i="1"/>
  <c r="L474" i="1"/>
  <c r="G473" i="1"/>
  <c r="A472" i="1"/>
  <c r="Q470" i="1"/>
  <c r="L469" i="1"/>
  <c r="F468" i="1"/>
  <c r="AA466" i="1"/>
  <c r="U465" i="1"/>
  <c r="W464" i="1"/>
  <c r="Z463" i="1"/>
  <c r="A463" i="1"/>
  <c r="A462" i="1"/>
  <c r="D461" i="1"/>
  <c r="G460" i="1"/>
  <c r="J459" i="1"/>
  <c r="I458" i="1"/>
  <c r="I457" i="1"/>
  <c r="F456" i="1"/>
  <c r="F455" i="1"/>
  <c r="G454" i="1"/>
  <c r="I453" i="1"/>
  <c r="L452" i="1"/>
  <c r="O451" i="1"/>
  <c r="R450" i="1"/>
  <c r="U449" i="1"/>
  <c r="Y448" i="1"/>
  <c r="A448" i="1"/>
  <c r="D447" i="1"/>
  <c r="F446" i="1"/>
  <c r="H445" i="1"/>
  <c r="H444" i="1"/>
  <c r="H443" i="1"/>
  <c r="H442" i="1"/>
  <c r="G441" i="1"/>
  <c r="G440" i="1"/>
  <c r="K439" i="1"/>
  <c r="N438" i="1"/>
  <c r="P437" i="1"/>
  <c r="R436" i="1"/>
  <c r="V435" i="1"/>
  <c r="Z434" i="1"/>
  <c r="A434" i="1"/>
  <c r="B433" i="1"/>
  <c r="A432" i="1"/>
  <c r="AA430" i="1"/>
  <c r="Z429" i="1"/>
  <c r="W428" i="1"/>
  <c r="AA427" i="1"/>
  <c r="D427" i="1"/>
  <c r="H426" i="1"/>
  <c r="K425" i="1"/>
  <c r="K424" i="1"/>
  <c r="K423" i="1"/>
  <c r="K422" i="1"/>
  <c r="I421" i="1"/>
  <c r="H420" i="1"/>
  <c r="F419" i="1"/>
  <c r="F418" i="1"/>
  <c r="D417" i="1"/>
  <c r="B416" i="1"/>
  <c r="AA414" i="1"/>
  <c r="W413" i="1"/>
  <c r="A413" i="1"/>
  <c r="C412" i="1"/>
  <c r="F411" i="1"/>
  <c r="I410" i="1"/>
  <c r="M409" i="1"/>
  <c r="Q408" i="1"/>
  <c r="S407" i="1"/>
  <c r="U406" i="1"/>
  <c r="Z405" i="1"/>
  <c r="B405" i="1"/>
  <c r="C404" i="1"/>
  <c r="C403" i="1"/>
  <c r="C402" i="1"/>
  <c r="G401" i="1"/>
  <c r="H400" i="1"/>
  <c r="L399" i="1"/>
  <c r="P398" i="1"/>
  <c r="T397" i="1"/>
  <c r="W396" i="1"/>
  <c r="AA395" i="1"/>
  <c r="C395" i="1"/>
  <c r="F394" i="1"/>
  <c r="K393" i="1"/>
  <c r="P392" i="1"/>
  <c r="U391" i="1"/>
  <c r="Y390" i="1"/>
  <c r="A390" i="1"/>
  <c r="F389" i="1"/>
  <c r="K388" i="1"/>
  <c r="P387" i="1"/>
  <c r="U386" i="1"/>
  <c r="AA385" i="1"/>
  <c r="D385" i="1"/>
  <c r="G384" i="1"/>
  <c r="E383" i="1"/>
  <c r="H382" i="1"/>
  <c r="M381" i="1"/>
  <c r="P380" i="1"/>
  <c r="T379" i="1"/>
  <c r="X378" i="1"/>
  <c r="AA377" i="1"/>
  <c r="C377" i="1"/>
  <c r="F376" i="1"/>
  <c r="L375" i="1"/>
  <c r="O374" i="1"/>
  <c r="R373" i="1"/>
  <c r="V372" i="1"/>
  <c r="Z371" i="1"/>
  <c r="B371" i="1"/>
  <c r="E370" i="1"/>
  <c r="G369" i="1"/>
  <c r="K368" i="1"/>
  <c r="P367" i="1"/>
  <c r="T366" i="1"/>
  <c r="Y365" i="1"/>
  <c r="A365" i="1"/>
  <c r="D364" i="1"/>
  <c r="G363" i="1"/>
  <c r="K362" i="1"/>
  <c r="P361" i="1"/>
  <c r="U360" i="1"/>
  <c r="Z359" i="1"/>
  <c r="C359" i="1"/>
  <c r="G358" i="1"/>
  <c r="K357" i="1"/>
  <c r="P356" i="1"/>
  <c r="V355" i="1"/>
  <c r="A355" i="1"/>
  <c r="E354" i="1"/>
  <c r="I353" i="1"/>
  <c r="N352" i="1"/>
  <c r="T351" i="1"/>
  <c r="Z350" i="1"/>
  <c r="E350" i="1"/>
  <c r="K349" i="1"/>
  <c r="M348" i="1"/>
  <c r="M347" i="1"/>
  <c r="M346" i="1"/>
  <c r="M345" i="1"/>
  <c r="M344" i="1"/>
  <c r="M343" i="1"/>
  <c r="M342" i="1"/>
  <c r="P341" i="1"/>
  <c r="U340" i="1"/>
  <c r="A340" i="1"/>
  <c r="F339" i="1"/>
  <c r="K338" i="1"/>
  <c r="P337" i="1"/>
  <c r="U336" i="1"/>
  <c r="A336" i="1"/>
  <c r="F335" i="1"/>
  <c r="K334" i="1"/>
  <c r="P333" i="1"/>
  <c r="U332" i="1"/>
  <c r="A332" i="1"/>
  <c r="F331" i="1"/>
  <c r="K330" i="1"/>
  <c r="P329" i="1"/>
  <c r="U328" i="1"/>
  <c r="A328" i="1"/>
  <c r="F327" i="1"/>
  <c r="K326" i="1"/>
  <c r="P325" i="1"/>
  <c r="S324" i="1"/>
  <c r="W323" i="1"/>
  <c r="B323" i="1"/>
  <c r="G322" i="1"/>
  <c r="M321" i="1"/>
  <c r="Q320" i="1"/>
  <c r="U319" i="1"/>
  <c r="Z318" i="1"/>
  <c r="C318" i="1"/>
  <c r="G317" i="1"/>
  <c r="M316" i="1"/>
  <c r="Q315" i="1"/>
  <c r="V314" i="1"/>
  <c r="B314" i="1"/>
  <c r="H313" i="1"/>
  <c r="M312" i="1"/>
  <c r="I311" i="1"/>
  <c r="H310" i="1"/>
  <c r="H309" i="1"/>
  <c r="H308" i="1"/>
  <c r="H307" i="1"/>
  <c r="H306" i="1"/>
  <c r="I305" i="1"/>
  <c r="I304" i="1"/>
  <c r="I303" i="1"/>
  <c r="J302" i="1"/>
  <c r="K301" i="1"/>
  <c r="K300" i="1"/>
  <c r="J299" i="1"/>
  <c r="J298" i="1"/>
  <c r="H297" i="1"/>
  <c r="F296" i="1"/>
  <c r="F295" i="1"/>
  <c r="F294" i="1"/>
  <c r="D293" i="1"/>
  <c r="C292" i="1"/>
  <c r="B291" i="1"/>
  <c r="A290" i="1"/>
  <c r="U288" i="1"/>
  <c r="R287" i="1"/>
  <c r="Q286" i="1"/>
  <c r="Q285" i="1"/>
  <c r="Q284" i="1"/>
  <c r="Q283" i="1"/>
  <c r="M282" i="1"/>
  <c r="O281" i="1"/>
  <c r="O280" i="1"/>
  <c r="M279" i="1"/>
  <c r="K278" i="1"/>
  <c r="K277" i="1"/>
  <c r="I276" i="1"/>
  <c r="G275" i="1"/>
  <c r="D274" i="1"/>
  <c r="B273" i="1"/>
  <c r="B272" i="1"/>
  <c r="B271" i="1"/>
  <c r="B270" i="1"/>
  <c r="B269" i="1"/>
  <c r="A268" i="1"/>
  <c r="AA266" i="1"/>
  <c r="U265" i="1"/>
  <c r="Q264" i="1"/>
  <c r="Q263" i="1"/>
  <c r="Q262" i="1"/>
  <c r="Q261" i="1"/>
  <c r="O260" i="1"/>
  <c r="M259" i="1"/>
  <c r="N258" i="1"/>
  <c r="O257" i="1"/>
  <c r="N1240" i="1"/>
  <c r="U1143" i="1"/>
  <c r="B1098" i="1"/>
  <c r="E1064" i="1"/>
  <c r="R1031" i="1"/>
  <c r="Q1003" i="1"/>
  <c r="H984" i="1"/>
  <c r="E965" i="1"/>
  <c r="P944" i="1"/>
  <c r="R926" i="1"/>
  <c r="Q910" i="1"/>
  <c r="P899" i="1"/>
  <c r="Q890" i="1"/>
  <c r="M881" i="1"/>
  <c r="R872" i="1"/>
  <c r="O863" i="1"/>
  <c r="I855" i="1"/>
  <c r="C847" i="1"/>
  <c r="M838" i="1"/>
  <c r="N829" i="1"/>
  <c r="O821" i="1"/>
  <c r="F814" i="1"/>
  <c r="AA805" i="1"/>
  <c r="V798" i="1"/>
  <c r="AA792" i="1"/>
  <c r="AA785" i="1"/>
  <c r="Y778" i="1"/>
  <c r="I772" i="1"/>
  <c r="R765" i="1"/>
  <c r="F759" i="1"/>
  <c r="H752" i="1"/>
  <c r="R745" i="1"/>
  <c r="F739" i="1"/>
  <c r="B732" i="1"/>
  <c r="C726" i="1"/>
  <c r="U721" i="1"/>
  <c r="R717" i="1"/>
  <c r="Q713" i="1"/>
  <c r="O709" i="1"/>
  <c r="N705" i="1"/>
  <c r="Q701" i="1"/>
  <c r="O697" i="1"/>
  <c r="E693" i="1"/>
  <c r="B689" i="1"/>
  <c r="E685" i="1"/>
  <c r="O681" i="1"/>
  <c r="B678" i="1"/>
  <c r="L674" i="1"/>
  <c r="Z670" i="1"/>
  <c r="J667" i="1"/>
  <c r="U663" i="1"/>
  <c r="G660" i="1"/>
  <c r="O656" i="1"/>
  <c r="AA652" i="1"/>
  <c r="T649" i="1"/>
  <c r="M646" i="1"/>
  <c r="E643" i="1"/>
  <c r="A640" i="1"/>
  <c r="T636" i="1"/>
  <c r="C634" i="1"/>
  <c r="Q631" i="1"/>
  <c r="F629" i="1"/>
  <c r="T626" i="1"/>
  <c r="I624" i="1"/>
  <c r="A622" i="1"/>
  <c r="H620" i="1"/>
  <c r="P618" i="1"/>
  <c r="X616" i="1"/>
  <c r="D615" i="1"/>
  <c r="L613" i="1"/>
  <c r="T611" i="1"/>
  <c r="A610" i="1"/>
  <c r="F608" i="1"/>
  <c r="L606" i="1"/>
  <c r="R604" i="1"/>
  <c r="Z602" i="1"/>
  <c r="D601" i="1"/>
  <c r="H599" i="1"/>
  <c r="M597" i="1"/>
  <c r="Q595" i="1"/>
  <c r="T593" i="1"/>
  <c r="Z591" i="1"/>
  <c r="E590" i="1"/>
  <c r="K588" i="1"/>
  <c r="Q586" i="1"/>
  <c r="V584" i="1"/>
  <c r="B583" i="1"/>
  <c r="H581" i="1"/>
  <c r="N579" i="1"/>
  <c r="S577" i="1"/>
  <c r="AA575" i="1"/>
  <c r="H574" i="1"/>
  <c r="P572" i="1"/>
  <c r="Y570" i="1"/>
  <c r="E569" i="1"/>
  <c r="L567" i="1"/>
  <c r="T565" i="1"/>
  <c r="B564" i="1"/>
  <c r="I562" i="1"/>
  <c r="P560" i="1"/>
  <c r="Y558" i="1"/>
  <c r="E557" i="1"/>
  <c r="G555" i="1"/>
  <c r="K553" i="1"/>
  <c r="Q551" i="1"/>
  <c r="Y549" i="1"/>
  <c r="E548" i="1"/>
  <c r="J546" i="1"/>
  <c r="O544" i="1"/>
  <c r="V542" i="1"/>
  <c r="D541" i="1"/>
  <c r="J539" i="1"/>
  <c r="Q537" i="1"/>
  <c r="B536" i="1"/>
  <c r="M534" i="1"/>
  <c r="W532" i="1"/>
  <c r="E531" i="1"/>
  <c r="M529" i="1"/>
  <c r="W527" i="1"/>
  <c r="L526" i="1"/>
  <c r="H525" i="1"/>
  <c r="B524" i="1"/>
  <c r="A523" i="1"/>
  <c r="T521" i="1"/>
  <c r="R520" i="1"/>
  <c r="M519" i="1"/>
  <c r="K518" i="1"/>
  <c r="K517" i="1"/>
  <c r="K516" i="1"/>
  <c r="J515" i="1"/>
  <c r="J514" i="1"/>
  <c r="L513" i="1"/>
  <c r="M512" i="1"/>
  <c r="N511" i="1"/>
  <c r="N510" i="1"/>
  <c r="Q509" i="1"/>
  <c r="S508" i="1"/>
  <c r="W507" i="1"/>
  <c r="AA506" i="1"/>
  <c r="C506" i="1"/>
  <c r="F505" i="1"/>
  <c r="I504" i="1"/>
  <c r="L503" i="1"/>
  <c r="N502" i="1"/>
  <c r="Q501" i="1"/>
  <c r="S500" i="1"/>
  <c r="W499" i="1"/>
  <c r="AA498" i="1"/>
  <c r="C498" i="1"/>
  <c r="F497" i="1"/>
  <c r="I496" i="1"/>
  <c r="H495" i="1"/>
  <c r="E494" i="1"/>
  <c r="E493" i="1"/>
  <c r="F492" i="1"/>
  <c r="H491" i="1"/>
  <c r="J490" i="1"/>
  <c r="L489" i="1"/>
  <c r="N488" i="1"/>
  <c r="P487" i="1"/>
  <c r="R486" i="1"/>
  <c r="T485" i="1"/>
  <c r="V484" i="1"/>
  <c r="Y483" i="1"/>
  <c r="AA482" i="1"/>
  <c r="B482" i="1"/>
  <c r="D481" i="1"/>
  <c r="G480" i="1"/>
  <c r="J479" i="1"/>
  <c r="M478" i="1"/>
  <c r="J477" i="1"/>
  <c r="H476" i="1"/>
  <c r="E475" i="1"/>
  <c r="A474" i="1"/>
  <c r="U472" i="1"/>
  <c r="N471" i="1"/>
  <c r="G470" i="1"/>
  <c r="C469" i="1"/>
  <c r="Q467" i="1"/>
  <c r="O466" i="1"/>
  <c r="M465" i="1"/>
  <c r="L464" i="1"/>
  <c r="O463" i="1"/>
  <c r="R462" i="1"/>
  <c r="S461" i="1"/>
  <c r="V460" i="1"/>
  <c r="AA459" i="1"/>
  <c r="C459" i="1"/>
  <c r="A458" i="1"/>
  <c r="A457" i="1"/>
  <c r="T455" i="1"/>
  <c r="V454" i="1"/>
  <c r="Z453" i="1"/>
  <c r="B453" i="1"/>
  <c r="E452" i="1"/>
  <c r="H451" i="1"/>
  <c r="K450" i="1"/>
  <c r="L449" i="1"/>
  <c r="O448" i="1"/>
  <c r="Q447" i="1"/>
  <c r="T446" i="1"/>
  <c r="Y445" i="1"/>
  <c r="A445" i="1"/>
  <c r="A444" i="1"/>
  <c r="A443" i="1"/>
  <c r="A442" i="1"/>
  <c r="V440" i="1"/>
  <c r="Z439" i="1"/>
  <c r="B439" i="1"/>
  <c r="E438" i="1"/>
  <c r="H437" i="1"/>
  <c r="K436" i="1"/>
  <c r="O435" i="1"/>
  <c r="Q434" i="1"/>
  <c r="S433" i="1"/>
  <c r="O432" i="1"/>
  <c r="N431" i="1"/>
  <c r="L430" i="1"/>
  <c r="K429" i="1"/>
  <c r="O428" i="1"/>
  <c r="S427" i="1"/>
  <c r="W426" i="1"/>
  <c r="A426" i="1"/>
  <c r="D425" i="1"/>
  <c r="C424" i="1"/>
  <c r="C423" i="1"/>
  <c r="B422" i="1"/>
  <c r="AA420" i="1"/>
  <c r="AA419" i="1"/>
  <c r="V418" i="1"/>
  <c r="V417" i="1"/>
  <c r="T416" i="1"/>
  <c r="R415" i="1"/>
  <c r="M414" i="1"/>
  <c r="O413" i="1"/>
  <c r="R412" i="1"/>
  <c r="T411" i="1"/>
  <c r="Y410" i="1"/>
  <c r="B410" i="1"/>
  <c r="F409" i="1"/>
  <c r="H408" i="1"/>
  <c r="L407" i="1"/>
  <c r="M406" i="1"/>
  <c r="P405" i="1"/>
  <c r="R404" i="1"/>
  <c r="S403" i="1"/>
  <c r="T402" i="1"/>
  <c r="V401" i="1"/>
  <c r="AA400" i="1"/>
  <c r="A400" i="1"/>
  <c r="E399" i="1"/>
  <c r="H398" i="1"/>
  <c r="K397" i="1"/>
  <c r="N396" i="1"/>
  <c r="G1341" i="1"/>
  <c r="K1109" i="1"/>
  <c r="U1034" i="1"/>
  <c r="K984" i="1"/>
  <c r="Q944" i="1"/>
  <c r="AA904" i="1"/>
  <c r="N882" i="1"/>
  <c r="I864" i="1"/>
  <c r="E847" i="1"/>
  <c r="Q825" i="1"/>
  <c r="A808" i="1"/>
  <c r="F793" i="1"/>
  <c r="I779" i="1"/>
  <c r="U765" i="1"/>
  <c r="B749" i="1"/>
  <c r="U732" i="1"/>
  <c r="B722" i="1"/>
  <c r="S713" i="1"/>
  <c r="Q703" i="1"/>
  <c r="I694" i="1"/>
  <c r="J685" i="1"/>
  <c r="E678" i="1"/>
  <c r="AA670" i="1"/>
  <c r="B662" i="1"/>
  <c r="G653" i="1"/>
  <c r="Q646" i="1"/>
  <c r="D640" i="1"/>
  <c r="V632" i="1"/>
  <c r="G627" i="1"/>
  <c r="G622" i="1"/>
  <c r="S618" i="1"/>
  <c r="E615" i="1"/>
  <c r="Y610" i="1"/>
  <c r="S606" i="1"/>
  <c r="C603" i="1"/>
  <c r="K599" i="1"/>
  <c r="T594" i="1"/>
  <c r="Q590" i="1"/>
  <c r="V586" i="1"/>
  <c r="E583" i="1"/>
  <c r="O579" i="1"/>
  <c r="D575" i="1"/>
  <c r="D571" i="1"/>
  <c r="Q567" i="1"/>
  <c r="D564" i="1"/>
  <c r="U559" i="1"/>
  <c r="Q555" i="1"/>
  <c r="W551" i="1"/>
  <c r="H548" i="1"/>
  <c r="P544" i="1"/>
  <c r="F540" i="1"/>
  <c r="H536" i="1"/>
  <c r="A533" i="1"/>
  <c r="O529" i="1"/>
  <c r="Z525" i="1"/>
  <c r="K523" i="1"/>
  <c r="Z520" i="1"/>
  <c r="O518" i="1"/>
  <c r="L516" i="1"/>
  <c r="Z513" i="1"/>
  <c r="U511" i="1"/>
  <c r="W509" i="1"/>
  <c r="Z507" i="1"/>
  <c r="R505" i="1"/>
  <c r="U503" i="1"/>
  <c r="Y501" i="1"/>
  <c r="AA499" i="1"/>
  <c r="D498" i="1"/>
  <c r="R495" i="1"/>
  <c r="N493" i="1"/>
  <c r="M491" i="1"/>
  <c r="N489" i="1"/>
  <c r="E487" i="1"/>
  <c r="G485" i="1"/>
  <c r="F483" i="1"/>
  <c r="G481" i="1"/>
  <c r="K479" i="1"/>
  <c r="U476" i="1"/>
  <c r="H474" i="1"/>
  <c r="R471" i="1"/>
  <c r="E469" i="1"/>
  <c r="C466" i="1"/>
  <c r="A464" i="1"/>
  <c r="Z461" i="1"/>
  <c r="C460" i="1"/>
  <c r="C458" i="1"/>
  <c r="I455" i="1"/>
  <c r="H453" i="1"/>
  <c r="L451" i="1"/>
  <c r="P449" i="1"/>
  <c r="H447" i="1"/>
  <c r="K445" i="1"/>
  <c r="F443" i="1"/>
  <c r="C441" i="1"/>
  <c r="C439" i="1"/>
  <c r="V436" i="1"/>
  <c r="Y434" i="1"/>
  <c r="Z432" i="1"/>
  <c r="O430" i="1"/>
  <c r="F428" i="1"/>
  <c r="J426" i="1"/>
  <c r="I424" i="1"/>
  <c r="F422" i="1"/>
  <c r="A420" i="1"/>
  <c r="G417" i="1"/>
  <c r="U414" i="1"/>
  <c r="W412" i="1"/>
  <c r="AA410" i="1"/>
  <c r="U408" i="1"/>
  <c r="W406" i="1"/>
  <c r="AA404" i="1"/>
  <c r="Y402" i="1"/>
  <c r="A401" i="1"/>
  <c r="S398" i="1"/>
  <c r="D397" i="1"/>
  <c r="T395" i="1"/>
  <c r="O394" i="1"/>
  <c r="H393" i="1"/>
  <c r="G392" i="1"/>
  <c r="B391" i="1"/>
  <c r="Z389" i="1"/>
  <c r="AA388" i="1"/>
  <c r="A388" i="1"/>
  <c r="B387" i="1"/>
  <c r="C386" i="1"/>
  <c r="B385" i="1"/>
  <c r="B384" i="1"/>
  <c r="X382" i="1"/>
  <c r="X381" i="1"/>
  <c r="V380" i="1"/>
  <c r="V379" i="1"/>
  <c r="T378" i="1"/>
  <c r="T377" i="1"/>
  <c r="T376" i="1"/>
  <c r="F1341" i="1"/>
  <c r="AA1102" i="1"/>
  <c r="R1034" i="1"/>
  <c r="J984" i="1"/>
  <c r="G935" i="1"/>
  <c r="I902" i="1"/>
  <c r="B882" i="1"/>
  <c r="H864" i="1"/>
  <c r="D847" i="1"/>
  <c r="P825" i="1"/>
  <c r="P806" i="1"/>
  <c r="E793" i="1"/>
  <c r="H779" i="1"/>
  <c r="I762" i="1"/>
  <c r="K747" i="1"/>
  <c r="Q732" i="1"/>
  <c r="A722" i="1"/>
  <c r="R713" i="1"/>
  <c r="P703" i="1"/>
  <c r="O693" i="1"/>
  <c r="I685" i="1"/>
  <c r="D678" i="1"/>
  <c r="F669" i="1"/>
  <c r="E661" i="1"/>
  <c r="E653" i="1"/>
  <c r="P646" i="1"/>
  <c r="B640" i="1"/>
  <c r="T632" i="1"/>
  <c r="B627" i="1"/>
  <c r="E622" i="1"/>
  <c r="R618" i="1"/>
  <c r="I614" i="1"/>
  <c r="L610" i="1"/>
  <c r="Q606" i="1"/>
  <c r="B603" i="1"/>
  <c r="I599" i="1"/>
  <c r="S594" i="1"/>
  <c r="L590" i="1"/>
  <c r="U586" i="1"/>
  <c r="D583" i="1"/>
  <c r="R578" i="1"/>
  <c r="T574" i="1"/>
  <c r="C571" i="1"/>
  <c r="O567" i="1"/>
  <c r="C564" i="1"/>
  <c r="T559" i="1"/>
  <c r="M555" i="1"/>
  <c r="V551" i="1"/>
  <c r="G548" i="1"/>
  <c r="T543" i="1"/>
  <c r="T539" i="1"/>
  <c r="G536" i="1"/>
  <c r="AA532" i="1"/>
  <c r="N529" i="1"/>
  <c r="U525" i="1"/>
  <c r="G523" i="1"/>
  <c r="W520" i="1"/>
  <c r="N518" i="1"/>
  <c r="Z515" i="1"/>
  <c r="Y513" i="1"/>
  <c r="T511" i="1"/>
  <c r="U509" i="1"/>
  <c r="Y507" i="1"/>
  <c r="Q505" i="1"/>
  <c r="R503" i="1"/>
  <c r="W501" i="1"/>
  <c r="Z499" i="1"/>
  <c r="R497" i="1"/>
  <c r="Q495" i="1"/>
  <c r="M493" i="1"/>
  <c r="K491" i="1"/>
  <c r="M489" i="1"/>
  <c r="D487" i="1"/>
  <c r="D485" i="1"/>
  <c r="E483" i="1"/>
  <c r="F481" i="1"/>
  <c r="Z478" i="1"/>
  <c r="R476" i="1"/>
  <c r="G474" i="1"/>
  <c r="Q471" i="1"/>
  <c r="D469" i="1"/>
  <c r="B466" i="1"/>
  <c r="V463" i="1"/>
  <c r="Y461" i="1"/>
  <c r="B460" i="1"/>
  <c r="M457" i="1"/>
  <c r="H455" i="1"/>
  <c r="G453" i="1"/>
  <c r="K451" i="1"/>
  <c r="O449" i="1"/>
  <c r="G447" i="1"/>
  <c r="G445" i="1"/>
  <c r="E443" i="1"/>
  <c r="B441" i="1"/>
  <c r="R438" i="1"/>
  <c r="U436" i="1"/>
  <c r="V434" i="1"/>
  <c r="V432" i="1"/>
  <c r="M430" i="1"/>
  <c r="D428" i="1"/>
  <c r="G426" i="1"/>
  <c r="H424" i="1"/>
  <c r="E422" i="1"/>
  <c r="L419" i="1"/>
  <c r="F417" i="1"/>
  <c r="T414" i="1"/>
  <c r="V412" i="1"/>
  <c r="Z410" i="1"/>
  <c r="T408" i="1"/>
  <c r="T406" i="1"/>
  <c r="Y404" i="1"/>
  <c r="V402" i="1"/>
  <c r="N400" i="1"/>
  <c r="R398" i="1"/>
  <c r="A397" i="1"/>
  <c r="S395" i="1"/>
  <c r="L394" i="1"/>
  <c r="G393" i="1"/>
  <c r="F392" i="1"/>
  <c r="A391" i="1"/>
  <c r="Y389" i="1"/>
  <c r="Z388" i="1"/>
  <c r="AA387" i="1"/>
  <c r="A387" i="1"/>
  <c r="B386" i="1"/>
  <c r="A385" i="1"/>
  <c r="A384" i="1"/>
  <c r="I1280" i="1"/>
  <c r="H1100" i="1"/>
  <c r="Q1034" i="1"/>
  <c r="I984" i="1"/>
  <c r="F935" i="1"/>
  <c r="P900" i="1"/>
  <c r="A882" i="1"/>
  <c r="G864" i="1"/>
  <c r="N842" i="1"/>
  <c r="N823" i="1"/>
  <c r="M806" i="1"/>
  <c r="C793" i="1"/>
  <c r="Z778" i="1"/>
  <c r="G762" i="1"/>
  <c r="L746" i="1"/>
  <c r="P732" i="1"/>
  <c r="AA721" i="1"/>
  <c r="S711" i="1"/>
  <c r="P702" i="1"/>
  <c r="M693" i="1"/>
  <c r="H685" i="1"/>
  <c r="C678" i="1"/>
  <c r="E669" i="1"/>
  <c r="O660" i="1"/>
  <c r="D653" i="1"/>
  <c r="O646" i="1"/>
  <c r="L638" i="1"/>
  <c r="I632" i="1"/>
  <c r="AA626" i="1"/>
  <c r="D622" i="1"/>
  <c r="Q618" i="1"/>
  <c r="H614" i="1"/>
  <c r="H610" i="1"/>
  <c r="P606" i="1"/>
  <c r="A603" i="1"/>
  <c r="L598" i="1"/>
  <c r="F594" i="1"/>
  <c r="J590" i="1"/>
  <c r="T586" i="1"/>
  <c r="C583" i="1"/>
  <c r="Q578" i="1"/>
  <c r="O574" i="1"/>
  <c r="B571" i="1"/>
  <c r="N567" i="1"/>
  <c r="G563" i="1"/>
  <c r="J559" i="1"/>
  <c r="L555" i="1"/>
  <c r="T551" i="1"/>
  <c r="F548" i="1"/>
  <c r="S543" i="1"/>
  <c r="P539" i="1"/>
  <c r="F536" i="1"/>
  <c r="Z532" i="1"/>
  <c r="R528" i="1"/>
  <c r="T525" i="1"/>
  <c r="F523" i="1"/>
  <c r="U520" i="1"/>
  <c r="L518" i="1"/>
  <c r="Y515" i="1"/>
  <c r="S513" i="1"/>
  <c r="S511" i="1"/>
  <c r="S509" i="1"/>
  <c r="M507" i="1"/>
  <c r="O505" i="1"/>
  <c r="Q503" i="1"/>
  <c r="U501" i="1"/>
  <c r="Y499" i="1"/>
  <c r="Q497" i="1"/>
  <c r="N495" i="1"/>
  <c r="L493" i="1"/>
  <c r="J491" i="1"/>
  <c r="B489" i="1"/>
  <c r="C487" i="1"/>
  <c r="C485" i="1"/>
  <c r="C483" i="1"/>
  <c r="E481" i="1"/>
  <c r="Y478" i="1"/>
  <c r="O476" i="1"/>
  <c r="F474" i="1"/>
  <c r="P471" i="1"/>
  <c r="L468" i="1"/>
  <c r="A466" i="1"/>
  <c r="U463" i="1"/>
  <c r="V461" i="1"/>
  <c r="A460" i="1"/>
  <c r="L457" i="1"/>
  <c r="D455" i="1"/>
  <c r="F453" i="1"/>
  <c r="J451" i="1"/>
  <c r="B449" i="1"/>
  <c r="F447" i="1"/>
  <c r="F445" i="1"/>
  <c r="D443" i="1"/>
  <c r="A441" i="1"/>
  <c r="Q438" i="1"/>
  <c r="Q436" i="1"/>
  <c r="U434" i="1"/>
  <c r="U432" i="1"/>
  <c r="C430" i="1"/>
  <c r="C428" i="1"/>
  <c r="F426" i="1"/>
  <c r="G424" i="1"/>
  <c r="C422" i="1"/>
  <c r="J419" i="1"/>
  <c r="C417" i="1"/>
  <c r="R414" i="1"/>
  <c r="U412" i="1"/>
  <c r="O410" i="1"/>
  <c r="S408" i="1"/>
  <c r="S406" i="1"/>
  <c r="V404" i="1"/>
  <c r="U402" i="1"/>
  <c r="M400" i="1"/>
  <c r="O398" i="1"/>
  <c r="AA396" i="1"/>
  <c r="R395" i="1"/>
  <c r="I394" i="1"/>
  <c r="F393" i="1"/>
  <c r="E392" i="1"/>
  <c r="AA390" i="1"/>
  <c r="V389" i="1"/>
  <c r="Y388" i="1"/>
  <c r="Y387" i="1"/>
  <c r="AA386" i="1"/>
  <c r="Z385" i="1"/>
  <c r="AA384" i="1"/>
  <c r="M1258" i="1"/>
  <c r="G1100" i="1"/>
  <c r="P1034" i="1"/>
  <c r="D974" i="1"/>
  <c r="B931" i="1"/>
  <c r="L900" i="1"/>
  <c r="R881" i="1"/>
  <c r="P863" i="1"/>
  <c r="L842" i="1"/>
  <c r="G822" i="1"/>
  <c r="L806" i="1"/>
  <c r="B793" i="1"/>
  <c r="C776" i="1"/>
  <c r="N760" i="1"/>
  <c r="B746" i="1"/>
  <c r="O732" i="1"/>
  <c r="V721" i="1"/>
  <c r="Q711" i="1"/>
  <c r="B702" i="1"/>
  <c r="L693" i="1"/>
  <c r="G685" i="1"/>
  <c r="I676" i="1"/>
  <c r="G668" i="1"/>
  <c r="M660" i="1"/>
  <c r="C653" i="1"/>
  <c r="N646" i="1"/>
  <c r="K638" i="1"/>
  <c r="Z631" i="1"/>
  <c r="Z626" i="1"/>
  <c r="C622" i="1"/>
  <c r="T617" i="1"/>
  <c r="W613" i="1"/>
  <c r="G610" i="1"/>
  <c r="O606" i="1"/>
  <c r="AA602" i="1"/>
  <c r="K598" i="1"/>
  <c r="B594" i="1"/>
  <c r="I590" i="1"/>
  <c r="S586" i="1"/>
  <c r="F582" i="1"/>
  <c r="E578" i="1"/>
  <c r="M574" i="1"/>
  <c r="A571" i="1"/>
  <c r="M567" i="1"/>
  <c r="F563" i="1"/>
  <c r="E559" i="1"/>
  <c r="K555" i="1"/>
  <c r="S551" i="1"/>
  <c r="I547" i="1"/>
  <c r="I543" i="1"/>
  <c r="O539" i="1"/>
  <c r="E536" i="1"/>
  <c r="Y532" i="1"/>
  <c r="Q528" i="1"/>
  <c r="P525" i="1"/>
  <c r="E523" i="1"/>
  <c r="T520" i="1"/>
  <c r="Z517" i="1"/>
  <c r="W515" i="1"/>
  <c r="Q513" i="1"/>
  <c r="Q511" i="1"/>
  <c r="R509" i="1"/>
  <c r="L507" i="1"/>
  <c r="L505" i="1"/>
  <c r="P503" i="1"/>
  <c r="S501" i="1"/>
  <c r="M499" i="1"/>
  <c r="O497" i="1"/>
  <c r="M495" i="1"/>
  <c r="I493" i="1"/>
  <c r="I491" i="1"/>
  <c r="A489" i="1"/>
  <c r="AA486" i="1"/>
  <c r="B485" i="1"/>
  <c r="B483" i="1"/>
  <c r="S480" i="1"/>
  <c r="V478" i="1"/>
  <c r="N476" i="1"/>
  <c r="D474" i="1"/>
  <c r="O471" i="1"/>
  <c r="I468" i="1"/>
  <c r="T465" i="1"/>
  <c r="T463" i="1"/>
  <c r="U461" i="1"/>
  <c r="N459" i="1"/>
  <c r="K457" i="1"/>
  <c r="C455" i="1"/>
  <c r="E453" i="1"/>
  <c r="I451" i="1"/>
  <c r="A449" i="1"/>
  <c r="B447" i="1"/>
  <c r="E445" i="1"/>
  <c r="C443" i="1"/>
  <c r="K440" i="1"/>
  <c r="P438" i="1"/>
  <c r="P436" i="1"/>
  <c r="T434" i="1"/>
  <c r="Q432" i="1"/>
  <c r="B430" i="1"/>
  <c r="Z427" i="1"/>
  <c r="E426" i="1"/>
  <c r="F424" i="1"/>
  <c r="O421" i="1"/>
  <c r="I419" i="1"/>
  <c r="B417" i="1"/>
  <c r="Q414" i="1"/>
  <c r="S412" i="1"/>
  <c r="M410" i="1"/>
  <c r="P408" i="1"/>
  <c r="R406" i="1"/>
  <c r="U404" i="1"/>
  <c r="I402" i="1"/>
  <c r="L400" i="1"/>
  <c r="N398" i="1"/>
  <c r="Z396" i="1"/>
  <c r="Q395" i="1"/>
  <c r="H394" i="1"/>
  <c r="E393" i="1"/>
  <c r="D392" i="1"/>
  <c r="V390" i="1"/>
  <c r="U389" i="1"/>
  <c r="V388" i="1"/>
  <c r="V387" i="1"/>
  <c r="Z386" i="1"/>
  <c r="Y385" i="1"/>
  <c r="Z384" i="1"/>
  <c r="U383" i="1"/>
  <c r="R1253" i="1"/>
  <c r="A1099" i="1"/>
  <c r="R1032" i="1"/>
  <c r="AA973" i="1"/>
  <c r="Q928" i="1"/>
  <c r="K900" i="1"/>
  <c r="Q881" i="1"/>
  <c r="Q859" i="1"/>
  <c r="H840" i="1"/>
  <c r="V821" i="1"/>
  <c r="K806" i="1"/>
  <c r="A793" i="1"/>
  <c r="B776" i="1"/>
  <c r="M759" i="1"/>
  <c r="A746" i="1"/>
  <c r="N732" i="1"/>
  <c r="R719" i="1"/>
  <c r="Q710" i="1"/>
  <c r="AA701" i="1"/>
  <c r="I693" i="1"/>
  <c r="F685" i="1"/>
  <c r="G676" i="1"/>
  <c r="R667" i="1"/>
  <c r="L660" i="1"/>
  <c r="B653" i="1"/>
  <c r="Y644" i="1"/>
  <c r="P637" i="1"/>
  <c r="Y631" i="1"/>
  <c r="Y626" i="1"/>
  <c r="B622" i="1"/>
  <c r="S617" i="1"/>
  <c r="R613" i="1"/>
  <c r="F610" i="1"/>
  <c r="N606" i="1"/>
  <c r="B602" i="1"/>
  <c r="Z597" i="1"/>
  <c r="A594" i="1"/>
  <c r="H590" i="1"/>
  <c r="R586" i="1"/>
  <c r="E582" i="1"/>
  <c r="A578" i="1"/>
  <c r="L574" i="1"/>
  <c r="AA570" i="1"/>
  <c r="Q566" i="1"/>
  <c r="T562" i="1"/>
  <c r="C559" i="1"/>
  <c r="J555" i="1"/>
  <c r="R551" i="1"/>
  <c r="H547" i="1"/>
  <c r="D543" i="1"/>
  <c r="N539" i="1"/>
  <c r="D536" i="1"/>
  <c r="B532" i="1"/>
  <c r="G528" i="1"/>
  <c r="O525" i="1"/>
  <c r="D523" i="1"/>
  <c r="S520" i="1"/>
  <c r="Y517" i="1"/>
  <c r="R515" i="1"/>
  <c r="P513" i="1"/>
  <c r="P511" i="1"/>
  <c r="G509" i="1"/>
  <c r="K507" i="1"/>
  <c r="K505" i="1"/>
  <c r="O503" i="1"/>
  <c r="R501" i="1"/>
  <c r="L499" i="1"/>
  <c r="L497" i="1"/>
  <c r="L495" i="1"/>
  <c r="G493" i="1"/>
  <c r="Z490" i="1"/>
  <c r="Z488" i="1"/>
  <c r="Z486" i="1"/>
  <c r="A485" i="1"/>
  <c r="A483" i="1"/>
  <c r="R480" i="1"/>
  <c r="S478" i="1"/>
  <c r="M476" i="1"/>
  <c r="C474" i="1"/>
  <c r="B471" i="1"/>
  <c r="H468" i="1"/>
  <c r="S465" i="1"/>
  <c r="R463" i="1"/>
  <c r="T461" i="1"/>
  <c r="M459" i="1"/>
  <c r="H457" i="1"/>
  <c r="B455" i="1"/>
  <c r="D453" i="1"/>
  <c r="V450" i="1"/>
  <c r="AA448" i="1"/>
  <c r="A447" i="1"/>
  <c r="D445" i="1"/>
  <c r="B443" i="1"/>
  <c r="J440" i="1"/>
  <c r="L438" i="1"/>
  <c r="O436" i="1"/>
  <c r="S434" i="1"/>
  <c r="E432" i="1"/>
  <c r="A430" i="1"/>
  <c r="Y427" i="1"/>
  <c r="D426" i="1"/>
  <c r="E424" i="1"/>
  <c r="N421" i="1"/>
  <c r="E419" i="1"/>
  <c r="A417" i="1"/>
  <c r="P414" i="1"/>
  <c r="G412" i="1"/>
  <c r="L410" i="1"/>
  <c r="O408" i="1"/>
  <c r="Q406" i="1"/>
  <c r="S404" i="1"/>
  <c r="G402" i="1"/>
  <c r="G400" i="1"/>
  <c r="M398" i="1"/>
  <c r="V396" i="1"/>
  <c r="P395" i="1"/>
  <c r="E394" i="1"/>
  <c r="D393" i="1"/>
  <c r="B392" i="1"/>
  <c r="U390" i="1"/>
  <c r="T389" i="1"/>
  <c r="U388" i="1"/>
  <c r="U387" i="1"/>
  <c r="Y386" i="1"/>
  <c r="V385" i="1"/>
  <c r="Y384" i="1"/>
  <c r="R383" i="1"/>
  <c r="Q382" i="1"/>
  <c r="Q381" i="1"/>
  <c r="Q1253" i="1"/>
  <c r="AA1098" i="1"/>
  <c r="E1017" i="1"/>
  <c r="U968" i="1"/>
  <c r="P927" i="1"/>
  <c r="J900" i="1"/>
  <c r="P881" i="1"/>
  <c r="O859" i="1"/>
  <c r="AA838" i="1"/>
  <c r="U821" i="1"/>
  <c r="J806" i="1"/>
  <c r="F789" i="1"/>
  <c r="F774" i="1"/>
  <c r="K759" i="1"/>
  <c r="AA745" i="1"/>
  <c r="M732" i="1"/>
  <c r="Q719" i="1"/>
  <c r="A710" i="1"/>
  <c r="W701" i="1"/>
  <c r="H693" i="1"/>
  <c r="K683" i="1"/>
  <c r="J675" i="1"/>
  <c r="P667" i="1"/>
  <c r="K660" i="1"/>
  <c r="A653" i="1"/>
  <c r="U644" i="1"/>
  <c r="I637" i="1"/>
  <c r="V631" i="1"/>
  <c r="V626" i="1"/>
  <c r="E621" i="1"/>
  <c r="H617" i="1"/>
  <c r="Q613" i="1"/>
  <c r="E610" i="1"/>
  <c r="M606" i="1"/>
  <c r="A602" i="1"/>
  <c r="S597" i="1"/>
  <c r="AA593" i="1"/>
  <c r="G590" i="1"/>
  <c r="T585" i="1"/>
  <c r="S581" i="1"/>
  <c r="AA577" i="1"/>
  <c r="K574" i="1"/>
  <c r="Z570" i="1"/>
  <c r="P566" i="1"/>
  <c r="P562" i="1"/>
  <c r="B559" i="1"/>
  <c r="I555" i="1"/>
  <c r="U550" i="1"/>
  <c r="U546" i="1"/>
  <c r="B543" i="1"/>
  <c r="M539" i="1"/>
  <c r="C536" i="1"/>
  <c r="A532" i="1"/>
  <c r="C528" i="1"/>
  <c r="N525" i="1"/>
  <c r="C523" i="1"/>
  <c r="D520" i="1"/>
  <c r="U517" i="1"/>
  <c r="Q515" i="1"/>
  <c r="O513" i="1"/>
  <c r="O511" i="1"/>
  <c r="F509" i="1"/>
  <c r="G507" i="1"/>
  <c r="J505" i="1"/>
  <c r="N503" i="1"/>
  <c r="G501" i="1"/>
  <c r="K499" i="1"/>
  <c r="K497" i="1"/>
  <c r="K495" i="1"/>
  <c r="F493" i="1"/>
  <c r="Y490" i="1"/>
  <c r="U488" i="1"/>
  <c r="Y486" i="1"/>
  <c r="Z484" i="1"/>
  <c r="P482" i="1"/>
  <c r="P480" i="1"/>
  <c r="R478" i="1"/>
  <c r="L476" i="1"/>
  <c r="B474" i="1"/>
  <c r="A471" i="1"/>
  <c r="E468" i="1"/>
  <c r="R465" i="1"/>
  <c r="Q463" i="1"/>
  <c r="I461" i="1"/>
  <c r="L459" i="1"/>
  <c r="G457" i="1"/>
  <c r="AA454" i="1"/>
  <c r="C453" i="1"/>
  <c r="U450" i="1"/>
  <c r="V448" i="1"/>
  <c r="AA446" i="1"/>
  <c r="C445" i="1"/>
  <c r="L442" i="1"/>
  <c r="I440" i="1"/>
  <c r="K438" i="1"/>
  <c r="N436" i="1"/>
  <c r="R434" i="1"/>
  <c r="D432" i="1"/>
  <c r="U429" i="1"/>
  <c r="W427" i="1"/>
  <c r="C426" i="1"/>
  <c r="O423" i="1"/>
  <c r="M421" i="1"/>
  <c r="D419" i="1"/>
  <c r="AA416" i="1"/>
  <c r="O414" i="1"/>
  <c r="F412" i="1"/>
  <c r="H410" i="1"/>
  <c r="N408" i="1"/>
  <c r="P406" i="1"/>
  <c r="G404" i="1"/>
  <c r="F402" i="1"/>
  <c r="F400" i="1"/>
  <c r="L398" i="1"/>
  <c r="U396" i="1"/>
  <c r="N395" i="1"/>
  <c r="D394" i="1"/>
  <c r="C393" i="1"/>
  <c r="Z391" i="1"/>
  <c r="T390" i="1"/>
  <c r="S389" i="1"/>
  <c r="T388" i="1"/>
  <c r="T387" i="1"/>
  <c r="T386" i="1"/>
  <c r="U385" i="1"/>
  <c r="V384" i="1"/>
  <c r="Q383" i="1"/>
  <c r="P382" i="1"/>
  <c r="P381" i="1"/>
  <c r="N380" i="1"/>
  <c r="N379" i="1"/>
  <c r="N378" i="1"/>
  <c r="N377" i="1"/>
  <c r="M376" i="1"/>
  <c r="N375" i="1"/>
  <c r="L374" i="1"/>
  <c r="L373" i="1"/>
  <c r="L372" i="1"/>
  <c r="I371" i="1"/>
  <c r="I370" i="1"/>
  <c r="F369" i="1"/>
  <c r="G368" i="1"/>
  <c r="H367" i="1"/>
  <c r="H366" i="1"/>
  <c r="G365" i="1"/>
  <c r="G364" i="1"/>
  <c r="E363" i="1"/>
  <c r="F362" i="1"/>
  <c r="G361" i="1"/>
  <c r="H360" i="1"/>
  <c r="H359" i="1"/>
  <c r="I358" i="1"/>
  <c r="H357" i="1"/>
  <c r="J356" i="1"/>
  <c r="L355" i="1"/>
  <c r="L354" i="1"/>
  <c r="N353" i="1"/>
  <c r="M352" i="1"/>
  <c r="O351" i="1"/>
  <c r="R350" i="1"/>
  <c r="U349" i="1"/>
  <c r="S348" i="1"/>
  <c r="P347" i="1"/>
  <c r="I346" i="1"/>
  <c r="F345" i="1"/>
  <c r="C344" i="1"/>
  <c r="AA342" i="1"/>
  <c r="U341" i="1"/>
  <c r="Y340" i="1"/>
  <c r="Y339" i="1"/>
  <c r="AA338" i="1"/>
  <c r="B338" i="1"/>
  <c r="C337" i="1"/>
  <c r="E336" i="1"/>
  <c r="E335" i="1"/>
  <c r="G334" i="1"/>
  <c r="I333" i="1"/>
  <c r="K332" i="1"/>
  <c r="L331" i="1"/>
  <c r="N330" i="1"/>
  <c r="N329" i="1"/>
  <c r="P328" i="1"/>
  <c r="R327" i="1"/>
  <c r="T326" i="1"/>
  <c r="U325" i="1"/>
  <c r="U324" i="1"/>
  <c r="S323" i="1"/>
  <c r="U322" i="1"/>
  <c r="Y321" i="1"/>
  <c r="I1251" i="1"/>
  <c r="F1098" i="1"/>
  <c r="D1017" i="1"/>
  <c r="Q965" i="1"/>
  <c r="F927" i="1"/>
  <c r="I900" i="1"/>
  <c r="B877" i="1"/>
  <c r="L857" i="1"/>
  <c r="R838" i="1"/>
  <c r="S821" i="1"/>
  <c r="I806" i="1"/>
  <c r="E789" i="1"/>
  <c r="D773" i="1"/>
  <c r="J759" i="1"/>
  <c r="U745" i="1"/>
  <c r="V728" i="1"/>
  <c r="P718" i="1"/>
  <c r="W709" i="1"/>
  <c r="V701" i="1"/>
  <c r="G693" i="1"/>
  <c r="J683" i="1"/>
  <c r="U674" i="1"/>
  <c r="O667" i="1"/>
  <c r="J660" i="1"/>
  <c r="K651" i="1"/>
  <c r="A644" i="1"/>
  <c r="G637" i="1"/>
  <c r="T631" i="1"/>
  <c r="U626" i="1"/>
  <c r="D621" i="1"/>
  <c r="D617" i="1"/>
  <c r="P613" i="1"/>
  <c r="D610" i="1"/>
  <c r="P605" i="1"/>
  <c r="O601" i="1"/>
  <c r="R597" i="1"/>
  <c r="Z593" i="1"/>
  <c r="F590" i="1"/>
  <c r="S585" i="1"/>
  <c r="N581" i="1"/>
  <c r="Z577" i="1"/>
  <c r="J574" i="1"/>
  <c r="B570" i="1"/>
  <c r="E566" i="1"/>
  <c r="O562" i="1"/>
  <c r="A559" i="1"/>
  <c r="H555" i="1"/>
  <c r="T550" i="1"/>
  <c r="Q546" i="1"/>
  <c r="A543" i="1"/>
  <c r="L539" i="1"/>
  <c r="I535" i="1"/>
  <c r="O531" i="1"/>
  <c r="B528" i="1"/>
  <c r="M525" i="1"/>
  <c r="B523" i="1"/>
  <c r="B520" i="1"/>
  <c r="Q517" i="1"/>
  <c r="P515" i="1"/>
  <c r="N513" i="1"/>
  <c r="C511" i="1"/>
  <c r="E509" i="1"/>
  <c r="E507" i="1"/>
  <c r="I505" i="1"/>
  <c r="M503" i="1"/>
  <c r="F501" i="1"/>
  <c r="G499" i="1"/>
  <c r="J497" i="1"/>
  <c r="J495" i="1"/>
  <c r="T492" i="1"/>
  <c r="V490" i="1"/>
  <c r="T488" i="1"/>
  <c r="V486" i="1"/>
  <c r="Y484" i="1"/>
  <c r="O482" i="1"/>
  <c r="M480" i="1"/>
  <c r="Q478" i="1"/>
  <c r="J476" i="1"/>
  <c r="L473" i="1"/>
  <c r="U470" i="1"/>
  <c r="D468" i="1"/>
  <c r="Q465" i="1"/>
  <c r="P463" i="1"/>
  <c r="H461" i="1"/>
  <c r="I459" i="1"/>
  <c r="F457" i="1"/>
  <c r="Z454" i="1"/>
  <c r="Q452" i="1"/>
  <c r="T450" i="1"/>
  <c r="U448" i="1"/>
  <c r="Y446" i="1"/>
  <c r="B445" i="1"/>
  <c r="K442" i="1"/>
  <c r="F440" i="1"/>
  <c r="J438" i="1"/>
  <c r="M436" i="1"/>
  <c r="E434" i="1"/>
  <c r="C432" i="1"/>
  <c r="Q429" i="1"/>
  <c r="V427" i="1"/>
  <c r="B426" i="1"/>
  <c r="N423" i="1"/>
  <c r="G421" i="1"/>
  <c r="C419" i="1"/>
  <c r="V416" i="1"/>
  <c r="A414" i="1"/>
  <c r="E412" i="1"/>
  <c r="G410" i="1"/>
  <c r="M408" i="1"/>
  <c r="O406" i="1"/>
  <c r="F404" i="1"/>
  <c r="B402" i="1"/>
  <c r="E400" i="1"/>
  <c r="K398" i="1"/>
  <c r="S396" i="1"/>
  <c r="L395" i="1"/>
  <c r="C394" i="1"/>
  <c r="B393" i="1"/>
  <c r="Y391" i="1"/>
  <c r="S390" i="1"/>
  <c r="R389" i="1"/>
  <c r="R388" i="1"/>
  <c r="S387" i="1"/>
  <c r="R386" i="1"/>
  <c r="T385" i="1"/>
  <c r="U384" i="1"/>
  <c r="P383" i="1"/>
  <c r="O382" i="1"/>
  <c r="O381" i="1"/>
  <c r="M380" i="1"/>
  <c r="M379" i="1"/>
  <c r="M378" i="1"/>
  <c r="L377" i="1"/>
  <c r="L376" i="1"/>
  <c r="I375" i="1"/>
  <c r="I374" i="1"/>
  <c r="R1249" i="1"/>
  <c r="O1078" i="1"/>
  <c r="F1010" i="1"/>
  <c r="O965" i="1"/>
  <c r="E927" i="1"/>
  <c r="H900" i="1"/>
  <c r="A877" i="1"/>
  <c r="G856" i="1"/>
  <c r="Q838" i="1"/>
  <c r="Q821" i="1"/>
  <c r="K802" i="1"/>
  <c r="G787" i="1"/>
  <c r="B773" i="1"/>
  <c r="I759" i="1"/>
  <c r="S745" i="1"/>
  <c r="U728" i="1"/>
  <c r="C718" i="1"/>
  <c r="U709" i="1"/>
  <c r="S701" i="1"/>
  <c r="C691" i="1"/>
  <c r="L682" i="1"/>
  <c r="S674" i="1"/>
  <c r="N667" i="1"/>
  <c r="I660" i="1"/>
  <c r="J651" i="1"/>
  <c r="L643" i="1"/>
  <c r="F637" i="1"/>
  <c r="S631" i="1"/>
  <c r="M625" i="1"/>
  <c r="S620" i="1"/>
  <c r="C617" i="1"/>
  <c r="O613" i="1"/>
  <c r="B610" i="1"/>
  <c r="O605" i="1"/>
  <c r="K601" i="1"/>
  <c r="Q597" i="1"/>
  <c r="Y593" i="1"/>
  <c r="I589" i="1"/>
  <c r="H585" i="1"/>
  <c r="M581" i="1"/>
  <c r="Y577" i="1"/>
  <c r="I574" i="1"/>
  <c r="A570" i="1"/>
  <c r="AA565" i="1"/>
  <c r="N562" i="1"/>
  <c r="AA558" i="1"/>
  <c r="J554" i="1"/>
  <c r="I550" i="1"/>
  <c r="P546" i="1"/>
  <c r="AA542" i="1"/>
  <c r="K539" i="1"/>
  <c r="H535" i="1"/>
  <c r="K531" i="1"/>
  <c r="A528" i="1"/>
  <c r="L525" i="1"/>
  <c r="K522" i="1"/>
  <c r="A520" i="1"/>
  <c r="P517" i="1"/>
  <c r="N515" i="1"/>
  <c r="M513" i="1"/>
  <c r="B511" i="1"/>
  <c r="B509" i="1"/>
  <c r="D507" i="1"/>
  <c r="H505" i="1"/>
  <c r="A503" i="1"/>
  <c r="E501" i="1"/>
  <c r="E499" i="1"/>
  <c r="I497" i="1"/>
  <c r="I495" i="1"/>
  <c r="R492" i="1"/>
  <c r="Q490" i="1"/>
  <c r="R488" i="1"/>
  <c r="U486" i="1"/>
  <c r="K484" i="1"/>
  <c r="N482" i="1"/>
  <c r="L480" i="1"/>
  <c r="P478" i="1"/>
  <c r="I476" i="1"/>
  <c r="K473" i="1"/>
  <c r="P470" i="1"/>
  <c r="C468" i="1"/>
  <c r="O465" i="1"/>
  <c r="F463" i="1"/>
  <c r="F461" i="1"/>
  <c r="H459" i="1"/>
  <c r="E457" i="1"/>
  <c r="Y454" i="1"/>
  <c r="P452" i="1"/>
  <c r="Q450" i="1"/>
  <c r="T448" i="1"/>
  <c r="V446" i="1"/>
  <c r="M444" i="1"/>
  <c r="J442" i="1"/>
  <c r="E440" i="1"/>
  <c r="H438" i="1"/>
  <c r="L436" i="1"/>
  <c r="D434" i="1"/>
  <c r="AA431" i="1"/>
  <c r="P429" i="1"/>
  <c r="U427" i="1"/>
  <c r="O425" i="1"/>
  <c r="M423" i="1"/>
  <c r="F421" i="1"/>
  <c r="B419" i="1"/>
  <c r="U416" i="1"/>
  <c r="AA413" i="1"/>
  <c r="A412" i="1"/>
  <c r="F410" i="1"/>
  <c r="L408" i="1"/>
  <c r="C406" i="1"/>
  <c r="E404" i="1"/>
  <c r="A402" i="1"/>
  <c r="D400" i="1"/>
  <c r="J398" i="1"/>
  <c r="R396" i="1"/>
  <c r="G395" i="1"/>
  <c r="B394" i="1"/>
  <c r="A393" i="1"/>
  <c r="W391" i="1"/>
  <c r="R390" i="1"/>
  <c r="Q389" i="1"/>
  <c r="Q388" i="1"/>
  <c r="R387" i="1"/>
  <c r="Q386" i="1"/>
  <c r="R385" i="1"/>
  <c r="T384" i="1"/>
  <c r="N383" i="1"/>
  <c r="N382" i="1"/>
  <c r="L381" i="1"/>
  <c r="L380" i="1"/>
  <c r="L379" i="1"/>
  <c r="L378" i="1"/>
  <c r="I377" i="1"/>
  <c r="I376" i="1"/>
  <c r="H375" i="1"/>
  <c r="H374" i="1"/>
  <c r="H373" i="1"/>
  <c r="H372" i="1"/>
  <c r="G371" i="1"/>
  <c r="G370" i="1"/>
  <c r="D369" i="1"/>
  <c r="E368" i="1"/>
  <c r="F367" i="1"/>
  <c r="E366" i="1"/>
  <c r="E365" i="1"/>
  <c r="C364" i="1"/>
  <c r="C363" i="1"/>
  <c r="D362" i="1"/>
  <c r="E361" i="1"/>
  <c r="E360" i="1"/>
  <c r="F359" i="1"/>
  <c r="E358" i="1"/>
  <c r="F357" i="1"/>
  <c r="H356" i="1"/>
  <c r="J355" i="1"/>
  <c r="J354" i="1"/>
  <c r="K353" i="1"/>
  <c r="K352" i="1"/>
  <c r="M351" i="1"/>
  <c r="P350" i="1"/>
  <c r="R349" i="1"/>
  <c r="Q348" i="1"/>
  <c r="L347" i="1"/>
  <c r="G346" i="1"/>
  <c r="D345" i="1"/>
  <c r="A344" i="1"/>
  <c r="S342" i="1"/>
  <c r="S341" i="1"/>
  <c r="S340" i="1"/>
  <c r="U339" i="1"/>
  <c r="Y338" i="1"/>
  <c r="AA337" i="1"/>
  <c r="A337" i="1"/>
  <c r="C336" i="1"/>
  <c r="C335" i="1"/>
  <c r="E334" i="1"/>
  <c r="G333" i="1"/>
  <c r="H332" i="1"/>
  <c r="J331" i="1"/>
  <c r="J330" i="1"/>
  <c r="L329" i="1"/>
  <c r="N328" i="1"/>
  <c r="P327" i="1"/>
  <c r="Q326" i="1"/>
  <c r="S325" i="1"/>
  <c r="Q324" i="1"/>
  <c r="Q323" i="1"/>
  <c r="S322" i="1"/>
  <c r="B1159" i="1"/>
  <c r="M1065" i="1"/>
  <c r="N1004" i="1"/>
  <c r="G965" i="1"/>
  <c r="AA917" i="1"/>
  <c r="P891" i="1"/>
  <c r="B873" i="1"/>
  <c r="L855" i="1"/>
  <c r="A834" i="1"/>
  <c r="H816" i="1"/>
  <c r="K799" i="1"/>
  <c r="C786" i="1"/>
  <c r="J772" i="1"/>
  <c r="Q755" i="1"/>
  <c r="N739" i="1"/>
  <c r="K726" i="1"/>
  <c r="T717" i="1"/>
  <c r="Q707" i="1"/>
  <c r="Q698" i="1"/>
  <c r="G689" i="1"/>
  <c r="R681" i="1"/>
  <c r="M674" i="1"/>
  <c r="O665" i="1"/>
  <c r="A657" i="1"/>
  <c r="Z649" i="1"/>
  <c r="G643" i="1"/>
  <c r="O635" i="1"/>
  <c r="Y629" i="1"/>
  <c r="N624" i="1"/>
  <c r="K620" i="1"/>
  <c r="Y616" i="1"/>
  <c r="P612" i="1"/>
  <c r="N608" i="1"/>
  <c r="W604" i="1"/>
  <c r="F601" i="1"/>
  <c r="P596" i="1"/>
  <c r="K592" i="1"/>
  <c r="P588" i="1"/>
  <c r="AA584" i="1"/>
  <c r="I581" i="1"/>
  <c r="W576" i="1"/>
  <c r="V572" i="1"/>
  <c r="J569" i="1"/>
  <c r="V565" i="1"/>
  <c r="N561" i="1"/>
  <c r="P557" i="1"/>
  <c r="Q553" i="1"/>
  <c r="A550" i="1"/>
  <c r="K546" i="1"/>
  <c r="AA541" i="1"/>
  <c r="Y537" i="1"/>
  <c r="Q534" i="1"/>
  <c r="G531" i="1"/>
  <c r="E527" i="1"/>
  <c r="Q524" i="1"/>
  <c r="C522" i="1"/>
  <c r="R519" i="1"/>
  <c r="L517" i="1"/>
  <c r="Y514" i="1"/>
  <c r="T512" i="1"/>
  <c r="T510" i="1"/>
  <c r="W508" i="1"/>
  <c r="P506" i="1"/>
  <c r="R504" i="1"/>
  <c r="T502" i="1"/>
  <c r="Y500" i="1"/>
  <c r="A499" i="1"/>
  <c r="S496" i="1"/>
  <c r="N494" i="1"/>
  <c r="K492" i="1"/>
  <c r="L490" i="1"/>
  <c r="C488" i="1"/>
  <c r="E486" i="1"/>
  <c r="E484" i="1"/>
  <c r="E482" i="1"/>
  <c r="H480" i="1"/>
  <c r="A478" i="1"/>
  <c r="M475" i="1"/>
  <c r="C473" i="1"/>
  <c r="I470" i="1"/>
  <c r="D467" i="1"/>
  <c r="A465" i="1"/>
  <c r="Y462" i="1"/>
  <c r="AA460" i="1"/>
  <c r="D459" i="1"/>
  <c r="I456" i="1"/>
  <c r="F454" i="1"/>
  <c r="I452" i="1"/>
  <c r="M450" i="1"/>
  <c r="E448" i="1"/>
  <c r="I446" i="1"/>
  <c r="F444" i="1"/>
  <c r="D442" i="1"/>
  <c r="AA439" i="1"/>
  <c r="T437" i="1"/>
  <c r="U435" i="1"/>
  <c r="Y433" i="1"/>
  <c r="P431" i="1"/>
  <c r="B429" i="1"/>
  <c r="F427" i="1"/>
  <c r="I425" i="1"/>
  <c r="G423" i="1"/>
  <c r="A421" i="1"/>
  <c r="J418" i="1"/>
  <c r="A416" i="1"/>
  <c r="T413" i="1"/>
  <c r="V411" i="1"/>
  <c r="R409" i="1"/>
  <c r="U407" i="1"/>
  <c r="V405" i="1"/>
  <c r="V403" i="1"/>
  <c r="W401" i="1"/>
  <c r="O399" i="1"/>
  <c r="V397" i="1"/>
  <c r="I396" i="1"/>
  <c r="A395" i="1"/>
  <c r="Y393" i="1"/>
  <c r="S392" i="1"/>
  <c r="Q391" i="1"/>
  <c r="N390" i="1"/>
  <c r="L389" i="1"/>
  <c r="J388" i="1"/>
  <c r="L387" i="1"/>
  <c r="M386" i="1"/>
  <c r="N385" i="1"/>
  <c r="N384" i="1"/>
  <c r="H383" i="1"/>
  <c r="F382" i="1"/>
  <c r="F381" i="1"/>
  <c r="F380" i="1"/>
  <c r="F379" i="1"/>
  <c r="E378" i="1"/>
  <c r="E377" i="1"/>
  <c r="C376" i="1"/>
  <c r="D375" i="1"/>
  <c r="D374" i="1"/>
  <c r="C373" i="1"/>
  <c r="C372" i="1"/>
  <c r="A371" i="1"/>
  <c r="A370" i="1"/>
  <c r="AA368" i="1"/>
  <c r="A368" i="1"/>
  <c r="A367" i="1"/>
  <c r="A366" i="1"/>
  <c r="Z364" i="1"/>
  <c r="Z363" i="1"/>
  <c r="Z362" i="1"/>
  <c r="AA361" i="1"/>
  <c r="AA360" i="1"/>
  <c r="A360" i="1"/>
  <c r="AA358" i="1"/>
  <c r="A358" i="1"/>
  <c r="B357" i="1"/>
  <c r="C356" i="1"/>
  <c r="E355" i="1"/>
  <c r="D354" i="1"/>
  <c r="E353" i="1"/>
  <c r="G352" i="1"/>
  <c r="I351" i="1"/>
  <c r="K350" i="1"/>
  <c r="N349" i="1"/>
  <c r="I348" i="1"/>
  <c r="F347" i="1"/>
  <c r="C346" i="1"/>
  <c r="AA344" i="1"/>
  <c r="R343" i="1"/>
  <c r="O342" i="1"/>
  <c r="M341" i="1"/>
  <c r="O340" i="1"/>
  <c r="Q339" i="1"/>
  <c r="R338" i="1"/>
  <c r="T337" i="1"/>
  <c r="T336" i="1"/>
  <c r="V335" i="1"/>
  <c r="Z334" i="1"/>
  <c r="A334" i="1"/>
  <c r="B333" i="1"/>
  <c r="D332" i="1"/>
  <c r="D331" i="1"/>
  <c r="F330" i="1"/>
  <c r="H329" i="1"/>
  <c r="J328" i="1"/>
  <c r="K327" i="1"/>
  <c r="M326" i="1"/>
  <c r="M325" i="1"/>
  <c r="M324" i="1"/>
  <c r="M323" i="1"/>
  <c r="N322" i="1"/>
  <c r="Q321" i="1"/>
  <c r="P320" i="1"/>
  <c r="Q319" i="1"/>
  <c r="R318" i="1"/>
  <c r="S317" i="1"/>
  <c r="S316" i="1"/>
  <c r="T315" i="1"/>
  <c r="T314" i="1"/>
  <c r="X313" i="1"/>
  <c r="AA312" i="1"/>
  <c r="AA311" i="1"/>
  <c r="M310" i="1"/>
  <c r="J309" i="1"/>
  <c r="E308" i="1"/>
  <c r="B307" i="1"/>
  <c r="V305" i="1"/>
  <c r="Q304" i="1"/>
  <c r="M303" i="1"/>
  <c r="I302" i="1"/>
  <c r="G301" i="1"/>
  <c r="D300" i="1"/>
  <c r="AA298" i="1"/>
  <c r="N297" i="1"/>
  <c r="I296" i="1"/>
  <c r="D295" i="1"/>
  <c r="A294" i="1"/>
  <c r="O292" i="1"/>
  <c r="K291" i="1"/>
  <c r="F290" i="1"/>
  <c r="A289" i="1"/>
  <c r="N287" i="1"/>
  <c r="J286" i="1"/>
  <c r="G285" i="1"/>
  <c r="D284" i="1"/>
  <c r="R282" i="1"/>
  <c r="N281" i="1"/>
  <c r="I280" i="1"/>
  <c r="D279" i="1"/>
  <c r="A278" i="1"/>
  <c r="Q276" i="1"/>
  <c r="L275" i="1"/>
  <c r="B274" i="1"/>
  <c r="Q272" i="1"/>
  <c r="N271" i="1"/>
  <c r="L270" i="1"/>
  <c r="J269" i="1"/>
  <c r="G268" i="1"/>
  <c r="E267" i="1"/>
  <c r="C266" i="1"/>
  <c r="AA264" i="1"/>
  <c r="U263" i="1"/>
  <c r="R262" i="1"/>
  <c r="P261" i="1"/>
  <c r="M260" i="1"/>
  <c r="J259" i="1"/>
  <c r="J258" i="1"/>
  <c r="J257" i="1"/>
  <c r="K256" i="1"/>
  <c r="L255" i="1"/>
  <c r="F254" i="1"/>
  <c r="D253" i="1"/>
  <c r="C252" i="1"/>
  <c r="A251" i="1"/>
  <c r="B250" i="1"/>
  <c r="AA248" i="1"/>
  <c r="W247" i="1"/>
  <c r="AA246" i="1"/>
  <c r="AA245" i="1"/>
  <c r="AA244" i="1"/>
  <c r="R243" i="1"/>
  <c r="R242" i="1"/>
  <c r="R241" i="1"/>
  <c r="R240" i="1"/>
  <c r="R239" i="1"/>
  <c r="R238" i="1"/>
  <c r="R237" i="1"/>
  <c r="R236" i="1"/>
  <c r="R235" i="1"/>
  <c r="R234" i="1"/>
  <c r="R233" i="1"/>
  <c r="Q232" i="1"/>
  <c r="O231" i="1"/>
  <c r="O230" i="1"/>
  <c r="M229" i="1"/>
  <c r="C1145" i="1"/>
  <c r="O1064" i="1"/>
  <c r="I993" i="1"/>
  <c r="E947" i="1"/>
  <c r="AA910" i="1"/>
  <c r="AA890" i="1"/>
  <c r="H868" i="1"/>
  <c r="I849" i="1"/>
  <c r="I830" i="1"/>
  <c r="I814" i="1"/>
  <c r="Z798" i="1"/>
  <c r="D782" i="1"/>
  <c r="E766" i="1"/>
  <c r="U752" i="1"/>
  <c r="H739" i="1"/>
  <c r="AA723" i="1"/>
  <c r="Q714" i="1"/>
  <c r="S705" i="1"/>
  <c r="R697" i="1"/>
  <c r="C689" i="1"/>
  <c r="U679" i="1"/>
  <c r="F671" i="1"/>
  <c r="AA663" i="1"/>
  <c r="Q656" i="1"/>
  <c r="F648" i="1"/>
  <c r="T640" i="1"/>
  <c r="J634" i="1"/>
  <c r="I629" i="1"/>
  <c r="J624" i="1"/>
  <c r="L619" i="1"/>
  <c r="K615" i="1"/>
  <c r="Y611" i="1"/>
  <c r="I608" i="1"/>
  <c r="W603" i="1"/>
  <c r="U599" i="1"/>
  <c r="V595" i="1"/>
  <c r="C592" i="1"/>
  <c r="L588" i="1"/>
  <c r="Z583" i="1"/>
  <c r="T579" i="1"/>
  <c r="E576" i="1"/>
  <c r="R572" i="1"/>
  <c r="I568" i="1"/>
  <c r="L564" i="1"/>
  <c r="V560" i="1"/>
  <c r="H557" i="1"/>
  <c r="L553" i="1"/>
  <c r="A549" i="1"/>
  <c r="Y544" i="1"/>
  <c r="H541" i="1"/>
  <c r="S537" i="1"/>
  <c r="R533" i="1"/>
  <c r="Z529" i="1"/>
  <c r="U526" i="1"/>
  <c r="F524" i="1"/>
  <c r="U521" i="1"/>
  <c r="A519" i="1"/>
  <c r="R516" i="1"/>
  <c r="O514" i="1"/>
  <c r="P512" i="1"/>
  <c r="D510" i="1"/>
  <c r="H508" i="1"/>
  <c r="H506" i="1"/>
  <c r="L504" i="1"/>
  <c r="P502" i="1"/>
  <c r="I500" i="1"/>
  <c r="I498" i="1"/>
  <c r="M496" i="1"/>
  <c r="H494" i="1"/>
  <c r="V491" i="1"/>
  <c r="Y489" i="1"/>
  <c r="V487" i="1"/>
  <c r="Z485" i="1"/>
  <c r="Z483" i="1"/>
  <c r="P481" i="1"/>
  <c r="P479" i="1"/>
  <c r="O477" i="1"/>
  <c r="H475" i="1"/>
  <c r="G472" i="1"/>
  <c r="N469" i="1"/>
  <c r="U466" i="1"/>
  <c r="P464" i="1"/>
  <c r="S462" i="1"/>
  <c r="J460" i="1"/>
  <c r="H458" i="1"/>
  <c r="B456" i="1"/>
  <c r="A454" i="1"/>
  <c r="S451" i="1"/>
  <c r="Y449" i="1"/>
  <c r="Z447" i="1"/>
  <c r="A446" i="1"/>
  <c r="B444" i="1"/>
  <c r="J441" i="1"/>
  <c r="J439" i="1"/>
  <c r="L437" i="1"/>
  <c r="Q435" i="1"/>
  <c r="F433" i="1"/>
  <c r="B431" i="1"/>
  <c r="T428" i="1"/>
  <c r="AA426" i="1"/>
  <c r="E425" i="1"/>
  <c r="N422" i="1"/>
  <c r="G420" i="1"/>
  <c r="C418" i="1"/>
  <c r="U415" i="1"/>
  <c r="E413" i="1"/>
  <c r="I411" i="1"/>
  <c r="K409" i="1"/>
  <c r="O407" i="1"/>
  <c r="Q405" i="1"/>
  <c r="G403" i="1"/>
  <c r="F401" i="1"/>
  <c r="I399" i="1"/>
  <c r="P397" i="1"/>
  <c r="B396" i="1"/>
  <c r="V394" i="1"/>
  <c r="O393" i="1"/>
  <c r="L392" i="1"/>
  <c r="L391" i="1"/>
  <c r="G390" i="1"/>
  <c r="E389" i="1"/>
  <c r="F388" i="1"/>
  <c r="H387" i="1"/>
  <c r="I386" i="1"/>
  <c r="I385" i="1"/>
  <c r="J384" i="1"/>
  <c r="B383" i="1"/>
  <c r="I1122" i="1"/>
  <c r="AA1034" i="1"/>
  <c r="L984" i="1"/>
  <c r="AA944" i="1"/>
  <c r="A905" i="1"/>
  <c r="C884" i="1"/>
  <c r="J864" i="1"/>
  <c r="F847" i="1"/>
  <c r="O829" i="1"/>
  <c r="B810" i="1"/>
  <c r="P793" i="1"/>
  <c r="J779" i="1"/>
  <c r="V765" i="1"/>
  <c r="C749" i="1"/>
  <c r="AA733" i="1"/>
  <c r="C722" i="1"/>
  <c r="T713" i="1"/>
  <c r="O705" i="1"/>
  <c r="L695" i="1"/>
  <c r="L685" i="1"/>
  <c r="F678" i="1"/>
  <c r="A671" i="1"/>
  <c r="C662" i="1"/>
  <c r="T653" i="1"/>
  <c r="R646" i="1"/>
  <c r="E640" i="1"/>
  <c r="D634" i="1"/>
  <c r="Y627" i="1"/>
  <c r="H622" i="1"/>
  <c r="T618" i="1"/>
  <c r="F615" i="1"/>
  <c r="Z610" i="1"/>
  <c r="Z606" i="1"/>
  <c r="D603" i="1"/>
  <c r="L599" i="1"/>
  <c r="R595" i="1"/>
  <c r="B591" i="1"/>
  <c r="Y586" i="1"/>
  <c r="G583" i="1"/>
  <c r="P579" i="1"/>
  <c r="E575" i="1"/>
  <c r="H571" i="1"/>
  <c r="R567" i="1"/>
  <c r="E564" i="1"/>
  <c r="Q560" i="1"/>
  <c r="D556" i="1"/>
  <c r="Y551" i="1"/>
  <c r="I548" i="1"/>
  <c r="R544" i="1"/>
  <c r="G540" i="1"/>
  <c r="L536" i="1"/>
  <c r="B533" i="1"/>
  <c r="P529" i="1"/>
  <c r="N526" i="1"/>
  <c r="M523" i="1"/>
  <c r="AA520" i="1"/>
  <c r="P518" i="1"/>
  <c r="M516" i="1"/>
  <c r="AA513" i="1"/>
  <c r="AA511" i="1"/>
  <c r="Y509" i="1"/>
  <c r="AA507" i="1"/>
  <c r="D506" i="1"/>
  <c r="W503" i="1"/>
  <c r="Z501" i="1"/>
  <c r="B500" i="1"/>
  <c r="E498" i="1"/>
  <c r="U495" i="1"/>
  <c r="Q493" i="1"/>
  <c r="N491" i="1"/>
  <c r="O489" i="1"/>
  <c r="Q487" i="1"/>
  <c r="H485" i="1"/>
  <c r="G483" i="1"/>
  <c r="H481" i="1"/>
  <c r="L479" i="1"/>
  <c r="AA476" i="1"/>
  <c r="N474" i="1"/>
  <c r="U471" i="1"/>
  <c r="F469" i="1"/>
  <c r="Q466" i="1"/>
  <c r="B464" i="1"/>
  <c r="AA461" i="1"/>
  <c r="D460" i="1"/>
  <c r="D458" i="1"/>
  <c r="J455" i="1"/>
  <c r="L453" i="1"/>
  <c r="M451" i="1"/>
  <c r="Q449" i="1"/>
  <c r="R447" i="1"/>
  <c r="L445" i="1"/>
  <c r="G443" i="1"/>
  <c r="D441" i="1"/>
  <c r="E439" i="1"/>
  <c r="Z436" i="1"/>
  <c r="A435" i="1"/>
  <c r="AA432" i="1"/>
  <c r="P430" i="1"/>
  <c r="P428" i="1"/>
  <c r="K426" i="1"/>
  <c r="J424" i="1"/>
  <c r="G422" i="1"/>
  <c r="B420" i="1"/>
  <c r="H417" i="1"/>
  <c r="B415" i="1"/>
  <c r="Z412" i="1"/>
  <c r="A411" i="1"/>
  <c r="G409" i="1"/>
  <c r="Y406" i="1"/>
  <c r="A405" i="1"/>
  <c r="Z402" i="1"/>
  <c r="B401" i="1"/>
  <c r="T398" i="1"/>
  <c r="F397" i="1"/>
  <c r="U395" i="1"/>
  <c r="Q394" i="1"/>
  <c r="I393" i="1"/>
  <c r="H392" i="1"/>
  <c r="E391" i="1"/>
  <c r="AA389" i="1"/>
  <c r="A389" i="1"/>
  <c r="B388" i="1"/>
  <c r="C387" i="1"/>
  <c r="D386" i="1"/>
  <c r="C385" i="1"/>
  <c r="C384" i="1"/>
  <c r="Y382" i="1"/>
  <c r="Y381" i="1"/>
  <c r="Q1249" i="1"/>
  <c r="O1004" i="1"/>
  <c r="I911" i="1"/>
  <c r="G868" i="1"/>
  <c r="Q829" i="1"/>
  <c r="E786" i="1"/>
  <c r="A754" i="1"/>
  <c r="E726" i="1"/>
  <c r="Q705" i="1"/>
  <c r="Z681" i="1"/>
  <c r="P665" i="1"/>
  <c r="V649" i="1"/>
  <c r="H634" i="1"/>
  <c r="N622" i="1"/>
  <c r="M613" i="1"/>
  <c r="U604" i="1"/>
  <c r="Y595" i="1"/>
  <c r="N587" i="1"/>
  <c r="V577" i="1"/>
  <c r="K569" i="1"/>
  <c r="B561" i="1"/>
  <c r="N552" i="1"/>
  <c r="S544" i="1"/>
  <c r="S534" i="1"/>
  <c r="D527" i="1"/>
  <c r="Y521" i="1"/>
  <c r="P516" i="1"/>
  <c r="A511" i="1"/>
  <c r="A507" i="1"/>
  <c r="R502" i="1"/>
  <c r="H498" i="1"/>
  <c r="R493" i="1"/>
  <c r="P488" i="1"/>
  <c r="C484" i="1"/>
  <c r="S479" i="1"/>
  <c r="P474" i="1"/>
  <c r="B468" i="1"/>
  <c r="AA462" i="1"/>
  <c r="L458" i="1"/>
  <c r="AA453" i="1"/>
  <c r="R449" i="1"/>
  <c r="J444" i="1"/>
  <c r="O439" i="1"/>
  <c r="R435" i="1"/>
  <c r="V430" i="1"/>
  <c r="N425" i="1"/>
  <c r="B421" i="1"/>
  <c r="Z415" i="1"/>
  <c r="E411" i="1"/>
  <c r="Z406" i="1"/>
  <c r="Z401" i="1"/>
  <c r="S397" i="1"/>
  <c r="Y394" i="1"/>
  <c r="J392" i="1"/>
  <c r="P389" i="1"/>
  <c r="M387" i="1"/>
  <c r="K385" i="1"/>
  <c r="C383" i="1"/>
  <c r="I381" i="1"/>
  <c r="C380" i="1"/>
  <c r="U378" i="1"/>
  <c r="H377" i="1"/>
  <c r="AA375" i="1"/>
  <c r="V374" i="1"/>
  <c r="O373" i="1"/>
  <c r="I372" i="1"/>
  <c r="D371" i="1"/>
  <c r="X369" i="1"/>
  <c r="R368" i="1"/>
  <c r="N367" i="1"/>
  <c r="J366" i="1"/>
  <c r="D365" i="1"/>
  <c r="Y363" i="1"/>
  <c r="T362" i="1"/>
  <c r="O361" i="1"/>
  <c r="L360" i="1"/>
  <c r="I359" i="1"/>
  <c r="C358" i="1"/>
  <c r="AA356" i="1"/>
  <c r="Y355" i="1"/>
  <c r="U354" i="1"/>
  <c r="Q353" i="1"/>
  <c r="L352" i="1"/>
  <c r="J351" i="1"/>
  <c r="H350" i="1"/>
  <c r="F349" i="1"/>
  <c r="AA347" i="1"/>
  <c r="O346" i="1"/>
  <c r="C345" i="1"/>
  <c r="Q343" i="1"/>
  <c r="G342" i="1"/>
  <c r="F341" i="1"/>
  <c r="D340" i="1"/>
  <c r="A339" i="1"/>
  <c r="V337" i="1"/>
  <c r="R336" i="1"/>
  <c r="Q335" i="1"/>
  <c r="O334" i="1"/>
  <c r="L333" i="1"/>
  <c r="J332" i="1"/>
  <c r="E331" i="1"/>
  <c r="C330" i="1"/>
  <c r="A329" i="1"/>
  <c r="Y327" i="1"/>
  <c r="V326" i="1"/>
  <c r="R325" i="1"/>
  <c r="L324" i="1"/>
  <c r="H323" i="1"/>
  <c r="E322" i="1"/>
  <c r="D321" i="1"/>
  <c r="D320" i="1"/>
  <c r="C319" i="1"/>
  <c r="A318" i="1"/>
  <c r="A317" i="1"/>
  <c r="A316" i="1"/>
  <c r="A315" i="1"/>
  <c r="A314" i="1"/>
  <c r="C313" i="1"/>
  <c r="B312" i="1"/>
  <c r="N310" i="1"/>
  <c r="G309" i="1"/>
  <c r="C308" i="1"/>
  <c r="U306" i="1"/>
  <c r="O305" i="1"/>
  <c r="K304" i="1"/>
  <c r="E303" i="1"/>
  <c r="B302" i="1"/>
  <c r="S300" i="1"/>
  <c r="M299" i="1"/>
  <c r="G298" i="1"/>
  <c r="A297" i="1"/>
  <c r="O295" i="1"/>
  <c r="J294" i="1"/>
  <c r="B293" i="1"/>
  <c r="Q291" i="1"/>
  <c r="K290" i="1"/>
  <c r="D289" i="1"/>
  <c r="Q287" i="1"/>
  <c r="K286" i="1"/>
  <c r="F285" i="1"/>
  <c r="B284" i="1"/>
  <c r="L282" i="1"/>
  <c r="J281" i="1"/>
  <c r="D280" i="1"/>
  <c r="Q278" i="1"/>
  <c r="M277" i="1"/>
  <c r="E276" i="1"/>
  <c r="U274" i="1"/>
  <c r="I273" i="1"/>
  <c r="E272" i="1"/>
  <c r="AA270" i="1"/>
  <c r="Q269" i="1"/>
  <c r="M268" i="1"/>
  <c r="J267" i="1"/>
  <c r="G266" i="1"/>
  <c r="C265" i="1"/>
  <c r="A264" i="1"/>
  <c r="U262" i="1"/>
  <c r="O261" i="1"/>
  <c r="I260" i="1"/>
  <c r="G259" i="1"/>
  <c r="F258" i="1"/>
  <c r="E257" i="1"/>
  <c r="E256" i="1"/>
  <c r="E255" i="1"/>
  <c r="R253" i="1"/>
  <c r="P252" i="1"/>
  <c r="K251" i="1"/>
  <c r="K250" i="1"/>
  <c r="H249" i="1"/>
  <c r="F248" i="1"/>
  <c r="F247" i="1"/>
  <c r="E246" i="1"/>
  <c r="D245" i="1"/>
  <c r="A244" i="1"/>
  <c r="X242" i="1"/>
  <c r="U241" i="1"/>
  <c r="Q240" i="1"/>
  <c r="P239" i="1"/>
  <c r="O238" i="1"/>
  <c r="N237" i="1"/>
  <c r="M236" i="1"/>
  <c r="L235" i="1"/>
  <c r="J234" i="1"/>
  <c r="H233" i="1"/>
  <c r="F232" i="1"/>
  <c r="E231" i="1"/>
  <c r="B230" i="1"/>
  <c r="U228" i="1"/>
  <c r="Q227" i="1"/>
  <c r="M226" i="1"/>
  <c r="M225" i="1"/>
  <c r="F224" i="1"/>
  <c r="E223" i="1"/>
  <c r="D222" i="1"/>
  <c r="E221" i="1"/>
  <c r="F220" i="1"/>
  <c r="G219" i="1"/>
  <c r="H218" i="1"/>
  <c r="G217" i="1"/>
  <c r="D216" i="1"/>
  <c r="E215" i="1"/>
  <c r="E214" i="1"/>
  <c r="F213" i="1"/>
  <c r="G212" i="1"/>
  <c r="G211" i="1"/>
  <c r="G210" i="1"/>
  <c r="F209" i="1"/>
  <c r="E208" i="1"/>
  <c r="D207" i="1"/>
  <c r="C206" i="1"/>
  <c r="C205" i="1"/>
  <c r="C204" i="1"/>
  <c r="B203" i="1"/>
  <c r="A202" i="1"/>
  <c r="AA200" i="1"/>
  <c r="U199" i="1"/>
  <c r="Q198" i="1"/>
  <c r="Q197" i="1"/>
  <c r="O196" i="1"/>
  <c r="N195" i="1"/>
  <c r="N194" i="1"/>
  <c r="N193" i="1"/>
  <c r="N192" i="1"/>
  <c r="M191" i="1"/>
  <c r="L190" i="1"/>
  <c r="L189" i="1"/>
  <c r="L188" i="1"/>
  <c r="L187" i="1"/>
  <c r="K186" i="1"/>
  <c r="K185" i="1"/>
  <c r="K184" i="1"/>
  <c r="K183" i="1"/>
  <c r="K182" i="1"/>
  <c r="K181" i="1"/>
  <c r="K180" i="1"/>
  <c r="K179" i="1"/>
  <c r="I178" i="1"/>
  <c r="I177" i="1"/>
  <c r="F176" i="1"/>
  <c r="F175" i="1"/>
  <c r="F174" i="1"/>
  <c r="C173" i="1"/>
  <c r="U171" i="1"/>
  <c r="R170" i="1"/>
  <c r="Q169" i="1"/>
  <c r="S168" i="1"/>
  <c r="X167" i="1"/>
  <c r="B167" i="1"/>
  <c r="C166" i="1"/>
  <c r="C165" i="1"/>
  <c r="E164" i="1"/>
  <c r="E163" i="1"/>
  <c r="F162" i="1"/>
  <c r="F161" i="1"/>
  <c r="D160" i="1"/>
  <c r="D1185" i="1"/>
  <c r="M1004" i="1"/>
  <c r="B911" i="1"/>
  <c r="Q865" i="1"/>
  <c r="P821" i="1"/>
  <c r="D786" i="1"/>
  <c r="A753" i="1"/>
  <c r="V723" i="1"/>
  <c r="P705" i="1"/>
  <c r="U681" i="1"/>
  <c r="R664" i="1"/>
  <c r="U649" i="1"/>
  <c r="G634" i="1"/>
  <c r="N620" i="1"/>
  <c r="Q612" i="1"/>
  <c r="T604" i="1"/>
  <c r="U595" i="1"/>
  <c r="B587" i="1"/>
  <c r="T577" i="1"/>
  <c r="H569" i="1"/>
  <c r="Y560" i="1"/>
  <c r="M552" i="1"/>
  <c r="Z542" i="1"/>
  <c r="R534" i="1"/>
  <c r="C527" i="1"/>
  <c r="H521" i="1"/>
  <c r="O516" i="1"/>
  <c r="V510" i="1"/>
  <c r="N506" i="1"/>
  <c r="Q502" i="1"/>
  <c r="G498" i="1"/>
  <c r="Q492" i="1"/>
  <c r="O488" i="1"/>
  <c r="B484" i="1"/>
  <c r="O479" i="1"/>
  <c r="O474" i="1"/>
  <c r="A468" i="1"/>
  <c r="V462" i="1"/>
  <c r="K458" i="1"/>
  <c r="O453" i="1"/>
  <c r="S448" i="1"/>
  <c r="G444" i="1"/>
  <c r="N439" i="1"/>
  <c r="P435" i="1"/>
  <c r="Q430" i="1"/>
  <c r="M425" i="1"/>
  <c r="M420" i="1"/>
  <c r="V415" i="1"/>
  <c r="C411" i="1"/>
  <c r="B406" i="1"/>
  <c r="Y401" i="1"/>
  <c r="R397" i="1"/>
  <c r="U394" i="1"/>
  <c r="I392" i="1"/>
  <c r="O389" i="1"/>
  <c r="K387" i="1"/>
  <c r="J385" i="1"/>
  <c r="A383" i="1"/>
  <c r="H381" i="1"/>
  <c r="A380" i="1"/>
  <c r="R378" i="1"/>
  <c r="G377" i="1"/>
  <c r="Z375" i="1"/>
  <c r="U374" i="1"/>
  <c r="N373" i="1"/>
  <c r="F372" i="1"/>
  <c r="AA370" i="1"/>
  <c r="V369" i="1"/>
  <c r="Q368" i="1"/>
  <c r="L367" i="1"/>
  <c r="I366" i="1"/>
  <c r="C365" i="1"/>
  <c r="X363" i="1"/>
  <c r="R362" i="1"/>
  <c r="N361" i="1"/>
  <c r="K360" i="1"/>
  <c r="G359" i="1"/>
  <c r="B358" i="1"/>
  <c r="Y356" i="1"/>
  <c r="U355" i="1"/>
  <c r="T354" i="1"/>
  <c r="P353" i="1"/>
  <c r="J352" i="1"/>
  <c r="H351" i="1"/>
  <c r="G350" i="1"/>
  <c r="E349" i="1"/>
  <c r="U347" i="1"/>
  <c r="L346" i="1"/>
  <c r="B345" i="1"/>
  <c r="P343" i="1"/>
  <c r="F342" i="1"/>
  <c r="E341" i="1"/>
  <c r="C340" i="1"/>
  <c r="Z338" i="1"/>
  <c r="U337" i="1"/>
  <c r="Q336" i="1"/>
  <c r="P335" i="1"/>
  <c r="N334" i="1"/>
  <c r="K333" i="1"/>
  <c r="G332" i="1"/>
  <c r="C331" i="1"/>
  <c r="B330" i="1"/>
  <c r="AA328" i="1"/>
  <c r="V327" i="1"/>
  <c r="U326" i="1"/>
  <c r="O325" i="1"/>
  <c r="I324" i="1"/>
  <c r="G323" i="1"/>
  <c r="D322" i="1"/>
  <c r="C321" i="1"/>
  <c r="B320" i="1"/>
  <c r="B319" i="1"/>
  <c r="AA317" i="1"/>
  <c r="AA316" i="1"/>
  <c r="AA315" i="1"/>
  <c r="AA314" i="1"/>
  <c r="AA313" i="1"/>
  <c r="B313" i="1"/>
  <c r="A312" i="1"/>
  <c r="L310" i="1"/>
  <c r="F309" i="1"/>
  <c r="B308" i="1"/>
  <c r="R306" i="1"/>
  <c r="N305" i="1"/>
  <c r="H304" i="1"/>
  <c r="D303" i="1"/>
  <c r="A302" i="1"/>
  <c r="R300" i="1"/>
  <c r="L299" i="1"/>
  <c r="F298" i="1"/>
  <c r="AA296" i="1"/>
  <c r="M295" i="1"/>
  <c r="I294" i="1"/>
  <c r="A293" i="1"/>
  <c r="O291" i="1"/>
  <c r="J290" i="1"/>
  <c r="C289" i="1"/>
  <c r="O287" i="1"/>
  <c r="I286" i="1"/>
  <c r="E285" i="1"/>
  <c r="A284" i="1"/>
  <c r="K282" i="1"/>
  <c r="I281" i="1"/>
  <c r="C280" i="1"/>
  <c r="P278" i="1"/>
  <c r="J277" i="1"/>
  <c r="D276" i="1"/>
  <c r="R274" i="1"/>
  <c r="H273" i="1"/>
  <c r="D272" i="1"/>
  <c r="U270" i="1"/>
  <c r="P269" i="1"/>
  <c r="L268" i="1"/>
  <c r="I267" i="1"/>
  <c r="F266" i="1"/>
  <c r="B265" i="1"/>
  <c r="AA263" i="1"/>
  <c r="P262" i="1"/>
  <c r="N261" i="1"/>
  <c r="H260" i="1"/>
  <c r="F259" i="1"/>
  <c r="E258" i="1"/>
  <c r="D257" i="1"/>
  <c r="D256" i="1"/>
  <c r="D255" i="1"/>
  <c r="Q253" i="1"/>
  <c r="O252" i="1"/>
  <c r="J251" i="1"/>
  <c r="J250" i="1"/>
  <c r="G249" i="1"/>
  <c r="E248" i="1"/>
  <c r="E247" i="1"/>
  <c r="D246" i="1"/>
  <c r="C245" i="1"/>
  <c r="AA243" i="1"/>
  <c r="U242" i="1"/>
  <c r="Q241" i="1"/>
  <c r="P240" i="1"/>
  <c r="O239" i="1"/>
  <c r="N238" i="1"/>
  <c r="M237" i="1"/>
  <c r="L236" i="1"/>
  <c r="K235" i="1"/>
  <c r="I234" i="1"/>
  <c r="G233" i="1"/>
  <c r="E232" i="1"/>
  <c r="D231" i="1"/>
  <c r="A230" i="1"/>
  <c r="R228" i="1"/>
  <c r="O227" i="1"/>
  <c r="L226" i="1"/>
  <c r="L225" i="1"/>
  <c r="E224" i="1"/>
  <c r="D223" i="1"/>
  <c r="C222" i="1"/>
  <c r="D221" i="1"/>
  <c r="E220" i="1"/>
  <c r="F219" i="1"/>
  <c r="G218" i="1"/>
  <c r="F217" i="1"/>
  <c r="C216" i="1"/>
  <c r="D215" i="1"/>
  <c r="D214" i="1"/>
  <c r="E213" i="1"/>
  <c r="F212" i="1"/>
  <c r="F211" i="1"/>
  <c r="F210" i="1"/>
  <c r="E209" i="1"/>
  <c r="D208" i="1"/>
  <c r="C207" i="1"/>
  <c r="B206" i="1"/>
  <c r="B205" i="1"/>
  <c r="B204" i="1"/>
  <c r="A203" i="1"/>
  <c r="AA201" i="1"/>
  <c r="W200" i="1"/>
  <c r="R199" i="1"/>
  <c r="O198" i="1"/>
  <c r="O197" i="1"/>
  <c r="N196" i="1"/>
  <c r="M195" i="1"/>
  <c r="M194" i="1"/>
  <c r="M193" i="1"/>
  <c r="M192" i="1"/>
  <c r="L191" i="1"/>
  <c r="K190" i="1"/>
  <c r="K189" i="1"/>
  <c r="K188" i="1"/>
  <c r="K187" i="1"/>
  <c r="J186" i="1"/>
  <c r="J185" i="1"/>
  <c r="J184" i="1"/>
  <c r="J183" i="1"/>
  <c r="J182" i="1"/>
  <c r="J181" i="1"/>
  <c r="J180" i="1"/>
  <c r="J179" i="1"/>
  <c r="H178" i="1"/>
  <c r="H177" i="1"/>
  <c r="E176" i="1"/>
  <c r="E175" i="1"/>
  <c r="E174" i="1"/>
  <c r="B173" i="1"/>
  <c r="R171" i="1"/>
  <c r="Q170" i="1"/>
  <c r="O169" i="1"/>
  <c r="R168" i="1"/>
  <c r="V167" i="1"/>
  <c r="A167" i="1"/>
  <c r="B166" i="1"/>
  <c r="B165" i="1"/>
  <c r="D164" i="1"/>
  <c r="D163" i="1"/>
  <c r="E162" i="1"/>
  <c r="E161" i="1"/>
  <c r="C160" i="1"/>
  <c r="D159" i="1"/>
  <c r="N1182" i="1"/>
  <c r="K1004" i="1"/>
  <c r="V910" i="1"/>
  <c r="L864" i="1"/>
  <c r="B818" i="1"/>
  <c r="B786" i="1"/>
  <c r="V752" i="1"/>
  <c r="U722" i="1"/>
  <c r="R701" i="1"/>
  <c r="T681" i="1"/>
  <c r="C664" i="1"/>
  <c r="E648" i="1"/>
  <c r="E634" i="1"/>
  <c r="M620" i="1"/>
  <c r="D612" i="1"/>
  <c r="S604" i="1"/>
  <c r="T595" i="1"/>
  <c r="D585" i="1"/>
  <c r="Y576" i="1"/>
  <c r="G569" i="1"/>
  <c r="U560" i="1"/>
  <c r="C552" i="1"/>
  <c r="Y542" i="1"/>
  <c r="P534" i="1"/>
  <c r="Y526" i="1"/>
  <c r="F521" i="1"/>
  <c r="M515" i="1"/>
  <c r="U510" i="1"/>
  <c r="M506" i="1"/>
  <c r="D502" i="1"/>
  <c r="F498" i="1"/>
  <c r="N492" i="1"/>
  <c r="B488" i="1"/>
  <c r="A484" i="1"/>
  <c r="N479" i="1"/>
  <c r="J473" i="1"/>
  <c r="AA467" i="1"/>
  <c r="U462" i="1"/>
  <c r="G458" i="1"/>
  <c r="M453" i="1"/>
  <c r="Q448" i="1"/>
  <c r="E444" i="1"/>
  <c r="M439" i="1"/>
  <c r="C435" i="1"/>
  <c r="N429" i="1"/>
  <c r="J425" i="1"/>
  <c r="L420" i="1"/>
  <c r="T415" i="1"/>
  <c r="B411" i="1"/>
  <c r="A406" i="1"/>
  <c r="L401" i="1"/>
  <c r="Q397" i="1"/>
  <c r="T394" i="1"/>
  <c r="T391" i="1"/>
  <c r="M389" i="1"/>
  <c r="J387" i="1"/>
  <c r="H385" i="1"/>
  <c r="AA382" i="1"/>
  <c r="G381" i="1"/>
  <c r="AA379" i="1"/>
  <c r="Q378" i="1"/>
  <c r="F377" i="1"/>
  <c r="Y375" i="1"/>
  <c r="T374" i="1"/>
  <c r="M373" i="1"/>
  <c r="E372" i="1"/>
  <c r="Z370" i="1"/>
  <c r="U369" i="1"/>
  <c r="P368" i="1"/>
  <c r="K367" i="1"/>
  <c r="G366" i="1"/>
  <c r="AA364" i="1"/>
  <c r="U363" i="1"/>
  <c r="Q362" i="1"/>
  <c r="L361" i="1"/>
  <c r="J360" i="1"/>
  <c r="E359" i="1"/>
  <c r="AA357" i="1"/>
  <c r="X356" i="1"/>
  <c r="T355" i="1"/>
  <c r="R354" i="1"/>
  <c r="O353" i="1"/>
  <c r="I352" i="1"/>
  <c r="F351" i="1"/>
  <c r="D350" i="1"/>
  <c r="D349" i="1"/>
  <c r="S347" i="1"/>
  <c r="H346" i="1"/>
  <c r="A345" i="1"/>
  <c r="O343" i="1"/>
  <c r="E342" i="1"/>
  <c r="C341" i="1"/>
  <c r="AA339" i="1"/>
  <c r="V338" i="1"/>
  <c r="S337" i="1"/>
  <c r="P336" i="1"/>
  <c r="O335" i="1"/>
  <c r="M334" i="1"/>
  <c r="J333" i="1"/>
  <c r="F332" i="1"/>
  <c r="B331" i="1"/>
  <c r="A330" i="1"/>
  <c r="Z328" i="1"/>
  <c r="U327" i="1"/>
  <c r="R326" i="1"/>
  <c r="N325" i="1"/>
  <c r="H324" i="1"/>
  <c r="F323" i="1"/>
  <c r="C322" i="1"/>
  <c r="B321" i="1"/>
  <c r="A320" i="1"/>
  <c r="A319" i="1"/>
  <c r="Z317" i="1"/>
  <c r="Z316" i="1"/>
  <c r="Y315" i="1"/>
  <c r="Z314" i="1"/>
  <c r="Z313" i="1"/>
  <c r="A313" i="1"/>
  <c r="R311" i="1"/>
  <c r="K310" i="1"/>
  <c r="E309" i="1"/>
  <c r="A308" i="1"/>
  <c r="Q306" i="1"/>
  <c r="M305" i="1"/>
  <c r="G304" i="1"/>
  <c r="C303" i="1"/>
  <c r="AA301" i="1"/>
  <c r="Q300" i="1"/>
  <c r="I299" i="1"/>
  <c r="E298" i="1"/>
  <c r="U296" i="1"/>
  <c r="L295" i="1"/>
  <c r="H294" i="1"/>
  <c r="AA292" i="1"/>
  <c r="N291" i="1"/>
  <c r="H290" i="1"/>
  <c r="B289" i="1"/>
  <c r="M287" i="1"/>
  <c r="H286" i="1"/>
  <c r="C285" i="1"/>
  <c r="AA283" i="1"/>
  <c r="J282" i="1"/>
  <c r="H281" i="1"/>
  <c r="B280" i="1"/>
  <c r="O278" i="1"/>
  <c r="I277" i="1"/>
  <c r="C276" i="1"/>
  <c r="Q274" i="1"/>
  <c r="G273" i="1"/>
  <c r="A272" i="1"/>
  <c r="R270" i="1"/>
  <c r="O269" i="1"/>
  <c r="K268" i="1"/>
  <c r="H267" i="1"/>
  <c r="E266" i="1"/>
  <c r="A265" i="1"/>
  <c r="R263" i="1"/>
  <c r="O262" i="1"/>
  <c r="M261" i="1"/>
  <c r="G260" i="1"/>
  <c r="E259" i="1"/>
  <c r="D258" i="1"/>
  <c r="C257" i="1"/>
  <c r="C256" i="1"/>
  <c r="C255" i="1"/>
  <c r="P253" i="1"/>
  <c r="N252" i="1"/>
  <c r="I251" i="1"/>
  <c r="I250" i="1"/>
  <c r="F249" i="1"/>
  <c r="D248" i="1"/>
  <c r="D247" i="1"/>
  <c r="C246" i="1"/>
  <c r="B245" i="1"/>
  <c r="U243" i="1"/>
  <c r="Q242" i="1"/>
  <c r="P241" i="1"/>
  <c r="O240" i="1"/>
  <c r="N239" i="1"/>
  <c r="M238" i="1"/>
  <c r="L237" i="1"/>
  <c r="K236" i="1"/>
  <c r="J235" i="1"/>
  <c r="H234" i="1"/>
  <c r="F233" i="1"/>
  <c r="D232" i="1"/>
  <c r="C231" i="1"/>
  <c r="AA229" i="1"/>
  <c r="Q228" i="1"/>
  <c r="N227" i="1"/>
  <c r="K226" i="1"/>
  <c r="K225" i="1"/>
  <c r="D224" i="1"/>
  <c r="C223" i="1"/>
  <c r="B222" i="1"/>
  <c r="C221" i="1"/>
  <c r="D220" i="1"/>
  <c r="E219" i="1"/>
  <c r="F218" i="1"/>
  <c r="E217" i="1"/>
  <c r="B216" i="1"/>
  <c r="C215" i="1"/>
  <c r="C214" i="1"/>
  <c r="D213" i="1"/>
  <c r="E212" i="1"/>
  <c r="E211" i="1"/>
  <c r="E210" i="1"/>
  <c r="D209" i="1"/>
  <c r="C208" i="1"/>
  <c r="B207" i="1"/>
  <c r="A206" i="1"/>
  <c r="A205" i="1"/>
  <c r="A204" i="1"/>
  <c r="AA202" i="1"/>
  <c r="U201" i="1"/>
  <c r="U200" i="1"/>
  <c r="Q199" i="1"/>
  <c r="N198" i="1"/>
  <c r="N197" i="1"/>
  <c r="M196" i="1"/>
  <c r="L195" i="1"/>
  <c r="L194" i="1"/>
  <c r="L193" i="1"/>
  <c r="L192" i="1"/>
  <c r="K191" i="1"/>
  <c r="J190" i="1"/>
  <c r="J189" i="1"/>
  <c r="J188" i="1"/>
  <c r="I187" i="1"/>
  <c r="I186" i="1"/>
  <c r="I185" i="1"/>
  <c r="I184" i="1"/>
  <c r="I183" i="1"/>
  <c r="I182" i="1"/>
  <c r="I181" i="1"/>
  <c r="I180" i="1"/>
  <c r="I179" i="1"/>
  <c r="G178" i="1"/>
  <c r="G177" i="1"/>
  <c r="D176" i="1"/>
  <c r="D175" i="1"/>
  <c r="D174" i="1"/>
  <c r="A173" i="1"/>
  <c r="Q171" i="1"/>
  <c r="O170" i="1"/>
  <c r="N169" i="1"/>
  <c r="Q168" i="1"/>
  <c r="U167" i="1"/>
  <c r="AA166" i="1"/>
  <c r="A166" i="1"/>
  <c r="A165" i="1"/>
  <c r="C164" i="1"/>
  <c r="C163" i="1"/>
  <c r="D162" i="1"/>
  <c r="E1150" i="1"/>
  <c r="M994" i="1"/>
  <c r="U910" i="1"/>
  <c r="E856" i="1"/>
  <c r="A818" i="1"/>
  <c r="A786" i="1"/>
  <c r="S752" i="1"/>
  <c r="E722" i="1"/>
  <c r="R699" i="1"/>
  <c r="Q681" i="1"/>
  <c r="A664" i="1"/>
  <c r="I647" i="1"/>
  <c r="R631" i="1"/>
  <c r="L620" i="1"/>
  <c r="AA611" i="1"/>
  <c r="U603" i="1"/>
  <c r="S595" i="1"/>
  <c r="C585" i="1"/>
  <c r="L576" i="1"/>
  <c r="F569" i="1"/>
  <c r="T560" i="1"/>
  <c r="D550" i="1"/>
  <c r="A542" i="1"/>
  <c r="O534" i="1"/>
  <c r="S526" i="1"/>
  <c r="D521" i="1"/>
  <c r="K515" i="1"/>
  <c r="S510" i="1"/>
  <c r="I506" i="1"/>
  <c r="C502" i="1"/>
  <c r="H497" i="1"/>
  <c r="M492" i="1"/>
  <c r="A488" i="1"/>
  <c r="M483" i="1"/>
  <c r="M479" i="1"/>
  <c r="F473" i="1"/>
  <c r="C467" i="1"/>
  <c r="T462" i="1"/>
  <c r="F458" i="1"/>
  <c r="N452" i="1"/>
  <c r="P448" i="1"/>
  <c r="D444" i="1"/>
  <c r="I439" i="1"/>
  <c r="B435" i="1"/>
  <c r="M429" i="1"/>
  <c r="H425" i="1"/>
  <c r="K420" i="1"/>
  <c r="D415" i="1"/>
  <c r="E410" i="1"/>
  <c r="Y405" i="1"/>
  <c r="K401" i="1"/>
  <c r="N397" i="1"/>
  <c r="S394" i="1"/>
  <c r="S391" i="1"/>
  <c r="J389" i="1"/>
  <c r="I387" i="1"/>
  <c r="G385" i="1"/>
  <c r="Z382" i="1"/>
  <c r="E381" i="1"/>
  <c r="Z379" i="1"/>
  <c r="P378" i="1"/>
  <c r="B377" i="1"/>
  <c r="X375" i="1"/>
  <c r="R374" i="1"/>
  <c r="I373" i="1"/>
  <c r="D372" i="1"/>
  <c r="Y370" i="1"/>
  <c r="T369" i="1"/>
  <c r="O368" i="1"/>
  <c r="J367" i="1"/>
  <c r="D366" i="1"/>
  <c r="Y364" i="1"/>
  <c r="T363" i="1"/>
  <c r="P362" i="1"/>
  <c r="K361" i="1"/>
  <c r="I360" i="1"/>
  <c r="B359" i="1"/>
  <c r="Z357" i="1"/>
  <c r="V356" i="1"/>
  <c r="R355" i="1"/>
  <c r="Q354" i="1"/>
  <c r="L353" i="1"/>
  <c r="H352" i="1"/>
  <c r="E351" i="1"/>
  <c r="C350" i="1"/>
  <c r="C349" i="1"/>
  <c r="R347" i="1"/>
  <c r="F346" i="1"/>
  <c r="U344" i="1"/>
  <c r="L343" i="1"/>
  <c r="D342" i="1"/>
  <c r="B341" i="1"/>
  <c r="Z339" i="1"/>
  <c r="U338" i="1"/>
  <c r="R337" i="1"/>
  <c r="O336" i="1"/>
  <c r="M335" i="1"/>
  <c r="J334" i="1"/>
  <c r="H333" i="1"/>
  <c r="E332" i="1"/>
  <c r="A331" i="1"/>
  <c r="AA329" i="1"/>
  <c r="Y328" i="1"/>
  <c r="T327" i="1"/>
  <c r="P326" i="1"/>
  <c r="L325" i="1"/>
  <c r="G324" i="1"/>
  <c r="E323" i="1"/>
  <c r="B322" i="1"/>
  <c r="A321" i="1"/>
  <c r="AA319" i="1"/>
  <c r="Y318" i="1"/>
  <c r="Y317" i="1"/>
  <c r="Y316" i="1"/>
  <c r="X315" i="1"/>
  <c r="Y314" i="1"/>
  <c r="Y313" i="1"/>
  <c r="Z312" i="1"/>
  <c r="Q311" i="1"/>
  <c r="J310" i="1"/>
  <c r="D309" i="1"/>
  <c r="AA307" i="1"/>
  <c r="O306" i="1"/>
  <c r="L305" i="1"/>
  <c r="F304" i="1"/>
  <c r="B303" i="1"/>
  <c r="V301" i="1"/>
  <c r="P300" i="1"/>
  <c r="H299" i="1"/>
  <c r="D298" i="1"/>
  <c r="R296" i="1"/>
  <c r="K295" i="1"/>
  <c r="E294" i="1"/>
  <c r="U292" i="1"/>
  <c r="M291" i="1"/>
  <c r="G290" i="1"/>
  <c r="R288" i="1"/>
  <c r="L287" i="1"/>
  <c r="G286" i="1"/>
  <c r="B285" i="1"/>
  <c r="U283" i="1"/>
  <c r="I282" i="1"/>
  <c r="G281" i="1"/>
  <c r="AA279" i="1"/>
  <c r="N278" i="1"/>
  <c r="H277" i="1"/>
  <c r="B276" i="1"/>
  <c r="O274" i="1"/>
  <c r="F273" i="1"/>
  <c r="AA271" i="1"/>
  <c r="Q270" i="1"/>
  <c r="N269" i="1"/>
  <c r="J268" i="1"/>
  <c r="G267" i="1"/>
  <c r="D266" i="1"/>
  <c r="U264" i="1"/>
  <c r="P263" i="1"/>
  <c r="N262" i="1"/>
  <c r="L261" i="1"/>
  <c r="F260" i="1"/>
  <c r="D259" i="1"/>
  <c r="C258" i="1"/>
  <c r="B257" i="1"/>
  <c r="B256" i="1"/>
  <c r="B255" i="1"/>
  <c r="O253" i="1"/>
  <c r="M252" i="1"/>
  <c r="H251" i="1"/>
  <c r="H250" i="1"/>
  <c r="E249" i="1"/>
  <c r="C248" i="1"/>
  <c r="C247" i="1"/>
  <c r="B246" i="1"/>
  <c r="A245" i="1"/>
  <c r="Q243" i="1"/>
  <c r="P242" i="1"/>
  <c r="O241" i="1"/>
  <c r="N240" i="1"/>
  <c r="M239" i="1"/>
  <c r="L238" i="1"/>
  <c r="K237" i="1"/>
  <c r="J236" i="1"/>
  <c r="I235" i="1"/>
  <c r="G234" i="1"/>
  <c r="E233" i="1"/>
  <c r="C232" i="1"/>
  <c r="B231" i="1"/>
  <c r="U229" i="1"/>
  <c r="P228" i="1"/>
  <c r="M227" i="1"/>
  <c r="J226" i="1"/>
  <c r="J225" i="1"/>
  <c r="C224" i="1"/>
  <c r="B223" i="1"/>
  <c r="A222" i="1"/>
  <c r="B221" i="1"/>
  <c r="C220" i="1"/>
  <c r="D219" i="1"/>
  <c r="E218" i="1"/>
  <c r="D217" i="1"/>
  <c r="A216" i="1"/>
  <c r="B215" i="1"/>
  <c r="B214" i="1"/>
  <c r="C213" i="1"/>
  <c r="D212" i="1"/>
  <c r="D211" i="1"/>
  <c r="D210" i="1"/>
  <c r="C209" i="1"/>
  <c r="B208" i="1"/>
  <c r="A207" i="1"/>
  <c r="AA205" i="1"/>
  <c r="AA204" i="1"/>
  <c r="AA203" i="1"/>
  <c r="U202" i="1"/>
  <c r="R201" i="1"/>
  <c r="R200" i="1"/>
  <c r="O199" i="1"/>
  <c r="M198" i="1"/>
  <c r="M197" i="1"/>
  <c r="L196" i="1"/>
  <c r="K195" i="1"/>
  <c r="K194" i="1"/>
  <c r="K193" i="1"/>
  <c r="K192" i="1"/>
  <c r="J191" i="1"/>
  <c r="I190" i="1"/>
  <c r="I189" i="1"/>
  <c r="I188" i="1"/>
  <c r="H187" i="1"/>
  <c r="H186" i="1"/>
  <c r="H185" i="1"/>
  <c r="H184" i="1"/>
  <c r="H183" i="1"/>
  <c r="H182" i="1"/>
  <c r="H181" i="1"/>
  <c r="H180" i="1"/>
  <c r="H179" i="1"/>
  <c r="F178" i="1"/>
  <c r="F177" i="1"/>
  <c r="C176" i="1"/>
  <c r="C175" i="1"/>
  <c r="C174" i="1"/>
  <c r="AA172" i="1"/>
  <c r="O171" i="1"/>
  <c r="N170" i="1"/>
  <c r="M169" i="1"/>
  <c r="P168" i="1"/>
  <c r="S167" i="1"/>
  <c r="Y166" i="1"/>
  <c r="AA165" i="1"/>
  <c r="AA164" i="1"/>
  <c r="B164" i="1"/>
  <c r="B163" i="1"/>
  <c r="C162" i="1"/>
  <c r="B1150" i="1"/>
  <c r="J989" i="1"/>
  <c r="R910" i="1"/>
  <c r="N855" i="1"/>
  <c r="N814" i="1"/>
  <c r="E782" i="1"/>
  <c r="J752" i="1"/>
  <c r="AA717" i="1"/>
  <c r="Q699" i="1"/>
  <c r="P681" i="1"/>
  <c r="Z663" i="1"/>
  <c r="T646" i="1"/>
  <c r="J630" i="1"/>
  <c r="J620" i="1"/>
  <c r="Z611" i="1"/>
  <c r="I603" i="1"/>
  <c r="U593" i="1"/>
  <c r="B585" i="1"/>
  <c r="H576" i="1"/>
  <c r="H568" i="1"/>
  <c r="S560" i="1"/>
  <c r="C550" i="1"/>
  <c r="O541" i="1"/>
  <c r="N534" i="1"/>
  <c r="P526" i="1"/>
  <c r="Y519" i="1"/>
  <c r="AA514" i="1"/>
  <c r="R510" i="1"/>
  <c r="G506" i="1"/>
  <c r="B502" i="1"/>
  <c r="G497" i="1"/>
  <c r="J492" i="1"/>
  <c r="Y487" i="1"/>
  <c r="L483" i="1"/>
  <c r="O478" i="1"/>
  <c r="D473" i="1"/>
  <c r="B467" i="1"/>
  <c r="G462" i="1"/>
  <c r="E458" i="1"/>
  <c r="K452" i="1"/>
  <c r="D448" i="1"/>
  <c r="C444" i="1"/>
  <c r="G439" i="1"/>
  <c r="C434" i="1"/>
  <c r="L429" i="1"/>
  <c r="G425" i="1"/>
  <c r="E420" i="1"/>
  <c r="C415" i="1"/>
  <c r="D410" i="1"/>
  <c r="U405" i="1"/>
  <c r="I401" i="1"/>
  <c r="L397" i="1"/>
  <c r="A394" i="1"/>
  <c r="R391" i="1"/>
  <c r="I389" i="1"/>
  <c r="G387" i="1"/>
  <c r="F385" i="1"/>
  <c r="V382" i="1"/>
  <c r="D381" i="1"/>
  <c r="Y379" i="1"/>
  <c r="O378" i="1"/>
  <c r="A377" i="1"/>
  <c r="V375" i="1"/>
  <c r="Q374" i="1"/>
  <c r="G373" i="1"/>
  <c r="B372" i="1"/>
  <c r="X370" i="1"/>
  <c r="R369" i="1"/>
  <c r="N368" i="1"/>
  <c r="I367" i="1"/>
  <c r="C366" i="1"/>
  <c r="X364" i="1"/>
  <c r="R363" i="1"/>
  <c r="O362" i="1"/>
  <c r="J361" i="1"/>
  <c r="F360" i="1"/>
  <c r="A359" i="1"/>
  <c r="Y357" i="1"/>
  <c r="U356" i="1"/>
  <c r="Q355" i="1"/>
  <c r="P354" i="1"/>
  <c r="H353" i="1"/>
  <c r="F352" i="1"/>
  <c r="D351" i="1"/>
  <c r="B350" i="1"/>
  <c r="B349" i="1"/>
  <c r="Q347" i="1"/>
  <c r="E346" i="1"/>
  <c r="S344" i="1"/>
  <c r="I343" i="1"/>
  <c r="C342" i="1"/>
  <c r="A341" i="1"/>
  <c r="V339" i="1"/>
  <c r="T338" i="1"/>
  <c r="O337" i="1"/>
  <c r="N336" i="1"/>
  <c r="L335" i="1"/>
  <c r="I334" i="1"/>
  <c r="F333" i="1"/>
  <c r="C332" i="1"/>
  <c r="AA330" i="1"/>
  <c r="Y329" i="1"/>
  <c r="T328" i="1"/>
  <c r="S327" i="1"/>
  <c r="O326" i="1"/>
  <c r="I325" i="1"/>
  <c r="F324" i="1"/>
  <c r="D323" i="1"/>
  <c r="A322" i="1"/>
  <c r="AA320" i="1"/>
  <c r="Z319" i="1"/>
  <c r="W318" i="1"/>
  <c r="W317" i="1"/>
  <c r="W316" i="1"/>
  <c r="V315" i="1"/>
  <c r="U314" i="1"/>
  <c r="V313" i="1"/>
  <c r="Y312" i="1"/>
  <c r="N311" i="1"/>
  <c r="G310" i="1"/>
  <c r="C309" i="1"/>
  <c r="U307" i="1"/>
  <c r="N306" i="1"/>
  <c r="K305" i="1"/>
  <c r="E304" i="1"/>
  <c r="A303" i="1"/>
  <c r="R301" i="1"/>
  <c r="N300" i="1"/>
  <c r="G299" i="1"/>
  <c r="C298" i="1"/>
  <c r="Q296" i="1"/>
  <c r="J295" i="1"/>
  <c r="D294" i="1"/>
  <c r="R292" i="1"/>
  <c r="L291" i="1"/>
  <c r="E290" i="1"/>
  <c r="Q288" i="1"/>
  <c r="K287" i="1"/>
  <c r="F286" i="1"/>
  <c r="A285" i="1"/>
  <c r="P283" i="1"/>
  <c r="H282" i="1"/>
  <c r="F281" i="1"/>
  <c r="U279" i="1"/>
  <c r="M278" i="1"/>
  <c r="G277" i="1"/>
  <c r="A276" i="1"/>
  <c r="M274" i="1"/>
  <c r="E273" i="1"/>
  <c r="U271" i="1"/>
  <c r="P270" i="1"/>
  <c r="M269" i="1"/>
  <c r="I268" i="1"/>
  <c r="F267" i="1"/>
  <c r="B266" i="1"/>
  <c r="R264" i="1"/>
  <c r="O263" i="1"/>
  <c r="M262" i="1"/>
  <c r="I261" i="1"/>
  <c r="E260" i="1"/>
  <c r="C259" i="1"/>
  <c r="B258" i="1"/>
  <c r="A257" i="1"/>
  <c r="A256" i="1"/>
  <c r="A255" i="1"/>
  <c r="N253" i="1"/>
  <c r="L252" i="1"/>
  <c r="G251" i="1"/>
  <c r="G250" i="1"/>
  <c r="D249" i="1"/>
  <c r="B248" i="1"/>
  <c r="B247" i="1"/>
  <c r="A246" i="1"/>
  <c r="U244" i="1"/>
  <c r="O243" i="1"/>
  <c r="O242" i="1"/>
  <c r="N241" i="1"/>
  <c r="M240" i="1"/>
  <c r="L239" i="1"/>
  <c r="K238" i="1"/>
  <c r="J237" i="1"/>
  <c r="I236" i="1"/>
  <c r="H235" i="1"/>
  <c r="F234" i="1"/>
  <c r="D233" i="1"/>
  <c r="B232" i="1"/>
  <c r="A231" i="1"/>
  <c r="R229" i="1"/>
  <c r="O228" i="1"/>
  <c r="L227" i="1"/>
  <c r="I226" i="1"/>
  <c r="I225" i="1"/>
  <c r="B224" i="1"/>
  <c r="A223" i="1"/>
  <c r="AA221" i="1"/>
  <c r="A221" i="1"/>
  <c r="B220" i="1"/>
  <c r="C219" i="1"/>
  <c r="D218" i="1"/>
  <c r="C217" i="1"/>
  <c r="AA215" i="1"/>
  <c r="A215" i="1"/>
  <c r="A214" i="1"/>
  <c r="B213" i="1"/>
  <c r="C212" i="1"/>
  <c r="C211" i="1"/>
  <c r="C210" i="1"/>
  <c r="B209" i="1"/>
  <c r="A208" i="1"/>
  <c r="AA206" i="1"/>
  <c r="X205" i="1"/>
  <c r="X204" i="1"/>
  <c r="U203" i="1"/>
  <c r="R202" i="1"/>
  <c r="Q201" i="1"/>
  <c r="Q200" i="1"/>
  <c r="N199" i="1"/>
  <c r="L198" i="1"/>
  <c r="L197" i="1"/>
  <c r="K196" i="1"/>
  <c r="J195" i="1"/>
  <c r="J194" i="1"/>
  <c r="J193" i="1"/>
  <c r="J192" i="1"/>
  <c r="I191" i="1"/>
  <c r="H190" i="1"/>
  <c r="H189" i="1"/>
  <c r="H188" i="1"/>
  <c r="G187" i="1"/>
  <c r="G186" i="1"/>
  <c r="G185" i="1"/>
  <c r="G184" i="1"/>
  <c r="G183" i="1"/>
  <c r="G182" i="1"/>
  <c r="G181" i="1"/>
  <c r="G180" i="1"/>
  <c r="G179" i="1"/>
  <c r="E178" i="1"/>
  <c r="E177" i="1"/>
  <c r="B176" i="1"/>
  <c r="B175" i="1"/>
  <c r="B174" i="1"/>
  <c r="U172" i="1"/>
  <c r="N171" i="1"/>
  <c r="M170" i="1"/>
  <c r="L169" i="1"/>
  <c r="O168" i="1"/>
  <c r="R167" i="1"/>
  <c r="U166" i="1"/>
  <c r="U165" i="1"/>
  <c r="W164" i="1"/>
  <c r="A164" i="1"/>
  <c r="A163" i="1"/>
  <c r="B162" i="1"/>
  <c r="I1148" i="1"/>
  <c r="A985" i="1"/>
  <c r="L895" i="1"/>
  <c r="M855" i="1"/>
  <c r="K814" i="1"/>
  <c r="J780" i="1"/>
  <c r="I752" i="1"/>
  <c r="X717" i="1"/>
  <c r="AA697" i="1"/>
  <c r="W679" i="1"/>
  <c r="Y663" i="1"/>
  <c r="J643" i="1"/>
  <c r="I630" i="1"/>
  <c r="I620" i="1"/>
  <c r="W611" i="1"/>
  <c r="E603" i="1"/>
  <c r="Y592" i="1"/>
  <c r="Z584" i="1"/>
  <c r="F576" i="1"/>
  <c r="Y567" i="1"/>
  <c r="Z558" i="1"/>
  <c r="B550" i="1"/>
  <c r="J541" i="1"/>
  <c r="Q533" i="1"/>
  <c r="O526" i="1"/>
  <c r="W519" i="1"/>
  <c r="W514" i="1"/>
  <c r="Q510" i="1"/>
  <c r="F506" i="1"/>
  <c r="B501" i="1"/>
  <c r="T496" i="1"/>
  <c r="I492" i="1"/>
  <c r="U487" i="1"/>
  <c r="K483" i="1"/>
  <c r="N478" i="1"/>
  <c r="B473" i="1"/>
  <c r="V466" i="1"/>
  <c r="E462" i="1"/>
  <c r="C457" i="1"/>
  <c r="J452" i="1"/>
  <c r="C448" i="1"/>
  <c r="L443" i="1"/>
  <c r="F439" i="1"/>
  <c r="AA433" i="1"/>
  <c r="A429" i="1"/>
  <c r="F425" i="1"/>
  <c r="D420" i="1"/>
  <c r="Z413" i="1"/>
  <c r="C410" i="1"/>
  <c r="T405" i="1"/>
  <c r="E401" i="1"/>
  <c r="I397" i="1"/>
  <c r="AA393" i="1"/>
  <c r="P391" i="1"/>
  <c r="H389" i="1"/>
  <c r="F387" i="1"/>
  <c r="R384" i="1"/>
  <c r="U382" i="1"/>
  <c r="C381" i="1"/>
  <c r="X379" i="1"/>
  <c r="I378" i="1"/>
  <c r="AA376" i="1"/>
  <c r="U375" i="1"/>
  <c r="N374" i="1"/>
  <c r="F373" i="1"/>
  <c r="A372" i="1"/>
  <c r="V370" i="1"/>
  <c r="P369" i="1"/>
  <c r="J368" i="1"/>
  <c r="G367" i="1"/>
  <c r="B366" i="1"/>
  <c r="U364" i="1"/>
  <c r="Q363" i="1"/>
  <c r="N362" i="1"/>
  <c r="I361" i="1"/>
  <c r="D360" i="1"/>
  <c r="Z358" i="1"/>
  <c r="V357" i="1"/>
  <c r="T356" i="1"/>
  <c r="P355" i="1"/>
  <c r="O354" i="1"/>
  <c r="G353" i="1"/>
  <c r="E352" i="1"/>
  <c r="C351" i="1"/>
  <c r="A350" i="1"/>
  <c r="A349" i="1"/>
  <c r="O347" i="1"/>
  <c r="D346" i="1"/>
  <c r="R344" i="1"/>
  <c r="H343" i="1"/>
  <c r="B342" i="1"/>
  <c r="AA340" i="1"/>
  <c r="T339" i="1"/>
  <c r="Q338" i="1"/>
  <c r="N337" i="1"/>
  <c r="M336" i="1"/>
  <c r="K335" i="1"/>
  <c r="H334" i="1"/>
  <c r="E333" i="1"/>
  <c r="AA331" i="1"/>
  <c r="Z330" i="1"/>
  <c r="V329" i="1"/>
  <c r="S328" i="1"/>
  <c r="Q327" i="1"/>
  <c r="N326" i="1"/>
  <c r="H325" i="1"/>
  <c r="D324" i="1"/>
  <c r="A323" i="1"/>
  <c r="AA321" i="1"/>
  <c r="Y320" i="1"/>
  <c r="Y319" i="1"/>
  <c r="V318" i="1"/>
  <c r="V317" i="1"/>
  <c r="V316" i="1"/>
  <c r="U315" i="1"/>
  <c r="S314" i="1"/>
  <c r="U313" i="1"/>
  <c r="X312" i="1"/>
  <c r="M311" i="1"/>
  <c r="F310" i="1"/>
  <c r="B309" i="1"/>
  <c r="R307" i="1"/>
  <c r="M306" i="1"/>
  <c r="H305" i="1"/>
  <c r="D304" i="1"/>
  <c r="AA302" i="1"/>
  <c r="Q301" i="1"/>
  <c r="M300" i="1"/>
  <c r="F299" i="1"/>
  <c r="B298" i="1"/>
  <c r="M296" i="1"/>
  <c r="I295" i="1"/>
  <c r="C294" i="1"/>
  <c r="Q292" i="1"/>
  <c r="I291" i="1"/>
  <c r="D290" i="1"/>
  <c r="O288" i="1"/>
  <c r="J287" i="1"/>
  <c r="E286" i="1"/>
  <c r="AA284" i="1"/>
  <c r="O283" i="1"/>
  <c r="G282" i="1"/>
  <c r="E281" i="1"/>
  <c r="R279" i="1"/>
  <c r="J278" i="1"/>
  <c r="F277" i="1"/>
  <c r="AA275" i="1"/>
  <c r="L274" i="1"/>
  <c r="D273" i="1"/>
  <c r="R271" i="1"/>
  <c r="O270" i="1"/>
  <c r="L269" i="1"/>
  <c r="H268" i="1"/>
  <c r="D267" i="1"/>
  <c r="A266" i="1"/>
  <c r="P264" i="1"/>
  <c r="N263" i="1"/>
  <c r="L262" i="1"/>
  <c r="H261" i="1"/>
  <c r="D260" i="1"/>
  <c r="B259" i="1"/>
  <c r="A258" i="1"/>
  <c r="AA256" i="1"/>
  <c r="AA255" i="1"/>
  <c r="AA254" i="1"/>
  <c r="M253" i="1"/>
  <c r="I252" i="1"/>
  <c r="F251" i="1"/>
  <c r="F250" i="1"/>
  <c r="C249" i="1"/>
  <c r="A248" i="1"/>
  <c r="A247" i="1"/>
  <c r="U245" i="1"/>
  <c r="R244" i="1"/>
  <c r="N243" i="1"/>
  <c r="N242" i="1"/>
  <c r="M241" i="1"/>
  <c r="L240" i="1"/>
  <c r="K239" i="1"/>
  <c r="J238" i="1"/>
  <c r="I237" i="1"/>
  <c r="H236" i="1"/>
  <c r="G235" i="1"/>
  <c r="E234" i="1"/>
  <c r="C233" i="1"/>
  <c r="A232" i="1"/>
  <c r="AA230" i="1"/>
  <c r="Q229" i="1"/>
  <c r="N228" i="1"/>
  <c r="I227" i="1"/>
  <c r="H226" i="1"/>
  <c r="H225" i="1"/>
  <c r="A224" i="1"/>
  <c r="AA222" i="1"/>
  <c r="V221" i="1"/>
  <c r="AA220" i="1"/>
  <c r="A220" i="1"/>
  <c r="B219" i="1"/>
  <c r="C218" i="1"/>
  <c r="B217" i="1"/>
  <c r="U215" i="1"/>
  <c r="AA214" i="1"/>
  <c r="AA213" i="1"/>
  <c r="A213" i="1"/>
  <c r="B212" i="1"/>
  <c r="B211" i="1"/>
  <c r="B210" i="1"/>
  <c r="A209" i="1"/>
  <c r="AA207" i="1"/>
  <c r="U206" i="1"/>
  <c r="U205" i="1"/>
  <c r="U204" i="1"/>
  <c r="R203" i="1"/>
  <c r="Q202" i="1"/>
  <c r="O201" i="1"/>
  <c r="O200" i="1"/>
  <c r="M199" i="1"/>
  <c r="K198" i="1"/>
  <c r="K197" i="1"/>
  <c r="J196" i="1"/>
  <c r="I195" i="1"/>
  <c r="I194" i="1"/>
  <c r="I193" i="1"/>
  <c r="I192" i="1"/>
  <c r="H191" i="1"/>
  <c r="G190" i="1"/>
  <c r="G189" i="1"/>
  <c r="G188" i="1"/>
  <c r="F187" i="1"/>
  <c r="F186" i="1"/>
  <c r="F185" i="1"/>
  <c r="F184" i="1"/>
  <c r="F183" i="1"/>
  <c r="F182" i="1"/>
  <c r="F181" i="1"/>
  <c r="F180" i="1"/>
  <c r="F179" i="1"/>
  <c r="D178" i="1"/>
  <c r="D177" i="1"/>
  <c r="A176" i="1"/>
  <c r="A175" i="1"/>
  <c r="A174" i="1"/>
  <c r="R172" i="1"/>
  <c r="M171" i="1"/>
  <c r="L170" i="1"/>
  <c r="K169" i="1"/>
  <c r="N168" i="1"/>
  <c r="Q167" i="1"/>
  <c r="R166" i="1"/>
  <c r="R165" i="1"/>
  <c r="V164" i="1"/>
  <c r="AA163" i="1"/>
  <c r="AA162" i="1"/>
  <c r="A162" i="1"/>
  <c r="A161" i="1"/>
  <c r="X159" i="1"/>
  <c r="A1145" i="1"/>
  <c r="U984" i="1"/>
  <c r="I895" i="1"/>
  <c r="J855" i="1"/>
  <c r="J814" i="1"/>
  <c r="M779" i="1"/>
  <c r="I742" i="1"/>
  <c r="U717" i="1"/>
  <c r="U697" i="1"/>
  <c r="Z678" i="1"/>
  <c r="W663" i="1"/>
  <c r="I643" i="1"/>
  <c r="M629" i="1"/>
  <c r="M619" i="1"/>
  <c r="V611" i="1"/>
  <c r="J601" i="1"/>
  <c r="V592" i="1"/>
  <c r="Y584" i="1"/>
  <c r="D576" i="1"/>
  <c r="S567" i="1"/>
  <c r="C558" i="1"/>
  <c r="AA549" i="1"/>
  <c r="I541" i="1"/>
  <c r="G533" i="1"/>
  <c r="K525" i="1"/>
  <c r="U519" i="1"/>
  <c r="R514" i="1"/>
  <c r="C510" i="1"/>
  <c r="E506" i="1"/>
  <c r="A501" i="1"/>
  <c r="R496" i="1"/>
  <c r="G492" i="1"/>
  <c r="T487" i="1"/>
  <c r="I482" i="1"/>
  <c r="B478" i="1"/>
  <c r="A473" i="1"/>
  <c r="T466" i="1"/>
  <c r="D462" i="1"/>
  <c r="B457" i="1"/>
  <c r="H452" i="1"/>
  <c r="AA447" i="1"/>
  <c r="K443" i="1"/>
  <c r="G438" i="1"/>
  <c r="Z433" i="1"/>
  <c r="AA428" i="1"/>
  <c r="O424" i="1"/>
  <c r="C420" i="1"/>
  <c r="V413" i="1"/>
  <c r="Q409" i="1"/>
  <c r="R405" i="1"/>
  <c r="D401" i="1"/>
  <c r="Q396" i="1"/>
  <c r="Z393" i="1"/>
  <c r="O391" i="1"/>
  <c r="D389" i="1"/>
  <c r="E387" i="1"/>
  <c r="Q384" i="1"/>
  <c r="T382" i="1"/>
  <c r="B381" i="1"/>
  <c r="R379" i="1"/>
  <c r="G378" i="1"/>
  <c r="Z376" i="1"/>
  <c r="S375" i="1"/>
  <c r="M374" i="1"/>
  <c r="E373" i="1"/>
  <c r="Y371" i="1"/>
  <c r="U370" i="1"/>
  <c r="O369" i="1"/>
  <c r="I368" i="1"/>
  <c r="E367" i="1"/>
  <c r="AA365" i="1"/>
  <c r="T364" i="1"/>
  <c r="O363" i="1"/>
  <c r="J362" i="1"/>
  <c r="H361" i="1"/>
  <c r="C360" i="1"/>
  <c r="Y358" i="1"/>
  <c r="U357" i="1"/>
  <c r="R356" i="1"/>
  <c r="O355" i="1"/>
  <c r="K354" i="1"/>
  <c r="F353" i="1"/>
  <c r="D352" i="1"/>
  <c r="B351" i="1"/>
  <c r="AA349" i="1"/>
  <c r="AA348" i="1"/>
  <c r="I347" i="1"/>
  <c r="B346" i="1"/>
  <c r="Q344" i="1"/>
  <c r="G343" i="1"/>
  <c r="A342" i="1"/>
  <c r="Z340" i="1"/>
  <c r="S339" i="1"/>
  <c r="P338" i="1"/>
  <c r="M337" i="1"/>
  <c r="L336" i="1"/>
  <c r="J335" i="1"/>
  <c r="F334" i="1"/>
  <c r="C333" i="1"/>
  <c r="Z331" i="1"/>
  <c r="Y330" i="1"/>
  <c r="U329" i="1"/>
  <c r="R328" i="1"/>
  <c r="O327" i="1"/>
  <c r="J326" i="1"/>
  <c r="G325" i="1"/>
  <c r="C324" i="1"/>
  <c r="AA322" i="1"/>
  <c r="Z321" i="1"/>
  <c r="W320" i="1"/>
  <c r="W319" i="1"/>
  <c r="U318" i="1"/>
  <c r="U317" i="1"/>
  <c r="T316" i="1"/>
  <c r="S315" i="1"/>
  <c r="R314" i="1"/>
  <c r="T313" i="1"/>
  <c r="U312" i="1"/>
  <c r="L311" i="1"/>
  <c r="E310" i="1"/>
  <c r="A309" i="1"/>
  <c r="Q307" i="1"/>
  <c r="L306" i="1"/>
  <c r="G305" i="1"/>
  <c r="C304" i="1"/>
  <c r="V302" i="1"/>
  <c r="P301" i="1"/>
  <c r="J300" i="1"/>
  <c r="E299" i="1"/>
  <c r="A298" i="1"/>
  <c r="L296" i="1"/>
  <c r="H295" i="1"/>
  <c r="B294" i="1"/>
  <c r="N292" i="1"/>
  <c r="H291" i="1"/>
  <c r="C290" i="1"/>
  <c r="N288" i="1"/>
  <c r="I287" i="1"/>
  <c r="C286" i="1"/>
  <c r="V284" i="1"/>
  <c r="N283" i="1"/>
  <c r="F282" i="1"/>
  <c r="D281" i="1"/>
  <c r="Q279" i="1"/>
  <c r="I278" i="1"/>
  <c r="E277" i="1"/>
  <c r="U275" i="1"/>
  <c r="I274" i="1"/>
  <c r="A273" i="1"/>
  <c r="Q271" i="1"/>
  <c r="N270" i="1"/>
  <c r="K269" i="1"/>
  <c r="F268" i="1"/>
  <c r="C267" i="1"/>
  <c r="AA265" i="1"/>
  <c r="O264" i="1"/>
  <c r="M263" i="1"/>
  <c r="K262" i="1"/>
  <c r="G261" i="1"/>
  <c r="C260" i="1"/>
  <c r="A259" i="1"/>
  <c r="AA257" i="1"/>
  <c r="V256" i="1"/>
  <c r="V255" i="1"/>
  <c r="U254" i="1"/>
  <c r="L253" i="1"/>
  <c r="H252" i="1"/>
  <c r="E251" i="1"/>
  <c r="E250" i="1"/>
  <c r="B249" i="1"/>
  <c r="AA247" i="1"/>
  <c r="U246" i="1"/>
  <c r="R245" i="1"/>
  <c r="Q244" i="1"/>
  <c r="M243" i="1"/>
  <c r="M242" i="1"/>
  <c r="L241" i="1"/>
  <c r="K240" i="1"/>
  <c r="J239" i="1"/>
  <c r="I238" i="1"/>
  <c r="H237" i="1"/>
  <c r="G236" i="1"/>
  <c r="F235" i="1"/>
  <c r="D234" i="1"/>
  <c r="B233" i="1"/>
  <c r="AA231" i="1"/>
  <c r="U230" i="1"/>
  <c r="P229" i="1"/>
  <c r="M228" i="1"/>
  <c r="H227" i="1"/>
  <c r="G226" i="1"/>
  <c r="G225" i="1"/>
  <c r="AA223" i="1"/>
  <c r="U222" i="1"/>
  <c r="U221" i="1"/>
  <c r="U220" i="1"/>
  <c r="AA219" i="1"/>
  <c r="A219" i="1"/>
  <c r="B218" i="1"/>
  <c r="A217" i="1"/>
  <c r="S215" i="1"/>
  <c r="U214" i="1"/>
  <c r="X213" i="1"/>
  <c r="AA212" i="1"/>
  <c r="A212" i="1"/>
  <c r="A211" i="1"/>
  <c r="A210" i="1"/>
  <c r="AA208" i="1"/>
  <c r="U207" i="1"/>
  <c r="R206" i="1"/>
  <c r="R205" i="1"/>
  <c r="R204" i="1"/>
  <c r="Q203" i="1"/>
  <c r="O202" i="1"/>
  <c r="N201" i="1"/>
  <c r="N200" i="1"/>
  <c r="L199" i="1"/>
  <c r="J198" i="1"/>
  <c r="J197" i="1"/>
  <c r="I196" i="1"/>
  <c r="H195" i="1"/>
  <c r="H194" i="1"/>
  <c r="H193" i="1"/>
  <c r="H192" i="1"/>
  <c r="G191" i="1"/>
  <c r="F190" i="1"/>
  <c r="F189" i="1"/>
  <c r="F188" i="1"/>
  <c r="E187" i="1"/>
  <c r="E186" i="1"/>
  <c r="E185" i="1"/>
  <c r="E184" i="1"/>
  <c r="E183" i="1"/>
  <c r="E182" i="1"/>
  <c r="E181" i="1"/>
  <c r="E180" i="1"/>
  <c r="E179" i="1"/>
  <c r="C178" i="1"/>
  <c r="C177" i="1"/>
  <c r="AA175" i="1"/>
  <c r="AA174" i="1"/>
  <c r="AA173" i="1"/>
  <c r="Q172" i="1"/>
  <c r="L171" i="1"/>
  <c r="K170" i="1"/>
  <c r="J169" i="1"/>
  <c r="M168" i="1"/>
  <c r="P167" i="1"/>
  <c r="Q166" i="1"/>
  <c r="Q165" i="1"/>
  <c r="U164" i="1"/>
  <c r="U163" i="1"/>
  <c r="W162" i="1"/>
  <c r="AA161" i="1"/>
  <c r="P1065" i="1"/>
  <c r="L954" i="1"/>
  <c r="U890" i="1"/>
  <c r="I847" i="1"/>
  <c r="M800" i="1"/>
  <c r="H769" i="1"/>
  <c r="I739" i="1"/>
  <c r="V713" i="1"/>
  <c r="B691" i="1"/>
  <c r="O674" i="1"/>
  <c r="S656" i="1"/>
  <c r="P640" i="1"/>
  <c r="Z627" i="1"/>
  <c r="AA616" i="1"/>
  <c r="L608" i="1"/>
  <c r="F600" i="1"/>
  <c r="AA591" i="1"/>
  <c r="L581" i="1"/>
  <c r="A573" i="1"/>
  <c r="Z564" i="1"/>
  <c r="G557" i="1"/>
  <c r="J548" i="1"/>
  <c r="M538" i="1"/>
  <c r="F531" i="1"/>
  <c r="H524" i="1"/>
  <c r="S518" i="1"/>
  <c r="A513" i="1"/>
  <c r="Y508" i="1"/>
  <c r="N504" i="1"/>
  <c r="H500" i="1"/>
  <c r="J496" i="1"/>
  <c r="N490" i="1"/>
  <c r="B486" i="1"/>
  <c r="R481" i="1"/>
  <c r="M477" i="1"/>
  <c r="N470" i="1"/>
  <c r="B465" i="1"/>
  <c r="Y460" i="1"/>
  <c r="A456" i="1"/>
  <c r="N451" i="1"/>
  <c r="K446" i="1"/>
  <c r="C442" i="1"/>
  <c r="M437" i="1"/>
  <c r="D433" i="1"/>
  <c r="T427" i="1"/>
  <c r="H423" i="1"/>
  <c r="E418" i="1"/>
  <c r="D413" i="1"/>
  <c r="H409" i="1"/>
  <c r="AA403" i="1"/>
  <c r="N399" i="1"/>
  <c r="C396" i="1"/>
  <c r="M393" i="1"/>
  <c r="Q390" i="1"/>
  <c r="M388" i="1"/>
  <c r="K386" i="1"/>
  <c r="F384" i="1"/>
  <c r="D382" i="1"/>
  <c r="U380" i="1"/>
  <c r="H379" i="1"/>
  <c r="Z377" i="1"/>
  <c r="R376" i="1"/>
  <c r="G375" i="1"/>
  <c r="B374" i="1"/>
  <c r="Y372" i="1"/>
  <c r="R371" i="1"/>
  <c r="N370" i="1"/>
  <c r="E369" i="1"/>
  <c r="B368" i="1"/>
  <c r="Y366" i="1"/>
  <c r="Q365" i="1"/>
  <c r="N364" i="1"/>
  <c r="I363" i="1"/>
  <c r="C362" i="1"/>
  <c r="Z360" i="1"/>
  <c r="U359" i="1"/>
  <c r="Q358" i="1"/>
  <c r="N357" i="1"/>
  <c r="K356" i="1"/>
  <c r="G355" i="1"/>
  <c r="B354" i="1"/>
  <c r="AA352" i="1"/>
  <c r="Y351" i="1"/>
  <c r="U350" i="1"/>
  <c r="T349" i="1"/>
  <c r="L348" i="1"/>
  <c r="C347" i="1"/>
  <c r="R345" i="1"/>
  <c r="H344" i="1"/>
  <c r="B343" i="1"/>
  <c r="R341" i="1"/>
  <c r="N340" i="1"/>
  <c r="L339" i="1"/>
  <c r="I338" i="1"/>
  <c r="H337" i="1"/>
  <c r="F336" i="1"/>
  <c r="A335" i="1"/>
  <c r="Y333" i="1"/>
  <c r="T332" i="1"/>
  <c r="S331" i="1"/>
  <c r="Q330" i="1"/>
  <c r="M329" i="1"/>
  <c r="K328" i="1"/>
  <c r="H327" i="1"/>
  <c r="E326" i="1"/>
  <c r="A325" i="1"/>
  <c r="U323" i="1"/>
  <c r="R322" i="1"/>
  <c r="R321" i="1"/>
  <c r="O320" i="1"/>
  <c r="O319" i="1"/>
  <c r="O318" i="1"/>
  <c r="N317" i="1"/>
  <c r="L316" i="1"/>
  <c r="K315" i="1"/>
  <c r="M314" i="1"/>
  <c r="N313" i="1"/>
  <c r="O312" i="1"/>
  <c r="E311" i="1"/>
  <c r="AA309" i="1"/>
  <c r="O308" i="1"/>
  <c r="K307" i="1"/>
  <c r="E306" i="1"/>
  <c r="B305" i="1"/>
  <c r="U303" i="1"/>
  <c r="N302" i="1"/>
  <c r="I301" i="1"/>
  <c r="E300" i="1"/>
  <c r="U298" i="1"/>
  <c r="L297" i="1"/>
  <c r="D296" i="1"/>
  <c r="AA294" i="1"/>
  <c r="N293" i="1"/>
  <c r="H292" i="1"/>
  <c r="A291" i="1"/>
  <c r="N289" i="1"/>
  <c r="I288" i="1"/>
  <c r="C287" i="1"/>
  <c r="U285" i="1"/>
  <c r="M284" i="1"/>
  <c r="F283" i="1"/>
  <c r="AA281" i="1"/>
  <c r="R280" i="1"/>
  <c r="H279" i="1"/>
  <c r="D278" i="1"/>
  <c r="AA276" i="1"/>
  <c r="M275" i="1"/>
  <c r="A274" i="1"/>
  <c r="O272" i="1"/>
  <c r="K271" i="1"/>
  <c r="H270" i="1"/>
  <c r="E269" i="1"/>
  <c r="AA267" i="1"/>
  <c r="Q266" i="1"/>
  <c r="L265" i="1"/>
  <c r="J264" i="1"/>
  <c r="H263" i="1"/>
  <c r="F262" i="1"/>
  <c r="B261" i="1"/>
  <c r="U259" i="1"/>
  <c r="Q258" i="1"/>
  <c r="P257" i="1"/>
  <c r="O256" i="1"/>
  <c r="O255" i="1"/>
  <c r="H254" i="1"/>
  <c r="E253" i="1"/>
  <c r="B252" i="1"/>
  <c r="V250" i="1"/>
  <c r="U249" i="1"/>
  <c r="O248" i="1"/>
  <c r="O247" i="1"/>
  <c r="N246" i="1"/>
  <c r="M245" i="1"/>
  <c r="L244" i="1"/>
  <c r="H243" i="1"/>
  <c r="H242" i="1"/>
  <c r="G241" i="1"/>
  <c r="F240" i="1"/>
  <c r="E239" i="1"/>
  <c r="D238" i="1"/>
  <c r="C237" i="1"/>
  <c r="B236" i="1"/>
  <c r="A235" i="1"/>
  <c r="U233" i="1"/>
  <c r="R232" i="1"/>
  <c r="N231" i="1"/>
  <c r="M230" i="1"/>
  <c r="H229" i="1"/>
  <c r="F228" i="1"/>
  <c r="C227" i="1"/>
  <c r="B226" i="1"/>
  <c r="B225" i="1"/>
  <c r="P223" i="1"/>
  <c r="M222" i="1"/>
  <c r="N221" i="1"/>
  <c r="O220" i="1"/>
  <c r="P219" i="1"/>
  <c r="Q218" i="1"/>
  <c r="R217" i="1"/>
  <c r="P216" i="1"/>
  <c r="N215" i="1"/>
  <c r="N214" i="1"/>
  <c r="O213" i="1"/>
  <c r="P212" i="1"/>
  <c r="Q211" i="1"/>
  <c r="Q210" i="1"/>
  <c r="O209" i="1"/>
  <c r="N208" i="1"/>
  <c r="M207" i="1"/>
  <c r="L206" i="1"/>
  <c r="L205" i="1"/>
  <c r="L204" i="1"/>
  <c r="K203" i="1"/>
  <c r="J202" i="1"/>
  <c r="I201" i="1"/>
  <c r="G200" i="1"/>
  <c r="E199" i="1"/>
  <c r="E198" i="1"/>
  <c r="E197" i="1"/>
  <c r="D196" i="1"/>
  <c r="C195" i="1"/>
  <c r="C194" i="1"/>
  <c r="C193" i="1"/>
  <c r="C192" i="1"/>
  <c r="B191" i="1"/>
  <c r="A190" i="1"/>
  <c r="A189" i="1"/>
  <c r="A188" i="1"/>
  <c r="AA186" i="1"/>
  <c r="AA185" i="1"/>
  <c r="AA184" i="1"/>
  <c r="AA183" i="1"/>
  <c r="AA182" i="1"/>
  <c r="AA181" i="1"/>
  <c r="AA180" i="1"/>
  <c r="AA179" i="1"/>
  <c r="AA178" i="1"/>
  <c r="R177" i="1"/>
  <c r="R176" i="1"/>
  <c r="O175" i="1"/>
  <c r="O174" i="1"/>
  <c r="N173" i="1"/>
  <c r="H172" i="1"/>
  <c r="G171" i="1"/>
  <c r="F170" i="1"/>
  <c r="E169" i="1"/>
  <c r="H168" i="1"/>
  <c r="K167" i="1"/>
  <c r="L166" i="1"/>
  <c r="L165" i="1"/>
  <c r="N164" i="1"/>
  <c r="N163" i="1"/>
  <c r="O162" i="1"/>
  <c r="O161" i="1"/>
  <c r="P160" i="1"/>
  <c r="N159" i="1"/>
  <c r="O158" i="1"/>
  <c r="O157" i="1"/>
  <c r="O156" i="1"/>
  <c r="O155" i="1"/>
  <c r="N154" i="1"/>
  <c r="N153" i="1"/>
  <c r="N152" i="1"/>
  <c r="N151" i="1"/>
  <c r="N150" i="1"/>
  <c r="N149" i="1"/>
  <c r="N148" i="1"/>
  <c r="O147" i="1"/>
  <c r="O146" i="1"/>
  <c r="O145" i="1"/>
  <c r="O144" i="1"/>
  <c r="R143" i="1"/>
  <c r="U142" i="1"/>
  <c r="A142" i="1"/>
  <c r="D141" i="1"/>
  <c r="C140" i="1"/>
  <c r="A139" i="1"/>
  <c r="A138" i="1"/>
  <c r="AA136" i="1"/>
  <c r="U135" i="1"/>
  <c r="U134" i="1"/>
  <c r="Q133" i="1"/>
  <c r="M132" i="1"/>
  <c r="L131" i="1"/>
  <c r="J130" i="1"/>
  <c r="I129" i="1"/>
  <c r="H128" i="1"/>
  <c r="H127" i="1"/>
  <c r="G126" i="1"/>
  <c r="F125" i="1"/>
  <c r="E124" i="1"/>
  <c r="D123" i="1"/>
  <c r="C122" i="1"/>
  <c r="B121" i="1"/>
  <c r="B120" i="1"/>
  <c r="B119" i="1"/>
  <c r="A118" i="1"/>
  <c r="U116" i="1"/>
  <c r="P115" i="1"/>
  <c r="L114" i="1"/>
  <c r="J113" i="1"/>
  <c r="I112" i="1"/>
  <c r="F111" i="1"/>
  <c r="C110" i="1"/>
  <c r="U108" i="1"/>
  <c r="N107" i="1"/>
  <c r="G106" i="1"/>
  <c r="D105" i="1"/>
  <c r="A104" i="1"/>
  <c r="N102" i="1"/>
  <c r="K101" i="1"/>
  <c r="J100" i="1"/>
  <c r="F99" i="1"/>
  <c r="B98" i="1"/>
  <c r="R96" i="1"/>
  <c r="O95" i="1"/>
  <c r="M94" i="1"/>
  <c r="M93" i="1"/>
  <c r="M92" i="1"/>
  <c r="M91" i="1"/>
  <c r="M90" i="1"/>
  <c r="M89" i="1"/>
  <c r="M88" i="1"/>
  <c r="L87" i="1"/>
  <c r="L86" i="1"/>
  <c r="L85" i="1"/>
  <c r="L84" i="1"/>
  <c r="L83" i="1"/>
  <c r="L82" i="1"/>
  <c r="L81" i="1"/>
  <c r="L80" i="1"/>
  <c r="L79" i="1"/>
  <c r="K78" i="1"/>
  <c r="J77" i="1"/>
  <c r="J76" i="1"/>
  <c r="J75" i="1"/>
  <c r="I74" i="1"/>
  <c r="H73" i="1"/>
  <c r="G72" i="1"/>
  <c r="G71" i="1"/>
  <c r="G70" i="1"/>
  <c r="G69" i="1"/>
  <c r="G68" i="1"/>
  <c r="F67" i="1"/>
  <c r="E66" i="1"/>
  <c r="D65" i="1"/>
  <c r="D64" i="1"/>
  <c r="D63" i="1"/>
  <c r="D62" i="1"/>
  <c r="D61" i="1"/>
  <c r="C60" i="1"/>
  <c r="B59" i="1"/>
  <c r="B58" i="1"/>
  <c r="B57" i="1"/>
  <c r="A56" i="1"/>
  <c r="AA54" i="1"/>
  <c r="AA53" i="1"/>
  <c r="AA52" i="1"/>
  <c r="AA51" i="1"/>
  <c r="AA50" i="1"/>
  <c r="X49" i="1"/>
  <c r="W48" i="1"/>
  <c r="U47" i="1"/>
  <c r="U46" i="1"/>
  <c r="U45" i="1"/>
  <c r="P44" i="1"/>
  <c r="R43" i="1"/>
  <c r="U42" i="1"/>
  <c r="W41" i="1"/>
  <c r="W40" i="1"/>
  <c r="W39" i="1"/>
  <c r="S38" i="1"/>
  <c r="S37" i="1"/>
  <c r="U36" i="1"/>
  <c r="AA35" i="1"/>
  <c r="AA34" i="1"/>
  <c r="AA33" i="1"/>
  <c r="AA32" i="1"/>
  <c r="A32" i="1"/>
  <c r="B31" i="1"/>
  <c r="C30" i="1"/>
  <c r="D29" i="1"/>
  <c r="E28" i="1"/>
  <c r="F27" i="1"/>
  <c r="G26" i="1"/>
  <c r="H25" i="1"/>
  <c r="J24" i="1"/>
  <c r="L23" i="1"/>
  <c r="N22" i="1"/>
  <c r="L21" i="1"/>
  <c r="I20" i="1"/>
  <c r="H19" i="1"/>
  <c r="G18" i="1"/>
  <c r="F17" i="1"/>
  <c r="E16" i="1"/>
  <c r="D15" i="1"/>
  <c r="D14" i="1"/>
  <c r="D13" i="1"/>
  <c r="D12" i="1"/>
  <c r="C11" i="1"/>
  <c r="B10" i="1"/>
  <c r="A9" i="1"/>
  <c r="AA7" i="1"/>
  <c r="AA6" i="1"/>
  <c r="AA5" i="1"/>
  <c r="U4" i="1"/>
  <c r="L1065" i="1"/>
  <c r="O949" i="1"/>
  <c r="J886" i="1"/>
  <c r="P838" i="1"/>
  <c r="M799" i="1"/>
  <c r="V768" i="1"/>
  <c r="G739" i="1"/>
  <c r="U713" i="1"/>
  <c r="B690" i="1"/>
  <c r="S672" i="1"/>
  <c r="R656" i="1"/>
  <c r="O640" i="1"/>
  <c r="L625" i="1"/>
  <c r="Z616" i="1"/>
  <c r="K608" i="1"/>
  <c r="P599" i="1"/>
  <c r="C591" i="1"/>
  <c r="K581" i="1"/>
  <c r="U572" i="1"/>
  <c r="Y564" i="1"/>
  <c r="F557" i="1"/>
  <c r="O546" i="1"/>
  <c r="B538" i="1"/>
  <c r="J530" i="1"/>
  <c r="E524" i="1"/>
  <c r="R518" i="1"/>
  <c r="AA512" i="1"/>
  <c r="T508" i="1"/>
  <c r="M504" i="1"/>
  <c r="D500" i="1"/>
  <c r="S494" i="1"/>
  <c r="M490" i="1"/>
  <c r="A486" i="1"/>
  <c r="O481" i="1"/>
  <c r="L477" i="1"/>
  <c r="M470" i="1"/>
  <c r="U464" i="1"/>
  <c r="K460" i="1"/>
  <c r="AA455" i="1"/>
  <c r="P450" i="1"/>
  <c r="J446" i="1"/>
  <c r="B442" i="1"/>
  <c r="K437" i="1"/>
  <c r="A433" i="1"/>
  <c r="I427" i="1"/>
  <c r="E423" i="1"/>
  <c r="D418" i="1"/>
  <c r="C413" i="1"/>
  <c r="I408" i="1"/>
  <c r="Z403" i="1"/>
  <c r="K399" i="1"/>
  <c r="C1006" i="1"/>
  <c r="C914" i="1"/>
  <c r="U872" i="1"/>
  <c r="F830" i="1"/>
  <c r="H786" i="1"/>
  <c r="R755" i="1"/>
  <c r="F726" i="1"/>
  <c r="R705" i="1"/>
  <c r="B686" i="1"/>
  <c r="K667" i="1"/>
  <c r="Y649" i="1"/>
  <c r="L634" i="1"/>
  <c r="B623" i="1"/>
  <c r="N613" i="1"/>
  <c r="Y604" i="1"/>
  <c r="B596" i="1"/>
  <c r="O587" i="1"/>
  <c r="Q579" i="1"/>
  <c r="L569" i="1"/>
  <c r="M561" i="1"/>
  <c r="M553" i="1"/>
  <c r="T544" i="1"/>
  <c r="Y534" i="1"/>
  <c r="Y527" i="1"/>
  <c r="Z521" i="1"/>
  <c r="Q516" i="1"/>
  <c r="A512" i="1"/>
  <c r="B507" i="1"/>
  <c r="S502" i="1"/>
  <c r="M498" i="1"/>
  <c r="T493" i="1"/>
  <c r="Q488" i="1"/>
  <c r="F484" i="1"/>
  <c r="T479" i="1"/>
  <c r="F475" i="1"/>
  <c r="G469" i="1"/>
  <c r="D463" i="1"/>
  <c r="N458" i="1"/>
  <c r="B454" i="1"/>
  <c r="S449" i="1"/>
  <c r="L444" i="1"/>
  <c r="A440" i="1"/>
  <c r="S435" i="1"/>
  <c r="Z430" i="1"/>
  <c r="L426" i="1"/>
  <c r="C421" i="1"/>
  <c r="AA415" i="1"/>
  <c r="J411" i="1"/>
  <c r="M407" i="1"/>
  <c r="AA401" i="1"/>
  <c r="W397" i="1"/>
  <c r="Z394" i="1"/>
  <c r="K392" i="1"/>
  <c r="C390" i="1"/>
  <c r="N387" i="1"/>
  <c r="M385" i="1"/>
  <c r="D383" i="1"/>
  <c r="R381" i="1"/>
  <c r="D380" i="1"/>
  <c r="V378" i="1"/>
  <c r="O377" i="1"/>
  <c r="A376" i="1"/>
  <c r="X374" i="1"/>
  <c r="P373" i="1"/>
  <c r="M372" i="1"/>
  <c r="E371" i="1"/>
  <c r="Y369" i="1"/>
  <c r="T368" i="1"/>
  <c r="O367" i="1"/>
  <c r="K366" i="1"/>
  <c r="F365" i="1"/>
  <c r="AA363" i="1"/>
  <c r="V362" i="1"/>
  <c r="R361" i="1"/>
  <c r="N360" i="1"/>
  <c r="J359" i="1"/>
  <c r="D358" i="1"/>
  <c r="A357" i="1"/>
  <c r="Z355" i="1"/>
  <c r="V354" i="1"/>
  <c r="T353" i="1"/>
  <c r="P352" i="1"/>
  <c r="K351" i="1"/>
  <c r="I350" i="1"/>
  <c r="G349" i="1"/>
  <c r="A348" i="1"/>
  <c r="P346" i="1"/>
  <c r="E345" i="1"/>
  <c r="S343" i="1"/>
  <c r="H342" i="1"/>
  <c r="G341" i="1"/>
  <c r="E340" i="1"/>
  <c r="B339" i="1"/>
  <c r="Y337" i="1"/>
  <c r="S336" i="1"/>
  <c r="R335" i="1"/>
  <c r="P334" i="1"/>
  <c r="M333" i="1"/>
  <c r="L332" i="1"/>
  <c r="H331" i="1"/>
  <c r="D330" i="1"/>
  <c r="B329" i="1"/>
  <c r="Z327" i="1"/>
  <c r="Y326" i="1"/>
  <c r="T325" i="1"/>
  <c r="N324" i="1"/>
  <c r="I323" i="1"/>
  <c r="F322" i="1"/>
  <c r="E321" i="1"/>
  <c r="E320" i="1"/>
  <c r="D319" i="1"/>
  <c r="B318" i="1"/>
  <c r="B317" i="1"/>
  <c r="B316" i="1"/>
  <c r="B315" i="1"/>
  <c r="D314" i="1"/>
  <c r="D313" i="1"/>
  <c r="C312" i="1"/>
  <c r="Q310" i="1"/>
  <c r="K309" i="1"/>
  <c r="D308" i="1"/>
  <c r="AA306" i="1"/>
  <c r="Q305" i="1"/>
  <c r="L304" i="1"/>
  <c r="F303" i="1"/>
  <c r="C302" i="1"/>
  <c r="AA300" i="1"/>
  <c r="N299" i="1"/>
  <c r="H298" i="1"/>
  <c r="B297" i="1"/>
  <c r="P295" i="1"/>
  <c r="K294" i="1"/>
  <c r="C293" i="1"/>
  <c r="R291" i="1"/>
  <c r="L290" i="1"/>
  <c r="E289" i="1"/>
  <c r="AA287" i="1"/>
  <c r="L286" i="1"/>
  <c r="H285" i="1"/>
  <c r="C284" i="1"/>
  <c r="O282" i="1"/>
  <c r="K281" i="1"/>
  <c r="E280" i="1"/>
  <c r="R278" i="1"/>
  <c r="N277" i="1"/>
  <c r="F276" i="1"/>
  <c r="AA274" i="1"/>
  <c r="M273" i="1"/>
  <c r="F272" i="1"/>
  <c r="A271" i="1"/>
  <c r="R269" i="1"/>
  <c r="N268" i="1"/>
  <c r="K267" i="1"/>
  <c r="H266" i="1"/>
  <c r="D265" i="1"/>
  <c r="B264" i="1"/>
  <c r="AA262" i="1"/>
  <c r="R261" i="1"/>
  <c r="L260" i="1"/>
  <c r="H259" i="1"/>
  <c r="G258" i="1"/>
  <c r="F257" i="1"/>
  <c r="F256" i="1"/>
  <c r="F255" i="1"/>
  <c r="U253" i="1"/>
  <c r="Q252" i="1"/>
  <c r="L251" i="1"/>
  <c r="L250" i="1"/>
  <c r="I249" i="1"/>
  <c r="G248" i="1"/>
  <c r="G247" i="1"/>
  <c r="F246" i="1"/>
  <c r="E245" i="1"/>
  <c r="B244" i="1"/>
  <c r="AA242" i="1"/>
  <c r="AA241" i="1"/>
  <c r="U240" i="1"/>
  <c r="Q239" i="1"/>
  <c r="P238" i="1"/>
  <c r="O237" i="1"/>
  <c r="N236" i="1"/>
  <c r="M235" i="1"/>
  <c r="K234" i="1"/>
  <c r="I233" i="1"/>
  <c r="G232" i="1"/>
  <c r="F231" i="1"/>
  <c r="C230" i="1"/>
  <c r="AA228" i="1"/>
  <c r="R227" i="1"/>
  <c r="N226" i="1"/>
  <c r="N225" i="1"/>
  <c r="G224" i="1"/>
  <c r="F223" i="1"/>
  <c r="E222" i="1"/>
  <c r="F221" i="1"/>
  <c r="G220" i="1"/>
  <c r="H219" i="1"/>
  <c r="I218" i="1"/>
  <c r="H217" i="1"/>
  <c r="E216" i="1"/>
  <c r="F215" i="1"/>
  <c r="F214" i="1"/>
  <c r="G213" i="1"/>
  <c r="H212" i="1"/>
  <c r="H211" i="1"/>
  <c r="H210" i="1"/>
  <c r="G209" i="1"/>
  <c r="F208" i="1"/>
  <c r="E207" i="1"/>
  <c r="D206" i="1"/>
  <c r="D205" i="1"/>
  <c r="D204" i="1"/>
  <c r="C203" i="1"/>
  <c r="B202" i="1"/>
  <c r="A201" i="1"/>
  <c r="W199" i="1"/>
  <c r="R198" i="1"/>
  <c r="R197" i="1"/>
  <c r="Q196" i="1"/>
  <c r="O195" i="1"/>
  <c r="O194" i="1"/>
  <c r="O193" i="1"/>
  <c r="O192" i="1"/>
  <c r="N191" i="1"/>
  <c r="M190" i="1"/>
  <c r="M189" i="1"/>
  <c r="M188" i="1"/>
  <c r="M187" i="1"/>
  <c r="L186" i="1"/>
  <c r="L185" i="1"/>
  <c r="L184" i="1"/>
  <c r="L183" i="1"/>
  <c r="L182" i="1"/>
  <c r="L181" i="1"/>
  <c r="L180" i="1"/>
  <c r="L179" i="1"/>
  <c r="L178" i="1"/>
  <c r="J177" i="1"/>
  <c r="G176" i="1"/>
  <c r="G175" i="1"/>
  <c r="G174" i="1"/>
  <c r="D173" i="1"/>
  <c r="AA171" i="1"/>
  <c r="U170" i="1"/>
  <c r="R169" i="1"/>
  <c r="U168" i="1"/>
  <c r="AA167" i="1"/>
  <c r="C167" i="1"/>
  <c r="D166" i="1"/>
  <c r="D165" i="1"/>
  <c r="F164" i="1"/>
  <c r="F163" i="1"/>
  <c r="G162" i="1"/>
  <c r="G161" i="1"/>
  <c r="E160" i="1"/>
  <c r="G1144" i="1"/>
  <c r="A893" i="1"/>
  <c r="H814" i="1"/>
  <c r="H742" i="1"/>
  <c r="S697" i="1"/>
  <c r="M658" i="1"/>
  <c r="L629" i="1"/>
  <c r="U611" i="1"/>
  <c r="G592" i="1"/>
  <c r="C576" i="1"/>
  <c r="B558" i="1"/>
  <c r="G541" i="1"/>
  <c r="S524" i="1"/>
  <c r="P514" i="1"/>
  <c r="G505" i="1"/>
  <c r="O496" i="1"/>
  <c r="R487" i="1"/>
  <c r="AA477" i="1"/>
  <c r="S466" i="1"/>
  <c r="L456" i="1"/>
  <c r="V447" i="1"/>
  <c r="F438" i="1"/>
  <c r="V428" i="1"/>
  <c r="A419" i="1"/>
  <c r="O409" i="1"/>
  <c r="C401" i="1"/>
  <c r="AA394" i="1"/>
  <c r="H390" i="1"/>
  <c r="F386" i="1"/>
  <c r="C382" i="1"/>
  <c r="O379" i="1"/>
  <c r="Y376" i="1"/>
  <c r="AA374" i="1"/>
  <c r="Q372" i="1"/>
  <c r="L370" i="1"/>
  <c r="C368" i="1"/>
  <c r="U365" i="1"/>
  <c r="A364" i="1"/>
  <c r="V361" i="1"/>
  <c r="Q359" i="1"/>
  <c r="M357" i="1"/>
  <c r="K355" i="1"/>
  <c r="D353" i="1"/>
  <c r="N351" i="1"/>
  <c r="M349" i="1"/>
  <c r="A347" i="1"/>
  <c r="I344" i="1"/>
  <c r="Y341" i="1"/>
  <c r="F340" i="1"/>
  <c r="D338" i="1"/>
  <c r="Z335" i="1"/>
  <c r="V333" i="1"/>
  <c r="U331" i="1"/>
  <c r="T329" i="1"/>
  <c r="C328" i="1"/>
  <c r="A326" i="1"/>
  <c r="R323" i="1"/>
  <c r="S321" i="1"/>
  <c r="S319" i="1"/>
  <c r="E318" i="1"/>
  <c r="E316" i="1"/>
  <c r="I314" i="1"/>
  <c r="L312" i="1"/>
  <c r="B310" i="1"/>
  <c r="O307" i="1"/>
  <c r="U305" i="1"/>
  <c r="L303" i="1"/>
  <c r="F301" i="1"/>
  <c r="A299" i="1"/>
  <c r="J296" i="1"/>
  <c r="L294" i="1"/>
  <c r="A292" i="1"/>
  <c r="K289" i="1"/>
  <c r="B287" i="1"/>
  <c r="O284" i="1"/>
  <c r="E282" i="1"/>
  <c r="G280" i="1"/>
  <c r="R277" i="1"/>
  <c r="F275" i="1"/>
  <c r="P272" i="1"/>
  <c r="K270" i="1"/>
  <c r="O268" i="1"/>
  <c r="K266" i="1"/>
  <c r="G264" i="1"/>
  <c r="E262" i="1"/>
  <c r="AA259" i="1"/>
  <c r="V257" i="1"/>
  <c r="H256" i="1"/>
  <c r="C254" i="1"/>
  <c r="AA251" i="1"/>
  <c r="AA249" i="1"/>
  <c r="R247" i="1"/>
  <c r="G246" i="1"/>
  <c r="E244" i="1"/>
  <c r="E242" i="1"/>
  <c r="E240" i="1"/>
  <c r="F238" i="1"/>
  <c r="F236" i="1"/>
  <c r="M234" i="1"/>
  <c r="M232" i="1"/>
  <c r="I230" i="1"/>
  <c r="G228" i="1"/>
  <c r="E226" i="1"/>
  <c r="H224" i="1"/>
  <c r="H222" i="1"/>
  <c r="L220" i="1"/>
  <c r="P218" i="1"/>
  <c r="R216" i="1"/>
  <c r="R214" i="1"/>
  <c r="I213" i="1"/>
  <c r="L211" i="1"/>
  <c r="M209" i="1"/>
  <c r="N207" i="1"/>
  <c r="O205" i="1"/>
  <c r="E204" i="1"/>
  <c r="E202" i="1"/>
  <c r="D200" i="1"/>
  <c r="D198" i="1"/>
  <c r="F196" i="1"/>
  <c r="G194" i="1"/>
  <c r="R192" i="1"/>
  <c r="R190" i="1"/>
  <c r="X188" i="1"/>
  <c r="A187" i="1"/>
  <c r="C185" i="1"/>
  <c r="M183" i="1"/>
  <c r="O181" i="1"/>
  <c r="Q179" i="1"/>
  <c r="Q177" i="1"/>
  <c r="R175" i="1"/>
  <c r="U173" i="1"/>
  <c r="B172" i="1"/>
  <c r="B170" i="1"/>
  <c r="F168" i="1"/>
  <c r="M166" i="1"/>
  <c r="Q164" i="1"/>
  <c r="G163" i="1"/>
  <c r="J161" i="1"/>
  <c r="AA159" i="1"/>
  <c r="U158" i="1"/>
  <c r="R157" i="1"/>
  <c r="R156" i="1"/>
  <c r="P155" i="1"/>
  <c r="M154" i="1"/>
  <c r="L153" i="1"/>
  <c r="K152" i="1"/>
  <c r="J151" i="1"/>
  <c r="I150" i="1"/>
  <c r="H149" i="1"/>
  <c r="G148" i="1"/>
  <c r="G147" i="1"/>
  <c r="F146" i="1"/>
  <c r="E145" i="1"/>
  <c r="D144" i="1"/>
  <c r="F143" i="1"/>
  <c r="H142" i="1"/>
  <c r="J141" i="1"/>
  <c r="H140" i="1"/>
  <c r="E139" i="1"/>
  <c r="D138" i="1"/>
  <c r="B137" i="1"/>
  <c r="AA135" i="1"/>
  <c r="R134" i="1"/>
  <c r="M133" i="1"/>
  <c r="J132" i="1"/>
  <c r="H131" i="1"/>
  <c r="E130" i="1"/>
  <c r="C129" i="1"/>
  <c r="A128" i="1"/>
  <c r="AA126" i="1"/>
  <c r="R125" i="1"/>
  <c r="O124" i="1"/>
  <c r="M123" i="1"/>
  <c r="K122" i="1"/>
  <c r="I121" i="1"/>
  <c r="H120" i="1"/>
  <c r="G119" i="1"/>
  <c r="E118" i="1"/>
  <c r="C117" i="1"/>
  <c r="U115" i="1"/>
  <c r="M114" i="1"/>
  <c r="I113" i="1"/>
  <c r="G112" i="1"/>
  <c r="C111" i="1"/>
  <c r="R109" i="1"/>
  <c r="L108" i="1"/>
  <c r="F107" i="1"/>
  <c r="U105" i="1"/>
  <c r="M104" i="1"/>
  <c r="F103" i="1"/>
  <c r="B102" i="1"/>
  <c r="AA100" i="1"/>
  <c r="P99" i="1"/>
  <c r="I98" i="1"/>
  <c r="E97" i="1"/>
  <c r="A96" i="1"/>
  <c r="Q94" i="1"/>
  <c r="P93" i="1"/>
  <c r="O92" i="1"/>
  <c r="N91" i="1"/>
  <c r="L90" i="1"/>
  <c r="K89" i="1"/>
  <c r="I88" i="1"/>
  <c r="H87" i="1"/>
  <c r="G86" i="1"/>
  <c r="F85" i="1"/>
  <c r="E84" i="1"/>
  <c r="D83" i="1"/>
  <c r="C82" i="1"/>
  <c r="B81" i="1"/>
  <c r="A80" i="1"/>
  <c r="AA78" i="1"/>
  <c r="U77" i="1"/>
  <c r="P76" i="1"/>
  <c r="O75" i="1"/>
  <c r="M74" i="1"/>
  <c r="K73" i="1"/>
  <c r="I72" i="1"/>
  <c r="H71" i="1"/>
  <c r="F70" i="1"/>
  <c r="E69" i="1"/>
  <c r="D68" i="1"/>
  <c r="B67" i="1"/>
  <c r="AA65" i="1"/>
  <c r="U64" i="1"/>
  <c r="R63" i="1"/>
  <c r="P62" i="1"/>
  <c r="O61" i="1"/>
  <c r="M60" i="1"/>
  <c r="K59" i="1"/>
  <c r="J58" i="1"/>
  <c r="I57" i="1"/>
  <c r="G56" i="1"/>
  <c r="E55" i="1"/>
  <c r="D54" i="1"/>
  <c r="C53" i="1"/>
  <c r="B52" i="1"/>
  <c r="A51" i="1"/>
  <c r="U49" i="1"/>
  <c r="P48" i="1"/>
  <c r="N47" i="1"/>
  <c r="M46" i="1"/>
  <c r="L45" i="1"/>
  <c r="J44" i="1"/>
  <c r="J43" i="1"/>
  <c r="J42" i="1"/>
  <c r="I41" i="1"/>
  <c r="H40" i="1"/>
  <c r="K1122" i="1"/>
  <c r="N891" i="1"/>
  <c r="G814" i="1"/>
  <c r="AA740" i="1"/>
  <c r="Q697" i="1"/>
  <c r="L658" i="1"/>
  <c r="J629" i="1"/>
  <c r="E609" i="1"/>
  <c r="E592" i="1"/>
  <c r="A576" i="1"/>
  <c r="K557" i="1"/>
  <c r="F541" i="1"/>
  <c r="R524" i="1"/>
  <c r="N514" i="1"/>
  <c r="T504" i="1"/>
  <c r="N496" i="1"/>
  <c r="T486" i="1"/>
  <c r="Q477" i="1"/>
  <c r="R466" i="1"/>
  <c r="H456" i="1"/>
  <c r="U447" i="1"/>
  <c r="U437" i="1"/>
  <c r="S428" i="1"/>
  <c r="AA418" i="1"/>
  <c r="L409" i="1"/>
  <c r="C400" i="1"/>
  <c r="V393" i="1"/>
  <c r="E390" i="1"/>
  <c r="E386" i="1"/>
  <c r="B382" i="1"/>
  <c r="I379" i="1"/>
  <c r="X376" i="1"/>
  <c r="Z374" i="1"/>
  <c r="P372" i="1"/>
  <c r="H370" i="1"/>
  <c r="AA367" i="1"/>
  <c r="T365" i="1"/>
  <c r="N363" i="1"/>
  <c r="U361" i="1"/>
  <c r="P359" i="1"/>
  <c r="J357" i="1"/>
  <c r="H355" i="1"/>
  <c r="C353" i="1"/>
  <c r="L351" i="1"/>
  <c r="J349" i="1"/>
  <c r="AA346" i="1"/>
  <c r="G344" i="1"/>
  <c r="V341" i="1"/>
  <c r="R339" i="1"/>
  <c r="C338" i="1"/>
  <c r="Y335" i="1"/>
  <c r="U333" i="1"/>
  <c r="T331" i="1"/>
  <c r="S329" i="1"/>
  <c r="AA327" i="1"/>
  <c r="AA325" i="1"/>
  <c r="P323" i="1"/>
  <c r="P321" i="1"/>
  <c r="R319" i="1"/>
  <c r="T317" i="1"/>
  <c r="D316" i="1"/>
  <c r="H314" i="1"/>
  <c r="I312" i="1"/>
  <c r="A310" i="1"/>
  <c r="N307" i="1"/>
  <c r="T305" i="1"/>
  <c r="K303" i="1"/>
  <c r="E301" i="1"/>
  <c r="Q298" i="1"/>
  <c r="H296" i="1"/>
  <c r="AA293" i="1"/>
  <c r="AA291" i="1"/>
  <c r="J289" i="1"/>
  <c r="A287" i="1"/>
  <c r="N284" i="1"/>
  <c r="D282" i="1"/>
  <c r="F280" i="1"/>
  <c r="Q277" i="1"/>
  <c r="E275" i="1"/>
  <c r="N272" i="1"/>
  <c r="J270" i="1"/>
  <c r="E268" i="1"/>
  <c r="J266" i="1"/>
  <c r="F264" i="1"/>
  <c r="D262" i="1"/>
  <c r="V259" i="1"/>
  <c r="U257" i="1"/>
  <c r="G256" i="1"/>
  <c r="B254" i="1"/>
  <c r="Q251" i="1"/>
  <c r="R249" i="1"/>
  <c r="Q247" i="1"/>
  <c r="Q245" i="1"/>
  <c r="D244" i="1"/>
  <c r="D242" i="1"/>
  <c r="D240" i="1"/>
  <c r="E238" i="1"/>
  <c r="E236" i="1"/>
  <c r="L234" i="1"/>
  <c r="L232" i="1"/>
  <c r="H230" i="1"/>
  <c r="E228" i="1"/>
  <c r="D226" i="1"/>
  <c r="V223" i="1"/>
  <c r="G222" i="1"/>
  <c r="K220" i="1"/>
  <c r="O218" i="1"/>
  <c r="Q216" i="1"/>
  <c r="Q214" i="1"/>
  <c r="H213" i="1"/>
  <c r="K211" i="1"/>
  <c r="L209" i="1"/>
  <c r="L207" i="1"/>
  <c r="N205" i="1"/>
  <c r="O203" i="1"/>
  <c r="D202" i="1"/>
  <c r="C200" i="1"/>
  <c r="C198" i="1"/>
  <c r="E196" i="1"/>
  <c r="F194" i="1"/>
  <c r="Q192" i="1"/>
  <c r="Q190" i="1"/>
  <c r="U188" i="1"/>
  <c r="U186" i="1"/>
  <c r="B185" i="1"/>
  <c r="D183" i="1"/>
  <c r="N181" i="1"/>
  <c r="P179" i="1"/>
  <c r="P177" i="1"/>
  <c r="Q175" i="1"/>
  <c r="R173" i="1"/>
  <c r="A172" i="1"/>
  <c r="A170" i="1"/>
  <c r="E168" i="1"/>
  <c r="K166" i="1"/>
  <c r="P164" i="1"/>
  <c r="U162" i="1"/>
  <c r="I161" i="1"/>
  <c r="U159" i="1"/>
  <c r="R158" i="1"/>
  <c r="Q157" i="1"/>
  <c r="Q156" i="1"/>
  <c r="N155" i="1"/>
  <c r="L154" i="1"/>
  <c r="K153" i="1"/>
  <c r="J152" i="1"/>
  <c r="I151" i="1"/>
  <c r="H150" i="1"/>
  <c r="G149" i="1"/>
  <c r="F148" i="1"/>
  <c r="F147" i="1"/>
  <c r="E146" i="1"/>
  <c r="D145" i="1"/>
  <c r="C144" i="1"/>
  <c r="E143" i="1"/>
  <c r="G142" i="1"/>
  <c r="I141" i="1"/>
  <c r="G140" i="1"/>
  <c r="D139" i="1"/>
  <c r="C138" i="1"/>
  <c r="A137" i="1"/>
  <c r="R135" i="1"/>
  <c r="Q134" i="1"/>
  <c r="L133" i="1"/>
  <c r="I132" i="1"/>
  <c r="G131" i="1"/>
  <c r="D130" i="1"/>
  <c r="B129" i="1"/>
  <c r="AA127" i="1"/>
  <c r="U126" i="1"/>
  <c r="Q125" i="1"/>
  <c r="N124" i="1"/>
  <c r="L123" i="1"/>
  <c r="J122" i="1"/>
  <c r="H121" i="1"/>
  <c r="G120" i="1"/>
  <c r="F119" i="1"/>
  <c r="D118" i="1"/>
  <c r="B117" i="1"/>
  <c r="R115" i="1"/>
  <c r="K114" i="1"/>
  <c r="H113" i="1"/>
  <c r="F112" i="1"/>
  <c r="B111" i="1"/>
  <c r="P109" i="1"/>
  <c r="K108" i="1"/>
  <c r="E107" i="1"/>
  <c r="R105" i="1"/>
  <c r="L104" i="1"/>
  <c r="E103" i="1"/>
  <c r="A102" i="1"/>
  <c r="U100" i="1"/>
  <c r="O99" i="1"/>
  <c r="H98" i="1"/>
  <c r="D97" i="1"/>
  <c r="U95" i="1"/>
  <c r="P94" i="1"/>
  <c r="O93" i="1"/>
  <c r="N92" i="1"/>
  <c r="L91" i="1"/>
  <c r="K90" i="1"/>
  <c r="J89" i="1"/>
  <c r="H88" i="1"/>
  <c r="G87" i="1"/>
  <c r="F86" i="1"/>
  <c r="E85" i="1"/>
  <c r="D84" i="1"/>
  <c r="C83" i="1"/>
  <c r="B82" i="1"/>
  <c r="A81" i="1"/>
  <c r="AA79" i="1"/>
  <c r="X78" i="1"/>
  <c r="P77" i="1"/>
  <c r="O76" i="1"/>
  <c r="N75" i="1"/>
  <c r="L74" i="1"/>
  <c r="J73" i="1"/>
  <c r="H72" i="1"/>
  <c r="F71" i="1"/>
  <c r="E70" i="1"/>
  <c r="D69" i="1"/>
  <c r="C68" i="1"/>
  <c r="A67" i="1"/>
  <c r="U65" i="1"/>
  <c r="R64" i="1"/>
  <c r="P63" i="1"/>
  <c r="O62" i="1"/>
  <c r="N61" i="1"/>
  <c r="L60" i="1"/>
  <c r="J59" i="1"/>
  <c r="I58" i="1"/>
  <c r="H57" i="1"/>
  <c r="F56" i="1"/>
  <c r="D55" i="1"/>
  <c r="C54" i="1"/>
  <c r="B53" i="1"/>
  <c r="A52" i="1"/>
  <c r="X50" i="1"/>
  <c r="P49" i="1"/>
  <c r="O48" i="1"/>
  <c r="M47" i="1"/>
  <c r="L46" i="1"/>
  <c r="K45" i="1"/>
  <c r="I44" i="1"/>
  <c r="I43" i="1"/>
  <c r="I42" i="1"/>
  <c r="H41" i="1"/>
  <c r="G40" i="1"/>
  <c r="F39" i="1"/>
  <c r="E38" i="1"/>
  <c r="D37" i="1"/>
  <c r="E36" i="1"/>
  <c r="D35" i="1"/>
  <c r="C34" i="1"/>
  <c r="B33" i="1"/>
  <c r="B32" i="1"/>
  <c r="A31" i="1"/>
  <c r="A30" i="1"/>
  <c r="A29" i="1"/>
  <c r="A28" i="1"/>
  <c r="A27" i="1"/>
  <c r="A26" i="1"/>
  <c r="A25" i="1"/>
  <c r="B24" i="1"/>
  <c r="C23" i="1"/>
  <c r="D22" i="1"/>
  <c r="N1078" i="1"/>
  <c r="L891" i="1"/>
  <c r="C810" i="1"/>
  <c r="K739" i="1"/>
  <c r="P697" i="1"/>
  <c r="O657" i="1"/>
  <c r="H629" i="1"/>
  <c r="D609" i="1"/>
  <c r="D592" i="1"/>
  <c r="M573" i="1"/>
  <c r="J557" i="1"/>
  <c r="E541" i="1"/>
  <c r="K524" i="1"/>
  <c r="L514" i="1"/>
  <c r="S504" i="1"/>
  <c r="L496" i="1"/>
  <c r="G486" i="1"/>
  <c r="P477" i="1"/>
  <c r="N465" i="1"/>
  <c r="E456" i="1"/>
  <c r="T447" i="1"/>
  <c r="S437" i="1"/>
  <c r="R428" i="1"/>
  <c r="K418" i="1"/>
  <c r="J409" i="1"/>
  <c r="B400" i="1"/>
  <c r="T393" i="1"/>
  <c r="D390" i="1"/>
  <c r="Q385" i="1"/>
  <c r="A382" i="1"/>
  <c r="G379" i="1"/>
  <c r="V376" i="1"/>
  <c r="G374" i="1"/>
  <c r="O372" i="1"/>
  <c r="D370" i="1"/>
  <c r="Y367" i="1"/>
  <c r="R365" i="1"/>
  <c r="L363" i="1"/>
  <c r="T361" i="1"/>
  <c r="O359" i="1"/>
  <c r="I357" i="1"/>
  <c r="F355" i="1"/>
  <c r="B353" i="1"/>
  <c r="A351" i="1"/>
  <c r="I349" i="1"/>
  <c r="U346" i="1"/>
  <c r="F344" i="1"/>
  <c r="T341" i="1"/>
  <c r="P339" i="1"/>
  <c r="A338" i="1"/>
  <c r="U335" i="1"/>
  <c r="T333" i="1"/>
  <c r="R331" i="1"/>
  <c r="R329" i="1"/>
  <c r="M327" i="1"/>
  <c r="Y325" i="1"/>
  <c r="O323" i="1"/>
  <c r="O321" i="1"/>
  <c r="P319" i="1"/>
  <c r="R317" i="1"/>
  <c r="C316" i="1"/>
  <c r="G314" i="1"/>
  <c r="H312" i="1"/>
  <c r="U309" i="1"/>
  <c r="M307" i="1"/>
  <c r="F305" i="1"/>
  <c r="H303" i="1"/>
  <c r="D301" i="1"/>
  <c r="P298" i="1"/>
  <c r="E296" i="1"/>
  <c r="U293" i="1"/>
  <c r="U291" i="1"/>
  <c r="I289" i="1"/>
  <c r="AA286" i="1"/>
  <c r="L284" i="1"/>
  <c r="C282" i="1"/>
  <c r="P279" i="1"/>
  <c r="P277" i="1"/>
  <c r="D275" i="1"/>
  <c r="M272" i="1"/>
  <c r="I270" i="1"/>
  <c r="D268" i="1"/>
  <c r="I266" i="1"/>
  <c r="E264" i="1"/>
  <c r="C262" i="1"/>
  <c r="R259" i="1"/>
  <c r="R257" i="1"/>
  <c r="U255" i="1"/>
  <c r="A254" i="1"/>
  <c r="P251" i="1"/>
  <c r="Q249" i="1"/>
  <c r="P247" i="1"/>
  <c r="P245" i="1"/>
  <c r="C244" i="1"/>
  <c r="C242" i="1"/>
  <c r="C240" i="1"/>
  <c r="C238" i="1"/>
  <c r="D236" i="1"/>
  <c r="C234" i="1"/>
  <c r="I232" i="1"/>
  <c r="G230" i="1"/>
  <c r="D228" i="1"/>
  <c r="C226" i="1"/>
  <c r="U223" i="1"/>
  <c r="F222" i="1"/>
  <c r="J220" i="1"/>
  <c r="N218" i="1"/>
  <c r="N216" i="1"/>
  <c r="P214" i="1"/>
  <c r="X212" i="1"/>
  <c r="J211" i="1"/>
  <c r="K209" i="1"/>
  <c r="K207" i="1"/>
  <c r="M205" i="1"/>
  <c r="N203" i="1"/>
  <c r="C202" i="1"/>
  <c r="B200" i="1"/>
  <c r="B198" i="1"/>
  <c r="C196" i="1"/>
  <c r="E194" i="1"/>
  <c r="G192" i="1"/>
  <c r="O190" i="1"/>
  <c r="R188" i="1"/>
  <c r="R186" i="1"/>
  <c r="A185" i="1"/>
  <c r="C183" i="1"/>
  <c r="M181" i="1"/>
  <c r="O179" i="1"/>
  <c r="O177" i="1"/>
  <c r="N175" i="1"/>
  <c r="Q173" i="1"/>
  <c r="K171" i="1"/>
  <c r="AA169" i="1"/>
  <c r="D168" i="1"/>
  <c r="J166" i="1"/>
  <c r="O164" i="1"/>
  <c r="R162" i="1"/>
  <c r="H161" i="1"/>
  <c r="R159" i="1"/>
  <c r="Q158" i="1"/>
  <c r="P157" i="1"/>
  <c r="N156" i="1"/>
  <c r="M155" i="1"/>
  <c r="K154" i="1"/>
  <c r="J153" i="1"/>
  <c r="I152" i="1"/>
  <c r="H151" i="1"/>
  <c r="G150" i="1"/>
  <c r="F149" i="1"/>
  <c r="E148" i="1"/>
  <c r="E147" i="1"/>
  <c r="D146" i="1"/>
  <c r="C145" i="1"/>
  <c r="B144" i="1"/>
  <c r="D143" i="1"/>
  <c r="F142" i="1"/>
  <c r="H141" i="1"/>
  <c r="F140" i="1"/>
  <c r="C139" i="1"/>
  <c r="B138" i="1"/>
  <c r="U136" i="1"/>
  <c r="Q135" i="1"/>
  <c r="N134" i="1"/>
  <c r="K133" i="1"/>
  <c r="H132" i="1"/>
  <c r="F131" i="1"/>
  <c r="C130" i="1"/>
  <c r="A129" i="1"/>
  <c r="U127" i="1"/>
  <c r="R126" i="1"/>
  <c r="P125" i="1"/>
  <c r="M124" i="1"/>
  <c r="K123" i="1"/>
  <c r="I122" i="1"/>
  <c r="G121" i="1"/>
  <c r="F120" i="1"/>
  <c r="E119" i="1"/>
  <c r="C118" i="1"/>
  <c r="A117" i="1"/>
  <c r="N115" i="1"/>
  <c r="J114" i="1"/>
  <c r="G113" i="1"/>
  <c r="E112" i="1"/>
  <c r="A111" i="1"/>
  <c r="N109" i="1"/>
  <c r="J108" i="1"/>
  <c r="D107" i="1"/>
  <c r="P105" i="1"/>
  <c r="K104" i="1"/>
  <c r="D103" i="1"/>
  <c r="AA101" i="1"/>
  <c r="R100" i="1"/>
  <c r="N99" i="1"/>
  <c r="G98" i="1"/>
  <c r="C97" i="1"/>
  <c r="R95" i="1"/>
  <c r="O94" i="1"/>
  <c r="N93" i="1"/>
  <c r="L92" i="1"/>
  <c r="K91" i="1"/>
  <c r="J90" i="1"/>
  <c r="I89" i="1"/>
  <c r="G88" i="1"/>
  <c r="F87" i="1"/>
  <c r="E86" i="1"/>
  <c r="D85" i="1"/>
  <c r="C84" i="1"/>
  <c r="B83" i="1"/>
  <c r="A82" i="1"/>
  <c r="AA80" i="1"/>
  <c r="U79" i="1"/>
  <c r="U78" i="1"/>
  <c r="O77" i="1"/>
  <c r="N76" i="1"/>
  <c r="M75" i="1"/>
  <c r="K74" i="1"/>
  <c r="I73" i="1"/>
  <c r="F72" i="1"/>
  <c r="E71" i="1"/>
  <c r="D70" i="1"/>
  <c r="C69" i="1"/>
  <c r="B68" i="1"/>
  <c r="AA66" i="1"/>
  <c r="R65" i="1"/>
  <c r="P64" i="1"/>
  <c r="O63" i="1"/>
  <c r="N62" i="1"/>
  <c r="M61" i="1"/>
  <c r="K60" i="1"/>
  <c r="I59" i="1"/>
  <c r="H58" i="1"/>
  <c r="G57" i="1"/>
  <c r="E56" i="1"/>
  <c r="C55" i="1"/>
  <c r="B54" i="1"/>
  <c r="A53" i="1"/>
  <c r="X51" i="1"/>
  <c r="U50" i="1"/>
  <c r="O49" i="1"/>
  <c r="N48" i="1"/>
  <c r="L47" i="1"/>
  <c r="K46" i="1"/>
  <c r="L1070" i="1"/>
  <c r="A891" i="1"/>
  <c r="J802" i="1"/>
  <c r="J739" i="1"/>
  <c r="N695" i="1"/>
  <c r="U656" i="1"/>
  <c r="G629" i="1"/>
  <c r="R608" i="1"/>
  <c r="B592" i="1"/>
  <c r="L573" i="1"/>
  <c r="I557" i="1"/>
  <c r="N538" i="1"/>
  <c r="I524" i="1"/>
  <c r="K514" i="1"/>
  <c r="O504" i="1"/>
  <c r="K496" i="1"/>
  <c r="F486" i="1"/>
  <c r="N477" i="1"/>
  <c r="C465" i="1"/>
  <c r="D456" i="1"/>
  <c r="U446" i="1"/>
  <c r="O437" i="1"/>
  <c r="Q428" i="1"/>
  <c r="H418" i="1"/>
  <c r="I409" i="1"/>
  <c r="P399" i="1"/>
  <c r="R393" i="1"/>
  <c r="C389" i="1"/>
  <c r="P385" i="1"/>
  <c r="AA381" i="1"/>
  <c r="D379" i="1"/>
  <c r="U376" i="1"/>
  <c r="F374" i="1"/>
  <c r="N372" i="1"/>
  <c r="C370" i="1"/>
  <c r="X367" i="1"/>
  <c r="P365" i="1"/>
  <c r="K363" i="1"/>
  <c r="F361" i="1"/>
  <c r="N359" i="1"/>
  <c r="G357" i="1"/>
  <c r="D355" i="1"/>
  <c r="A353" i="1"/>
  <c r="Y350" i="1"/>
  <c r="H349" i="1"/>
  <c r="S346" i="1"/>
  <c r="E344" i="1"/>
  <c r="O341" i="1"/>
  <c r="O339" i="1"/>
  <c r="L337" i="1"/>
  <c r="T335" i="1"/>
  <c r="S333" i="1"/>
  <c r="Q331" i="1"/>
  <c r="O329" i="1"/>
  <c r="L327" i="1"/>
  <c r="W325" i="1"/>
  <c r="N323" i="1"/>
  <c r="L321" i="1"/>
  <c r="N319" i="1"/>
  <c r="P317" i="1"/>
  <c r="P315" i="1"/>
  <c r="F314" i="1"/>
  <c r="G312" i="1"/>
  <c r="R309" i="1"/>
  <c r="L307" i="1"/>
  <c r="E305" i="1"/>
  <c r="G303" i="1"/>
  <c r="C301" i="1"/>
  <c r="O298" i="1"/>
  <c r="C296" i="1"/>
  <c r="R293" i="1"/>
  <c r="G291" i="1"/>
  <c r="H289" i="1"/>
  <c r="U286" i="1"/>
  <c r="K284" i="1"/>
  <c r="B282" i="1"/>
  <c r="O279" i="1"/>
  <c r="O277" i="1"/>
  <c r="C275" i="1"/>
  <c r="L272" i="1"/>
  <c r="G270" i="1"/>
  <c r="C268" i="1"/>
  <c r="R265" i="1"/>
  <c r="D264" i="1"/>
  <c r="B262" i="1"/>
  <c r="Q259" i="1"/>
  <c r="Q257" i="1"/>
  <c r="R255" i="1"/>
  <c r="AA253" i="1"/>
  <c r="O251" i="1"/>
  <c r="O249" i="1"/>
  <c r="N247" i="1"/>
  <c r="O245" i="1"/>
  <c r="L243" i="1"/>
  <c r="B242" i="1"/>
  <c r="B240" i="1"/>
  <c r="B238" i="1"/>
  <c r="C236" i="1"/>
  <c r="B234" i="1"/>
  <c r="H232" i="1"/>
  <c r="F230" i="1"/>
  <c r="C228" i="1"/>
  <c r="A226" i="1"/>
  <c r="R223" i="1"/>
  <c r="R221" i="1"/>
  <c r="I220" i="1"/>
  <c r="M218" i="1"/>
  <c r="M216" i="1"/>
  <c r="O214" i="1"/>
  <c r="U212" i="1"/>
  <c r="I211" i="1"/>
  <c r="J209" i="1"/>
  <c r="J207" i="1"/>
  <c r="K205" i="1"/>
  <c r="M203" i="1"/>
  <c r="M201" i="1"/>
  <c r="A200" i="1"/>
  <c r="A198" i="1"/>
  <c r="B196" i="1"/>
  <c r="D194" i="1"/>
  <c r="F192" i="1"/>
  <c r="N190" i="1"/>
  <c r="Q188" i="1"/>
  <c r="Q186" i="1"/>
  <c r="U184" i="1"/>
  <c r="B183" i="1"/>
  <c r="D181" i="1"/>
  <c r="N179" i="1"/>
  <c r="N177" i="1"/>
  <c r="M175" i="1"/>
  <c r="O173" i="1"/>
  <c r="J171" i="1"/>
  <c r="U169" i="1"/>
  <c r="C168" i="1"/>
  <c r="I166" i="1"/>
  <c r="M164" i="1"/>
  <c r="Q162" i="1"/>
  <c r="D161" i="1"/>
  <c r="Q159" i="1"/>
  <c r="P158" i="1"/>
  <c r="N157" i="1"/>
  <c r="M156" i="1"/>
  <c r="L155" i="1"/>
  <c r="J154" i="1"/>
  <c r="I153" i="1"/>
  <c r="H152" i="1"/>
  <c r="G151" i="1"/>
  <c r="F150" i="1"/>
  <c r="E149" i="1"/>
  <c r="D148" i="1"/>
  <c r="D147" i="1"/>
  <c r="C146" i="1"/>
  <c r="B145" i="1"/>
  <c r="A144" i="1"/>
  <c r="C143" i="1"/>
  <c r="E142" i="1"/>
  <c r="G141" i="1"/>
  <c r="E140" i="1"/>
  <c r="B139" i="1"/>
  <c r="AA137" i="1"/>
  <c r="R136" i="1"/>
  <c r="P135" i="1"/>
  <c r="M134" i="1"/>
  <c r="J133" i="1"/>
  <c r="G132" i="1"/>
  <c r="E131" i="1"/>
  <c r="B130" i="1"/>
  <c r="AA128" i="1"/>
  <c r="R127" i="1"/>
  <c r="Q126" i="1"/>
  <c r="O125" i="1"/>
  <c r="L124" i="1"/>
  <c r="J123" i="1"/>
  <c r="H122" i="1"/>
  <c r="F121" i="1"/>
  <c r="E120" i="1"/>
  <c r="D119" i="1"/>
  <c r="B118" i="1"/>
  <c r="R116" i="1"/>
  <c r="M115" i="1"/>
  <c r="I114" i="1"/>
  <c r="F113" i="1"/>
  <c r="D112" i="1"/>
  <c r="U110" i="1"/>
  <c r="M109" i="1"/>
  <c r="I108" i="1"/>
  <c r="C107" i="1"/>
  <c r="N105" i="1"/>
  <c r="J104" i="1"/>
  <c r="C103" i="1"/>
  <c r="U101" i="1"/>
  <c r="P100" i="1"/>
  <c r="M99" i="1"/>
  <c r="F98" i="1"/>
  <c r="B97" i="1"/>
  <c r="Q95" i="1"/>
  <c r="N94" i="1"/>
  <c r="L93" i="1"/>
  <c r="K92" i="1"/>
  <c r="J91" i="1"/>
  <c r="I90" i="1"/>
  <c r="H89" i="1"/>
  <c r="F88" i="1"/>
  <c r="E87" i="1"/>
  <c r="D86" i="1"/>
  <c r="C85" i="1"/>
  <c r="B84" i="1"/>
  <c r="A83" i="1"/>
  <c r="AA81" i="1"/>
  <c r="U80" i="1"/>
  <c r="R79" i="1"/>
  <c r="P78" i="1"/>
  <c r="N77" i="1"/>
  <c r="M76" i="1"/>
  <c r="L75" i="1"/>
  <c r="J74" i="1"/>
  <c r="G73" i="1"/>
  <c r="E72" i="1"/>
  <c r="D71" i="1"/>
  <c r="C70" i="1"/>
  <c r="B69" i="1"/>
  <c r="A68" i="1"/>
  <c r="U66" i="1"/>
  <c r="P65" i="1"/>
  <c r="O64" i="1"/>
  <c r="N63" i="1"/>
  <c r="M62" i="1"/>
  <c r="L61" i="1"/>
  <c r="J60" i="1"/>
  <c r="H59" i="1"/>
  <c r="G58" i="1"/>
  <c r="F57" i="1"/>
  <c r="D56" i="1"/>
  <c r="B55" i="1"/>
  <c r="A54" i="1"/>
  <c r="X52" i="1"/>
  <c r="W51" i="1"/>
  <c r="P50" i="1"/>
  <c r="N49" i="1"/>
  <c r="M48" i="1"/>
  <c r="K1065" i="1"/>
  <c r="I886" i="1"/>
  <c r="J799" i="1"/>
  <c r="U735" i="1"/>
  <c r="J689" i="1"/>
  <c r="P656" i="1"/>
  <c r="T624" i="1"/>
  <c r="J608" i="1"/>
  <c r="H589" i="1"/>
  <c r="T572" i="1"/>
  <c r="E556" i="1"/>
  <c r="W537" i="1"/>
  <c r="D524" i="1"/>
  <c r="Z512" i="1"/>
  <c r="K504" i="1"/>
  <c r="R494" i="1"/>
  <c r="AA485" i="1"/>
  <c r="R475" i="1"/>
  <c r="S464" i="1"/>
  <c r="U455" i="1"/>
  <c r="E446" i="1"/>
  <c r="J437" i="1"/>
  <c r="H427" i="1"/>
  <c r="B418" i="1"/>
  <c r="W407" i="1"/>
  <c r="J399" i="1"/>
  <c r="N393" i="1"/>
  <c r="B389" i="1"/>
  <c r="O385" i="1"/>
  <c r="Z381" i="1"/>
  <c r="C379" i="1"/>
  <c r="Q376" i="1"/>
  <c r="E374" i="1"/>
  <c r="X371" i="1"/>
  <c r="B370" i="1"/>
  <c r="V367" i="1"/>
  <c r="O365" i="1"/>
  <c r="J363" i="1"/>
  <c r="D361" i="1"/>
  <c r="L359" i="1"/>
  <c r="E357" i="1"/>
  <c r="C355" i="1"/>
  <c r="Z352" i="1"/>
  <c r="X350" i="1"/>
  <c r="U348" i="1"/>
  <c r="R346" i="1"/>
  <c r="D344" i="1"/>
  <c r="N341" i="1"/>
  <c r="M339" i="1"/>
  <c r="K337" i="1"/>
  <c r="S335" i="1"/>
  <c r="R333" i="1"/>
  <c r="P331" i="1"/>
  <c r="K329" i="1"/>
  <c r="J327" i="1"/>
  <c r="F325" i="1"/>
  <c r="L323" i="1"/>
  <c r="I321" i="1"/>
  <c r="M319" i="1"/>
  <c r="O317" i="1"/>
  <c r="O315" i="1"/>
  <c r="E314" i="1"/>
  <c r="F312" i="1"/>
  <c r="Q309" i="1"/>
  <c r="J307" i="1"/>
  <c r="D305" i="1"/>
  <c r="U302" i="1"/>
  <c r="B301" i="1"/>
  <c r="N298" i="1"/>
  <c r="B296" i="1"/>
  <c r="Q293" i="1"/>
  <c r="F291" i="1"/>
  <c r="F289" i="1"/>
  <c r="O286" i="1"/>
  <c r="J284" i="1"/>
  <c r="X281" i="1"/>
  <c r="L279" i="1"/>
  <c r="D277" i="1"/>
  <c r="B275" i="1"/>
  <c r="K272" i="1"/>
  <c r="F270" i="1"/>
  <c r="B268" i="1"/>
  <c r="Q265" i="1"/>
  <c r="C264" i="1"/>
  <c r="A262" i="1"/>
  <c r="O259" i="1"/>
  <c r="N257" i="1"/>
  <c r="Q255" i="1"/>
  <c r="I253" i="1"/>
  <c r="N251" i="1"/>
  <c r="M249" i="1"/>
  <c r="M247" i="1"/>
  <c r="N245" i="1"/>
  <c r="K243" i="1"/>
  <c r="A242" i="1"/>
  <c r="A240" i="1"/>
  <c r="A238" i="1"/>
  <c r="A236" i="1"/>
  <c r="A234" i="1"/>
  <c r="U231" i="1"/>
  <c r="E230" i="1"/>
  <c r="B228" i="1"/>
  <c r="AA225" i="1"/>
  <c r="Q223" i="1"/>
  <c r="Q221" i="1"/>
  <c r="H220" i="1"/>
  <c r="L218" i="1"/>
  <c r="L216" i="1"/>
  <c r="M214" i="1"/>
  <c r="R212" i="1"/>
  <c r="AA210" i="1"/>
  <c r="I209" i="1"/>
  <c r="I207" i="1"/>
  <c r="J205" i="1"/>
  <c r="L203" i="1"/>
  <c r="L201" i="1"/>
  <c r="AA199" i="1"/>
  <c r="AA197" i="1"/>
  <c r="A196" i="1"/>
  <c r="B194" i="1"/>
  <c r="E192" i="1"/>
  <c r="E190" i="1"/>
  <c r="O188" i="1"/>
  <c r="P186" i="1"/>
  <c r="R184" i="1"/>
  <c r="A183" i="1"/>
  <c r="C181" i="1"/>
  <c r="M179" i="1"/>
  <c r="M177" i="1"/>
  <c r="L175" i="1"/>
  <c r="M173" i="1"/>
  <c r="I171" i="1"/>
  <c r="I169" i="1"/>
  <c r="B168" i="1"/>
  <c r="H166" i="1"/>
  <c r="L164" i="1"/>
  <c r="P162" i="1"/>
  <c r="C161" i="1"/>
  <c r="P159" i="1"/>
  <c r="N158" i="1"/>
  <c r="M157" i="1"/>
  <c r="L156" i="1"/>
  <c r="I155" i="1"/>
  <c r="I154" i="1"/>
  <c r="H153" i="1"/>
  <c r="G152" i="1"/>
  <c r="F151" i="1"/>
  <c r="E150" i="1"/>
  <c r="D149" i="1"/>
  <c r="C148" i="1"/>
  <c r="C147" i="1"/>
  <c r="B146" i="1"/>
  <c r="A145" i="1"/>
  <c r="AA143" i="1"/>
  <c r="B143" i="1"/>
  <c r="D142" i="1"/>
  <c r="F141" i="1"/>
  <c r="D140" i="1"/>
  <c r="AA138" i="1"/>
  <c r="U137" i="1"/>
  <c r="Q136" i="1"/>
  <c r="O135" i="1"/>
  <c r="L134" i="1"/>
  <c r="I133" i="1"/>
  <c r="F132" i="1"/>
  <c r="D131" i="1"/>
  <c r="A130" i="1"/>
  <c r="U128" i="1"/>
  <c r="Q127" i="1"/>
  <c r="P126" i="1"/>
  <c r="N125" i="1"/>
  <c r="K124" i="1"/>
  <c r="I123" i="1"/>
  <c r="G122" i="1"/>
  <c r="E121" i="1"/>
  <c r="D120" i="1"/>
  <c r="C119" i="1"/>
  <c r="AA117" i="1"/>
  <c r="Q116" i="1"/>
  <c r="L115" i="1"/>
  <c r="H114" i="1"/>
  <c r="E113" i="1"/>
  <c r="C112" i="1"/>
  <c r="R110" i="1"/>
  <c r="L109" i="1"/>
  <c r="H108" i="1"/>
  <c r="B107" i="1"/>
  <c r="M105" i="1"/>
  <c r="I104" i="1"/>
  <c r="B103" i="1"/>
  <c r="R101" i="1"/>
  <c r="O100" i="1"/>
  <c r="L99" i="1"/>
  <c r="E98" i="1"/>
  <c r="A97" i="1"/>
  <c r="P95" i="1"/>
  <c r="L94" i="1"/>
  <c r="K93" i="1"/>
  <c r="J92" i="1"/>
  <c r="I91" i="1"/>
  <c r="H90" i="1"/>
  <c r="G89" i="1"/>
  <c r="E88" i="1"/>
  <c r="D87" i="1"/>
  <c r="C86" i="1"/>
  <c r="B85" i="1"/>
  <c r="A84" i="1"/>
  <c r="AA82" i="1"/>
  <c r="U81" i="1"/>
  <c r="R80" i="1"/>
  <c r="Q79" i="1"/>
  <c r="O78" i="1"/>
  <c r="M77" i="1"/>
  <c r="L76" i="1"/>
  <c r="K75" i="1"/>
  <c r="H74" i="1"/>
  <c r="F73" i="1"/>
  <c r="D72" i="1"/>
  <c r="C71" i="1"/>
  <c r="B70" i="1"/>
  <c r="A69" i="1"/>
  <c r="AA67" i="1"/>
  <c r="R66" i="1"/>
  <c r="O65" i="1"/>
  <c r="N64" i="1"/>
  <c r="M63" i="1"/>
  <c r="L62" i="1"/>
  <c r="K61" i="1"/>
  <c r="I60" i="1"/>
  <c r="G59" i="1"/>
  <c r="F58" i="1"/>
  <c r="E57" i="1"/>
  <c r="C56" i="1"/>
  <c r="A55" i="1"/>
  <c r="X53" i="1"/>
  <c r="W52" i="1"/>
  <c r="U51" i="1"/>
  <c r="O50" i="1"/>
  <c r="M49" i="1"/>
  <c r="L48" i="1"/>
  <c r="J47" i="1"/>
  <c r="I46" i="1"/>
  <c r="H45" i="1"/>
  <c r="F44" i="1"/>
  <c r="F43" i="1"/>
  <c r="F42" i="1"/>
  <c r="E41" i="1"/>
  <c r="D40" i="1"/>
  <c r="C39" i="1"/>
  <c r="B38" i="1"/>
  <c r="A37" i="1"/>
  <c r="B36" i="1"/>
  <c r="A35" i="1"/>
  <c r="U33" i="1"/>
  <c r="S32" i="1"/>
  <c r="S31" i="1"/>
  <c r="S30" i="1"/>
  <c r="S29" i="1"/>
  <c r="P1064" i="1"/>
  <c r="Q874" i="1"/>
  <c r="A799" i="1"/>
  <c r="R735" i="1"/>
  <c r="F689" i="1"/>
  <c r="Q654" i="1"/>
  <c r="O624" i="1"/>
  <c r="G608" i="1"/>
  <c r="V588" i="1"/>
  <c r="S572" i="1"/>
  <c r="I554" i="1"/>
  <c r="V537" i="1"/>
  <c r="N523" i="1"/>
  <c r="S512" i="1"/>
  <c r="J504" i="1"/>
  <c r="Q494" i="1"/>
  <c r="Y485" i="1"/>
  <c r="Q475" i="1"/>
  <c r="Q464" i="1"/>
  <c r="L454" i="1"/>
  <c r="C446" i="1"/>
  <c r="I437" i="1"/>
  <c r="C427" i="1"/>
  <c r="A418" i="1"/>
  <c r="V407" i="1"/>
  <c r="H399" i="1"/>
  <c r="J393" i="1"/>
  <c r="O388" i="1"/>
  <c r="O384" i="1"/>
  <c r="U381" i="1"/>
  <c r="B379" i="1"/>
  <c r="O376" i="1"/>
  <c r="C374" i="1"/>
  <c r="V371" i="1"/>
  <c r="Z369" i="1"/>
  <c r="U367" i="1"/>
  <c r="N365" i="1"/>
  <c r="F363" i="1"/>
  <c r="B361" i="1"/>
  <c r="V358" i="1"/>
  <c r="D357" i="1"/>
  <c r="AA354" i="1"/>
  <c r="Y352" i="1"/>
  <c r="V350" i="1"/>
  <c r="R348" i="1"/>
  <c r="Q346" i="1"/>
  <c r="B344" i="1"/>
  <c r="L341" i="1"/>
  <c r="K339" i="1"/>
  <c r="J337" i="1"/>
  <c r="I335" i="1"/>
  <c r="O333" i="1"/>
  <c r="O331" i="1"/>
  <c r="J329" i="1"/>
  <c r="I327" i="1"/>
  <c r="E325" i="1"/>
  <c r="K323" i="1"/>
  <c r="H321" i="1"/>
  <c r="L319" i="1"/>
  <c r="M317" i="1"/>
  <c r="N315" i="1"/>
  <c r="S313" i="1"/>
  <c r="E312" i="1"/>
  <c r="O309" i="1"/>
  <c r="G307" i="1"/>
  <c r="C305" i="1"/>
  <c r="Q302" i="1"/>
  <c r="A301" i="1"/>
  <c r="M298" i="1"/>
  <c r="A296" i="1"/>
  <c r="M293" i="1"/>
  <c r="E291" i="1"/>
  <c r="M288" i="1"/>
  <c r="N286" i="1"/>
  <c r="I284" i="1"/>
  <c r="V281" i="1"/>
  <c r="I279" i="1"/>
  <c r="C277" i="1"/>
  <c r="A275" i="1"/>
  <c r="I272" i="1"/>
  <c r="E270" i="1"/>
  <c r="U267" i="1"/>
  <c r="N265" i="1"/>
  <c r="L263" i="1"/>
  <c r="AA261" i="1"/>
  <c r="N259" i="1"/>
  <c r="M257" i="1"/>
  <c r="P255" i="1"/>
  <c r="H253" i="1"/>
  <c r="M251" i="1"/>
  <c r="L249" i="1"/>
  <c r="L247" i="1"/>
  <c r="L245" i="1"/>
  <c r="J243" i="1"/>
  <c r="K241" i="1"/>
  <c r="AA239" i="1"/>
  <c r="AA237" i="1"/>
  <c r="AA235" i="1"/>
  <c r="AA233" i="1"/>
  <c r="R231" i="1"/>
  <c r="D230" i="1"/>
  <c r="A228" i="1"/>
  <c r="U225" i="1"/>
  <c r="O223" i="1"/>
  <c r="P221" i="1"/>
  <c r="U219" i="1"/>
  <c r="K218" i="1"/>
  <c r="I216" i="1"/>
  <c r="L214" i="1"/>
  <c r="Q212" i="1"/>
  <c r="X210" i="1"/>
  <c r="H209" i="1"/>
  <c r="H207" i="1"/>
  <c r="I205" i="1"/>
  <c r="J203" i="1"/>
  <c r="K201" i="1"/>
  <c r="I199" i="1"/>
  <c r="X197" i="1"/>
  <c r="AA195" i="1"/>
  <c r="A194" i="1"/>
  <c r="D192" i="1"/>
  <c r="D190" i="1"/>
  <c r="N188" i="1"/>
  <c r="O186" i="1"/>
  <c r="Q184" i="1"/>
  <c r="U182" i="1"/>
  <c r="B181" i="1"/>
  <c r="D179" i="1"/>
  <c r="L177" i="1"/>
  <c r="K175" i="1"/>
  <c r="L173" i="1"/>
  <c r="H171" i="1"/>
  <c r="H169" i="1"/>
  <c r="A168" i="1"/>
  <c r="G166" i="1"/>
  <c r="K164" i="1"/>
  <c r="N162" i="1"/>
  <c r="B161" i="1"/>
  <c r="O159" i="1"/>
  <c r="M158" i="1"/>
  <c r="L157" i="1"/>
  <c r="K156" i="1"/>
  <c r="H155" i="1"/>
  <c r="H154" i="1"/>
  <c r="G153" i="1"/>
  <c r="F152" i="1"/>
  <c r="E151" i="1"/>
  <c r="D150" i="1"/>
  <c r="C149" i="1"/>
  <c r="B148" i="1"/>
  <c r="B147" i="1"/>
  <c r="A146" i="1"/>
  <c r="AA144" i="1"/>
  <c r="V143" i="1"/>
  <c r="A143" i="1"/>
  <c r="C142" i="1"/>
  <c r="E141" i="1"/>
  <c r="B140" i="1"/>
  <c r="V138" i="1"/>
  <c r="R137" i="1"/>
  <c r="O136" i="1"/>
  <c r="N135" i="1"/>
  <c r="K134" i="1"/>
  <c r="H133" i="1"/>
  <c r="E132" i="1"/>
  <c r="C131" i="1"/>
  <c r="AA129" i="1"/>
  <c r="R128" i="1"/>
  <c r="P127" i="1"/>
  <c r="O126" i="1"/>
  <c r="L125" i="1"/>
  <c r="J124" i="1"/>
  <c r="H123" i="1"/>
  <c r="F122" i="1"/>
  <c r="D121" i="1"/>
  <c r="C120" i="1"/>
  <c r="A119" i="1"/>
  <c r="U117" i="1"/>
  <c r="P116" i="1"/>
  <c r="K115" i="1"/>
  <c r="G114" i="1"/>
  <c r="D113" i="1"/>
  <c r="B112" i="1"/>
  <c r="P110" i="1"/>
  <c r="K109" i="1"/>
  <c r="G108" i="1"/>
  <c r="A107" i="1"/>
  <c r="L105" i="1"/>
  <c r="H104" i="1"/>
  <c r="A103" i="1"/>
  <c r="P101" i="1"/>
  <c r="N100" i="1"/>
  <c r="I99" i="1"/>
  <c r="D98" i="1"/>
  <c r="U96" i="1"/>
  <c r="N95" i="1"/>
  <c r="K94" i="1"/>
  <c r="J93" i="1"/>
  <c r="I92" i="1"/>
  <c r="H91" i="1"/>
  <c r="G90" i="1"/>
  <c r="F89" i="1"/>
  <c r="D88" i="1"/>
  <c r="C87" i="1"/>
  <c r="B86" i="1"/>
  <c r="A85" i="1"/>
  <c r="AA83" i="1"/>
  <c r="U82" i="1"/>
  <c r="R81" i="1"/>
  <c r="Q80" i="1"/>
  <c r="P79" i="1"/>
  <c r="N78" i="1"/>
  <c r="L77" i="1"/>
  <c r="K76" i="1"/>
  <c r="I75" i="1"/>
  <c r="G74" i="1"/>
  <c r="E73" i="1"/>
  <c r="C72" i="1"/>
  <c r="B71" i="1"/>
  <c r="A70" i="1"/>
  <c r="AA68" i="1"/>
  <c r="U67" i="1"/>
  <c r="P66" i="1"/>
  <c r="N65" i="1"/>
  <c r="M64" i="1"/>
  <c r="L63" i="1"/>
  <c r="K62" i="1"/>
  <c r="J61" i="1"/>
  <c r="H60" i="1"/>
  <c r="F59" i="1"/>
  <c r="E58" i="1"/>
  <c r="D57" i="1"/>
  <c r="B56" i="1"/>
  <c r="X54" i="1"/>
  <c r="U53" i="1"/>
  <c r="U52" i="1"/>
  <c r="P51" i="1"/>
  <c r="N50" i="1"/>
  <c r="L49" i="1"/>
  <c r="K48" i="1"/>
  <c r="I47" i="1"/>
  <c r="H46" i="1"/>
  <c r="G45" i="1"/>
  <c r="E44" i="1"/>
  <c r="E43" i="1"/>
  <c r="E42" i="1"/>
  <c r="D41" i="1"/>
  <c r="C40" i="1"/>
  <c r="B39" i="1"/>
  <c r="A38" i="1"/>
  <c r="AA36" i="1"/>
  <c r="A36" i="1"/>
  <c r="U34" i="1"/>
  <c r="S33" i="1"/>
  <c r="R32" i="1"/>
  <c r="R31" i="1"/>
  <c r="R30" i="1"/>
  <c r="R29" i="1"/>
  <c r="R28" i="1"/>
  <c r="R27" i="1"/>
  <c r="R26" i="1"/>
  <c r="R25" i="1"/>
  <c r="S24" i="1"/>
  <c r="U23" i="1"/>
  <c r="X22" i="1"/>
  <c r="AA21" i="1"/>
  <c r="Q20" i="1"/>
  <c r="O19" i="1"/>
  <c r="J18" i="1"/>
  <c r="H17" i="1"/>
  <c r="F16" i="1"/>
  <c r="C15" i="1"/>
  <c r="B14" i="1"/>
  <c r="A13" i="1"/>
  <c r="AA11" i="1"/>
  <c r="S10" i="1"/>
  <c r="Q9" i="1"/>
  <c r="N8" i="1"/>
  <c r="L7" i="1"/>
  <c r="K6" i="1"/>
  <c r="I5" i="1"/>
  <c r="F4" i="1"/>
  <c r="M3" i="1"/>
  <c r="N110" i="1"/>
  <c r="E89" i="1"/>
  <c r="A86" i="1"/>
  <c r="U83" i="1"/>
  <c r="R82" i="1"/>
  <c r="P80" i="1"/>
  <c r="O79" i="1"/>
  <c r="M78" i="1"/>
  <c r="I76" i="1"/>
  <c r="H75" i="1"/>
  <c r="F74" i="1"/>
  <c r="D73" i="1"/>
  <c r="A71" i="1"/>
  <c r="AA69" i="1"/>
  <c r="X68" i="1"/>
  <c r="R67" i="1"/>
  <c r="M65" i="1"/>
  <c r="L64" i="1"/>
  <c r="K63" i="1"/>
  <c r="J62" i="1"/>
  <c r="G60" i="1"/>
  <c r="E59" i="1"/>
  <c r="D58" i="1"/>
  <c r="C57" i="1"/>
  <c r="U54" i="1"/>
  <c r="R53" i="1"/>
  <c r="P52" i="1"/>
  <c r="O51" i="1"/>
  <c r="K49" i="1"/>
  <c r="J48" i="1"/>
  <c r="H47" i="1"/>
  <c r="G46" i="1"/>
  <c r="D44" i="1"/>
  <c r="D43" i="1"/>
  <c r="D42" i="1"/>
  <c r="C41" i="1"/>
  <c r="A39" i="1"/>
  <c r="AA37" i="1"/>
  <c r="X36" i="1"/>
  <c r="U35" i="1"/>
  <c r="R33" i="1"/>
  <c r="Q32" i="1"/>
  <c r="Q31" i="1"/>
  <c r="Q30" i="1"/>
  <c r="Q28" i="1"/>
  <c r="Q27" i="1"/>
  <c r="Q26" i="1"/>
  <c r="Q25" i="1"/>
  <c r="S23" i="1"/>
  <c r="U22" i="1"/>
  <c r="U21" i="1"/>
  <c r="P20" i="1"/>
  <c r="I18" i="1"/>
  <c r="G17" i="1"/>
  <c r="D16" i="1"/>
  <c r="B15" i="1"/>
  <c r="A14" i="1"/>
  <c r="U11" i="1"/>
  <c r="R10" i="1"/>
  <c r="P9" i="1"/>
  <c r="L8" i="1"/>
  <c r="K7" i="1"/>
  <c r="H5" i="1"/>
  <c r="E4" i="1"/>
  <c r="L3" i="1"/>
  <c r="H1048" i="1"/>
  <c r="H873" i="1"/>
  <c r="AA798" i="1"/>
  <c r="L727" i="1"/>
  <c r="E689" i="1"/>
  <c r="P654" i="1"/>
  <c r="M624" i="1"/>
  <c r="J607" i="1"/>
  <c r="Q588" i="1"/>
  <c r="Q572" i="1"/>
  <c r="Y553" i="1"/>
  <c r="T537" i="1"/>
  <c r="J522" i="1"/>
  <c r="R512" i="1"/>
  <c r="Y503" i="1"/>
  <c r="M494" i="1"/>
  <c r="V485" i="1"/>
  <c r="P475" i="1"/>
  <c r="O464" i="1"/>
  <c r="K454" i="1"/>
  <c r="B446" i="1"/>
  <c r="A436" i="1"/>
  <c r="B427" i="1"/>
  <c r="AA417" i="1"/>
  <c r="R407" i="1"/>
  <c r="G399" i="1"/>
  <c r="AA392" i="1"/>
  <c r="N388" i="1"/>
  <c r="M384" i="1"/>
  <c r="T381" i="1"/>
  <c r="A379" i="1"/>
  <c r="N376" i="1"/>
  <c r="AA373" i="1"/>
  <c r="U371" i="1"/>
  <c r="N369" i="1"/>
  <c r="T367" i="1"/>
  <c r="L365" i="1"/>
  <c r="D363" i="1"/>
  <c r="A361" i="1"/>
  <c r="U358" i="1"/>
  <c r="C357" i="1"/>
  <c r="Z354" i="1"/>
  <c r="V352" i="1"/>
  <c r="T350" i="1"/>
  <c r="P348" i="1"/>
  <c r="A346" i="1"/>
  <c r="AA343" i="1"/>
  <c r="K341" i="1"/>
  <c r="J339" i="1"/>
  <c r="I337" i="1"/>
  <c r="H335" i="1"/>
  <c r="N333" i="1"/>
  <c r="M331" i="1"/>
  <c r="I329" i="1"/>
  <c r="E327" i="1"/>
  <c r="D325" i="1"/>
  <c r="Z322" i="1"/>
  <c r="G321" i="1"/>
  <c r="I319" i="1"/>
  <c r="L317" i="1"/>
  <c r="L315" i="1"/>
  <c r="R313" i="1"/>
  <c r="D312" i="1"/>
  <c r="N309" i="1"/>
  <c r="F307" i="1"/>
  <c r="A305" i="1"/>
  <c r="P302" i="1"/>
  <c r="I300" i="1"/>
  <c r="L298" i="1"/>
  <c r="AA295" i="1"/>
  <c r="K293" i="1"/>
  <c r="D291" i="1"/>
  <c r="L288" i="1"/>
  <c r="M286" i="1"/>
  <c r="H284" i="1"/>
  <c r="U281" i="1"/>
  <c r="G279" i="1"/>
  <c r="B277" i="1"/>
  <c r="H274" i="1"/>
  <c r="H272" i="1"/>
  <c r="D270" i="1"/>
  <c r="R267" i="1"/>
  <c r="M265" i="1"/>
  <c r="K263" i="1"/>
  <c r="U261" i="1"/>
  <c r="L259" i="1"/>
  <c r="L257" i="1"/>
  <c r="N255" i="1"/>
  <c r="G253" i="1"/>
  <c r="D251" i="1"/>
  <c r="K249" i="1"/>
  <c r="K247" i="1"/>
  <c r="K245" i="1"/>
  <c r="I243" i="1"/>
  <c r="J241" i="1"/>
  <c r="U239" i="1"/>
  <c r="U237" i="1"/>
  <c r="U235" i="1"/>
  <c r="S233" i="1"/>
  <c r="Q231" i="1"/>
  <c r="O229" i="1"/>
  <c r="AA227" i="1"/>
  <c r="R225" i="1"/>
  <c r="N223" i="1"/>
  <c r="O221" i="1"/>
  <c r="S219" i="1"/>
  <c r="J218" i="1"/>
  <c r="H216" i="1"/>
  <c r="K214" i="1"/>
  <c r="O212" i="1"/>
  <c r="U210" i="1"/>
  <c r="U208" i="1"/>
  <c r="G207" i="1"/>
  <c r="H205" i="1"/>
  <c r="I203" i="1"/>
  <c r="J201" i="1"/>
  <c r="H199" i="1"/>
  <c r="U197" i="1"/>
  <c r="U195" i="1"/>
  <c r="AA193" i="1"/>
  <c r="B192" i="1"/>
  <c r="C190" i="1"/>
  <c r="E188" i="1"/>
  <c r="N186" i="1"/>
  <c r="P184" i="1"/>
  <c r="R182" i="1"/>
  <c r="A181" i="1"/>
  <c r="C179" i="1"/>
  <c r="K177" i="1"/>
  <c r="J175" i="1"/>
  <c r="I173" i="1"/>
  <c r="F171" i="1"/>
  <c r="G169" i="1"/>
  <c r="O167" i="1"/>
  <c r="F166" i="1"/>
  <c r="J164" i="1"/>
  <c r="M162" i="1"/>
  <c r="AA160" i="1"/>
  <c r="M159" i="1"/>
  <c r="L158" i="1"/>
  <c r="K157" i="1"/>
  <c r="J156" i="1"/>
  <c r="G155" i="1"/>
  <c r="G154" i="1"/>
  <c r="F153" i="1"/>
  <c r="E152" i="1"/>
  <c r="D151" i="1"/>
  <c r="C150" i="1"/>
  <c r="B149" i="1"/>
  <c r="A148" i="1"/>
  <c r="A147" i="1"/>
  <c r="AA145" i="1"/>
  <c r="V144" i="1"/>
  <c r="U143" i="1"/>
  <c r="AA142" i="1"/>
  <c r="B142" i="1"/>
  <c r="C141" i="1"/>
  <c r="A140" i="1"/>
  <c r="U138" i="1"/>
  <c r="Q137" i="1"/>
  <c r="N136" i="1"/>
  <c r="M135" i="1"/>
  <c r="J134" i="1"/>
  <c r="G133" i="1"/>
  <c r="D132" i="1"/>
  <c r="B131" i="1"/>
  <c r="U129" i="1"/>
  <c r="Q128" i="1"/>
  <c r="O127" i="1"/>
  <c r="N126" i="1"/>
  <c r="K125" i="1"/>
  <c r="I124" i="1"/>
  <c r="G123" i="1"/>
  <c r="E122" i="1"/>
  <c r="C121" i="1"/>
  <c r="A120" i="1"/>
  <c r="AA118" i="1"/>
  <c r="R117" i="1"/>
  <c r="N116" i="1"/>
  <c r="J115" i="1"/>
  <c r="F114" i="1"/>
  <c r="C113" i="1"/>
  <c r="A112" i="1"/>
  <c r="J109" i="1"/>
  <c r="F108" i="1"/>
  <c r="U106" i="1"/>
  <c r="K105" i="1"/>
  <c r="G104" i="1"/>
  <c r="AA102" i="1"/>
  <c r="O101" i="1"/>
  <c r="M100" i="1"/>
  <c r="H99" i="1"/>
  <c r="C98" i="1"/>
  <c r="Q96" i="1"/>
  <c r="M95" i="1"/>
  <c r="J94" i="1"/>
  <c r="I93" i="1"/>
  <c r="H92" i="1"/>
  <c r="G91" i="1"/>
  <c r="F90" i="1"/>
  <c r="C88" i="1"/>
  <c r="B87" i="1"/>
  <c r="AA84" i="1"/>
  <c r="Q81" i="1"/>
  <c r="K77" i="1"/>
  <c r="B72" i="1"/>
  <c r="O66" i="1"/>
  <c r="I61" i="1"/>
  <c r="AA55" i="1"/>
  <c r="M50" i="1"/>
  <c r="F45" i="1"/>
  <c r="B40" i="1"/>
  <c r="S34" i="1"/>
  <c r="Q29" i="1"/>
  <c r="R24" i="1"/>
  <c r="N19" i="1"/>
  <c r="AA12" i="1"/>
  <c r="J6" i="1"/>
  <c r="J1040" i="1"/>
  <c r="A873" i="1"/>
  <c r="C796" i="1"/>
  <c r="M726" i="1"/>
  <c r="AA686" i="1"/>
  <c r="B650" i="1"/>
  <c r="K624" i="1"/>
  <c r="D605" i="1"/>
  <c r="N588" i="1"/>
  <c r="T571" i="1"/>
  <c r="P553" i="1"/>
  <c r="W536" i="1"/>
  <c r="F522" i="1"/>
  <c r="O512" i="1"/>
  <c r="Z502" i="1"/>
  <c r="I494" i="1"/>
  <c r="J484" i="1"/>
  <c r="J475" i="1"/>
  <c r="C464" i="1"/>
  <c r="D454" i="1"/>
  <c r="Z445" i="1"/>
  <c r="Y435" i="1"/>
  <c r="Z426" i="1"/>
  <c r="E416" i="1"/>
  <c r="P407" i="1"/>
  <c r="G398" i="1"/>
  <c r="T392" i="1"/>
  <c r="H388" i="1"/>
  <c r="K384" i="1"/>
  <c r="AA380" i="1"/>
  <c r="Z378" i="1"/>
  <c r="E376" i="1"/>
  <c r="Y373" i="1"/>
  <c r="Q371" i="1"/>
  <c r="L369" i="1"/>
  <c r="D367" i="1"/>
  <c r="J365" i="1"/>
  <c r="A363" i="1"/>
  <c r="X360" i="1"/>
  <c r="R358" i="1"/>
  <c r="N356" i="1"/>
  <c r="X354" i="1"/>
  <c r="T352" i="1"/>
  <c r="Q350" i="1"/>
  <c r="H348" i="1"/>
  <c r="U345" i="1"/>
  <c r="F343" i="1"/>
  <c r="I341" i="1"/>
  <c r="H339" i="1"/>
  <c r="F337" i="1"/>
  <c r="B335" i="1"/>
  <c r="AA332" i="1"/>
  <c r="I331" i="1"/>
  <c r="F329" i="1"/>
  <c r="C327" i="1"/>
  <c r="AA324" i="1"/>
  <c r="W322" i="1"/>
  <c r="V320" i="1"/>
  <c r="F319" i="1"/>
  <c r="F317" i="1"/>
  <c r="I315" i="1"/>
  <c r="O313" i="1"/>
  <c r="H311" i="1"/>
  <c r="L309" i="1"/>
  <c r="D307" i="1"/>
  <c r="V304" i="1"/>
  <c r="M302" i="1"/>
  <c r="G300" i="1"/>
  <c r="AA297" i="1"/>
  <c r="R295" i="1"/>
  <c r="I293" i="1"/>
  <c r="U290" i="1"/>
  <c r="J288" i="1"/>
  <c r="A286" i="1"/>
  <c r="F284" i="1"/>
  <c r="Q281" i="1"/>
  <c r="E279" i="1"/>
  <c r="R276" i="1"/>
  <c r="F274" i="1"/>
  <c r="P271" i="1"/>
  <c r="AA269" i="1"/>
  <c r="O267" i="1"/>
  <c r="J265" i="1"/>
  <c r="I263" i="1"/>
  <c r="E261" i="1"/>
  <c r="I259" i="1"/>
  <c r="I257" i="1"/>
  <c r="K255" i="1"/>
  <c r="C253" i="1"/>
  <c r="B251" i="1"/>
  <c r="A249" i="1"/>
  <c r="I247" i="1"/>
  <c r="I245" i="1"/>
  <c r="F243" i="1"/>
  <c r="H241" i="1"/>
  <c r="H239" i="1"/>
  <c r="P237" i="1"/>
  <c r="P235" i="1"/>
  <c r="P233" i="1"/>
  <c r="M231" i="1"/>
  <c r="L229" i="1"/>
  <c r="G227" i="1"/>
  <c r="P225" i="1"/>
  <c r="L223" i="1"/>
  <c r="L221" i="1"/>
  <c r="Q219" i="1"/>
  <c r="AA217" i="1"/>
  <c r="F216" i="1"/>
  <c r="I214" i="1"/>
  <c r="M212" i="1"/>
  <c r="O210" i="1"/>
  <c r="Q208" i="1"/>
  <c r="Q206" i="1"/>
  <c r="F205" i="1"/>
  <c r="G203" i="1"/>
  <c r="G201" i="1"/>
  <c r="F199" i="1"/>
  <c r="H197" i="1"/>
  <c r="Q195" i="1"/>
  <c r="U193" i="1"/>
  <c r="AA191" i="1"/>
  <c r="AA189" i="1"/>
  <c r="C188" i="1"/>
  <c r="D186" i="1"/>
  <c r="N184" i="1"/>
  <c r="P182" i="1"/>
  <c r="R180" i="1"/>
  <c r="A179" i="1"/>
  <c r="A177" i="1"/>
  <c r="H175" i="1"/>
  <c r="G173" i="1"/>
  <c r="D171" i="1"/>
  <c r="D169" i="1"/>
  <c r="M167" i="1"/>
  <c r="P165" i="1"/>
  <c r="H164" i="1"/>
  <c r="K162" i="1"/>
  <c r="U160" i="1"/>
  <c r="K159" i="1"/>
  <c r="J158" i="1"/>
  <c r="I157" i="1"/>
  <c r="H156" i="1"/>
  <c r="E155" i="1"/>
  <c r="E154" i="1"/>
  <c r="D153" i="1"/>
  <c r="C152" i="1"/>
  <c r="B151" i="1"/>
  <c r="A150" i="1"/>
  <c r="AA148" i="1"/>
  <c r="W147" i="1"/>
  <c r="U146" i="1"/>
  <c r="U145" i="1"/>
  <c r="R144" i="1"/>
  <c r="S143" i="1"/>
  <c r="T142" i="1"/>
  <c r="V141" i="1"/>
  <c r="A141" i="1"/>
  <c r="V139" i="1"/>
  <c r="Q138" i="1"/>
  <c r="N137" i="1"/>
  <c r="L136" i="1"/>
  <c r="K135" i="1"/>
  <c r="H134" i="1"/>
  <c r="E133" i="1"/>
  <c r="B132" i="1"/>
  <c r="AA130" i="1"/>
  <c r="Q129" i="1"/>
  <c r="O128" i="1"/>
  <c r="M127" i="1"/>
  <c r="K126" i="1"/>
  <c r="I125" i="1"/>
  <c r="G124" i="1"/>
  <c r="E123" i="1"/>
  <c r="B122" i="1"/>
  <c r="AA120" i="1"/>
  <c r="U119" i="1"/>
  <c r="R118" i="1"/>
  <c r="P117" i="1"/>
  <c r="L116" i="1"/>
  <c r="H115" i="1"/>
  <c r="D114" i="1"/>
  <c r="A113" i="1"/>
  <c r="R111" i="1"/>
  <c r="L110" i="1"/>
  <c r="H109" i="1"/>
  <c r="D108" i="1"/>
  <c r="P106" i="1"/>
  <c r="I105" i="1"/>
  <c r="E104" i="1"/>
  <c r="R102" i="1"/>
  <c r="M101" i="1"/>
  <c r="K100" i="1"/>
  <c r="E99" i="1"/>
  <c r="AA97" i="1"/>
  <c r="O96" i="1"/>
  <c r="I95" i="1"/>
  <c r="H94" i="1"/>
  <c r="G93" i="1"/>
  <c r="F92" i="1"/>
  <c r="E91" i="1"/>
  <c r="D90" i="1"/>
  <c r="C89" i="1"/>
  <c r="A88" i="1"/>
  <c r="AA86" i="1"/>
  <c r="U85" i="1"/>
  <c r="R84" i="1"/>
  <c r="Q83" i="1"/>
  <c r="P82" i="1"/>
  <c r="O81" i="1"/>
  <c r="N80" i="1"/>
  <c r="M79" i="1"/>
  <c r="J78" i="1"/>
  <c r="H77" i="1"/>
  <c r="G76" i="1"/>
  <c r="F75" i="1"/>
  <c r="D74" i="1"/>
  <c r="B73" i="1"/>
  <c r="AA71" i="1"/>
  <c r="X70" i="1"/>
  <c r="W69" i="1"/>
  <c r="U68" i="1"/>
  <c r="O67" i="1"/>
  <c r="M66" i="1"/>
  <c r="K65" i="1"/>
  <c r="J64" i="1"/>
  <c r="I63" i="1"/>
  <c r="H62" i="1"/>
  <c r="G61" i="1"/>
  <c r="E60" i="1"/>
  <c r="C59" i="1"/>
  <c r="A58" i="1"/>
  <c r="AA56" i="1"/>
  <c r="U55" i="1"/>
  <c r="P54" i="1"/>
  <c r="O53" i="1"/>
  <c r="N52" i="1"/>
  <c r="M51" i="1"/>
  <c r="K50" i="1"/>
  <c r="I49" i="1"/>
  <c r="H48" i="1"/>
  <c r="F47" i="1"/>
  <c r="E46" i="1"/>
  <c r="D45" i="1"/>
  <c r="B44" i="1"/>
  <c r="B43" i="1"/>
  <c r="B42" i="1"/>
  <c r="A41" i="1"/>
  <c r="AA39" i="1"/>
  <c r="U38" i="1"/>
  <c r="R37" i="1"/>
  <c r="R36" i="1"/>
  <c r="R35" i="1"/>
  <c r="Q34" i="1"/>
  <c r="P33" i="1"/>
  <c r="O32" i="1"/>
  <c r="I965" i="1"/>
  <c r="B851" i="1"/>
  <c r="N772" i="1"/>
  <c r="S715" i="1"/>
  <c r="G678" i="1"/>
  <c r="F643" i="1"/>
  <c r="V618" i="1"/>
  <c r="G601" i="1"/>
  <c r="N583" i="1"/>
  <c r="Y565" i="1"/>
  <c r="B549" i="1"/>
  <c r="J531" i="1"/>
  <c r="N519" i="1"/>
  <c r="Z509" i="1"/>
  <c r="W500" i="1"/>
  <c r="T491" i="1"/>
  <c r="F482" i="1"/>
  <c r="E472" i="1"/>
  <c r="B461" i="1"/>
  <c r="F452" i="1"/>
  <c r="G442" i="1"/>
  <c r="U433" i="1"/>
  <c r="M424" i="1"/>
  <c r="S413" i="1"/>
  <c r="E405" i="1"/>
  <c r="L396" i="1"/>
  <c r="N392" i="1"/>
  <c r="D388" i="1"/>
  <c r="AA383" i="1"/>
  <c r="T380" i="1"/>
  <c r="C378" i="1"/>
  <c r="R375" i="1"/>
  <c r="U373" i="1"/>
  <c r="N371" i="1"/>
  <c r="B369" i="1"/>
  <c r="Z366" i="1"/>
  <c r="Q364" i="1"/>
  <c r="X362" i="1"/>
  <c r="Q360" i="1"/>
  <c r="M358" i="1"/>
  <c r="I356" i="1"/>
  <c r="G354" i="1"/>
  <c r="C352" i="1"/>
  <c r="L350" i="1"/>
  <c r="E348" i="1"/>
  <c r="P345" i="1"/>
  <c r="C343" i="1"/>
  <c r="R340" i="1"/>
  <c r="C339" i="1"/>
  <c r="AA336" i="1"/>
  <c r="V334" i="1"/>
  <c r="S332" i="1"/>
  <c r="T330" i="1"/>
  <c r="Q328" i="1"/>
  <c r="AA326" i="1"/>
  <c r="W324" i="1"/>
  <c r="P322" i="1"/>
  <c r="S320" i="1"/>
  <c r="S318" i="1"/>
  <c r="C317" i="1"/>
  <c r="F315" i="1"/>
  <c r="K313" i="1"/>
  <c r="D311" i="1"/>
  <c r="R308" i="1"/>
  <c r="K306" i="1"/>
  <c r="N304" i="1"/>
  <c r="G302" i="1"/>
  <c r="B300" i="1"/>
  <c r="M297" i="1"/>
  <c r="C295" i="1"/>
  <c r="F293" i="1"/>
  <c r="O290" i="1"/>
  <c r="E288" i="1"/>
  <c r="O285" i="1"/>
  <c r="H283" i="1"/>
  <c r="B281" i="1"/>
  <c r="A279" i="1"/>
  <c r="N276" i="1"/>
  <c r="U273" i="1"/>
  <c r="L271" i="1"/>
  <c r="H269" i="1"/>
  <c r="L267" i="1"/>
  <c r="G265" i="1"/>
  <c r="E263" i="1"/>
  <c r="A261" i="1"/>
  <c r="U258" i="1"/>
  <c r="U256" i="1"/>
  <c r="H255" i="1"/>
  <c r="AA252" i="1"/>
  <c r="R250" i="1"/>
  <c r="Q248" i="1"/>
  <c r="Q246" i="1"/>
  <c r="F245" i="1"/>
  <c r="C243" i="1"/>
  <c r="D241" i="1"/>
  <c r="D239" i="1"/>
  <c r="E237" i="1"/>
  <c r="E235" i="1"/>
  <c r="M233" i="1"/>
  <c r="J231" i="1"/>
  <c r="F229" i="1"/>
  <c r="D227" i="1"/>
  <c r="E225" i="1"/>
  <c r="G223" i="1"/>
  <c r="I221" i="1"/>
  <c r="M219" i="1"/>
  <c r="Q217" i="1"/>
  <c r="P215" i="1"/>
  <c r="U213" i="1"/>
  <c r="J212" i="1"/>
  <c r="L210" i="1"/>
  <c r="L208" i="1"/>
  <c r="M206" i="1"/>
  <c r="O204" i="1"/>
  <c r="D203" i="1"/>
  <c r="D201" i="1"/>
  <c r="B199" i="1"/>
  <c r="D197" i="1"/>
  <c r="E195" i="1"/>
  <c r="G193" i="1"/>
  <c r="Q191" i="1"/>
  <c r="R189" i="1"/>
  <c r="X187" i="1"/>
  <c r="A186" i="1"/>
  <c r="C184" i="1"/>
  <c r="M182" i="1"/>
  <c r="O180" i="1"/>
  <c r="Q178" i="1"/>
  <c r="Q176" i="1"/>
  <c r="R174" i="1"/>
  <c r="O172" i="1"/>
  <c r="A171" i="1"/>
  <c r="A169" i="1"/>
  <c r="I167" i="1"/>
  <c r="M165" i="1"/>
  <c r="Q163" i="1"/>
  <c r="H162" i="1"/>
  <c r="O160" i="1"/>
  <c r="H159" i="1"/>
  <c r="G158" i="1"/>
  <c r="F157" i="1"/>
  <c r="E156" i="1"/>
  <c r="B155" i="1"/>
  <c r="B154" i="1"/>
  <c r="A153" i="1"/>
  <c r="AA151" i="1"/>
  <c r="U150" i="1"/>
  <c r="R149" i="1"/>
  <c r="Q148" i="1"/>
  <c r="Q147" i="1"/>
  <c r="Q146" i="1"/>
  <c r="N145" i="1"/>
  <c r="M144" i="1"/>
  <c r="O143" i="1"/>
  <c r="Q142" i="1"/>
  <c r="S141" i="1"/>
  <c r="R140" i="1"/>
  <c r="Q139" i="1"/>
  <c r="M138" i="1"/>
  <c r="K137" i="1"/>
  <c r="I136" i="1"/>
  <c r="H135" i="1"/>
  <c r="E134" i="1"/>
  <c r="B133" i="1"/>
  <c r="U131" i="1"/>
  <c r="P130" i="1"/>
  <c r="N129" i="1"/>
  <c r="K128" i="1"/>
  <c r="J127" i="1"/>
  <c r="H126" i="1"/>
  <c r="E125" i="1"/>
  <c r="C124" i="1"/>
  <c r="A123" i="1"/>
  <c r="U121" i="1"/>
  <c r="Q120" i="1"/>
  <c r="P119" i="1"/>
  <c r="N118" i="1"/>
  <c r="L117" i="1"/>
  <c r="I116" i="1"/>
  <c r="E115" i="1"/>
  <c r="A114" i="1"/>
  <c r="R112" i="1"/>
  <c r="M111" i="1"/>
  <c r="I110" i="1"/>
  <c r="E109" i="1"/>
  <c r="A108" i="1"/>
  <c r="L106" i="1"/>
  <c r="F105" i="1"/>
  <c r="B104" i="1"/>
  <c r="M102" i="1"/>
  <c r="I101" i="1"/>
  <c r="G100" i="1"/>
  <c r="B99" i="1"/>
  <c r="P97" i="1"/>
  <c r="L96" i="1"/>
  <c r="F95" i="1"/>
  <c r="E94" i="1"/>
  <c r="D93" i="1"/>
  <c r="C92" i="1"/>
  <c r="B91" i="1"/>
  <c r="A90" i="1"/>
  <c r="AA88" i="1"/>
  <c r="R87" i="1"/>
  <c r="Q86" i="1"/>
  <c r="P85" i="1"/>
  <c r="O84" i="1"/>
  <c r="N83" i="1"/>
  <c r="M82" i="1"/>
  <c r="K81" i="1"/>
  <c r="J80" i="1"/>
  <c r="I79" i="1"/>
  <c r="G78" i="1"/>
  <c r="E77" i="1"/>
  <c r="D76" i="1"/>
  <c r="C75" i="1"/>
  <c r="A74" i="1"/>
  <c r="X72" i="1"/>
  <c r="U71" i="1"/>
  <c r="P70" i="1"/>
  <c r="O69" i="1"/>
  <c r="N68" i="1"/>
  <c r="L67" i="1"/>
  <c r="J66" i="1"/>
  <c r="H65" i="1"/>
  <c r="G64" i="1"/>
  <c r="F63" i="1"/>
  <c r="E62" i="1"/>
  <c r="C61" i="1"/>
  <c r="A60" i="1"/>
  <c r="X58" i="1"/>
  <c r="U57" i="1"/>
  <c r="P56" i="1"/>
  <c r="N55" i="1"/>
  <c r="M54" i="1"/>
  <c r="L53" i="1"/>
  <c r="K52" i="1"/>
  <c r="J51" i="1"/>
  <c r="H50" i="1"/>
  <c r="F49" i="1"/>
  <c r="E48" i="1"/>
  <c r="C47" i="1"/>
  <c r="B46" i="1"/>
  <c r="A45" i="1"/>
  <c r="X43" i="1"/>
  <c r="X42" i="1"/>
  <c r="X41" i="1"/>
  <c r="U40" i="1"/>
  <c r="P39" i="1"/>
  <c r="P38" i="1"/>
  <c r="O37" i="1"/>
  <c r="O36" i="1"/>
  <c r="O35" i="1"/>
  <c r="N34" i="1"/>
  <c r="L33" i="1"/>
  <c r="L32" i="1"/>
  <c r="L31" i="1"/>
  <c r="L30" i="1"/>
  <c r="L29" i="1"/>
  <c r="L28" i="1"/>
  <c r="L27" i="1"/>
  <c r="L26" i="1"/>
  <c r="L25" i="1"/>
  <c r="M24" i="1"/>
  <c r="N23" i="1"/>
  <c r="O22" i="1"/>
  <c r="I21" i="1"/>
  <c r="G20" i="1"/>
  <c r="E19" i="1"/>
  <c r="C18" i="1"/>
  <c r="A17" i="1"/>
  <c r="U15" i="1"/>
  <c r="U14" i="1"/>
  <c r="S13" i="1"/>
  <c r="R12" i="1"/>
  <c r="O11" i="1"/>
  <c r="M10" i="1"/>
  <c r="I9" i="1"/>
  <c r="G8" i="1"/>
  <c r="F7" i="1"/>
  <c r="E6" i="1"/>
  <c r="C5" i="1"/>
  <c r="AA3" i="1"/>
  <c r="G3" i="1"/>
  <c r="D472" i="1"/>
  <c r="H965" i="1"/>
  <c r="N847" i="1"/>
  <c r="M772" i="1"/>
  <c r="R715" i="1"/>
  <c r="Q674" i="1"/>
  <c r="P641" i="1"/>
  <c r="U618" i="1"/>
  <c r="E601" i="1"/>
  <c r="I583" i="1"/>
  <c r="W565" i="1"/>
  <c r="O548" i="1"/>
  <c r="I531" i="1"/>
  <c r="B519" i="1"/>
  <c r="A509" i="1"/>
  <c r="T500" i="1"/>
  <c r="O491" i="1"/>
  <c r="D482" i="1"/>
  <c r="A461" i="1"/>
  <c r="R451" i="1"/>
  <c r="F442" i="1"/>
  <c r="T433" i="1"/>
  <c r="J423" i="1"/>
  <c r="Q413" i="1"/>
  <c r="D405" i="1"/>
  <c r="G396" i="1"/>
  <c r="N391" i="1"/>
  <c r="C388" i="1"/>
  <c r="M383" i="1"/>
  <c r="R380" i="1"/>
  <c r="B378" i="1"/>
  <c r="Q375" i="1"/>
  <c r="Q373" i="1"/>
  <c r="M371" i="1"/>
  <c r="A369" i="1"/>
  <c r="X366" i="1"/>
  <c r="P364" i="1"/>
  <c r="I362" i="1"/>
  <c r="P360" i="1"/>
  <c r="L358" i="1"/>
  <c r="G356" i="1"/>
  <c r="C354" i="1"/>
  <c r="A352" i="1"/>
  <c r="J350" i="1"/>
  <c r="D348" i="1"/>
  <c r="O345" i="1"/>
  <c r="A343" i="1"/>
  <c r="Q340" i="1"/>
  <c r="O338" i="1"/>
  <c r="Z336" i="1"/>
  <c r="U334" i="1"/>
  <c r="R332" i="1"/>
  <c r="R330" i="1"/>
  <c r="O328" i="1"/>
  <c r="Z326" i="1"/>
  <c r="R324" i="1"/>
  <c r="M322" i="1"/>
  <c r="N320" i="1"/>
  <c r="Q318" i="1"/>
  <c r="R316" i="1"/>
  <c r="E315" i="1"/>
  <c r="J313" i="1"/>
  <c r="C311" i="1"/>
  <c r="Q308" i="1"/>
  <c r="J306" i="1"/>
  <c r="M304" i="1"/>
  <c r="F302" i="1"/>
  <c r="A300" i="1"/>
  <c r="K297" i="1"/>
  <c r="B295" i="1"/>
  <c r="M292" i="1"/>
  <c r="N290" i="1"/>
  <c r="D288" i="1"/>
  <c r="N285" i="1"/>
  <c r="G283" i="1"/>
  <c r="A281" i="1"/>
  <c r="AA278" i="1"/>
  <c r="M276" i="1"/>
  <c r="R273" i="1"/>
  <c r="J271" i="1"/>
  <c r="G269" i="1"/>
  <c r="B267" i="1"/>
  <c r="F265" i="1"/>
  <c r="D263" i="1"/>
  <c r="AA260" i="1"/>
  <c r="R258" i="1"/>
  <c r="R256" i="1"/>
  <c r="G255" i="1"/>
  <c r="V252" i="1"/>
  <c r="Q250" i="1"/>
  <c r="N248" i="1"/>
  <c r="P246" i="1"/>
  <c r="P244" i="1"/>
  <c r="B243" i="1"/>
  <c r="C241" i="1"/>
  <c r="C239" i="1"/>
  <c r="D237" i="1"/>
  <c r="D235" i="1"/>
  <c r="L233" i="1"/>
  <c r="I231" i="1"/>
  <c r="B227" i="1"/>
  <c r="D225" i="1"/>
  <c r="R222" i="1"/>
  <c r="H221" i="1"/>
  <c r="L219" i="1"/>
  <c r="P217" i="1"/>
  <c r="O215" i="1"/>
  <c r="R213" i="1"/>
  <c r="I212" i="1"/>
  <c r="K210" i="1"/>
  <c r="K208" i="1"/>
  <c r="K206" i="1"/>
  <c r="N204" i="1"/>
  <c r="N202" i="1"/>
  <c r="C201" i="1"/>
  <c r="A199" i="1"/>
  <c r="C197" i="1"/>
  <c r="D195" i="1"/>
  <c r="F193" i="1"/>
  <c r="O191" i="1"/>
  <c r="Q189" i="1"/>
  <c r="U187" i="1"/>
  <c r="A918" i="1"/>
  <c r="H830" i="1"/>
  <c r="G759" i="1"/>
  <c r="V705" i="1"/>
  <c r="L667" i="1"/>
  <c r="U634" i="1"/>
  <c r="G615" i="1"/>
  <c r="O596" i="1"/>
  <c r="R579" i="1"/>
  <c r="J562" i="1"/>
  <c r="U544" i="1"/>
  <c r="Z527" i="1"/>
  <c r="U516" i="1"/>
  <c r="C507" i="1"/>
  <c r="N498" i="1"/>
  <c r="P489" i="1"/>
  <c r="U479" i="1"/>
  <c r="H469" i="1"/>
  <c r="E459" i="1"/>
  <c r="T449" i="1"/>
  <c r="C440" i="1"/>
  <c r="C431" i="1"/>
  <c r="E421" i="1"/>
  <c r="K411" i="1"/>
  <c r="AA402" i="1"/>
  <c r="B395" i="1"/>
  <c r="L390" i="1"/>
  <c r="G386" i="1"/>
  <c r="E382" i="1"/>
  <c r="P379" i="1"/>
  <c r="P377" i="1"/>
  <c r="A375" i="1"/>
  <c r="R372" i="1"/>
  <c r="M370" i="1"/>
  <c r="D368" i="1"/>
  <c r="X365" i="1"/>
  <c r="B364" i="1"/>
  <c r="X361" i="1"/>
  <c r="R359" i="1"/>
  <c r="O357" i="1"/>
  <c r="M355" i="1"/>
  <c r="U353" i="1"/>
  <c r="P351" i="1"/>
  <c r="O349" i="1"/>
  <c r="B347" i="1"/>
  <c r="L344" i="1"/>
  <c r="AA341" i="1"/>
  <c r="G340" i="1"/>
  <c r="E338" i="1"/>
  <c r="AA335" i="1"/>
  <c r="AA333" i="1"/>
  <c r="V331" i="1"/>
  <c r="E330" i="1"/>
  <c r="D328" i="1"/>
  <c r="B326" i="1"/>
  <c r="T323" i="1"/>
  <c r="T321" i="1"/>
  <c r="T319" i="1"/>
  <c r="F318" i="1"/>
  <c r="F316" i="1"/>
  <c r="K314" i="1"/>
  <c r="P312" i="1"/>
  <c r="C310" i="1"/>
  <c r="F308" i="1"/>
  <c r="AA305" i="1"/>
  <c r="N303" i="1"/>
  <c r="H301" i="1"/>
  <c r="B299" i="1"/>
  <c r="K296" i="1"/>
  <c r="M294" i="1"/>
  <c r="B292" i="1"/>
  <c r="L289" i="1"/>
  <c r="D287" i="1"/>
  <c r="P284" i="1"/>
  <c r="Q282" i="1"/>
  <c r="H280" i="1"/>
  <c r="AA277" i="1"/>
  <c r="I275" i="1"/>
  <c r="R272" i="1"/>
  <c r="M270" i="1"/>
  <c r="Q268" i="1"/>
  <c r="L266" i="1"/>
  <c r="H264" i="1"/>
  <c r="G262" i="1"/>
  <c r="A260" i="1"/>
  <c r="H258" i="1"/>
  <c r="I256" i="1"/>
  <c r="D254" i="1"/>
  <c r="A252" i="1"/>
  <c r="A250" i="1"/>
  <c r="U247" i="1"/>
  <c r="H246" i="1"/>
  <c r="F244" i="1"/>
  <c r="F242" i="1"/>
  <c r="G240" i="1"/>
  <c r="G238" i="1"/>
  <c r="O236" i="1"/>
  <c r="N234" i="1"/>
  <c r="N232" i="1"/>
  <c r="L230" i="1"/>
  <c r="H228" i="1"/>
  <c r="F226" i="1"/>
  <c r="I224" i="1"/>
  <c r="I222" i="1"/>
  <c r="M220" i="1"/>
  <c r="R218" i="1"/>
  <c r="U216" i="1"/>
  <c r="G215" i="1"/>
  <c r="J213" i="1"/>
  <c r="M211" i="1"/>
  <c r="N209" i="1"/>
  <c r="O207" i="1"/>
  <c r="Q205" i="1"/>
  <c r="F204" i="1"/>
  <c r="F202" i="1"/>
  <c r="E200" i="1"/>
  <c r="F198" i="1"/>
  <c r="G196" i="1"/>
  <c r="Q194" i="1"/>
  <c r="U192" i="1"/>
  <c r="U190" i="1"/>
  <c r="AA188" i="1"/>
  <c r="B187" i="1"/>
  <c r="D185" i="1"/>
  <c r="N183" i="1"/>
  <c r="P181" i="1"/>
  <c r="R179" i="1"/>
  <c r="U177" i="1"/>
  <c r="U175" i="1"/>
  <c r="H174" i="1"/>
  <c r="C172" i="1"/>
  <c r="C170" i="1"/>
  <c r="G168" i="1"/>
  <c r="N166" i="1"/>
  <c r="R164" i="1"/>
  <c r="H163" i="1"/>
  <c r="K161" i="1"/>
  <c r="A160" i="1"/>
  <c r="V158" i="1"/>
  <c r="U157" i="1"/>
  <c r="U156" i="1"/>
  <c r="Q155" i="1"/>
  <c r="O154" i="1"/>
  <c r="M153" i="1"/>
  <c r="L152" i="1"/>
  <c r="K151" i="1"/>
  <c r="J150" i="1"/>
  <c r="I149" i="1"/>
  <c r="H148" i="1"/>
  <c r="H147" i="1"/>
  <c r="G146" i="1"/>
  <c r="F145" i="1"/>
  <c r="E144" i="1"/>
  <c r="G143" i="1"/>
  <c r="I142" i="1"/>
  <c r="K141" i="1"/>
  <c r="I140" i="1"/>
  <c r="F139" i="1"/>
  <c r="E138" i="1"/>
  <c r="C137" i="1"/>
  <c r="A136" i="1"/>
  <c r="AA134" i="1"/>
  <c r="N133" i="1"/>
  <c r="K132" i="1"/>
  <c r="I131" i="1"/>
  <c r="F130" i="1"/>
  <c r="D129" i="1"/>
  <c r="B128" i="1"/>
  <c r="A127" i="1"/>
  <c r="U125" i="1"/>
  <c r="Q124" i="1"/>
  <c r="N123" i="1"/>
  <c r="L122" i="1"/>
  <c r="J121" i="1"/>
  <c r="I120" i="1"/>
  <c r="H119" i="1"/>
  <c r="F118" i="1"/>
  <c r="D117" i="1"/>
  <c r="A116" i="1"/>
  <c r="N114" i="1"/>
  <c r="K113" i="1"/>
  <c r="H112" i="1"/>
  <c r="D111" i="1"/>
  <c r="U109" i="1"/>
  <c r="M108" i="1"/>
  <c r="G107" i="1"/>
  <c r="A106" i="1"/>
  <c r="N104" i="1"/>
  <c r="G103" i="1"/>
  <c r="C102" i="1"/>
  <c r="A101" i="1"/>
  <c r="R99" i="1"/>
  <c r="L98" i="1"/>
  <c r="F97" i="1"/>
  <c r="B96" i="1"/>
  <c r="R94" i="1"/>
  <c r="Q93" i="1"/>
  <c r="P92" i="1"/>
  <c r="O91" i="1"/>
  <c r="N90" i="1"/>
  <c r="L89" i="1"/>
  <c r="K88" i="1"/>
  <c r="I87" i="1"/>
  <c r="H86" i="1"/>
  <c r="G85" i="1"/>
  <c r="F84" i="1"/>
  <c r="E83" i="1"/>
  <c r="D82" i="1"/>
  <c r="C81" i="1"/>
  <c r="B80" i="1"/>
  <c r="A79" i="1"/>
  <c r="X77" i="1"/>
  <c r="U76" i="1"/>
  <c r="P75" i="1"/>
  <c r="N74" i="1"/>
  <c r="L73" i="1"/>
  <c r="J72" i="1"/>
  <c r="I71" i="1"/>
  <c r="H70" i="1"/>
  <c r="F69" i="1"/>
  <c r="E68" i="1"/>
  <c r="C67" i="1"/>
  <c r="A66" i="1"/>
  <c r="X64" i="1"/>
  <c r="U63" i="1"/>
  <c r="U62" i="1"/>
  <c r="P61" i="1"/>
  <c r="N60" i="1"/>
  <c r="L59" i="1"/>
  <c r="K58" i="1"/>
  <c r="J57" i="1"/>
  <c r="H56" i="1"/>
  <c r="F55" i="1"/>
  <c r="E54" i="1"/>
  <c r="D53" i="1"/>
  <c r="C52" i="1"/>
  <c r="B51" i="1"/>
  <c r="AA49" i="1"/>
  <c r="U48" i="1"/>
  <c r="O47" i="1"/>
  <c r="N46" i="1"/>
  <c r="M45" i="1"/>
  <c r="K44" i="1"/>
  <c r="K43" i="1"/>
  <c r="K42" i="1"/>
  <c r="J41" i="1"/>
  <c r="G1048" i="1"/>
  <c r="K779" i="1"/>
  <c r="R672" i="1"/>
  <c r="P615" i="1"/>
  <c r="S579" i="1"/>
  <c r="V536" i="1"/>
  <c r="Z508" i="1"/>
  <c r="A490" i="1"/>
  <c r="O469" i="1"/>
  <c r="AA445" i="1"/>
  <c r="N424" i="1"/>
  <c r="U403" i="1"/>
  <c r="P390" i="1"/>
  <c r="G382" i="1"/>
  <c r="D376" i="1"/>
  <c r="H371" i="1"/>
  <c r="P366" i="1"/>
  <c r="A362" i="1"/>
  <c r="O356" i="1"/>
  <c r="Q352" i="1"/>
  <c r="B348" i="1"/>
  <c r="P342" i="1"/>
  <c r="F338" i="1"/>
  <c r="Z332" i="1"/>
  <c r="M328" i="1"/>
  <c r="B324" i="1"/>
  <c r="G320" i="1"/>
  <c r="J315" i="1"/>
  <c r="F311" i="1"/>
  <c r="F306" i="1"/>
  <c r="N301" i="1"/>
  <c r="C297" i="1"/>
  <c r="R290" i="1"/>
  <c r="M285" i="1"/>
  <c r="Q280" i="1"/>
  <c r="O275" i="1"/>
  <c r="A270" i="1"/>
  <c r="H265" i="1"/>
  <c r="R260" i="1"/>
  <c r="M256" i="1"/>
  <c r="D252" i="1"/>
  <c r="H247" i="1"/>
  <c r="A243" i="1"/>
  <c r="AA238" i="1"/>
  <c r="Q234" i="1"/>
  <c r="N229" i="1"/>
  <c r="O225" i="1"/>
  <c r="G221" i="1"/>
  <c r="M217" i="1"/>
  <c r="L213" i="1"/>
  <c r="R208" i="1"/>
  <c r="Q204" i="1"/>
  <c r="M200" i="1"/>
  <c r="U196" i="1"/>
  <c r="W192" i="1"/>
  <c r="B188" i="1"/>
  <c r="D184" i="1"/>
  <c r="P180" i="1"/>
  <c r="U176" i="1"/>
  <c r="E173" i="1"/>
  <c r="B169" i="1"/>
  <c r="N165" i="1"/>
  <c r="I162" i="1"/>
  <c r="I159" i="1"/>
  <c r="G157" i="1"/>
  <c r="C155" i="1"/>
  <c r="B153" i="1"/>
  <c r="AA150" i="1"/>
  <c r="R148" i="1"/>
  <c r="R146" i="1"/>
  <c r="N144" i="1"/>
  <c r="R142" i="1"/>
  <c r="U140" i="1"/>
  <c r="N138" i="1"/>
  <c r="J136" i="1"/>
  <c r="F134" i="1"/>
  <c r="AA131" i="1"/>
  <c r="O129" i="1"/>
  <c r="K127" i="1"/>
  <c r="G125" i="1"/>
  <c r="B123" i="1"/>
  <c r="R120" i="1"/>
  <c r="P118" i="1"/>
  <c r="J116" i="1"/>
  <c r="B114" i="1"/>
  <c r="N111" i="1"/>
  <c r="F109" i="1"/>
  <c r="M106" i="1"/>
  <c r="C104" i="1"/>
  <c r="J101" i="1"/>
  <c r="C99" i="1"/>
  <c r="M96" i="1"/>
  <c r="F94" i="1"/>
  <c r="D92" i="1"/>
  <c r="B90" i="1"/>
  <c r="U87" i="1"/>
  <c r="Q85" i="1"/>
  <c r="O83" i="1"/>
  <c r="M81" i="1"/>
  <c r="J79" i="1"/>
  <c r="F77" i="1"/>
  <c r="D75" i="1"/>
  <c r="AA72" i="1"/>
  <c r="U70" i="1"/>
  <c r="O68" i="1"/>
  <c r="K66" i="1"/>
  <c r="H64" i="1"/>
  <c r="F62" i="1"/>
  <c r="B60" i="1"/>
  <c r="X57" i="1"/>
  <c r="O55" i="1"/>
  <c r="M53" i="1"/>
  <c r="K51" i="1"/>
  <c r="G49" i="1"/>
  <c r="E47" i="1"/>
  <c r="J45" i="1"/>
  <c r="O43" i="1"/>
  <c r="AA41" i="1"/>
  <c r="I40" i="1"/>
  <c r="O38" i="1"/>
  <c r="G37" i="1"/>
  <c r="Q35" i="1"/>
  <c r="H34" i="1"/>
  <c r="U32" i="1"/>
  <c r="J31" i="1"/>
  <c r="E30" i="1"/>
  <c r="S28" i="1"/>
  <c r="M27" i="1"/>
  <c r="H26" i="1"/>
  <c r="C25" i="1"/>
  <c r="X23" i="1"/>
  <c r="P22" i="1"/>
  <c r="E21" i="1"/>
  <c r="AA19" i="1"/>
  <c r="N18" i="1"/>
  <c r="I17" i="1"/>
  <c r="A16" i="1"/>
  <c r="R14" i="1"/>
  <c r="N13" i="1"/>
  <c r="G12" i="1"/>
  <c r="A11" i="1"/>
  <c r="O9" i="1"/>
  <c r="H8" i="1"/>
  <c r="C7" i="1"/>
  <c r="R5" i="1"/>
  <c r="M4" i="1"/>
  <c r="O3" i="1"/>
  <c r="N219" i="1"/>
  <c r="R211" i="1"/>
  <c r="AA198" i="1"/>
  <c r="A191" i="1"/>
  <c r="E171" i="1"/>
  <c r="F154" i="1"/>
  <c r="O137" i="1"/>
  <c r="D122" i="1"/>
  <c r="U102" i="1"/>
  <c r="A87" i="1"/>
  <c r="A72" i="1"/>
  <c r="R54" i="1"/>
  <c r="M39" i="1"/>
  <c r="C27" i="1"/>
  <c r="R16" i="1"/>
  <c r="R7" i="1"/>
  <c r="G640" i="1"/>
  <c r="F278" i="1"/>
  <c r="E203" i="1"/>
  <c r="R145" i="1"/>
  <c r="H95" i="1"/>
  <c r="F41" i="1"/>
  <c r="P519" i="1"/>
  <c r="D283" i="1"/>
  <c r="J215" i="1"/>
  <c r="A152" i="1"/>
  <c r="J110" i="1"/>
  <c r="I65" i="1"/>
  <c r="F28" i="1"/>
  <c r="N450" i="1"/>
  <c r="K149" i="1"/>
  <c r="P60" i="1"/>
  <c r="L580" i="1"/>
  <c r="G145" i="1"/>
  <c r="L40" i="1"/>
  <c r="B545" i="1"/>
  <c r="J1006" i="1"/>
  <c r="L772" i="1"/>
  <c r="U671" i="1"/>
  <c r="J615" i="1"/>
  <c r="U571" i="1"/>
  <c r="C533" i="1"/>
  <c r="J508" i="1"/>
  <c r="Z489" i="1"/>
  <c r="I469" i="1"/>
  <c r="N445" i="1"/>
  <c r="I423" i="1"/>
  <c r="T403" i="1"/>
  <c r="O390" i="1"/>
  <c r="A381" i="1"/>
  <c r="B376" i="1"/>
  <c r="F371" i="1"/>
  <c r="O366" i="1"/>
  <c r="Y361" i="1"/>
  <c r="M356" i="1"/>
  <c r="AA351" i="1"/>
  <c r="H347" i="1"/>
  <c r="L342" i="1"/>
  <c r="G337" i="1"/>
  <c r="Y332" i="1"/>
  <c r="L328" i="1"/>
  <c r="A324" i="1"/>
  <c r="F320" i="1"/>
  <c r="H315" i="1"/>
  <c r="B311" i="1"/>
  <c r="D306" i="1"/>
  <c r="M301" i="1"/>
  <c r="U295" i="1"/>
  <c r="Q290" i="1"/>
  <c r="L285" i="1"/>
  <c r="N280" i="1"/>
  <c r="N275" i="1"/>
  <c r="U269" i="1"/>
  <c r="E265" i="1"/>
  <c r="Q260" i="1"/>
  <c r="L256" i="1"/>
  <c r="C251" i="1"/>
  <c r="R246" i="1"/>
  <c r="L242" i="1"/>
  <c r="U238" i="1"/>
  <c r="P234" i="1"/>
  <c r="I229" i="1"/>
  <c r="F225" i="1"/>
  <c r="S220" i="1"/>
  <c r="L217" i="1"/>
  <c r="K213" i="1"/>
  <c r="O208" i="1"/>
  <c r="M204" i="1"/>
  <c r="L200" i="1"/>
  <c r="R196" i="1"/>
  <c r="A192" i="1"/>
  <c r="AA187" i="1"/>
  <c r="B184" i="1"/>
  <c r="N180" i="1"/>
  <c r="O176" i="1"/>
  <c r="N172" i="1"/>
  <c r="AA168" i="1"/>
  <c r="K165" i="1"/>
  <c r="W161" i="1"/>
  <c r="G159" i="1"/>
  <c r="E157" i="1"/>
  <c r="A155" i="1"/>
  <c r="AA152" i="1"/>
  <c r="R150" i="1"/>
  <c r="P148" i="1"/>
  <c r="N146" i="1"/>
  <c r="L144" i="1"/>
  <c r="P142" i="1"/>
  <c r="Q140" i="1"/>
  <c r="L138" i="1"/>
  <c r="H136" i="1"/>
  <c r="D134" i="1"/>
  <c r="R131" i="1"/>
  <c r="L129" i="1"/>
  <c r="I127" i="1"/>
  <c r="D125" i="1"/>
  <c r="AA122" i="1"/>
  <c r="P120" i="1"/>
  <c r="M118" i="1"/>
  <c r="H116" i="1"/>
  <c r="AA113" i="1"/>
  <c r="L111" i="1"/>
  <c r="D109" i="1"/>
  <c r="I106" i="1"/>
  <c r="AA103" i="1"/>
  <c r="H101" i="1"/>
  <c r="A99" i="1"/>
  <c r="I96" i="1"/>
  <c r="D94" i="1"/>
  <c r="B92" i="1"/>
  <c r="AA89" i="1"/>
  <c r="Q87" i="1"/>
  <c r="O85" i="1"/>
  <c r="M83" i="1"/>
  <c r="J81" i="1"/>
  <c r="H79" i="1"/>
  <c r="D77" i="1"/>
  <c r="B75" i="1"/>
  <c r="U72" i="1"/>
  <c r="O70" i="1"/>
  <c r="M68" i="1"/>
  <c r="I66" i="1"/>
  <c r="F64" i="1"/>
  <c r="C62" i="1"/>
  <c r="AA59" i="1"/>
  <c r="R57" i="1"/>
  <c r="M55" i="1"/>
  <c r="K53" i="1"/>
  <c r="I51" i="1"/>
  <c r="E49" i="1"/>
  <c r="D47" i="1"/>
  <c r="I45" i="1"/>
  <c r="N43" i="1"/>
  <c r="U41" i="1"/>
  <c r="F40" i="1"/>
  <c r="N38" i="1"/>
  <c r="F37" i="1"/>
  <c r="P35" i="1"/>
  <c r="G34" i="1"/>
  <c r="P32" i="1"/>
  <c r="I31" i="1"/>
  <c r="D30" i="1"/>
  <c r="P28" i="1"/>
  <c r="K27" i="1"/>
  <c r="F26" i="1"/>
  <c r="B25" i="1"/>
  <c r="R23" i="1"/>
  <c r="M22" i="1"/>
  <c r="D21" i="1"/>
  <c r="V19" i="1"/>
  <c r="M18" i="1"/>
  <c r="E17" i="1"/>
  <c r="AA15" i="1"/>
  <c r="Q14" i="1"/>
  <c r="L13" i="1"/>
  <c r="F12" i="1"/>
  <c r="AA10" i="1"/>
  <c r="N9" i="1"/>
  <c r="F8" i="1"/>
  <c r="B7" i="1"/>
  <c r="P5" i="1"/>
  <c r="L4" i="1"/>
  <c r="N3" i="1"/>
  <c r="S232" i="1"/>
  <c r="N167" i="1"/>
  <c r="V145" i="1"/>
  <c r="P128" i="1"/>
  <c r="B113" i="1"/>
  <c r="H93" i="1"/>
  <c r="L78" i="1"/>
  <c r="J63" i="1"/>
  <c r="I48" i="1"/>
  <c r="N36" i="1"/>
  <c r="S25" i="1"/>
  <c r="B18" i="1"/>
  <c r="I10" i="1"/>
  <c r="C873" i="1"/>
  <c r="O258" i="1"/>
  <c r="C186" i="1"/>
  <c r="M137" i="1"/>
  <c r="B89" i="1"/>
  <c r="N44" i="1"/>
  <c r="P11" i="1"/>
  <c r="R553" i="1"/>
  <c r="I322" i="1"/>
  <c r="G254" i="1"/>
  <c r="U194" i="1"/>
  <c r="Q145" i="1"/>
  <c r="B108" i="1"/>
  <c r="P69" i="1"/>
  <c r="E35" i="1"/>
  <c r="E5" i="1"/>
  <c r="W516" i="1"/>
  <c r="H139" i="1"/>
  <c r="F36" i="1"/>
  <c r="L450" i="1"/>
  <c r="A135" i="1"/>
  <c r="D33" i="1"/>
  <c r="H470" i="1"/>
  <c r="L965" i="1"/>
  <c r="M767" i="1"/>
  <c r="D671" i="1"/>
  <c r="I615" i="1"/>
  <c r="P569" i="1"/>
  <c r="H531" i="1"/>
  <c r="I508" i="1"/>
  <c r="R489" i="1"/>
  <c r="M464" i="1"/>
  <c r="J443" i="1"/>
  <c r="D423" i="1"/>
  <c r="H403" i="1"/>
  <c r="M390" i="1"/>
  <c r="Y380" i="1"/>
  <c r="P375" i="1"/>
  <c r="T370" i="1"/>
  <c r="N366" i="1"/>
  <c r="Y360" i="1"/>
  <c r="L356" i="1"/>
  <c r="Z351" i="1"/>
  <c r="G347" i="1"/>
  <c r="I342" i="1"/>
  <c r="E337" i="1"/>
  <c r="Q332" i="1"/>
  <c r="H328" i="1"/>
  <c r="AA323" i="1"/>
  <c r="H319" i="1"/>
  <c r="G315" i="1"/>
  <c r="A311" i="1"/>
  <c r="C306" i="1"/>
  <c r="J301" i="1"/>
  <c r="Q295" i="1"/>
  <c r="M290" i="1"/>
  <c r="K285" i="1"/>
  <c r="M280" i="1"/>
  <c r="G274" i="1"/>
  <c r="I269" i="1"/>
  <c r="N264" i="1"/>
  <c r="P260" i="1"/>
  <c r="J256" i="1"/>
  <c r="AA250" i="1"/>
  <c r="O246" i="1"/>
  <c r="K242" i="1"/>
  <c r="Q238" i="1"/>
  <c r="Q233" i="1"/>
  <c r="G229" i="1"/>
  <c r="C225" i="1"/>
  <c r="R220" i="1"/>
  <c r="I217" i="1"/>
  <c r="N212" i="1"/>
  <c r="M208" i="1"/>
  <c r="K204" i="1"/>
  <c r="I200" i="1"/>
  <c r="H196" i="1"/>
  <c r="U191" i="1"/>
  <c r="R187" i="1"/>
  <c r="A184" i="1"/>
  <c r="M180" i="1"/>
  <c r="N176" i="1"/>
  <c r="L172" i="1"/>
  <c r="X168" i="1"/>
  <c r="J165" i="1"/>
  <c r="U161" i="1"/>
  <c r="F159" i="1"/>
  <c r="D157" i="1"/>
  <c r="AA154" i="1"/>
  <c r="U152" i="1"/>
  <c r="Q150" i="1"/>
  <c r="O148" i="1"/>
  <c r="M146" i="1"/>
  <c r="K144" i="1"/>
  <c r="O142" i="1"/>
  <c r="O140" i="1"/>
  <c r="K138" i="1"/>
  <c r="G136" i="1"/>
  <c r="C134" i="1"/>
  <c r="Q131" i="1"/>
  <c r="K129" i="1"/>
  <c r="G127" i="1"/>
  <c r="C125" i="1"/>
  <c r="U122" i="1"/>
  <c r="O120" i="1"/>
  <c r="L118" i="1"/>
  <c r="G116" i="1"/>
  <c r="U113" i="1"/>
  <c r="K111" i="1"/>
  <c r="C109" i="1"/>
  <c r="H106" i="1"/>
  <c r="U103" i="1"/>
  <c r="G101" i="1"/>
  <c r="AA98" i="1"/>
  <c r="H96" i="1"/>
  <c r="C94" i="1"/>
  <c r="A92" i="1"/>
  <c r="U89" i="1"/>
  <c r="P87" i="1"/>
  <c r="N85" i="1"/>
  <c r="K83" i="1"/>
  <c r="I81" i="1"/>
  <c r="G79" i="1"/>
  <c r="C77" i="1"/>
  <c r="A75" i="1"/>
  <c r="P72" i="1"/>
  <c r="N70" i="1"/>
  <c r="L68" i="1"/>
  <c r="H66" i="1"/>
  <c r="E64" i="1"/>
  <c r="B62" i="1"/>
  <c r="X59" i="1"/>
  <c r="P57" i="1"/>
  <c r="L55" i="1"/>
  <c r="J53" i="1"/>
  <c r="H51" i="1"/>
  <c r="D49" i="1"/>
  <c r="B47" i="1"/>
  <c r="E45" i="1"/>
  <c r="M43" i="1"/>
  <c r="P41" i="1"/>
  <c r="E40" i="1"/>
  <c r="L38" i="1"/>
  <c r="E37" i="1"/>
  <c r="N35" i="1"/>
  <c r="F34" i="1"/>
  <c r="N32" i="1"/>
  <c r="H31" i="1"/>
  <c r="B30" i="1"/>
  <c r="O28" i="1"/>
  <c r="J27" i="1"/>
  <c r="E26" i="1"/>
  <c r="AA24" i="1"/>
  <c r="Q23" i="1"/>
  <c r="L22" i="1"/>
  <c r="C21" i="1"/>
  <c r="U19" i="1"/>
  <c r="L18" i="1"/>
  <c r="D17" i="1"/>
  <c r="S15" i="1"/>
  <c r="P14" i="1"/>
  <c r="I13" i="1"/>
  <c r="E12" i="1"/>
  <c r="U10" i="1"/>
  <c r="M9" i="1"/>
  <c r="E8" i="1"/>
  <c r="A7" i="1"/>
  <c r="O5" i="1"/>
  <c r="I4" i="1"/>
  <c r="K3" i="1"/>
  <c r="J3" i="1"/>
  <c r="G4" i="1"/>
  <c r="L228" i="1"/>
  <c r="B179" i="1"/>
  <c r="D152" i="1"/>
  <c r="F133" i="1"/>
  <c r="Q117" i="1"/>
  <c r="A98" i="1"/>
  <c r="Q82" i="1"/>
  <c r="P67" i="1"/>
  <c r="L50" i="1"/>
  <c r="F38" i="1"/>
  <c r="H28" i="1"/>
  <c r="S20" i="1"/>
  <c r="Q11" i="1"/>
  <c r="S717" i="1"/>
  <c r="Q267" i="1"/>
  <c r="X194" i="1"/>
  <c r="U141" i="1"/>
  <c r="F93" i="1"/>
  <c r="G48" i="1"/>
  <c r="F14" i="1"/>
  <c r="E637" i="1"/>
  <c r="N308" i="1"/>
  <c r="A241" i="1"/>
  <c r="R178" i="1"/>
  <c r="I135" i="1"/>
  <c r="G95" i="1"/>
  <c r="U56" i="1"/>
  <c r="K24" i="1"/>
  <c r="J581" i="1"/>
  <c r="N132" i="1"/>
  <c r="I30" i="1"/>
  <c r="L470" i="1"/>
  <c r="D137" i="1"/>
  <c r="D36" i="1"/>
  <c r="F405" i="1"/>
  <c r="M954" i="1"/>
  <c r="C766" i="1"/>
  <c r="C671" i="1"/>
  <c r="I607" i="1"/>
  <c r="Z565" i="1"/>
  <c r="I530" i="1"/>
  <c r="D508" i="1"/>
  <c r="Q489" i="1"/>
  <c r="E463" i="1"/>
  <c r="E442" i="1"/>
  <c r="O422" i="1"/>
  <c r="F403" i="1"/>
  <c r="I388" i="1"/>
  <c r="X380" i="1"/>
  <c r="O375" i="1"/>
  <c r="R370" i="1"/>
  <c r="L366" i="1"/>
  <c r="T360" i="1"/>
  <c r="F356" i="1"/>
  <c r="X351" i="1"/>
  <c r="E347" i="1"/>
  <c r="J341" i="1"/>
  <c r="B337" i="1"/>
  <c r="P332" i="1"/>
  <c r="G328" i="1"/>
  <c r="Z323" i="1"/>
  <c r="E319" i="1"/>
  <c r="C315" i="1"/>
  <c r="AA310" i="1"/>
  <c r="B306" i="1"/>
  <c r="H300" i="1"/>
  <c r="E295" i="1"/>
  <c r="AA289" i="1"/>
  <c r="J285" i="1"/>
  <c r="L280" i="1"/>
  <c r="C274" i="1"/>
  <c r="F269" i="1"/>
  <c r="M264" i="1"/>
  <c r="N260" i="1"/>
  <c r="M255" i="1"/>
  <c r="U250" i="1"/>
  <c r="M246" i="1"/>
  <c r="J242" i="1"/>
  <c r="H238" i="1"/>
  <c r="O233" i="1"/>
  <c r="E229" i="1"/>
  <c r="A225" i="1"/>
  <c r="Q220" i="1"/>
  <c r="AA216" i="1"/>
  <c r="L212" i="1"/>
  <c r="J208" i="1"/>
  <c r="J204" i="1"/>
  <c r="H200" i="1"/>
  <c r="R195" i="1"/>
  <c r="R191" i="1"/>
  <c r="Q187" i="1"/>
  <c r="U183" i="1"/>
  <c r="D180" i="1"/>
  <c r="M176" i="1"/>
  <c r="I172" i="1"/>
  <c r="V168" i="1"/>
  <c r="I165" i="1"/>
  <c r="R161" i="1"/>
  <c r="E159" i="1"/>
  <c r="C157" i="1"/>
  <c r="X154" i="1"/>
  <c r="R152" i="1"/>
  <c r="P150" i="1"/>
  <c r="M148" i="1"/>
  <c r="L146" i="1"/>
  <c r="J144" i="1"/>
  <c r="N142" i="1"/>
  <c r="N140" i="1"/>
  <c r="J138" i="1"/>
  <c r="F136" i="1"/>
  <c r="B134" i="1"/>
  <c r="O131" i="1"/>
  <c r="J129" i="1"/>
  <c r="F127" i="1"/>
  <c r="B125" i="1"/>
  <c r="R122" i="1"/>
  <c r="N120" i="1"/>
  <c r="K118" i="1"/>
  <c r="F116" i="1"/>
  <c r="R113" i="1"/>
  <c r="J111" i="1"/>
  <c r="B109" i="1"/>
  <c r="F106" i="1"/>
  <c r="R103" i="1"/>
  <c r="F101" i="1"/>
  <c r="U98" i="1"/>
  <c r="G96" i="1"/>
  <c r="B94" i="1"/>
  <c r="AA91" i="1"/>
  <c r="R89" i="1"/>
  <c r="O87" i="1"/>
  <c r="M85" i="1"/>
  <c r="J83" i="1"/>
  <c r="H81" i="1"/>
  <c r="F79" i="1"/>
  <c r="B77" i="1"/>
  <c r="AA74" i="1"/>
  <c r="O72" i="1"/>
  <c r="M70" i="1"/>
  <c r="K68" i="1"/>
  <c r="G66" i="1"/>
  <c r="C64" i="1"/>
  <c r="A62" i="1"/>
  <c r="U59" i="1"/>
  <c r="O57" i="1"/>
  <c r="K55" i="1"/>
  <c r="I53" i="1"/>
  <c r="G51" i="1"/>
  <c r="C49" i="1"/>
  <c r="A47" i="1"/>
  <c r="C45" i="1"/>
  <c r="L43" i="1"/>
  <c r="O41" i="1"/>
  <c r="A40" i="1"/>
  <c r="K38" i="1"/>
  <c r="C37" i="1"/>
  <c r="L35" i="1"/>
  <c r="E34" i="1"/>
  <c r="M32" i="1"/>
  <c r="G31" i="1"/>
  <c r="AA29" i="1"/>
  <c r="N28" i="1"/>
  <c r="I27" i="1"/>
  <c r="D26" i="1"/>
  <c r="X24" i="1"/>
  <c r="P23" i="1"/>
  <c r="K22" i="1"/>
  <c r="B21" i="1"/>
  <c r="S19" i="1"/>
  <c r="K18" i="1"/>
  <c r="C17" i="1"/>
  <c r="R15" i="1"/>
  <c r="O14" i="1"/>
  <c r="H13" i="1"/>
  <c r="C12" i="1"/>
  <c r="Q10" i="1"/>
  <c r="L9" i="1"/>
  <c r="D8" i="1"/>
  <c r="U6" i="1"/>
  <c r="N5" i="1"/>
  <c r="H4" i="1"/>
  <c r="A237" i="1"/>
  <c r="W160" i="1"/>
  <c r="AA139" i="1"/>
  <c r="AA119" i="1"/>
  <c r="L100" i="1"/>
  <c r="U84" i="1"/>
  <c r="X69" i="1"/>
  <c r="A57" i="1"/>
  <c r="O44" i="1"/>
  <c r="O33" i="1"/>
  <c r="N24" i="1"/>
  <c r="K15" i="1"/>
  <c r="N6" i="1"/>
  <c r="P597" i="1"/>
  <c r="E283" i="1"/>
  <c r="F207" i="1"/>
  <c r="U147" i="1"/>
  <c r="I100" i="1"/>
  <c r="O54" i="1"/>
  <c r="A18" i="1"/>
  <c r="O597" i="1"/>
  <c r="M313" i="1"/>
  <c r="G245" i="1"/>
  <c r="N182" i="1"/>
  <c r="R139" i="1"/>
  <c r="H100" i="1"/>
  <c r="E61" i="1"/>
  <c r="AA26" i="1"/>
  <c r="N545" i="1"/>
  <c r="E137" i="1"/>
  <c r="L34" i="1"/>
  <c r="N407" i="1"/>
  <c r="H143" i="1"/>
  <c r="AA38" i="1"/>
  <c r="A427" i="1"/>
  <c r="I946" i="1"/>
  <c r="A766" i="1"/>
  <c r="B671" i="1"/>
  <c r="Z604" i="1"/>
  <c r="U565" i="1"/>
  <c r="S529" i="1"/>
  <c r="C508" i="1"/>
  <c r="I485" i="1"/>
  <c r="C461" i="1"/>
  <c r="K441" i="1"/>
  <c r="M422" i="1"/>
  <c r="B403" i="1"/>
  <c r="G388" i="1"/>
  <c r="O380" i="1"/>
  <c r="F375" i="1"/>
  <c r="Q370" i="1"/>
  <c r="K365" i="1"/>
  <c r="R360" i="1"/>
  <c r="E356" i="1"/>
  <c r="V351" i="1"/>
  <c r="D347" i="1"/>
  <c r="H341" i="1"/>
  <c r="Y336" i="1"/>
  <c r="O332" i="1"/>
  <c r="F328" i="1"/>
  <c r="Y322" i="1"/>
  <c r="T318" i="1"/>
  <c r="Q314" i="1"/>
  <c r="W310" i="1"/>
  <c r="A306" i="1"/>
  <c r="F300" i="1"/>
  <c r="A295" i="1"/>
  <c r="U289" i="1"/>
  <c r="I285" i="1"/>
  <c r="F279" i="1"/>
  <c r="AA273" i="1"/>
  <c r="D269" i="1"/>
  <c r="L264" i="1"/>
  <c r="B260" i="1"/>
  <c r="J255" i="1"/>
  <c r="P250" i="1"/>
  <c r="L246" i="1"/>
  <c r="I242" i="1"/>
  <c r="Q237" i="1"/>
  <c r="N233" i="1"/>
  <c r="D229" i="1"/>
  <c r="Q224" i="1"/>
  <c r="P220" i="1"/>
  <c r="G216" i="1"/>
  <c r="K212" i="1"/>
  <c r="I208" i="1"/>
  <c r="I204" i="1"/>
  <c r="F200" i="1"/>
  <c r="G195" i="1"/>
  <c r="F191" i="1"/>
  <c r="O187" i="1"/>
  <c r="R183" i="1"/>
  <c r="C180" i="1"/>
  <c r="L176" i="1"/>
  <c r="G172" i="1"/>
  <c r="L168" i="1"/>
  <c r="H165" i="1"/>
  <c r="Q161" i="1"/>
  <c r="C159" i="1"/>
  <c r="B157" i="1"/>
  <c r="U154" i="1"/>
  <c r="Q152" i="1"/>
  <c r="O150" i="1"/>
  <c r="L148" i="1"/>
  <c r="K146" i="1"/>
  <c r="I144" i="1"/>
  <c r="M142" i="1"/>
  <c r="M140" i="1"/>
  <c r="I138" i="1"/>
  <c r="E136" i="1"/>
  <c r="A134" i="1"/>
  <c r="N131" i="1"/>
  <c r="H129" i="1"/>
  <c r="E127" i="1"/>
  <c r="A125" i="1"/>
  <c r="Q122" i="1"/>
  <c r="M120" i="1"/>
  <c r="J118" i="1"/>
  <c r="E116" i="1"/>
  <c r="P113" i="1"/>
  <c r="I111" i="1"/>
  <c r="A109" i="1"/>
  <c r="E106" i="1"/>
  <c r="N103" i="1"/>
  <c r="E101" i="1"/>
  <c r="R98" i="1"/>
  <c r="F96" i="1"/>
  <c r="A94" i="1"/>
  <c r="U91" i="1"/>
  <c r="Q89" i="1"/>
  <c r="N87" i="1"/>
  <c r="K85" i="1"/>
  <c r="I83" i="1"/>
  <c r="G81" i="1"/>
  <c r="E79" i="1"/>
  <c r="A77" i="1"/>
  <c r="X74" i="1"/>
  <c r="N72" i="1"/>
  <c r="L70" i="1"/>
  <c r="J68" i="1"/>
  <c r="F66" i="1"/>
  <c r="B64" i="1"/>
  <c r="AA61" i="1"/>
  <c r="P59" i="1"/>
  <c r="N57" i="1"/>
  <c r="J55" i="1"/>
  <c r="H53" i="1"/>
  <c r="F51" i="1"/>
  <c r="B49" i="1"/>
  <c r="AA46" i="1"/>
  <c r="B45" i="1"/>
  <c r="H43" i="1"/>
  <c r="N41" i="1"/>
  <c r="X39" i="1"/>
  <c r="J38" i="1"/>
  <c r="B37" i="1"/>
  <c r="K35" i="1"/>
  <c r="D34" i="1"/>
  <c r="K32" i="1"/>
  <c r="F31" i="1"/>
  <c r="U29" i="1"/>
  <c r="M28" i="1"/>
  <c r="H27" i="1"/>
  <c r="C26" i="1"/>
  <c r="U24" i="1"/>
  <c r="O23" i="1"/>
  <c r="J22" i="1"/>
  <c r="A21" i="1"/>
  <c r="R19" i="1"/>
  <c r="H18" i="1"/>
  <c r="B17" i="1"/>
  <c r="O15" i="1"/>
  <c r="N14" i="1"/>
  <c r="G13" i="1"/>
  <c r="B12" i="1"/>
  <c r="P10" i="1"/>
  <c r="H9" i="1"/>
  <c r="C8" i="1"/>
  <c r="R6" i="1"/>
  <c r="M5" i="1"/>
  <c r="I3" i="1"/>
  <c r="M223" i="1"/>
  <c r="I175" i="1"/>
  <c r="AA147" i="1"/>
  <c r="A131" i="1"/>
  <c r="I115" i="1"/>
  <c r="L95" i="1"/>
  <c r="O80" i="1"/>
  <c r="L65" i="1"/>
  <c r="O52" i="1"/>
  <c r="G41" i="1"/>
  <c r="AA30" i="1"/>
  <c r="F22" i="1"/>
  <c r="B13" i="1"/>
  <c r="D3" i="1"/>
  <c r="A522" i="1"/>
  <c r="P299" i="1"/>
  <c r="I223" i="1"/>
  <c r="I158" i="1"/>
  <c r="G115" i="1"/>
  <c r="U69" i="1"/>
  <c r="K29" i="1"/>
  <c r="A714" i="1"/>
  <c r="D299" i="1"/>
  <c r="O232" i="1"/>
  <c r="B171" i="1"/>
  <c r="R130" i="1"/>
  <c r="C91" i="1"/>
  <c r="L52" i="1"/>
  <c r="C22" i="1"/>
  <c r="G494" i="1"/>
  <c r="M141" i="1"/>
  <c r="E33" i="1"/>
  <c r="D431" i="1"/>
  <c r="G139" i="1"/>
  <c r="K34" i="1"/>
  <c r="AA449" i="1"/>
  <c r="H946" i="1"/>
  <c r="AA765" i="1"/>
  <c r="O650" i="1"/>
  <c r="I601" i="1"/>
  <c r="H564" i="1"/>
  <c r="R529" i="1"/>
  <c r="B508" i="1"/>
  <c r="I484" i="1"/>
  <c r="Z460" i="1"/>
  <c r="I441" i="1"/>
  <c r="J422" i="1"/>
  <c r="F399" i="1"/>
  <c r="E388" i="1"/>
  <c r="I380" i="1"/>
  <c r="E375" i="1"/>
  <c r="P370" i="1"/>
  <c r="H365" i="1"/>
  <c r="O360" i="1"/>
  <c r="B356" i="1"/>
  <c r="R351" i="1"/>
  <c r="AA345" i="1"/>
  <c r="T340" i="1"/>
  <c r="K336" i="1"/>
  <c r="N332" i="1"/>
  <c r="E328" i="1"/>
  <c r="T322" i="1"/>
  <c r="P318" i="1"/>
  <c r="P314" i="1"/>
  <c r="U310" i="1"/>
  <c r="AA304" i="1"/>
  <c r="C300" i="1"/>
  <c r="U294" i="1"/>
  <c r="R289" i="1"/>
  <c r="U284" i="1"/>
  <c r="C279" i="1"/>
  <c r="Q273" i="1"/>
  <c r="A269" i="1"/>
  <c r="K264" i="1"/>
  <c r="K259" i="1"/>
  <c r="I255" i="1"/>
  <c r="O250" i="1"/>
  <c r="K246" i="1"/>
  <c r="G242" i="1"/>
  <c r="G237" i="1"/>
  <c r="A233" i="1"/>
  <c r="C229" i="1"/>
  <c r="N224" i="1"/>
  <c r="N220" i="1"/>
  <c r="R215" i="1"/>
  <c r="AA211" i="1"/>
  <c r="H208" i="1"/>
  <c r="H204" i="1"/>
  <c r="G199" i="1"/>
  <c r="F195" i="1"/>
  <c r="E191" i="1"/>
  <c r="N187" i="1"/>
  <c r="Q183" i="1"/>
  <c r="B180" i="1"/>
  <c r="I176" i="1"/>
  <c r="F172" i="1"/>
  <c r="K168" i="1"/>
  <c r="G165" i="1"/>
  <c r="N161" i="1"/>
  <c r="B159" i="1"/>
  <c r="A157" i="1"/>
  <c r="R154" i="1"/>
  <c r="P152" i="1"/>
  <c r="M150" i="1"/>
  <c r="K148" i="1"/>
  <c r="J146" i="1"/>
  <c r="H144" i="1"/>
  <c r="L142" i="1"/>
  <c r="L140" i="1"/>
  <c r="H138" i="1"/>
  <c r="D136" i="1"/>
  <c r="AA133" i="1"/>
  <c r="M131" i="1"/>
  <c r="G129" i="1"/>
  <c r="D127" i="1"/>
  <c r="AA124" i="1"/>
  <c r="O122" i="1"/>
  <c r="L120" i="1"/>
  <c r="I118" i="1"/>
  <c r="D116" i="1"/>
  <c r="N113" i="1"/>
  <c r="H111" i="1"/>
  <c r="R108" i="1"/>
  <c r="D106" i="1"/>
  <c r="L103" i="1"/>
  <c r="D101" i="1"/>
  <c r="P98" i="1"/>
  <c r="E96" i="1"/>
  <c r="AA93" i="1"/>
  <c r="R91" i="1"/>
  <c r="P89" i="1"/>
  <c r="M87" i="1"/>
  <c r="J85" i="1"/>
  <c r="H83" i="1"/>
  <c r="F81" i="1"/>
  <c r="D79" i="1"/>
  <c r="AA76" i="1"/>
  <c r="U74" i="1"/>
  <c r="M72" i="1"/>
  <c r="K70" i="1"/>
  <c r="I68" i="1"/>
  <c r="D66" i="1"/>
  <c r="A64" i="1"/>
  <c r="X61" i="1"/>
  <c r="O59" i="1"/>
  <c r="M57" i="1"/>
  <c r="I55" i="1"/>
  <c r="G53" i="1"/>
  <c r="E51" i="1"/>
  <c r="A49" i="1"/>
  <c r="X46" i="1"/>
  <c r="AA44" i="1"/>
  <c r="G43" i="1"/>
  <c r="M41" i="1"/>
  <c r="U39" i="1"/>
  <c r="I38" i="1"/>
  <c r="S36" i="1"/>
  <c r="J35" i="1"/>
  <c r="B34" i="1"/>
  <c r="J32" i="1"/>
  <c r="E31" i="1"/>
  <c r="P29" i="1"/>
  <c r="K28" i="1"/>
  <c r="G27" i="1"/>
  <c r="B26" i="1"/>
  <c r="Q24" i="1"/>
  <c r="M23" i="1"/>
  <c r="I22" i="1"/>
  <c r="AA20" i="1"/>
  <c r="Q19" i="1"/>
  <c r="F18" i="1"/>
  <c r="AA16" i="1"/>
  <c r="N15" i="1"/>
  <c r="L14" i="1"/>
  <c r="F13" i="1"/>
  <c r="A12" i="1"/>
  <c r="O10" i="1"/>
  <c r="G9" i="1"/>
  <c r="B8" i="1"/>
  <c r="Q6" i="1"/>
  <c r="L5" i="1"/>
  <c r="D4" i="1"/>
  <c r="H3" i="1"/>
  <c r="F3" i="1"/>
  <c r="J245" i="1"/>
  <c r="Q207" i="1"/>
  <c r="M186" i="1"/>
  <c r="K158" i="1"/>
  <c r="T143" i="1"/>
  <c r="L126" i="1"/>
  <c r="M110" i="1"/>
  <c r="F91" i="1"/>
  <c r="H76" i="1"/>
  <c r="H61" i="1"/>
  <c r="O46" i="1"/>
  <c r="G32" i="1"/>
  <c r="I23" i="1"/>
  <c r="G14" i="1"/>
  <c r="A4" i="1"/>
  <c r="L562" i="1"/>
  <c r="O294" i="1"/>
  <c r="K215" i="1"/>
  <c r="B152" i="1"/>
  <c r="H105" i="1"/>
  <c r="J50" i="1"/>
  <c r="Q7" i="1"/>
  <c r="K480" i="1"/>
  <c r="J293" i="1"/>
  <c r="H223" i="1"/>
  <c r="H158" i="1"/>
  <c r="Q119" i="1"/>
  <c r="E76" i="1"/>
  <c r="C38" i="1"/>
  <c r="B3" i="1"/>
  <c r="O431" i="1"/>
  <c r="P153" i="1"/>
  <c r="A65" i="1"/>
  <c r="M545" i="1"/>
  <c r="I147" i="1"/>
  <c r="G42" i="1"/>
  <c r="B512" i="1"/>
  <c r="E946" i="1"/>
  <c r="H759" i="1"/>
  <c r="AA649" i="1"/>
  <c r="G600" i="1"/>
  <c r="G564" i="1"/>
  <c r="Q529" i="1"/>
  <c r="AA502" i="1"/>
  <c r="G482" i="1"/>
  <c r="I460" i="1"/>
  <c r="F441" i="1"/>
  <c r="I422" i="1"/>
  <c r="Y397" i="1"/>
  <c r="O387" i="1"/>
  <c r="H380" i="1"/>
  <c r="C375" i="1"/>
  <c r="M369" i="1"/>
  <c r="R364" i="1"/>
  <c r="B360" i="1"/>
  <c r="A356" i="1"/>
  <c r="Q351" i="1"/>
  <c r="S345" i="1"/>
  <c r="P340" i="1"/>
  <c r="J336" i="1"/>
  <c r="M332" i="1"/>
  <c r="D327" i="1"/>
  <c r="Q322" i="1"/>
  <c r="N318" i="1"/>
  <c r="O314" i="1"/>
  <c r="D310" i="1"/>
  <c r="U304" i="1"/>
  <c r="AA299" i="1"/>
  <c r="R294" i="1"/>
  <c r="Q289" i="1"/>
  <c r="G284" i="1"/>
  <c r="B279" i="1"/>
  <c r="P273" i="1"/>
  <c r="AA268" i="1"/>
  <c r="I264" i="1"/>
  <c r="AA258" i="1"/>
  <c r="Q254" i="1"/>
  <c r="N250" i="1"/>
  <c r="J246" i="1"/>
  <c r="I241" i="1"/>
  <c r="F237" i="1"/>
  <c r="AA232" i="1"/>
  <c r="B229" i="1"/>
  <c r="M224" i="1"/>
  <c r="R219" i="1"/>
  <c r="Q215" i="1"/>
  <c r="X211" i="1"/>
  <c r="G208" i="1"/>
  <c r="G204" i="1"/>
  <c r="D199" i="1"/>
  <c r="B195" i="1"/>
  <c r="D191" i="1"/>
  <c r="D187" i="1"/>
  <c r="P183" i="1"/>
  <c r="A180" i="1"/>
  <c r="H176" i="1"/>
  <c r="E172" i="1"/>
  <c r="J168" i="1"/>
  <c r="F165" i="1"/>
  <c r="M161" i="1"/>
  <c r="A159" i="1"/>
  <c r="AA156" i="1"/>
  <c r="Q154" i="1"/>
  <c r="O152" i="1"/>
  <c r="L150" i="1"/>
  <c r="J148" i="1"/>
  <c r="I146" i="1"/>
  <c r="G144" i="1"/>
  <c r="K142" i="1"/>
  <c r="K140" i="1"/>
  <c r="G138" i="1"/>
  <c r="C136" i="1"/>
  <c r="U133" i="1"/>
  <c r="K131" i="1"/>
  <c r="F129" i="1"/>
  <c r="C127" i="1"/>
  <c r="U124" i="1"/>
  <c r="N122" i="1"/>
  <c r="K120" i="1"/>
  <c r="H118" i="1"/>
  <c r="C116" i="1"/>
  <c r="M113" i="1"/>
  <c r="G111" i="1"/>
  <c r="P108" i="1"/>
  <c r="C106" i="1"/>
  <c r="I103" i="1"/>
  <c r="C101" i="1"/>
  <c r="O98" i="1"/>
  <c r="D96" i="1"/>
  <c r="U93" i="1"/>
  <c r="Q91" i="1"/>
  <c r="O89" i="1"/>
  <c r="K87" i="1"/>
  <c r="I85" i="1"/>
  <c r="G83" i="1"/>
  <c r="E81" i="1"/>
  <c r="C79" i="1"/>
  <c r="X76" i="1"/>
  <c r="P74" i="1"/>
  <c r="L72" i="1"/>
  <c r="J70" i="1"/>
  <c r="H68" i="1"/>
  <c r="C66" i="1"/>
  <c r="AA63" i="1"/>
  <c r="W61" i="1"/>
  <c r="N59" i="1"/>
  <c r="L57" i="1"/>
  <c r="H55" i="1"/>
  <c r="F53" i="1"/>
  <c r="D51" i="1"/>
  <c r="AA48" i="1"/>
  <c r="W46" i="1"/>
  <c r="X44" i="1"/>
  <c r="C43" i="1"/>
  <c r="L41" i="1"/>
  <c r="O39" i="1"/>
  <c r="H38" i="1"/>
  <c r="Q36" i="1"/>
  <c r="I35" i="1"/>
  <c r="A34" i="1"/>
  <c r="I32" i="1"/>
  <c r="D31" i="1"/>
  <c r="O29" i="1"/>
  <c r="J28" i="1"/>
  <c r="E27" i="1"/>
  <c r="AA25" i="1"/>
  <c r="P24" i="1"/>
  <c r="K23" i="1"/>
  <c r="H22" i="1"/>
  <c r="V20" i="1"/>
  <c r="P19" i="1"/>
  <c r="E18" i="1"/>
  <c r="U16" i="1"/>
  <c r="M15" i="1"/>
  <c r="I14" i="1"/>
  <c r="E13" i="1"/>
  <c r="S11" i="1"/>
  <c r="N10" i="1"/>
  <c r="F9" i="1"/>
  <c r="A8" i="1"/>
  <c r="P6" i="1"/>
  <c r="K5" i="1"/>
  <c r="C4" i="1"/>
  <c r="E241" i="1"/>
  <c r="L215" i="1"/>
  <c r="AA194" i="1"/>
  <c r="I164" i="1"/>
  <c r="B150" i="1"/>
  <c r="L135" i="1"/>
  <c r="N266" i="1"/>
  <c r="I69" i="1"/>
  <c r="Q512" i="1"/>
  <c r="L151" i="1"/>
  <c r="P47" i="1"/>
  <c r="O490" i="1"/>
  <c r="A927" i="1"/>
  <c r="P726" i="1"/>
  <c r="H643" i="1"/>
  <c r="O599" i="1"/>
  <c r="F564" i="1"/>
  <c r="AA527" i="1"/>
  <c r="U502" i="1"/>
  <c r="C482" i="1"/>
  <c r="F460" i="1"/>
  <c r="E441" i="1"/>
  <c r="F416" i="1"/>
  <c r="O396" i="1"/>
  <c r="P386" i="1"/>
  <c r="G380" i="1"/>
  <c r="B375" i="1"/>
  <c r="I369" i="1"/>
  <c r="O364" i="1"/>
  <c r="Y359" i="1"/>
  <c r="AA355" i="1"/>
  <c r="S350" i="1"/>
  <c r="Q345" i="1"/>
  <c r="M340" i="1"/>
  <c r="H336" i="1"/>
  <c r="Y331" i="1"/>
  <c r="B327" i="1"/>
  <c r="L322" i="1"/>
  <c r="L318" i="1"/>
  <c r="N314" i="1"/>
  <c r="M309" i="1"/>
  <c r="O304" i="1"/>
  <c r="R299" i="1"/>
  <c r="Q294" i="1"/>
  <c r="M289" i="1"/>
  <c r="L283" i="1"/>
  <c r="H278" i="1"/>
  <c r="O273" i="1"/>
  <c r="U268" i="1"/>
  <c r="J263" i="1"/>
  <c r="V258" i="1"/>
  <c r="N254" i="1"/>
  <c r="M250" i="1"/>
  <c r="I246" i="1"/>
  <c r="F241" i="1"/>
  <c r="B237" i="1"/>
  <c r="U232" i="1"/>
  <c r="A229" i="1"/>
  <c r="L224" i="1"/>
  <c r="O219" i="1"/>
  <c r="M215" i="1"/>
  <c r="U211" i="1"/>
  <c r="R207" i="1"/>
  <c r="H203" i="1"/>
  <c r="C199" i="1"/>
  <c r="A195" i="1"/>
  <c r="C191" i="1"/>
  <c r="C187" i="1"/>
  <c r="O183" i="1"/>
  <c r="U179" i="1"/>
  <c r="X175" i="1"/>
  <c r="D172" i="1"/>
  <c r="I168" i="1"/>
  <c r="E165" i="1"/>
  <c r="L161" i="1"/>
  <c r="AA158" i="1"/>
  <c r="V156" i="1"/>
  <c r="P154" i="1"/>
  <c r="M152" i="1"/>
  <c r="K150" i="1"/>
  <c r="I148" i="1"/>
  <c r="H146" i="1"/>
  <c r="F144" i="1"/>
  <c r="J142" i="1"/>
  <c r="J140" i="1"/>
  <c r="F138" i="1"/>
  <c r="B136" i="1"/>
  <c r="R133" i="1"/>
  <c r="J131" i="1"/>
  <c r="E129" i="1"/>
  <c r="B127" i="1"/>
  <c r="R124" i="1"/>
  <c r="M122" i="1"/>
  <c r="J120" i="1"/>
  <c r="G118" i="1"/>
  <c r="B116" i="1"/>
  <c r="L113" i="1"/>
  <c r="E111" i="1"/>
  <c r="N108" i="1"/>
  <c r="B106" i="1"/>
  <c r="H103" i="1"/>
  <c r="B101" i="1"/>
  <c r="N98" i="1"/>
  <c r="C96" i="1"/>
  <c r="R93" i="1"/>
  <c r="P91" i="1"/>
  <c r="N89" i="1"/>
  <c r="J87" i="1"/>
  <c r="H85" i="1"/>
  <c r="F83" i="1"/>
  <c r="D81" i="1"/>
  <c r="B79" i="1"/>
  <c r="W76" i="1"/>
  <c r="O74" i="1"/>
  <c r="K72" i="1"/>
  <c r="I70" i="1"/>
  <c r="F68" i="1"/>
  <c r="B66" i="1"/>
  <c r="X63" i="1"/>
  <c r="U61" i="1"/>
  <c r="M59" i="1"/>
  <c r="K57" i="1"/>
  <c r="G55" i="1"/>
  <c r="E53" i="1"/>
  <c r="C51" i="1"/>
  <c r="X48" i="1"/>
  <c r="P46" i="1"/>
  <c r="U44" i="1"/>
  <c r="A43" i="1"/>
  <c r="K41" i="1"/>
  <c r="N39" i="1"/>
  <c r="G38" i="1"/>
  <c r="P36" i="1"/>
  <c r="H35" i="1"/>
  <c r="Q33" i="1"/>
  <c r="H32" i="1"/>
  <c r="C31" i="1"/>
  <c r="N29" i="1"/>
  <c r="I28" i="1"/>
  <c r="D27" i="1"/>
  <c r="U25" i="1"/>
  <c r="O24" i="1"/>
  <c r="J23" i="1"/>
  <c r="G22" i="1"/>
  <c r="U20" i="1"/>
  <c r="L19" i="1"/>
  <c r="D18" i="1"/>
  <c r="S16" i="1"/>
  <c r="L15" i="1"/>
  <c r="H14" i="1"/>
  <c r="C13" i="1"/>
  <c r="R11" i="1"/>
  <c r="L10" i="1"/>
  <c r="E9" i="1"/>
  <c r="U7" i="1"/>
  <c r="O6" i="1"/>
  <c r="J5" i="1"/>
  <c r="B4" i="1"/>
  <c r="E3" i="1"/>
  <c r="D250" i="1"/>
  <c r="F203" i="1"/>
  <c r="Q182" i="1"/>
  <c r="I156" i="1"/>
  <c r="AA141" i="1"/>
  <c r="H124" i="1"/>
  <c r="E108" i="1"/>
  <c r="D89" i="1"/>
  <c r="E74" i="1"/>
  <c r="D59" i="1"/>
  <c r="AA42" i="1"/>
  <c r="M29" i="1"/>
  <c r="I19" i="1"/>
  <c r="D9" i="1"/>
  <c r="J500" i="1"/>
  <c r="U308" i="1"/>
  <c r="P232" i="1"/>
  <c r="G164" i="1"/>
  <c r="N117" i="1"/>
  <c r="J65" i="1"/>
  <c r="H23" i="1"/>
  <c r="C500" i="1"/>
  <c r="G288" i="1"/>
  <c r="J219" i="1"/>
  <c r="F156" i="1"/>
  <c r="F115" i="1"/>
  <c r="W71" i="1"/>
  <c r="E32" i="1"/>
  <c r="AA471" i="1"/>
  <c r="H145" i="1"/>
  <c r="G54" i="1"/>
  <c r="U491" i="1"/>
  <c r="AA157" i="1"/>
  <c r="F54" i="1"/>
  <c r="K580" i="1"/>
  <c r="AA926" i="1"/>
  <c r="G726" i="1"/>
  <c r="O641" i="1"/>
  <c r="N599" i="1"/>
  <c r="M562" i="1"/>
  <c r="I522" i="1"/>
  <c r="Z500" i="1"/>
  <c r="J481" i="1"/>
  <c r="E460" i="1"/>
  <c r="D440" i="1"/>
  <c r="D416" i="1"/>
  <c r="D396" i="1"/>
  <c r="O386" i="1"/>
  <c r="E380" i="1"/>
  <c r="Z373" i="1"/>
  <c r="C369" i="1"/>
  <c r="K364" i="1"/>
  <c r="X359" i="1"/>
  <c r="N355" i="1"/>
  <c r="O350" i="1"/>
  <c r="L345" i="1"/>
  <c r="L340" i="1"/>
  <c r="G336" i="1"/>
  <c r="K331" i="1"/>
  <c r="A327" i="1"/>
  <c r="K322" i="1"/>
  <c r="I318" i="1"/>
  <c r="L314" i="1"/>
  <c r="AA308" i="1"/>
  <c r="B304" i="1"/>
  <c r="Q299" i="1"/>
  <c r="P294" i="1"/>
  <c r="K288" i="1"/>
  <c r="I283" i="1"/>
  <c r="G278" i="1"/>
  <c r="N273" i="1"/>
  <c r="R268" i="1"/>
  <c r="G263" i="1"/>
  <c r="P258" i="1"/>
  <c r="L254" i="1"/>
  <c r="J105" i="1"/>
  <c r="G35" i="1"/>
  <c r="G5" i="1"/>
  <c r="I481" i="1"/>
  <c r="G459" i="1"/>
  <c r="AA435" i="1"/>
  <c r="U413" i="1"/>
  <c r="Z395" i="1"/>
  <c r="N386" i="1"/>
  <c r="Q379" i="1"/>
  <c r="X373" i="1"/>
  <c r="Z368" i="1"/>
  <c r="J364" i="1"/>
  <c r="V359" i="1"/>
  <c r="Y354" i="1"/>
  <c r="N350" i="1"/>
  <c r="I345" i="1"/>
  <c r="K340" i="1"/>
  <c r="D336" i="1"/>
  <c r="V330" i="1"/>
  <c r="I326" i="1"/>
  <c r="J322" i="1"/>
  <c r="H318" i="1"/>
  <c r="Q313" i="1"/>
  <c r="A304" i="1"/>
  <c r="H288" i="1"/>
  <c r="AA272" i="1"/>
  <c r="F263" i="1"/>
  <c r="I254" i="1"/>
  <c r="C250" i="1"/>
  <c r="H245" i="1"/>
  <c r="B241" i="1"/>
  <c r="AA236" i="1"/>
  <c r="I228" i="1"/>
  <c r="K219" i="1"/>
  <c r="O211" i="1"/>
  <c r="X198" i="1"/>
  <c r="AA190" i="1"/>
  <c r="O182" i="1"/>
  <c r="U178" i="1"/>
  <c r="X174" i="1"/>
  <c r="C171" i="1"/>
  <c r="L167" i="1"/>
  <c r="R160" i="1"/>
  <c r="G156" i="1"/>
  <c r="D154" i="1"/>
  <c r="AA149" i="1"/>
  <c r="Q143" i="1"/>
  <c r="U139" i="1"/>
  <c r="J135" i="1"/>
  <c r="D133" i="1"/>
  <c r="U130" i="1"/>
  <c r="N128" i="1"/>
  <c r="J126" i="1"/>
  <c r="F124" i="1"/>
  <c r="A122" i="1"/>
  <c r="R119" i="1"/>
  <c r="AA112" i="1"/>
  <c r="K110" i="1"/>
  <c r="C108" i="1"/>
  <c r="P102" i="1"/>
  <c r="U97" i="1"/>
  <c r="D91" i="1"/>
  <c r="U86" i="1"/>
  <c r="Q84" i="1"/>
  <c r="O82" i="1"/>
  <c r="M80" i="1"/>
  <c r="I78" i="1"/>
  <c r="F76" i="1"/>
  <c r="C74" i="1"/>
  <c r="X71" i="1"/>
  <c r="N67" i="1"/>
  <c r="H63" i="1"/>
  <c r="F61" i="1"/>
  <c r="A59" i="1"/>
  <c r="X56" i="1"/>
  <c r="M52" i="1"/>
  <c r="J46" i="1"/>
  <c r="W42" i="1"/>
  <c r="L39" i="1"/>
  <c r="D38" i="1"/>
  <c r="M36" i="1"/>
  <c r="F35" i="1"/>
  <c r="N33" i="1"/>
  <c r="F32" i="1"/>
  <c r="U30" i="1"/>
  <c r="G28" i="1"/>
  <c r="B27" i="1"/>
  <c r="P25" i="1"/>
  <c r="L24" i="1"/>
  <c r="E22" i="1"/>
  <c r="R20" i="1"/>
  <c r="G19" i="1"/>
  <c r="O16" i="1"/>
  <c r="J15" i="1"/>
  <c r="X12" i="1"/>
  <c r="H10" i="1"/>
  <c r="C9" i="1"/>
  <c r="M6" i="1"/>
  <c r="F5" i="1"/>
  <c r="Z3" i="1"/>
  <c r="C3" i="1"/>
  <c r="AA872" i="1"/>
  <c r="F459" i="1"/>
  <c r="T435" i="1"/>
  <c r="P413" i="1"/>
  <c r="Y395" i="1"/>
  <c r="L386" i="1"/>
  <c r="AA378" i="1"/>
  <c r="V373" i="1"/>
  <c r="Y368" i="1"/>
  <c r="I364" i="1"/>
  <c r="T359" i="1"/>
  <c r="I354" i="1"/>
  <c r="Z349" i="1"/>
  <c r="H345" i="1"/>
  <c r="J340" i="1"/>
  <c r="D335" i="1"/>
  <c r="U330" i="1"/>
  <c r="H326" i="1"/>
  <c r="G318" i="1"/>
  <c r="AA303" i="1"/>
  <c r="E278" i="1"/>
  <c r="U272" i="1"/>
  <c r="N267" i="1"/>
  <c r="C263" i="1"/>
  <c r="M258" i="1"/>
  <c r="J249" i="1"/>
  <c r="U236" i="1"/>
  <c r="U227" i="1"/>
  <c r="N211" i="1"/>
  <c r="O206" i="1"/>
  <c r="M202" i="1"/>
  <c r="U198" i="1"/>
  <c r="B190" i="1"/>
  <c r="B186" i="1"/>
  <c r="U174" i="1"/>
  <c r="J167" i="1"/>
  <c r="R163" i="1"/>
  <c r="Q160" i="1"/>
  <c r="C154" i="1"/>
  <c r="U149" i="1"/>
  <c r="R147" i="1"/>
  <c r="P143" i="1"/>
  <c r="T141" i="1"/>
  <c r="L137" i="1"/>
  <c r="C133" i="1"/>
  <c r="L128" i="1"/>
  <c r="I126" i="1"/>
  <c r="D124" i="1"/>
  <c r="AA121" i="1"/>
  <c r="M117" i="1"/>
  <c r="U112" i="1"/>
  <c r="G105" i="1"/>
  <c r="O102" i="1"/>
  <c r="R97" i="1"/>
  <c r="E93" i="1"/>
  <c r="A89" i="1"/>
  <c r="R86" i="1"/>
  <c r="P84" i="1"/>
  <c r="N82" i="1"/>
  <c r="K80" i="1"/>
  <c r="H78" i="1"/>
  <c r="B74" i="1"/>
  <c r="M67" i="1"/>
  <c r="G63" i="1"/>
  <c r="AA58" i="1"/>
  <c r="N54" i="1"/>
  <c r="I50" i="1"/>
  <c r="F48" i="1"/>
  <c r="F46" i="1"/>
  <c r="M44" i="1"/>
  <c r="R42" i="1"/>
  <c r="B41" i="1"/>
  <c r="K39" i="1"/>
  <c r="L36" i="1"/>
  <c r="K33" i="1"/>
  <c r="P30" i="1"/>
  <c r="J29" i="1"/>
  <c r="O25" i="1"/>
  <c r="G23" i="1"/>
  <c r="O20" i="1"/>
  <c r="F19" i="1"/>
  <c r="AA17" i="1"/>
  <c r="N16" i="1"/>
  <c r="I15" i="1"/>
  <c r="E14" i="1"/>
  <c r="V12" i="1"/>
  <c r="N11" i="1"/>
  <c r="G10" i="1"/>
  <c r="B9" i="1"/>
  <c r="P7" i="1"/>
  <c r="L6" i="1"/>
  <c r="Y3" i="1"/>
  <c r="AA618" i="1"/>
  <c r="Q123" i="1"/>
  <c r="H42" i="1"/>
  <c r="B617" i="1"/>
  <c r="G329" i="1"/>
  <c r="L281" i="1"/>
  <c r="F239" i="1"/>
  <c r="P213" i="1"/>
  <c r="Q181" i="1"/>
  <c r="R155" i="1"/>
  <c r="L132" i="1"/>
  <c r="K121" i="1"/>
  <c r="A110" i="1"/>
  <c r="G97" i="1"/>
  <c r="L88" i="1"/>
  <c r="E82" i="1"/>
  <c r="M73" i="1"/>
  <c r="AA64" i="1"/>
  <c r="I56" i="1"/>
  <c r="P45" i="1"/>
  <c r="H30" i="1"/>
  <c r="S22" i="1"/>
  <c r="L17" i="1"/>
  <c r="Q13" i="1"/>
  <c r="U9" i="1"/>
  <c r="B6" i="1"/>
  <c r="R3" i="1"/>
  <c r="I678" i="1"/>
  <c r="H391" i="1"/>
  <c r="Q377" i="1"/>
  <c r="P371" i="1"/>
  <c r="E362" i="1"/>
  <c r="Q357" i="1"/>
  <c r="F348" i="1"/>
  <c r="H338" i="1"/>
  <c r="E329" i="1"/>
  <c r="I320" i="1"/>
  <c r="K311" i="1"/>
  <c r="D302" i="1"/>
  <c r="AA285" i="1"/>
  <c r="K265" i="1"/>
  <c r="H248" i="1"/>
  <c r="P230" i="1"/>
  <c r="N213" i="1"/>
  <c r="A197" i="1"/>
  <c r="O184" i="1"/>
  <c r="F169" i="1"/>
  <c r="J157" i="1"/>
  <c r="A149" i="1"/>
  <c r="B141" i="1"/>
  <c r="N127" i="1"/>
  <c r="R106" i="1"/>
  <c r="I94" i="1"/>
  <c r="AA85" i="1"/>
  <c r="I77" i="1"/>
  <c r="N851" i="1"/>
  <c r="S709" i="1"/>
  <c r="D637" i="1"/>
  <c r="N597" i="1"/>
  <c r="N553" i="1"/>
  <c r="AA518" i="1"/>
  <c r="D499" i="1"/>
  <c r="J480" i="1"/>
  <c r="J454" i="1"/>
  <c r="V433" i="1"/>
  <c r="AA412" i="1"/>
  <c r="V395" i="1"/>
  <c r="J386" i="1"/>
  <c r="F378" i="1"/>
  <c r="B373" i="1"/>
  <c r="X368" i="1"/>
  <c r="H364" i="1"/>
  <c r="T358" i="1"/>
  <c r="H354" i="1"/>
  <c r="Y349" i="1"/>
  <c r="G345" i="1"/>
  <c r="H340" i="1"/>
  <c r="AA334" i="1"/>
  <c r="P330" i="1"/>
  <c r="G326" i="1"/>
  <c r="W321" i="1"/>
  <c r="I317" i="1"/>
  <c r="L313" i="1"/>
  <c r="M308" i="1"/>
  <c r="V303" i="1"/>
  <c r="C299" i="1"/>
  <c r="H293" i="1"/>
  <c r="C288" i="1"/>
  <c r="C283" i="1"/>
  <c r="C278" i="1"/>
  <c r="G272" i="1"/>
  <c r="M267" i="1"/>
  <c r="B263" i="1"/>
  <c r="L258" i="1"/>
  <c r="E254" i="1"/>
  <c r="U248" i="1"/>
  <c r="O244" i="1"/>
  <c r="AA240" i="1"/>
  <c r="Q236" i="1"/>
  <c r="P231" i="1"/>
  <c r="F227" i="1"/>
  <c r="Q222" i="1"/>
  <c r="I219" i="1"/>
  <c r="I215" i="1"/>
  <c r="R210" i="1"/>
  <c r="N206" i="1"/>
  <c r="L202" i="1"/>
  <c r="I198" i="1"/>
  <c r="R194" i="1"/>
  <c r="X189" i="1"/>
  <c r="U185" i="1"/>
  <c r="D182" i="1"/>
  <c r="P178" i="1"/>
  <c r="Q174" i="1"/>
  <c r="AA170" i="1"/>
  <c r="H167" i="1"/>
  <c r="P163" i="1"/>
  <c r="N160" i="1"/>
  <c r="F158" i="1"/>
  <c r="D156" i="1"/>
  <c r="A154" i="1"/>
  <c r="U151" i="1"/>
  <c r="Q149" i="1"/>
  <c r="P147" i="1"/>
  <c r="M145" i="1"/>
  <c r="N143" i="1"/>
  <c r="R141" i="1"/>
  <c r="O139" i="1"/>
  <c r="J137" i="1"/>
  <c r="G135" i="1"/>
  <c r="A133" i="1"/>
  <c r="O130" i="1"/>
  <c r="J128" i="1"/>
  <c r="F126" i="1"/>
  <c r="B124" i="1"/>
  <c r="R121" i="1"/>
  <c r="O119" i="1"/>
  <c r="K117" i="1"/>
  <c r="D115" i="1"/>
  <c r="Q112" i="1"/>
  <c r="H110" i="1"/>
  <c r="U107" i="1"/>
  <c r="E105" i="1"/>
  <c r="L102" i="1"/>
  <c r="F100" i="1"/>
  <c r="O97" i="1"/>
  <c r="E95" i="1"/>
  <c r="C93" i="1"/>
  <c r="A91" i="1"/>
  <c r="U88" i="1"/>
  <c r="P86" i="1"/>
  <c r="N84" i="1"/>
  <c r="K82" i="1"/>
  <c r="I80" i="1"/>
  <c r="F78" i="1"/>
  <c r="C76" i="1"/>
  <c r="AA73" i="1"/>
  <c r="P71" i="1"/>
  <c r="N69" i="1"/>
  <c r="K67" i="1"/>
  <c r="G65" i="1"/>
  <c r="E63" i="1"/>
  <c r="B61" i="1"/>
  <c r="U58" i="1"/>
  <c r="O56" i="1"/>
  <c r="L54" i="1"/>
  <c r="J52" i="1"/>
  <c r="G50" i="1"/>
  <c r="D48" i="1"/>
  <c r="D46" i="1"/>
  <c r="L44" i="1"/>
  <c r="P42" i="1"/>
  <c r="AA40" i="1"/>
  <c r="J39" i="1"/>
  <c r="U37" i="1"/>
  <c r="K36" i="1"/>
  <c r="C35" i="1"/>
  <c r="J33" i="1"/>
  <c r="D32" i="1"/>
  <c r="O30" i="1"/>
  <c r="I29" i="1"/>
  <c r="D28" i="1"/>
  <c r="U26" i="1"/>
  <c r="N25" i="1"/>
  <c r="I24" i="1"/>
  <c r="F23" i="1"/>
  <c r="B22" i="1"/>
  <c r="N20" i="1"/>
  <c r="D19" i="1"/>
  <c r="U17" i="1"/>
  <c r="M16" i="1"/>
  <c r="H15" i="1"/>
  <c r="C14" i="1"/>
  <c r="U12" i="1"/>
  <c r="M11" i="1"/>
  <c r="F10" i="1"/>
  <c r="AA8" i="1"/>
  <c r="O7" i="1"/>
  <c r="I6" i="1"/>
  <c r="D5" i="1"/>
  <c r="X3" i="1"/>
  <c r="A3" i="1"/>
  <c r="P709" i="1"/>
  <c r="M588" i="1"/>
  <c r="N517" i="1"/>
  <c r="L475" i="1"/>
  <c r="Z431" i="1"/>
  <c r="E395" i="1"/>
  <c r="Y377" i="1"/>
  <c r="AA372" i="1"/>
  <c r="B363" i="1"/>
  <c r="N358" i="1"/>
  <c r="V349" i="1"/>
  <c r="O344" i="1"/>
  <c r="E339" i="1"/>
  <c r="M330" i="1"/>
  <c r="D326" i="1"/>
  <c r="F321" i="1"/>
  <c r="D317" i="1"/>
  <c r="K308" i="1"/>
  <c r="O303" i="1"/>
  <c r="U297" i="1"/>
  <c r="L292" i="1"/>
  <c r="AA282" i="1"/>
  <c r="A277" i="1"/>
  <c r="M271" i="1"/>
  <c r="J262" i="1"/>
  <c r="I258" i="1"/>
  <c r="B253" i="1"/>
  <c r="M244" i="1"/>
  <c r="I240" i="1"/>
  <c r="Q235" i="1"/>
  <c r="A227" i="1"/>
  <c r="N222" i="1"/>
  <c r="U218" i="1"/>
  <c r="M210" i="1"/>
  <c r="I206" i="1"/>
  <c r="G198" i="1"/>
  <c r="R193" i="1"/>
  <c r="Q185" i="1"/>
  <c r="B182" i="1"/>
  <c r="N178" i="1"/>
  <c r="I170" i="1"/>
  <c r="F167" i="1"/>
  <c r="M163" i="1"/>
  <c r="D158" i="1"/>
  <c r="B156" i="1"/>
  <c r="U153" i="1"/>
  <c r="O149" i="1"/>
  <c r="M147" i="1"/>
  <c r="L143" i="1"/>
  <c r="P141" i="1"/>
  <c r="H137" i="1"/>
  <c r="U132" i="1"/>
  <c r="D126" i="1"/>
  <c r="O121" i="1"/>
  <c r="B115" i="1"/>
  <c r="P107" i="1"/>
  <c r="D100" i="1"/>
  <c r="A93" i="1"/>
  <c r="N86" i="1"/>
  <c r="G80" i="1"/>
  <c r="U73" i="1"/>
  <c r="I67" i="1"/>
  <c r="AA60" i="1"/>
  <c r="H52" i="1"/>
  <c r="A46" i="1"/>
  <c r="P40" i="1"/>
  <c r="I36" i="1"/>
  <c r="M30" i="1"/>
  <c r="P26" i="1"/>
  <c r="R21" i="1"/>
  <c r="B19" i="1"/>
  <c r="K16" i="1"/>
  <c r="F15" i="1"/>
  <c r="Q12" i="1"/>
  <c r="D10" i="1"/>
  <c r="V3" i="1"/>
  <c r="P707" i="1"/>
  <c r="L624" i="1"/>
  <c r="AA583" i="1"/>
  <c r="M517" i="1"/>
  <c r="P498" i="1"/>
  <c r="Q451" i="1"/>
  <c r="V431" i="1"/>
  <c r="Y392" i="1"/>
  <c r="D384" i="1"/>
  <c r="X377" i="1"/>
  <c r="F368" i="1"/>
  <c r="AA362" i="1"/>
  <c r="Z353" i="1"/>
  <c r="Q349" i="1"/>
  <c r="D339" i="1"/>
  <c r="I330" i="1"/>
  <c r="U320" i="1"/>
  <c r="E313" i="1"/>
  <c r="O302" i="1"/>
  <c r="H287" i="1"/>
  <c r="I271" i="1"/>
  <c r="A253" i="1"/>
  <c r="H240" i="1"/>
  <c r="AA226" i="1"/>
  <c r="J210" i="1"/>
  <c r="Q193" i="1"/>
  <c r="M178" i="1"/>
  <c r="L163" i="1"/>
  <c r="R153" i="1"/>
  <c r="J145" i="1"/>
  <c r="G137" i="1"/>
  <c r="C126" i="1"/>
  <c r="A115" i="1"/>
  <c r="A105" i="1"/>
  <c r="B95" i="1"/>
  <c r="M86" i="1"/>
  <c r="C78" i="1"/>
  <c r="K69" i="1"/>
  <c r="X60" i="1"/>
  <c r="G52" i="1"/>
  <c r="AA45" i="1"/>
  <c r="O40" i="1"/>
  <c r="P34" i="1"/>
  <c r="AA27" i="1"/>
  <c r="F20" i="1"/>
  <c r="V13" i="1"/>
  <c r="Q8" i="1"/>
  <c r="F6" i="1"/>
  <c r="AA4" i="1"/>
  <c r="AA833" i="1"/>
  <c r="C623" i="1"/>
  <c r="H583" i="1"/>
  <c r="M546" i="1"/>
  <c r="Z516" i="1"/>
  <c r="L494" i="1"/>
  <c r="AA472" i="1"/>
  <c r="O450" i="1"/>
  <c r="U431" i="1"/>
  <c r="U411" i="1"/>
  <c r="R392" i="1"/>
  <c r="L383" i="1"/>
  <c r="V377" i="1"/>
  <c r="U372" i="1"/>
  <c r="R367" i="1"/>
  <c r="Y362" i="1"/>
  <c r="J358" i="1"/>
  <c r="Y353" i="1"/>
  <c r="P349" i="1"/>
  <c r="E343" i="1"/>
  <c r="N338" i="1"/>
  <c r="H330" i="1"/>
  <c r="C325" i="1"/>
  <c r="T320" i="1"/>
  <c r="P316" i="1"/>
  <c r="T312" i="1"/>
  <c r="G308" i="1"/>
  <c r="L302" i="1"/>
  <c r="J297" i="1"/>
  <c r="I292" i="1"/>
  <c r="R281" i="1"/>
  <c r="O276" i="1"/>
  <c r="H271" i="1"/>
  <c r="O266" i="1"/>
  <c r="H262" i="1"/>
  <c r="H257" i="1"/>
  <c r="K248" i="1"/>
  <c r="H244" i="1"/>
  <c r="I239" i="1"/>
  <c r="N235" i="1"/>
  <c r="G231" i="1"/>
  <c r="K222" i="1"/>
  <c r="A218" i="1"/>
  <c r="G214" i="1"/>
  <c r="I210" i="1"/>
  <c r="G206" i="1"/>
  <c r="G197" i="1"/>
  <c r="E193" i="1"/>
  <c r="E189" i="1"/>
  <c r="O185" i="1"/>
  <c r="B178" i="1"/>
  <c r="K174" i="1"/>
  <c r="G170" i="1"/>
  <c r="D167" i="1"/>
  <c r="K163" i="1"/>
  <c r="B158" i="1"/>
  <c r="AA155" i="1"/>
  <c r="Q153" i="1"/>
  <c r="O151" i="1"/>
  <c r="K147" i="1"/>
  <c r="I145" i="1"/>
  <c r="J143" i="1"/>
  <c r="I139" i="1"/>
  <c r="F137" i="1"/>
  <c r="C135" i="1"/>
  <c r="I130" i="1"/>
  <c r="E128" i="1"/>
  <c r="B126" i="1"/>
  <c r="M121" i="1"/>
  <c r="K119" i="1"/>
  <c r="G117" i="1"/>
  <c r="L112" i="1"/>
  <c r="D110" i="1"/>
  <c r="U104" i="1"/>
  <c r="F102" i="1"/>
  <c r="I97" i="1"/>
  <c r="A95" i="1"/>
  <c r="Q90" i="1"/>
  <c r="O88" i="1"/>
  <c r="I84" i="1"/>
  <c r="G82" i="1"/>
  <c r="B78" i="1"/>
  <c r="X75" i="1"/>
  <c r="L71" i="1"/>
  <c r="J69" i="1"/>
  <c r="G67" i="1"/>
  <c r="AA62" i="1"/>
  <c r="U60" i="1"/>
  <c r="K56" i="1"/>
  <c r="H54" i="1"/>
  <c r="C50" i="1"/>
  <c r="AA47" i="1"/>
  <c r="X45" i="1"/>
  <c r="L42" i="1"/>
  <c r="N40" i="1"/>
  <c r="L37" i="1"/>
  <c r="G36" i="1"/>
  <c r="O34" i="1"/>
  <c r="P31" i="1"/>
  <c r="J30" i="1"/>
  <c r="U27" i="1"/>
  <c r="N26" i="1"/>
  <c r="E24" i="1"/>
  <c r="A23" i="1"/>
  <c r="E20" i="1"/>
  <c r="AA18" i="1"/>
  <c r="I16" i="1"/>
  <c r="U13" i="1"/>
  <c r="G11" i="1"/>
  <c r="I7" i="1"/>
  <c r="R4" i="1"/>
  <c r="Q831" i="1"/>
  <c r="G297" i="1"/>
  <c r="Q226" i="1"/>
  <c r="R181" i="1"/>
  <c r="J147" i="1"/>
  <c r="L121" i="1"/>
  <c r="A100" i="1"/>
  <c r="J86" i="1"/>
  <c r="N73" i="1"/>
  <c r="M58" i="1"/>
  <c r="X47" i="1"/>
  <c r="D39" i="1"/>
  <c r="S27" i="1"/>
  <c r="D20" i="1"/>
  <c r="AA14" i="1"/>
  <c r="F11" i="1"/>
  <c r="H7" i="1"/>
  <c r="Q4" i="1"/>
  <c r="K830" i="1"/>
  <c r="I391" i="1"/>
  <c r="G383" i="1"/>
  <c r="R377" i="1"/>
  <c r="T371" i="1"/>
  <c r="AA366" i="1"/>
  <c r="G362" i="1"/>
  <c r="R357" i="1"/>
  <c r="V353" i="1"/>
  <c r="G348" i="1"/>
  <c r="U342" i="1"/>
  <c r="J338" i="1"/>
  <c r="C334" i="1"/>
  <c r="Y324" i="1"/>
  <c r="L320" i="1"/>
  <c r="I316" i="1"/>
  <c r="Q312" i="1"/>
  <c r="C307" i="1"/>
  <c r="E302" i="1"/>
  <c r="F297" i="1"/>
  <c r="F292" i="1"/>
  <c r="B286" i="1"/>
  <c r="G276" i="1"/>
  <c r="F271" i="1"/>
  <c r="M266" i="1"/>
  <c r="D261" i="1"/>
  <c r="Q256" i="1"/>
  <c r="G252" i="1"/>
  <c r="I248" i="1"/>
  <c r="G243" i="1"/>
  <c r="B235" i="1"/>
  <c r="Q230" i="1"/>
  <c r="P226" i="1"/>
  <c r="M221" i="1"/>
  <c r="S217" i="1"/>
  <c r="U209" i="1"/>
  <c r="F201" i="1"/>
  <c r="B197" i="1"/>
  <c r="B193" i="1"/>
  <c r="C189" i="1"/>
  <c r="M185" i="1"/>
  <c r="AA177" i="1"/>
  <c r="I174" i="1"/>
  <c r="D170" i="1"/>
  <c r="O166" i="1"/>
  <c r="I163" i="1"/>
  <c r="B160" i="1"/>
  <c r="O153" i="1"/>
  <c r="J149" i="1"/>
  <c r="L141" i="1"/>
  <c r="G130" i="1"/>
  <c r="C128" i="1"/>
  <c r="AA125" i="1"/>
  <c r="O123" i="1"/>
  <c r="I119" i="1"/>
  <c r="P114" i="1"/>
  <c r="J112" i="1"/>
  <c r="H107" i="1"/>
  <c r="P104" i="1"/>
  <c r="D102" i="1"/>
  <c r="U99" i="1"/>
  <c r="U94" i="1"/>
  <c r="Q92" i="1"/>
  <c r="O90" i="1"/>
  <c r="I86" i="1"/>
  <c r="G84" i="1"/>
  <c r="C80" i="1"/>
  <c r="AA77" i="1"/>
  <c r="U75" i="1"/>
  <c r="J71" i="1"/>
  <c r="H69" i="1"/>
  <c r="D67" i="1"/>
  <c r="W62" i="1"/>
  <c r="L58" i="1"/>
  <c r="D52" i="1"/>
  <c r="A50" i="1"/>
  <c r="W43" i="1"/>
  <c r="J37" i="1"/>
  <c r="N31" i="1"/>
  <c r="B29" i="1"/>
  <c r="P27" i="1"/>
  <c r="K26" i="1"/>
  <c r="F25" i="1"/>
  <c r="C24" i="1"/>
  <c r="H21" i="1"/>
  <c r="C20" i="1"/>
  <c r="G16" i="1"/>
  <c r="X14" i="1"/>
  <c r="L12" i="1"/>
  <c r="E11" i="1"/>
  <c r="K8" i="1"/>
  <c r="G7" i="1"/>
  <c r="P4" i="1"/>
  <c r="D796" i="1"/>
  <c r="O226" i="1"/>
  <c r="U144" i="1"/>
  <c r="K847" i="1"/>
  <c r="R709" i="1"/>
  <c r="C637" i="1"/>
  <c r="O588" i="1"/>
  <c r="Z549" i="1"/>
  <c r="O517" i="1"/>
  <c r="C499" i="1"/>
  <c r="I480" i="1"/>
  <c r="C454" i="1"/>
  <c r="E433" i="1"/>
  <c r="AA411" i="1"/>
  <c r="F395" i="1"/>
  <c r="L384" i="1"/>
  <c r="D378" i="1"/>
  <c r="A373" i="1"/>
  <c r="V368" i="1"/>
  <c r="F364" i="1"/>
  <c r="P358" i="1"/>
  <c r="A354" i="1"/>
  <c r="X349" i="1"/>
  <c r="P344" i="1"/>
  <c r="I339" i="1"/>
  <c r="Y334" i="1"/>
  <c r="O330" i="1"/>
  <c r="F326" i="1"/>
  <c r="V321" i="1"/>
  <c r="E317" i="1"/>
  <c r="G313" i="1"/>
  <c r="L308" i="1"/>
  <c r="Q303" i="1"/>
  <c r="I298" i="1"/>
  <c r="G293" i="1"/>
  <c r="B288" i="1"/>
  <c r="A283" i="1"/>
  <c r="B278" i="1"/>
  <c r="O271" i="1"/>
  <c r="A267" i="1"/>
  <c r="A263" i="1"/>
  <c r="K258" i="1"/>
  <c r="F253" i="1"/>
  <c r="R248" i="1"/>
  <c r="N244" i="1"/>
  <c r="J240" i="1"/>
  <c r="P236" i="1"/>
  <c r="L231" i="1"/>
  <c r="E227" i="1"/>
  <c r="P222" i="1"/>
  <c r="AA218" i="1"/>
  <c r="H215" i="1"/>
  <c r="N210" i="1"/>
  <c r="J206" i="1"/>
  <c r="K202" i="1"/>
  <c r="H198" i="1"/>
  <c r="X193" i="1"/>
  <c r="U189" i="1"/>
  <c r="R185" i="1"/>
  <c r="C182" i="1"/>
  <c r="O178" i="1"/>
  <c r="N174" i="1"/>
  <c r="J170" i="1"/>
  <c r="G167" i="1"/>
  <c r="O163" i="1"/>
  <c r="L160" i="1"/>
  <c r="E158" i="1"/>
  <c r="C156" i="1"/>
  <c r="AA153" i="1"/>
  <c r="R151" i="1"/>
  <c r="P149" i="1"/>
  <c r="N147" i="1"/>
  <c r="L145" i="1"/>
  <c r="M143" i="1"/>
  <c r="Q141" i="1"/>
  <c r="N139" i="1"/>
  <c r="I137" i="1"/>
  <c r="F135" i="1"/>
  <c r="AA132" i="1"/>
  <c r="N130" i="1"/>
  <c r="I128" i="1"/>
  <c r="E126" i="1"/>
  <c r="A124" i="1"/>
  <c r="Q121" i="1"/>
  <c r="N119" i="1"/>
  <c r="J117" i="1"/>
  <c r="C115" i="1"/>
  <c r="P112" i="1"/>
  <c r="G110" i="1"/>
  <c r="R107" i="1"/>
  <c r="C105" i="1"/>
  <c r="I102" i="1"/>
  <c r="E100" i="1"/>
  <c r="N97" i="1"/>
  <c r="D95" i="1"/>
  <c r="B93" i="1"/>
  <c r="AA90" i="1"/>
  <c r="R88" i="1"/>
  <c r="O86" i="1"/>
  <c r="M84" i="1"/>
  <c r="J82" i="1"/>
  <c r="H80" i="1"/>
  <c r="E78" i="1"/>
  <c r="B76" i="1"/>
  <c r="X73" i="1"/>
  <c r="O71" i="1"/>
  <c r="M69" i="1"/>
  <c r="J67" i="1"/>
  <c r="F65" i="1"/>
  <c r="C63" i="1"/>
  <c r="A61" i="1"/>
  <c r="R58" i="1"/>
  <c r="N56" i="1"/>
  <c r="K54" i="1"/>
  <c r="I52" i="1"/>
  <c r="F50" i="1"/>
  <c r="C48" i="1"/>
  <c r="C46" i="1"/>
  <c r="H44" i="1"/>
  <c r="O42" i="1"/>
  <c r="X40" i="1"/>
  <c r="I39" i="1"/>
  <c r="Q37" i="1"/>
  <c r="J36" i="1"/>
  <c r="B35" i="1"/>
  <c r="I33" i="1"/>
  <c r="C32" i="1"/>
  <c r="N30" i="1"/>
  <c r="H29" i="1"/>
  <c r="C28" i="1"/>
  <c r="S26" i="1"/>
  <c r="M25" i="1"/>
  <c r="H24" i="1"/>
  <c r="E23" i="1"/>
  <c r="A22" i="1"/>
  <c r="L20" i="1"/>
  <c r="C19" i="1"/>
  <c r="S17" i="1"/>
  <c r="L16" i="1"/>
  <c r="G15" i="1"/>
  <c r="AA13" i="1"/>
  <c r="S12" i="1"/>
  <c r="L11" i="1"/>
  <c r="E10" i="1"/>
  <c r="U8" i="1"/>
  <c r="N7" i="1"/>
  <c r="H6" i="1"/>
  <c r="B5" i="1"/>
  <c r="W3" i="1"/>
  <c r="O838" i="1"/>
  <c r="N635" i="1"/>
  <c r="K548" i="1"/>
  <c r="B499" i="1"/>
  <c r="G452" i="1"/>
  <c r="Z411" i="1"/>
  <c r="E384" i="1"/>
  <c r="H368" i="1"/>
  <c r="AA353" i="1"/>
  <c r="T334" i="1"/>
  <c r="F313" i="1"/>
  <c r="A288" i="1"/>
  <c r="U266" i="1"/>
  <c r="M248" i="1"/>
  <c r="K231" i="1"/>
  <c r="J214" i="1"/>
  <c r="I202" i="1"/>
  <c r="O189" i="1"/>
  <c r="M174" i="1"/>
  <c r="I160" i="1"/>
  <c r="Q151" i="1"/>
  <c r="K145" i="1"/>
  <c r="M139" i="1"/>
  <c r="E135" i="1"/>
  <c r="L130" i="1"/>
  <c r="G128" i="1"/>
  <c r="AA123" i="1"/>
  <c r="M119" i="1"/>
  <c r="I117" i="1"/>
  <c r="N112" i="1"/>
  <c r="F110" i="1"/>
  <c r="B105" i="1"/>
  <c r="H102" i="1"/>
  <c r="M97" i="1"/>
  <c r="C95" i="1"/>
  <c r="U90" i="1"/>
  <c r="Q88" i="1"/>
  <c r="K84" i="1"/>
  <c r="I82" i="1"/>
  <c r="D78" i="1"/>
  <c r="A76" i="1"/>
  <c r="N71" i="1"/>
  <c r="L69" i="1"/>
  <c r="E65" i="1"/>
  <c r="B63" i="1"/>
  <c r="P58" i="1"/>
  <c r="M56" i="1"/>
  <c r="J54" i="1"/>
  <c r="E50" i="1"/>
  <c r="B48" i="1"/>
  <c r="G44" i="1"/>
  <c r="N42" i="1"/>
  <c r="H39" i="1"/>
  <c r="P37" i="1"/>
  <c r="R34" i="1"/>
  <c r="H33" i="1"/>
  <c r="AA31" i="1"/>
  <c r="G29" i="1"/>
  <c r="B28" i="1"/>
  <c r="K25" i="1"/>
  <c r="G24" i="1"/>
  <c r="D23" i="1"/>
  <c r="H20" i="1"/>
  <c r="R17" i="1"/>
  <c r="X13" i="1"/>
  <c r="I11" i="1"/>
  <c r="R8" i="1"/>
  <c r="M7" i="1"/>
  <c r="G6" i="1"/>
  <c r="A5" i="1"/>
  <c r="N838" i="1"/>
  <c r="N546" i="1"/>
  <c r="I475" i="1"/>
  <c r="W411" i="1"/>
  <c r="Z372" i="1"/>
  <c r="K358" i="1"/>
  <c r="U343" i="1"/>
  <c r="R334" i="1"/>
  <c r="C326" i="1"/>
  <c r="Q316" i="1"/>
  <c r="J308" i="1"/>
  <c r="Q297" i="1"/>
  <c r="J292" i="1"/>
  <c r="U282" i="1"/>
  <c r="P276" i="1"/>
  <c r="R266" i="1"/>
  <c r="I262" i="1"/>
  <c r="K257" i="1"/>
  <c r="L248" i="1"/>
  <c r="I244" i="1"/>
  <c r="O235" i="1"/>
  <c r="H231" i="1"/>
  <c r="L222" i="1"/>
  <c r="S218" i="1"/>
  <c r="H214" i="1"/>
  <c r="H206" i="1"/>
  <c r="H202" i="1"/>
  <c r="I197" i="1"/>
  <c r="N189" i="1"/>
  <c r="P185" i="1"/>
  <c r="A182" i="1"/>
  <c r="L174" i="1"/>
  <c r="H170" i="1"/>
  <c r="E167" i="1"/>
  <c r="H160" i="1"/>
  <c r="C158" i="1"/>
  <c r="A156" i="1"/>
  <c r="P151" i="1"/>
  <c r="M149" i="1"/>
  <c r="L147" i="1"/>
  <c r="K143" i="1"/>
  <c r="O141" i="1"/>
  <c r="L139" i="1"/>
  <c r="D135" i="1"/>
  <c r="R132" i="1"/>
  <c r="K130" i="1"/>
  <c r="F128" i="1"/>
  <c r="U123" i="1"/>
  <c r="N121" i="1"/>
  <c r="L119" i="1"/>
  <c r="H117" i="1"/>
  <c r="M112" i="1"/>
  <c r="E110" i="1"/>
  <c r="M107" i="1"/>
  <c r="G102" i="1"/>
  <c r="C100" i="1"/>
  <c r="L97" i="1"/>
  <c r="AA92" i="1"/>
  <c r="R90" i="1"/>
  <c r="P88" i="1"/>
  <c r="J84" i="1"/>
  <c r="H82" i="1"/>
  <c r="F80" i="1"/>
  <c r="AA75" i="1"/>
  <c r="P73" i="1"/>
  <c r="M71" i="1"/>
  <c r="H67" i="1"/>
  <c r="C65" i="1"/>
  <c r="A63" i="1"/>
  <c r="O58" i="1"/>
  <c r="L56" i="1"/>
  <c r="I54" i="1"/>
  <c r="D50" i="1"/>
  <c r="A48" i="1"/>
  <c r="C44" i="1"/>
  <c r="M42" i="1"/>
  <c r="G39" i="1"/>
  <c r="N37" i="1"/>
  <c r="H36" i="1"/>
  <c r="G33" i="1"/>
  <c r="U31" i="1"/>
  <c r="K30" i="1"/>
  <c r="F29" i="1"/>
  <c r="O26" i="1"/>
  <c r="J25" i="1"/>
  <c r="F24" i="1"/>
  <c r="B23" i="1"/>
  <c r="P21" i="1"/>
  <c r="A19" i="1"/>
  <c r="O17" i="1"/>
  <c r="J16" i="1"/>
  <c r="E15" i="1"/>
  <c r="P12" i="1"/>
  <c r="H11" i="1"/>
  <c r="C10" i="1"/>
  <c r="J7" i="1"/>
  <c r="U3" i="1"/>
  <c r="M706" i="1"/>
  <c r="Q334" i="1"/>
  <c r="G287" i="1"/>
  <c r="U252" i="1"/>
  <c r="R226" i="1"/>
  <c r="G202" i="1"/>
  <c r="U181" i="1"/>
  <c r="G160" i="1"/>
  <c r="L149" i="1"/>
  <c r="N141" i="1"/>
  <c r="Q132" i="1"/>
  <c r="R123" i="1"/>
  <c r="U114" i="1"/>
  <c r="L107" i="1"/>
  <c r="B100" i="1"/>
  <c r="U92" i="1"/>
  <c r="K86" i="1"/>
  <c r="E80" i="1"/>
  <c r="O73" i="1"/>
  <c r="B65" i="1"/>
  <c r="N58" i="1"/>
  <c r="F52" i="1"/>
  <c r="A44" i="1"/>
  <c r="E39" i="1"/>
  <c r="F33" i="1"/>
  <c r="E29" i="1"/>
  <c r="I25" i="1"/>
  <c r="O21" i="1"/>
  <c r="N17" i="1"/>
  <c r="A15" i="1"/>
  <c r="O12" i="1"/>
  <c r="A10" i="1"/>
  <c r="P8" i="1"/>
  <c r="D6" i="1"/>
  <c r="T3" i="1"/>
  <c r="D689" i="1"/>
  <c r="Q407" i="1"/>
  <c r="O392" i="1"/>
  <c r="I383" i="1"/>
  <c r="U377" i="1"/>
  <c r="T372" i="1"/>
  <c r="B367" i="1"/>
  <c r="H362" i="1"/>
  <c r="F358" i="1"/>
  <c r="X353" i="1"/>
  <c r="O348" i="1"/>
  <c r="D343" i="1"/>
  <c r="M338" i="1"/>
  <c r="D334" i="1"/>
  <c r="G330" i="1"/>
  <c r="Z324" i="1"/>
  <c r="M320" i="1"/>
  <c r="O316" i="1"/>
  <c r="R312" i="1"/>
  <c r="E307" i="1"/>
  <c r="H302" i="1"/>
  <c r="G292" i="1"/>
  <c r="F287" i="1"/>
  <c r="M281" i="1"/>
  <c r="H276" i="1"/>
  <c r="G271" i="1"/>
  <c r="F261" i="1"/>
  <c r="G257" i="1"/>
  <c r="R252" i="1"/>
  <c r="J248" i="1"/>
  <c r="G244" i="1"/>
  <c r="G239" i="1"/>
  <c r="C235" i="1"/>
  <c r="R230" i="1"/>
  <c r="J222" i="1"/>
  <c r="U217" i="1"/>
  <c r="Q213" i="1"/>
  <c r="AA209" i="1"/>
  <c r="F206" i="1"/>
  <c r="H201" i="1"/>
  <c r="F197" i="1"/>
  <c r="D193" i="1"/>
  <c r="D189" i="1"/>
  <c r="N185" i="1"/>
  <c r="A178" i="1"/>
  <c r="J174" i="1"/>
  <c r="E170" i="1"/>
  <c r="P166" i="1"/>
  <c r="J163" i="1"/>
  <c r="F160" i="1"/>
  <c r="A158" i="1"/>
  <c r="U155" i="1"/>
  <c r="M151" i="1"/>
  <c r="I143" i="1"/>
  <c r="B135" i="1"/>
  <c r="H130" i="1"/>
  <c r="D128" i="1"/>
  <c r="A126" i="1"/>
  <c r="J119" i="1"/>
  <c r="F117" i="1"/>
  <c r="R114" i="1"/>
  <c r="K112" i="1"/>
  <c r="B110" i="1"/>
  <c r="I107" i="1"/>
  <c r="R104" i="1"/>
  <c r="E102" i="1"/>
  <c r="H97" i="1"/>
  <c r="AA94" i="1"/>
  <c r="R92" i="1"/>
  <c r="P90" i="1"/>
  <c r="N88" i="1"/>
  <c r="H84" i="1"/>
  <c r="F82" i="1"/>
  <c r="D80" i="1"/>
  <c r="A78" i="1"/>
  <c r="W75" i="1"/>
  <c r="K71" i="1"/>
  <c r="E67" i="1"/>
  <c r="X62" i="1"/>
  <c r="J56" i="1"/>
  <c r="E52" i="1"/>
  <c r="B50" i="1"/>
  <c r="W45" i="1"/>
  <c r="AA43" i="1"/>
  <c r="M40" i="1"/>
  <c r="K37" i="1"/>
  <c r="O31" i="1"/>
  <c r="C29" i="1"/>
  <c r="M26" i="1"/>
  <c r="G25" i="1"/>
  <c r="D24" i="1"/>
  <c r="AA22" i="1"/>
  <c r="N21" i="1"/>
  <c r="U18" i="1"/>
  <c r="M17" i="1"/>
  <c r="H16" i="1"/>
  <c r="R13" i="1"/>
  <c r="N12" i="1"/>
  <c r="AA9" i="1"/>
  <c r="O8" i="1"/>
  <c r="C6" i="1"/>
  <c r="S3" i="1"/>
  <c r="Z686" i="1"/>
  <c r="E206" i="1"/>
  <c r="E117" i="1"/>
  <c r="O60" i="1"/>
  <c r="S18" i="1"/>
  <c r="A616" i="1"/>
  <c r="M382" i="1"/>
  <c r="R366" i="1"/>
  <c r="U352" i="1"/>
  <c r="R342" i="1"/>
  <c r="B334" i="1"/>
  <c r="P324" i="1"/>
  <c r="H316" i="1"/>
  <c r="A307" i="1"/>
  <c r="E297" i="1"/>
  <c r="E292" i="1"/>
  <c r="AA280" i="1"/>
  <c r="R275" i="1"/>
  <c r="E271" i="1"/>
  <c r="C261" i="1"/>
  <c r="P256" i="1"/>
  <c r="F252" i="1"/>
  <c r="E243" i="1"/>
  <c r="B239" i="1"/>
  <c r="AA234" i="1"/>
  <c r="K221" i="1"/>
  <c r="O217" i="1"/>
  <c r="R209" i="1"/>
  <c r="G205" i="1"/>
  <c r="E201" i="1"/>
  <c r="A193" i="1"/>
  <c r="B189" i="1"/>
  <c r="U180" i="1"/>
  <c r="B177" i="1"/>
  <c r="H173" i="1"/>
  <c r="E166" i="1"/>
  <c r="L162" i="1"/>
  <c r="L159" i="1"/>
  <c r="F155" i="1"/>
  <c r="E153" i="1"/>
  <c r="C151" i="1"/>
  <c r="AA146" i="1"/>
  <c r="V142" i="1"/>
  <c r="R138" i="1"/>
  <c r="M136" i="1"/>
  <c r="R129" i="1"/>
  <c r="A121" i="1"/>
  <c r="U111" i="1"/>
  <c r="F104" i="1"/>
  <c r="N101" i="1"/>
  <c r="G99" i="1"/>
  <c r="P96" i="1"/>
  <c r="G92" i="1"/>
  <c r="E90" i="1"/>
  <c r="B88" i="1"/>
  <c r="R83" i="1"/>
  <c r="P81" i="1"/>
  <c r="N79" i="1"/>
  <c r="G75" i="1"/>
  <c r="AA70" i="1"/>
  <c r="W68" i="1"/>
  <c r="O794" i="1"/>
  <c r="Q342" i="1"/>
  <c r="J247" i="1"/>
  <c r="O165" i="1"/>
  <c r="J125" i="1"/>
  <c r="E92" i="1"/>
  <c r="D60" i="1"/>
  <c r="J40" i="1"/>
  <c r="I26" i="1"/>
  <c r="O13" i="1"/>
  <c r="G21" i="1"/>
  <c r="M213" i="1"/>
  <c r="Q144" i="1"/>
  <c r="B20" i="1"/>
  <c r="S142" i="1"/>
  <c r="H49" i="1"/>
  <c r="Q3" i="1"/>
  <c r="I64" i="1"/>
  <c r="R352" i="1"/>
  <c r="P674" i="1"/>
  <c r="G338" i="1"/>
  <c r="D243" i="1"/>
  <c r="J162" i="1"/>
  <c r="H125" i="1"/>
  <c r="C90" i="1"/>
  <c r="C58" i="1"/>
  <c r="R38" i="1"/>
  <c r="E25" i="1"/>
  <c r="I12" i="1"/>
  <c r="I34" i="1"/>
  <c r="I8" i="1"/>
  <c r="O301" i="1"/>
  <c r="G134" i="1"/>
  <c r="P43" i="1"/>
  <c r="A132" i="1"/>
  <c r="N96" i="1"/>
  <c r="G94" i="1"/>
  <c r="AA615" i="1"/>
  <c r="A333" i="1"/>
  <c r="A239" i="1"/>
  <c r="J159" i="1"/>
  <c r="F123" i="1"/>
  <c r="AA87" i="1"/>
  <c r="AA57" i="1"/>
  <c r="Q38" i="1"/>
  <c r="D25" i="1"/>
  <c r="H12" i="1"/>
  <c r="L51" i="1"/>
  <c r="Y426" i="1"/>
  <c r="B362" i="1"/>
  <c r="C348" i="1"/>
  <c r="Z579" i="1"/>
  <c r="C329" i="1"/>
  <c r="U234" i="1"/>
  <c r="H157" i="1"/>
  <c r="C123" i="1"/>
  <c r="R85" i="1"/>
  <c r="X55" i="1"/>
  <c r="I37" i="1"/>
  <c r="A24" i="1"/>
  <c r="D11" i="1"/>
  <c r="E75" i="1"/>
  <c r="Q209" i="1"/>
  <c r="A73" i="1"/>
  <c r="A33" i="1"/>
  <c r="U43" i="1"/>
  <c r="U28" i="1"/>
  <c r="AA176" i="1"/>
  <c r="C169" i="1"/>
  <c r="R537" i="1"/>
  <c r="O324" i="1"/>
  <c r="N230" i="1"/>
  <c r="D155" i="1"/>
  <c r="U120" i="1"/>
  <c r="P83" i="1"/>
  <c r="P55" i="1"/>
  <c r="H37" i="1"/>
  <c r="AA23" i="1"/>
  <c r="B11" i="1"/>
  <c r="K116" i="1"/>
  <c r="E114" i="1"/>
  <c r="E7" i="1"/>
  <c r="C114" i="1"/>
  <c r="D104" i="1"/>
  <c r="P3" i="1"/>
  <c r="D99" i="1"/>
  <c r="E252" i="1"/>
  <c r="B510" i="1"/>
  <c r="H320" i="1"/>
  <c r="Q225" i="1"/>
  <c r="C153" i="1"/>
  <c r="U118" i="1"/>
  <c r="N81" i="1"/>
  <c r="P53" i="1"/>
  <c r="C36" i="1"/>
  <c r="R22" i="1"/>
  <c r="S9" i="1"/>
  <c r="R9" i="1"/>
  <c r="J8" i="1"/>
  <c r="G306" i="1"/>
  <c r="J49" i="1"/>
  <c r="D297" i="1"/>
  <c r="D7" i="1"/>
  <c r="L101" i="1"/>
  <c r="C42" i="1"/>
  <c r="P129" i="1"/>
  <c r="J26" i="1"/>
  <c r="K490" i="1"/>
  <c r="G316" i="1"/>
  <c r="J221" i="1"/>
  <c r="A151" i="1"/>
  <c r="Q118" i="1"/>
  <c r="K79" i="1"/>
  <c r="N53" i="1"/>
  <c r="S35" i="1"/>
  <c r="Q22" i="1"/>
  <c r="Z449" i="1"/>
  <c r="C33" i="1"/>
  <c r="E205" i="1"/>
  <c r="A20" i="1"/>
  <c r="I265" i="1"/>
  <c r="N256" i="1"/>
  <c r="P469" i="1"/>
  <c r="G311" i="1"/>
  <c r="N217" i="1"/>
  <c r="U148" i="1"/>
  <c r="M116" i="1"/>
  <c r="G77" i="1"/>
  <c r="N51" i="1"/>
  <c r="J34" i="1"/>
  <c r="S146" i="1"/>
  <c r="F21" i="1"/>
  <c r="C73" i="1"/>
  <c r="A404" i="1"/>
  <c r="C132" i="1"/>
  <c r="O27" i="1"/>
  <c r="G62" i="1"/>
  <c r="G391" i="1"/>
  <c r="AA290" i="1"/>
  <c r="B201" i="1"/>
  <c r="AA140" i="1"/>
  <c r="P111" i="1"/>
  <c r="W70" i="1"/>
  <c r="K47" i="1"/>
  <c r="M31" i="1"/>
  <c r="R18" i="1"/>
  <c r="A6" i="1"/>
  <c r="N66" i="1"/>
  <c r="O4" i="1"/>
  <c r="P275" i="1"/>
  <c r="N106" i="1"/>
  <c r="N45" i="1"/>
  <c r="N4" i="1"/>
  <c r="Q366" i="1"/>
  <c r="AA28" i="1"/>
  <c r="U260" i="1"/>
  <c r="V14" i="1"/>
  <c r="S14" i="1"/>
  <c r="L127" i="1"/>
  <c r="P13" i="1"/>
  <c r="L382" i="1"/>
  <c r="V285" i="1"/>
  <c r="AA196" i="1"/>
  <c r="O138" i="1"/>
  <c r="I109" i="1"/>
  <c r="P68" i="1"/>
  <c r="G47" i="1"/>
  <c r="K31" i="1"/>
  <c r="O18" i="1"/>
  <c r="U5" i="1"/>
  <c r="G30" i="1"/>
  <c r="K17" i="1"/>
  <c r="O371" i="1"/>
  <c r="I134" i="1"/>
  <c r="L66" i="1"/>
  <c r="J17" i="1"/>
  <c r="M184" i="1"/>
  <c r="K64" i="1"/>
  <c r="Q180" i="1"/>
  <c r="B16" i="1"/>
  <c r="I62" i="1"/>
  <c r="F173" i="1"/>
  <c r="N27" i="1"/>
  <c r="F60" i="1"/>
  <c r="H376" i="1"/>
  <c r="U280" i="1"/>
  <c r="AA192" i="1"/>
  <c r="K136" i="1"/>
  <c r="G109" i="1"/>
  <c r="O45" i="1"/>
  <c r="D188" i="1"/>
  <c r="F30" i="1"/>
  <c r="D271" i="1"/>
  <c r="C16" i="1"/>
  <c r="P357" i="1"/>
  <c r="A42" i="1"/>
  <c r="K40" i="1"/>
</calcChain>
</file>

<file path=xl/sharedStrings.xml><?xml version="1.0" encoding="utf-8"?>
<sst xmlns="http://schemas.openxmlformats.org/spreadsheetml/2006/main" count="1" uniqueCount="1">
  <si>
    <t>促銷商品價格波動，依中華電信櫃台實際受理金額為準。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</si>
</sst>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quot;$&quot;#,##0_);[Red]\(&quot;$&quot;#,##0\)"/>
    <numFmt numFmtId="178" formatCode="0.0"/>
  </numFmts>
  <fonts count="14">
    <font>
      <sz val="10"/>
      <color rgb="FF000000"/>
      <name val="Arial"/>
      <scheme val="minor"/>
    </font>
    <font>
      <b/>
      <sz val="18"/>
      <color rgb="FFFF0000"/>
      <name val="Arial"/>
    </font>
    <font>
      <b/>
      <u/>
      <sz val="12"/>
      <color rgb="FF0000FF"/>
      <name val="Microsoft JhengHei"/>
      <family val="2"/>
      <charset val="136"/>
    </font>
    <font>
      <b/>
      <sz val="12"/>
      <color theme="1"/>
      <name val="Microsoft JhengHei"/>
      <family val="2"/>
      <charset val="136"/>
    </font>
    <font>
      <b/>
      <u/>
      <sz val="12"/>
      <color rgb="FF1155CC"/>
      <name val="Microsoft JhengHei"/>
      <family val="2"/>
      <charset val="136"/>
    </font>
    <font>
      <b/>
      <sz val="10"/>
      <color rgb="FF000000"/>
      <name val="Arial"/>
    </font>
    <font>
      <b/>
      <sz val="10"/>
      <color rgb="FFFF0000"/>
      <name val="Arial"/>
    </font>
    <font>
      <b/>
      <sz val="10"/>
      <color rgb="FF0000FF"/>
      <name val="Arial"/>
    </font>
    <font>
      <sz val="10"/>
      <color theme="1"/>
      <name val="Arial"/>
      <scheme val="minor"/>
    </font>
    <font>
      <sz val="10"/>
      <name val="Arial"/>
      <family val="2"/>
    </font>
    <font>
      <sz val="12"/>
      <color theme="1"/>
      <name val="Microsoft JhengHei"/>
      <family val="2"/>
      <charset val="136"/>
    </font>
    <font>
      <u/>
      <sz val="12"/>
      <color rgb="FF0000FF"/>
      <name val="Microsoft JhengHei"/>
      <family val="2"/>
      <charset val="136"/>
    </font>
    <font>
      <u/>
      <sz val="10"/>
      <color rgb="FF0000FF"/>
      <name val="Arial"/>
      <family val="2"/>
    </font>
    <font>
      <sz val="9"/>
      <name val="Arial"/>
      <family val="3"/>
      <charset val="136"/>
      <scheme val="minor"/>
    </font>
  </fonts>
  <fills count="5">
    <fill>
      <patternFill patternType="none"/>
    </fill>
    <fill>
      <patternFill patternType="gray125"/>
    </fill>
    <fill>
      <patternFill patternType="solid">
        <fgColor theme="0"/>
        <bgColor theme="0"/>
      </patternFill>
    </fill>
    <fill>
      <patternFill patternType="solid">
        <fgColor rgb="FFFCE5CD"/>
        <bgColor rgb="FFFCE5CD"/>
      </patternFill>
    </fill>
    <fill>
      <patternFill patternType="solid">
        <fgColor rgb="FFC6D9F0"/>
        <bgColor rgb="FFC6D9F0"/>
      </patternFill>
    </fill>
  </fills>
  <borders count="5">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44">
    <xf numFmtId="0" fontId="0" fillId="0" borderId="0" xfId="0" applyFont="1" applyAlignment="1"/>
    <xf numFmtId="0" fontId="1" fillId="2"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8" fillId="0" borderId="2" xfId="0" applyFont="1" applyBorder="1" applyAlignment="1">
      <alignment vertical="center"/>
    </xf>
    <xf numFmtId="3" fontId="8" fillId="0" borderId="2" xfId="0" applyNumberFormat="1"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14" fontId="8" fillId="0" borderId="2" xfId="0" applyNumberFormat="1" applyFont="1" applyBorder="1" applyAlignment="1">
      <alignment vertical="center"/>
    </xf>
    <xf numFmtId="0" fontId="8" fillId="0" borderId="0" xfId="0" applyFont="1"/>
    <xf numFmtId="3" fontId="8" fillId="0" borderId="2" xfId="0" applyNumberFormat="1" applyFont="1" applyBorder="1" applyAlignment="1">
      <alignment horizontal="center" vertical="center"/>
    </xf>
    <xf numFmtId="176" fontId="8" fillId="0" borderId="2" xfId="0" applyNumberFormat="1" applyFont="1" applyBorder="1" applyAlignment="1">
      <alignment vertical="center"/>
    </xf>
    <xf numFmtId="1" fontId="8" fillId="0" borderId="2" xfId="0" applyNumberFormat="1" applyFont="1" applyBorder="1" applyAlignment="1">
      <alignment horizontal="center" vertical="center"/>
    </xf>
    <xf numFmtId="14" fontId="8" fillId="0" borderId="2" xfId="0" applyNumberFormat="1" applyFont="1" applyBorder="1" applyAlignment="1">
      <alignment vertical="center"/>
    </xf>
    <xf numFmtId="177" fontId="8" fillId="0" borderId="2" xfId="0" applyNumberFormat="1" applyFont="1" applyBorder="1" applyAlignment="1">
      <alignment vertical="center"/>
    </xf>
    <xf numFmtId="178" fontId="8" fillId="0" borderId="2" xfId="0" applyNumberFormat="1" applyFont="1" applyBorder="1" applyAlignment="1">
      <alignment vertical="center"/>
    </xf>
    <xf numFmtId="49" fontId="8" fillId="0" borderId="2" xfId="0" applyNumberFormat="1" applyFont="1" applyBorder="1" applyAlignment="1">
      <alignment vertical="center"/>
    </xf>
    <xf numFmtId="0" fontId="8" fillId="0" borderId="2" xfId="0" applyFont="1" applyBorder="1"/>
    <xf numFmtId="3" fontId="8" fillId="0" borderId="2" xfId="0" applyNumberFormat="1" applyFont="1" applyBorder="1"/>
    <xf numFmtId="0" fontId="8" fillId="0" borderId="2" xfId="0" applyFont="1" applyBorder="1" applyAlignment="1">
      <alignment horizontal="center"/>
    </xf>
    <xf numFmtId="0" fontId="8" fillId="0" borderId="2" xfId="0" applyFont="1" applyBorder="1" applyAlignment="1">
      <alignment horizontal="left"/>
    </xf>
    <xf numFmtId="14" fontId="8" fillId="0" borderId="2" xfId="0" applyNumberFormat="1" applyFont="1" applyBorder="1"/>
    <xf numFmtId="3" fontId="8" fillId="0" borderId="2" xfId="0" applyNumberFormat="1" applyFont="1" applyBorder="1" applyAlignment="1">
      <alignment horizontal="center"/>
    </xf>
    <xf numFmtId="0" fontId="8" fillId="0" borderId="0" xfId="0" applyFont="1" applyAlignment="1">
      <alignment horizontal="center"/>
    </xf>
    <xf numFmtId="0" fontId="8" fillId="0" borderId="0" xfId="0" applyFont="1" applyAlignment="1">
      <alignment horizontal="left"/>
    </xf>
    <xf numFmtId="0" fontId="10" fillId="0" borderId="2" xfId="0" applyFont="1" applyBorder="1" applyAlignment="1">
      <alignment vertical="center"/>
    </xf>
    <xf numFmtId="0" fontId="11" fillId="0" borderId="2" xfId="0" applyFont="1" applyBorder="1" applyAlignment="1">
      <alignment vertical="center"/>
    </xf>
    <xf numFmtId="49" fontId="10" fillId="0" borderId="2" xfId="0" applyNumberFormat="1" applyFont="1" applyBorder="1" applyAlignment="1">
      <alignment vertical="center"/>
    </xf>
    <xf numFmtId="0" fontId="12" fillId="0" borderId="0" xfId="0" applyFont="1"/>
    <xf numFmtId="0" fontId="1" fillId="2" borderId="0" xfId="0" applyFont="1" applyFill="1" applyAlignment="1">
      <alignment horizontal="left" vertical="center"/>
    </xf>
    <xf numFmtId="0" fontId="0" fillId="0" borderId="0" xfId="0" applyFont="1" applyAlignment="1"/>
    <xf numFmtId="0" fontId="2" fillId="2" borderId="0" xfId="0" applyFont="1" applyFill="1" applyAlignment="1">
      <alignment horizontal="left" vertical="center"/>
    </xf>
    <xf numFmtId="0" fontId="3" fillId="2" borderId="0" xfId="0" applyFont="1" applyFill="1" applyAlignment="1">
      <alignment horizontal="left" vertical="center"/>
    </xf>
    <xf numFmtId="0" fontId="9" fillId="0" borderId="1" xfId="0" applyFont="1" applyBorder="1"/>
    <xf numFmtId="0" fontId="9" fillId="0" borderId="4" xfId="0" applyFont="1" applyBorder="1"/>
    <xf numFmtId="0" fontId="10" fillId="0" borderId="3"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kelly@wonder.tw" TargetMode="External"/><Relationship Id="rId18" Type="http://schemas.openxmlformats.org/officeDocument/2006/relationships/hyperlink" Target="mailto:cht.sunfar@mail.sunfar.com.tw" TargetMode="External"/><Relationship Id="rId26" Type="http://schemas.openxmlformats.org/officeDocument/2006/relationships/hyperlink" Target="mailto:bass01@b-a-s-s.com.tw" TargetMode="External"/><Relationship Id="rId39" Type="http://schemas.openxmlformats.org/officeDocument/2006/relationships/hyperlink" Target="mailto:william@quasi.com.tw" TargetMode="External"/><Relationship Id="rId21" Type="http://schemas.openxmlformats.org/officeDocument/2006/relationships/hyperlink" Target="mailto:tonlinserver@gmail.com" TargetMode="External"/><Relationship Id="rId34" Type="http://schemas.openxmlformats.org/officeDocument/2006/relationships/hyperlink" Target="mailto:htt.service@msa.hinet.net" TargetMode="External"/><Relationship Id="rId42" Type="http://schemas.openxmlformats.org/officeDocument/2006/relationships/printerSettings" Target="../printerSettings/printerSettings1.bin"/><Relationship Id="rId7" Type="http://schemas.openxmlformats.org/officeDocument/2006/relationships/hyperlink" Target="mailto:eve@ejoy.net.tw" TargetMode="External"/><Relationship Id="rId2" Type="http://schemas.openxmlformats.org/officeDocument/2006/relationships/hyperlink" Target="mailto:chlai@tcpc.tatung.com.tw" TargetMode="External"/><Relationship Id="rId16" Type="http://schemas.openxmlformats.org/officeDocument/2006/relationships/hyperlink" Target="mailto:cht.sunfar@mail.sunfar.com.tw" TargetMode="External"/><Relationship Id="rId20" Type="http://schemas.openxmlformats.org/officeDocument/2006/relationships/hyperlink" Target="mailto:sarahlai@hostan.com.tw" TargetMode="External"/><Relationship Id="rId29" Type="http://schemas.openxmlformats.org/officeDocument/2006/relationships/hyperlink" Target="mailto:philo1699@gmail.com" TargetMode="External"/><Relationship Id="rId41" Type="http://schemas.openxmlformats.org/officeDocument/2006/relationships/hyperlink" Target="mailto:dino@ia3c.com.tw" TargetMode="External"/><Relationship Id="rId1" Type="http://schemas.openxmlformats.org/officeDocument/2006/relationships/hyperlink" Target="mailto:iverson1008@tcpc.tatung.com.tw" TargetMode="External"/><Relationship Id="rId6" Type="http://schemas.openxmlformats.org/officeDocument/2006/relationships/hyperlink" Target="mailto:sume-wu@ejoy.net.tw" TargetMode="External"/><Relationship Id="rId11" Type="http://schemas.openxmlformats.org/officeDocument/2006/relationships/hyperlink" Target="mailto:anniezhan@synnex.com.tw" TargetMode="External"/><Relationship Id="rId24" Type="http://schemas.openxmlformats.org/officeDocument/2006/relationships/hyperlink" Target="mailto:Yuki@thebest.com.tw" TargetMode="External"/><Relationship Id="rId32" Type="http://schemas.openxmlformats.org/officeDocument/2006/relationships/hyperlink" Target="mailto:alex.chan@dpsmart.com.tw" TargetMode="External"/><Relationship Id="rId37" Type="http://schemas.openxmlformats.org/officeDocument/2006/relationships/hyperlink" Target="mailto:jill_yang@mail.nexgen.com.tw" TargetMode="External"/><Relationship Id="rId40" Type="http://schemas.openxmlformats.org/officeDocument/2006/relationships/hyperlink" Target="mailto:rebecca@ia3c.com.tw" TargetMode="External"/><Relationship Id="rId5" Type="http://schemas.openxmlformats.org/officeDocument/2006/relationships/hyperlink" Target="mailto:0316@ejoy.net.tw" TargetMode="External"/><Relationship Id="rId15" Type="http://schemas.openxmlformats.org/officeDocument/2006/relationships/hyperlink" Target="mailto:cht.sunfar@mail.sunfar.com.tw" TargetMode="External"/><Relationship Id="rId23" Type="http://schemas.openxmlformats.org/officeDocument/2006/relationships/hyperlink" Target="mailto:jacky@taidoc.com.tw" TargetMode="External"/><Relationship Id="rId28" Type="http://schemas.openxmlformats.org/officeDocument/2006/relationships/hyperlink" Target="mailto:Hi-netplace@xander.com.tw" TargetMode="External"/><Relationship Id="rId36" Type="http://schemas.openxmlformats.org/officeDocument/2006/relationships/hyperlink" Target="mailto:eric_yu@mail.nexgen.com.tw" TargetMode="External"/><Relationship Id="rId10" Type="http://schemas.openxmlformats.org/officeDocument/2006/relationships/hyperlink" Target="mailto:jeneifer@synnex.com.tw" TargetMode="External"/><Relationship Id="rId19" Type="http://schemas.openxmlformats.org/officeDocument/2006/relationships/hyperlink" Target="mailto:09038@mail.sunfar.com.tw" TargetMode="External"/><Relationship Id="rId31" Type="http://schemas.openxmlformats.org/officeDocument/2006/relationships/hyperlink" Target="mailto:sales@dpsmart.com.tw" TargetMode="External"/><Relationship Id="rId4" Type="http://schemas.openxmlformats.org/officeDocument/2006/relationships/hyperlink" Target="mailto:win19820604@ejoy.net.tw" TargetMode="External"/><Relationship Id="rId9" Type="http://schemas.openxmlformats.org/officeDocument/2006/relationships/hyperlink" Target="https://apc01.safelinks.protection.outlook.com/?url=http%3A%2F%2F60.250.76.156%2FSmart-Query%2Fmainframes.aspx&amp;data=04%7C01%7Ctom_0316%40cht.com.tw%7C45ab76322b4f476c9cb608d9d65fe755%7C54eb9440cf0345fe835e61bd4ce515c8%7C0%7C0%7C637776529709118953%7CUnknown%7CTWFpbGZsb3d8eyJWIjoiMC4wLjAwMDAiLCJQIjoiV2luMzIiLCJBTiI6Ik1haWwiLCJXVCI6Mn0%3D%7C3000&amp;sdata=7Gvu8pk%2FKuDTKBLRQt6jVt7MFC7cLMnVG%2Fw%2FVBifisI%3D&amp;reserved=0" TargetMode="External"/><Relationship Id="rId14" Type="http://schemas.openxmlformats.org/officeDocument/2006/relationships/hyperlink" Target="mailto:Nick.cheng@weblink.com.tw" TargetMode="External"/><Relationship Id="rId22" Type="http://schemas.openxmlformats.org/officeDocument/2006/relationships/hyperlink" Target="mailto:Annie.Wang@taidoc.com.tw" TargetMode="External"/><Relationship Id="rId27" Type="http://schemas.openxmlformats.org/officeDocument/2006/relationships/hyperlink" Target="mailto:jia@b-a-s-s.com.tw" TargetMode="External"/><Relationship Id="rId30" Type="http://schemas.openxmlformats.org/officeDocument/2006/relationships/hyperlink" Target="mailto:momoarlink@gmail.com" TargetMode="External"/><Relationship Id="rId35" Type="http://schemas.openxmlformats.org/officeDocument/2006/relationships/hyperlink" Target="mailto:Beata_Lee@mail.nexgen.com.tw" TargetMode="External"/><Relationship Id="rId8" Type="http://schemas.openxmlformats.org/officeDocument/2006/relationships/hyperlink" Target="mailto:elfin@creata.com.tw" TargetMode="External"/><Relationship Id="rId3" Type="http://schemas.openxmlformats.org/officeDocument/2006/relationships/hyperlink" Target="http://tcpcscm1.tatung.com.tw/ProductionControlWeb/CI/CI_CHT_OrderQuery.jsp" TargetMode="External"/><Relationship Id="rId12" Type="http://schemas.openxmlformats.org/officeDocument/2006/relationships/hyperlink" Target="mailto:louis@wonder.tw" TargetMode="External"/><Relationship Id="rId17" Type="http://schemas.openxmlformats.org/officeDocument/2006/relationships/hyperlink" Target="mailto:cht.sunfar@mail.sunfar.com.tw" TargetMode="External"/><Relationship Id="rId25" Type="http://schemas.openxmlformats.org/officeDocument/2006/relationships/hyperlink" Target="mailto:sb7398@sanyo.com.tw" TargetMode="External"/><Relationship Id="rId33" Type="http://schemas.openxmlformats.org/officeDocument/2006/relationships/hyperlink" Target="mailto:maggie1225@htt.com.tw" TargetMode="External"/><Relationship Id="rId38" Type="http://schemas.openxmlformats.org/officeDocument/2006/relationships/hyperlink" Target="mailto:eric_yu@mail.nexgen.com.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815"/>
  <sheetViews>
    <sheetView tabSelected="1" workbookViewId="0">
      <selection activeCell="A2" sqref="A2:B2"/>
    </sheetView>
  </sheetViews>
  <sheetFormatPr defaultColWidth="12.5703125" defaultRowHeight="15.75" customHeight="1"/>
  <cols>
    <col min="4" max="4" width="21.140625" customWidth="1"/>
    <col min="9" max="9" width="18.5703125" customWidth="1"/>
    <col min="17" max="17" width="19.42578125" customWidth="1"/>
    <col min="22" max="22" width="22.85546875" customWidth="1"/>
    <col min="25" max="25" width="17.5703125" customWidth="1"/>
    <col min="27" max="27" width="16.140625" customWidth="1"/>
  </cols>
  <sheetData>
    <row r="1" spans="1:27" ht="30.75" customHeight="1">
      <c r="A1" s="37" t="s">
        <v>0</v>
      </c>
      <c r="B1" s="38"/>
      <c r="C1" s="38"/>
      <c r="D1" s="38"/>
      <c r="E1" s="38"/>
      <c r="F1" s="38"/>
      <c r="G1" s="38"/>
      <c r="H1" s="1"/>
      <c r="I1" s="1"/>
      <c r="J1" s="1"/>
      <c r="K1" s="1"/>
      <c r="L1" s="1"/>
      <c r="M1" s="1"/>
      <c r="N1" s="1"/>
      <c r="O1" s="1"/>
      <c r="P1" s="1"/>
      <c r="Q1" s="1"/>
      <c r="R1" s="1"/>
      <c r="S1" s="1"/>
      <c r="T1" s="1"/>
      <c r="U1" s="1"/>
      <c r="V1" s="1"/>
      <c r="W1" s="1"/>
      <c r="X1" s="1"/>
      <c r="Y1" s="1"/>
      <c r="Z1" s="1"/>
      <c r="AA1" s="1"/>
    </row>
    <row r="2" spans="1:27" ht="30.75" customHeight="1">
      <c r="A2" s="39"/>
      <c r="B2" s="38"/>
      <c r="C2" s="40"/>
      <c r="D2" s="38"/>
      <c r="E2" s="2"/>
      <c r="F2" s="2"/>
      <c r="G2" s="2"/>
      <c r="H2" s="2"/>
      <c r="I2" s="2"/>
      <c r="J2" s="2"/>
      <c r="K2" s="2"/>
      <c r="L2" s="2"/>
      <c r="M2" s="2"/>
      <c r="N2" s="2"/>
      <c r="O2" s="2"/>
      <c r="P2" s="2"/>
      <c r="Q2" s="2"/>
      <c r="R2" s="2"/>
      <c r="S2" s="2"/>
      <c r="T2" s="2"/>
      <c r="U2" s="2"/>
      <c r="V2" s="2"/>
      <c r="W2" s="2"/>
      <c r="X2" s="2"/>
      <c r="Y2" s="2"/>
      <c r="Z2" s="2"/>
      <c r="AA2" s="3"/>
    </row>
    <row r="3" spans="1:27" ht="63.75">
      <c r="A3" s="4" t="str">
        <f ca="1">IFERROR(__xludf.DUMMYFUNCTION("IMPORTRANGE(""1L6CKA1ELegp2FAVqDr6MqXj9L1AM_sM_-mT2HKEO0Ok"",""節能家電(公告連動)!A1:AA8000"")"),"類別")</f>
        <v>類別</v>
      </c>
      <c r="B3" s="4" t="str">
        <f ca="1">IFERROR(__xludf.DUMMYFUNCTION("""COMPUTED_VALUE"""),"廠商")</f>
        <v>廠商</v>
      </c>
      <c r="C3" s="4" t="str">
        <f ca="1">IFERROR(__xludf.DUMMYFUNCTION("""COMPUTED_VALUE"""),"#品牌")</f>
        <v>#品牌</v>
      </c>
      <c r="D3" s="5" t="str">
        <f ca="1">IFERROR(__xludf.DUMMYFUNCTION("""COMPUTED_VALUE"""),"#產品名稱")</f>
        <v>#產品名稱</v>
      </c>
      <c r="E3" s="5" t="str">
        <f ca="1">IFERROR(__xludf.DUMMYFUNCTION("""COMPUTED_VALUE"""),"#型號")</f>
        <v>#型號</v>
      </c>
      <c r="F3" s="4" t="str">
        <f ca="1">IFERROR(__xludf.DUMMYFUNCTION("""COMPUTED_VALUE"""),"材料編號*")</f>
        <v>材料編號*</v>
      </c>
      <c r="G3" s="4" t="str">
        <f ca="1">IFERROR(__xludf.DUMMYFUNCTION("""COMPUTED_VALUE"""),"贈品代碼*")</f>
        <v>贈品代碼*</v>
      </c>
      <c r="H3" s="4" t="str">
        <f ca="1">IFERROR(__xludf.DUMMYFUNCTION("""COMPUTED_VALUE"""),"市價")</f>
        <v>市價</v>
      </c>
      <c r="I3" s="6" t="str">
        <f ca="1">IFERROR(__xludf.DUMMYFUNCTION("""COMPUTED_VALUE"""),"寬頻優惠價
(以系統價格為準)")</f>
        <v>寬頻優惠價
(以系統價格為準)</v>
      </c>
      <c r="J3" s="7" t="str">
        <f ca="1">IFERROR(__xludf.DUMMYFUNCTION("""COMPUTED_VALUE"""),"生效日期*")</f>
        <v>生效日期*</v>
      </c>
      <c r="K3" s="7" t="str">
        <f ca="1">IFERROR(__xludf.DUMMYFUNCTION("""COMPUTED_VALUE"""),"異動項目")</f>
        <v>異動項目</v>
      </c>
      <c r="L3" s="4" t="str">
        <f ca="1">IFERROR(__xludf.DUMMYFUNCTION("""COMPUTED_VALUE"""),"貨況")</f>
        <v>貨況</v>
      </c>
      <c r="M3" s="4" t="str">
        <f ca="1">IFERROR(__xludf.DUMMYFUNCTION("""COMPUTED_VALUE"""),"供貨")</f>
        <v>供貨</v>
      </c>
      <c r="N3" s="8" t="str">
        <f ca="1">IFERROR(__xludf.DUMMYFUNCTION("""COMPUTED_VALUE"""),"細類")</f>
        <v>細類</v>
      </c>
      <c r="O3" s="4" t="str">
        <f ca="1">IFERROR(__xludf.DUMMYFUNCTION("""COMPUTED_VALUE"""),"顏色")</f>
        <v>顏色</v>
      </c>
      <c r="P3" s="4" t="str">
        <f ca="1">IFERROR(__xludf.DUMMYFUNCTION("""COMPUTED_VALUE"""),"規格")</f>
        <v>規格</v>
      </c>
      <c r="Q3" s="9" t="str">
        <f ca="1">IFERROR(__xludf.DUMMYFUNCTION("""COMPUTED_VALUE"""),"尺吋
(高x寬x深)")</f>
        <v>尺吋
(高x寬x深)</v>
      </c>
      <c r="R3" s="4" t="str">
        <f ca="1">IFERROR(__xludf.DUMMYFUNCTION("""COMPUTED_VALUE"""),"產地")</f>
        <v>產地</v>
      </c>
      <c r="S3" s="9" t="str">
        <f ca="1">IFERROR(__xludf.DUMMYFUNCTION("""COMPUTED_VALUE"""),"節能標章與其他標章")</f>
        <v>節能標章與其他標章</v>
      </c>
      <c r="T3" s="9" t="str">
        <f ca="1">IFERROR(__xludf.DUMMYFUNCTION("""COMPUTED_VALUE"""),"能效等級")</f>
        <v>能效等級</v>
      </c>
      <c r="U3" s="4" t="str">
        <f ca="1">IFERROR(__xludf.DUMMYFUNCTION("""COMPUTED_VALUE"""),"全機保固")</f>
        <v>全機保固</v>
      </c>
      <c r="V3" s="4" t="str">
        <f ca="1">IFERROR(__xludf.DUMMYFUNCTION("""COMPUTED_VALUE"""),"馬達(主機板)/壓縮機保固")</f>
        <v>馬達(主機板)/壓縮機保固</v>
      </c>
      <c r="W3" s="4" t="str">
        <f ca="1">IFERROR(__xludf.DUMMYFUNCTION("""COMPUTED_VALUE"""),"原廠贈品")</f>
        <v>原廠贈品</v>
      </c>
      <c r="X3" s="5" t="str">
        <f ca="1">IFERROR(__xludf.DUMMYFUNCTION("""COMPUTED_VALUE"""),"中華獨家送(隨貨送)")</f>
        <v>中華獨家送(隨貨送)</v>
      </c>
      <c r="Y3" s="9" t="str">
        <f ca="1">IFERROR(__xludf.DUMMYFUNCTION("""COMPUTED_VALUE"""),"級距規格")</f>
        <v>級距規格</v>
      </c>
      <c r="Z3" s="10" t="str">
        <f ca="1">IFERROR(__xludf.DUMMYFUNCTION("""COMPUTED_VALUE"""),"貨物稅減免試算
(實際金額依政府與廠商公告資料為準)")</f>
        <v>貨物稅減免試算
(實際金額依政府與廠商公告資料為準)</v>
      </c>
      <c r="AA3" s="11" t="str">
        <f ca="1">IFERROR(__xludf.DUMMYFUNCTION("""COMPUTED_VALUE"""),"特色*")</f>
        <v>特色*</v>
      </c>
    </row>
    <row r="4" spans="1:27" ht="19.5" customHeight="1">
      <c r="A4" s="12" t="str">
        <f ca="1">IFERROR(__xludf.DUMMYFUNCTION("""COMPUTED_VALUE"""),"3C")</f>
        <v>3C</v>
      </c>
      <c r="B4" s="12" t="str">
        <f ca="1">IFERROR(__xludf.DUMMYFUNCTION("""COMPUTED_VALUE"""),"建達")</f>
        <v>建達</v>
      </c>
      <c r="C4" s="12" t="str">
        <f ca="1">IFERROR(__xludf.DUMMYFUNCTION("""COMPUTED_VALUE"""),"TP-Link")</f>
        <v>TP-Link</v>
      </c>
      <c r="D4" s="12" t="str">
        <f ca="1">IFERROR(__xludf.DUMMYFUNCTION("""COMPUTED_VALUE"""),"TP-Link Archer AX53 AX3000 Gigabit雙頻Wi-Fi 6路由器")</f>
        <v>TP-Link Archer AX53 AX3000 Gigabit雙頻Wi-Fi 6路由器</v>
      </c>
      <c r="E4" s="12" t="str">
        <f ca="1">IFERROR(__xludf.DUMMYFUNCTION("""COMPUTED_VALUE"""),"Archer AX53")</f>
        <v>Archer AX53</v>
      </c>
      <c r="F4" s="12">
        <f ca="1">IFERROR(__xludf.DUMMYFUNCTION("""COMPUTED_VALUE"""),51011101)</f>
        <v>51011101</v>
      </c>
      <c r="G4" s="12" t="str">
        <f ca="1">IFERROR(__xludf.DUMMYFUNCTION("""COMPUTED_VALUE"""),"IGEM067O")</f>
        <v>IGEM067O</v>
      </c>
      <c r="H4" s="13">
        <f ca="1">IFERROR(__xludf.DUMMYFUNCTION("""COMPUTED_VALUE"""),2699)</f>
        <v>2699</v>
      </c>
      <c r="I4" s="14">
        <f ca="1">IFERROR(__xludf.DUMMYFUNCTION("""COMPUTED_VALUE"""),1799)</f>
        <v>1799</v>
      </c>
      <c r="J4" s="12"/>
      <c r="K4" s="12"/>
      <c r="L4" s="12" t="str">
        <f ca="1">IFERROR(__xludf.DUMMYFUNCTION("""COMPUTED_VALUE"""),"上架中")</f>
        <v>上架中</v>
      </c>
      <c r="M4" s="12" t="str">
        <f ca="1">IFERROR(__xludf.DUMMYFUNCTION("""COMPUTED_VALUE"""),"6/14到貨2022/12/20缺貨、2022/8/16新品上架")</f>
        <v>6/14到貨2022/12/20缺貨、2022/8/16新品上架</v>
      </c>
      <c r="N4" s="12" t="str">
        <f ca="1">IFERROR(__xludf.DUMMYFUNCTION("""COMPUTED_VALUE"""),"無線路由器")</f>
        <v>無線路由器</v>
      </c>
      <c r="O4" s="12" t="str">
        <f ca="1">IFERROR(__xludf.DUMMYFUNCTION("""COMPUTED_VALUE"""),"黑")</f>
        <v>黑</v>
      </c>
      <c r="P4" s="12" t="str">
        <f ca="1">IFERROR(__xludf.DUMMYFUNCTION("""COMPUTED_VALUE"""),"AX3000 Wi-Fi6Router")</f>
        <v>AX3000 Wi-Fi6Router</v>
      </c>
      <c r="Q4" s="12" t="str">
        <f ca="1">IFERROR(__xludf.DUMMYFUNCTION("""COMPUTED_VALUE"""),"260.2 × 135 × 41.6 毫米(mm)")</f>
        <v>260.2 × 135 × 41.6 毫米(mm)</v>
      </c>
      <c r="R4" s="12" t="str">
        <f ca="1">IFERROR(__xludf.DUMMYFUNCTION("""COMPUTED_VALUE"""),"中國")</f>
        <v>中國</v>
      </c>
      <c r="S4" s="12"/>
      <c r="T4" s="12"/>
      <c r="U4" s="12" t="str">
        <f ca="1">IFERROR(__xludf.DUMMYFUNCTION("""COMPUTED_VALUE"""),"主機3年，
電源供應器３個月")</f>
        <v>主機3年，
電源供應器３個月</v>
      </c>
      <c r="V4" s="12"/>
      <c r="W4" s="12"/>
      <c r="X4" s="12"/>
      <c r="Y4" s="12"/>
      <c r="Z4" s="14"/>
      <c r="AA4" s="15" t="str">
        <f ca="1">IFERROR(__xludf.DUMMYFUNCTION("""COMPUTED_VALUE"""),"*AX3000 Dual-Band Wi-Fi 6 Router *次世代 Gigabit Wi-Fi 6 速度—2402 Mbps(5 GHz) 和 574Mbps(2.4 GHz)頻段確保順暢的串流和快速的下載 *連接更多設備—OFDMA和MU-MIMO技術增加了4倍容量,確保能夠同時傳輸到更多設備 *極低延遲—啟用更具響應性的遊戲和視訊 *延伸的Wi-Fi 覆蓋範圍—4根高增益外接天線和波束成型技術結合強壯而可靠的家庭Wi-Fi *TP-Link HomeShield—加強安全性，防禦最新的網路威脅"&amp;"。")</f>
        <v>*AX3000 Dual-Band Wi-Fi 6 Router *次世代 Gigabit Wi-Fi 6 速度—2402 Mbps(5 GHz) 和 574Mbps(2.4 GHz)頻段確保順暢的串流和快速的下載 *連接更多設備—OFDMA和MU-MIMO技術增加了4倍容量,確保能夠同時傳輸到更多設備 *極低延遲—啟用更具響應性的遊戲和視訊 *延伸的Wi-Fi 覆蓋範圍—4根高增益外接天線和波束成型技術結合強壯而可靠的家庭Wi-Fi *TP-Link HomeShield—加強安全性，防禦最新的網路威脅。</v>
      </c>
    </row>
    <row r="5" spans="1:27" ht="19.5" customHeight="1">
      <c r="A5" s="12" t="str">
        <f ca="1">IFERROR(__xludf.DUMMYFUNCTION("""COMPUTED_VALUE"""),"3C")</f>
        <v>3C</v>
      </c>
      <c r="B5" s="12" t="str">
        <f ca="1">IFERROR(__xludf.DUMMYFUNCTION("""COMPUTED_VALUE"""),"建達")</f>
        <v>建達</v>
      </c>
      <c r="C5" s="12" t="str">
        <f ca="1">IFERROR(__xludf.DUMMYFUNCTION("""COMPUTED_VALUE"""),"TP-Link")</f>
        <v>TP-Link</v>
      </c>
      <c r="D5" s="12" t="str">
        <f ca="1">IFERROR(__xludf.DUMMYFUNCTION("""COMPUTED_VALUE"""),"TP-Link300Mbps無線N4GLTE路由器TL-MR6400")</f>
        <v>TP-Link300Mbps無線N4GLTE路由器TL-MR6400</v>
      </c>
      <c r="E5" s="12" t="str">
        <f ca="1">IFERROR(__xludf.DUMMYFUNCTION("""COMPUTED_VALUE"""),"TL-MR6400")</f>
        <v>TL-MR6400</v>
      </c>
      <c r="F5" s="12">
        <f ca="1">IFERROR(__xludf.DUMMYFUNCTION("""COMPUTED_VALUE"""),51011042)</f>
        <v>51011042</v>
      </c>
      <c r="G5" s="12" t="str">
        <f ca="1">IFERROR(__xludf.DUMMYFUNCTION("""COMPUTED_VALUE"""),"IGEM038F")</f>
        <v>IGEM038F</v>
      </c>
      <c r="H5" s="12">
        <f ca="1">IFERROR(__xludf.DUMMYFUNCTION("""COMPUTED_VALUE"""),1899)</f>
        <v>1899</v>
      </c>
      <c r="I5" s="14">
        <f ca="1">IFERROR(__xludf.DUMMYFUNCTION("""COMPUTED_VALUE"""),1899)</f>
        <v>1899</v>
      </c>
      <c r="J5" s="16">
        <f ca="1">IFERROR(__xludf.DUMMYFUNCTION("""COMPUTED_VALUE"""),45300)</f>
        <v>45300</v>
      </c>
      <c r="K5" s="12" t="str">
        <f ca="1">IFERROR(__xludf.DUMMYFUNCTION("""COMPUTED_VALUE"""),"到貨")</f>
        <v>到貨</v>
      </c>
      <c r="L5" s="12" t="str">
        <f ca="1">IFERROR(__xludf.DUMMYFUNCTION("""COMPUTED_VALUE"""),"上架中")</f>
        <v>上架中</v>
      </c>
      <c r="M5" s="12" t="str">
        <f ca="1">IFERROR(__xludf.DUMMYFUNCTION("""COMPUTED_VALUE"""),"2024/1/9到貨2023/12/20缺貨2023/11/28短促2/13到貨2022/12/20缺貨")</f>
        <v>2024/1/9到貨2023/12/20缺貨2023/11/28短促2/13到貨2022/12/20缺貨</v>
      </c>
      <c r="N5" s="12" t="str">
        <f ca="1">IFERROR(__xludf.DUMMYFUNCTION("""COMPUTED_VALUE"""),"無線路由器")</f>
        <v>無線路由器</v>
      </c>
      <c r="O5" s="12" t="str">
        <f ca="1">IFERROR(__xludf.DUMMYFUNCTION("""COMPUTED_VALUE"""),"黑")</f>
        <v>黑</v>
      </c>
      <c r="P5" s="12" t="str">
        <f ca="1">IFERROR(__xludf.DUMMYFUNCTION("""COMPUTED_VALUE"""),"分享4GLTE網路150Mbps下載速度")</f>
        <v>分享4GLTE網路150Mbps下載速度</v>
      </c>
      <c r="Q5" s="12"/>
      <c r="R5" s="12" t="str">
        <f ca="1">IFERROR(__xludf.DUMMYFUNCTION("""COMPUTED_VALUE"""),"中國")</f>
        <v>中國</v>
      </c>
      <c r="S5" s="12"/>
      <c r="T5" s="12"/>
      <c r="U5" s="12" t="str">
        <f ca="1">IFERROR(__xludf.DUMMYFUNCTION("""COMPUTED_VALUE"""),"主機3年，
電源供應器３個月")</f>
        <v>主機3年，
電源供應器３個月</v>
      </c>
      <c r="V5" s="12"/>
      <c r="W5" s="12"/>
      <c r="X5" s="12"/>
      <c r="Y5" s="12"/>
      <c r="Z5" s="14"/>
      <c r="AA5" s="15" t="str">
        <f ca="1">IFERROR(__xludf.DUMMYFUNCTION("""COMPUTED_VALUE"""),"*可分享4GLTE網路供多個設備使用並享受高達150Mbps下載速度*無線N速度高達300Mbps*外接無線N天線提供穩定的無線網路連線*無須任何設定，SIM卡隨插即用*LAN/WAN連接埠所選擇的使用模式自動變更")</f>
        <v>*可分享4GLTE網路供多個設備使用並享受高達150Mbps下載速度*無線N速度高達300Mbps*外接無線N天線提供穩定的無線網路連線*無須任何設定，SIM卡隨插即用*LAN/WAN連接埠所選擇的使用模式自動變更</v>
      </c>
    </row>
    <row r="6" spans="1:27" ht="19.5" customHeight="1">
      <c r="A6" s="12" t="str">
        <f ca="1">IFERROR(__xludf.DUMMYFUNCTION("""COMPUTED_VALUE"""),"3C")</f>
        <v>3C</v>
      </c>
      <c r="B6" s="12" t="str">
        <f ca="1">IFERROR(__xludf.DUMMYFUNCTION("""COMPUTED_VALUE"""),"建達")</f>
        <v>建達</v>
      </c>
      <c r="C6" s="12" t="str">
        <f ca="1">IFERROR(__xludf.DUMMYFUNCTION("""COMPUTED_VALUE"""),"TP-Link")</f>
        <v>TP-Link</v>
      </c>
      <c r="D6" s="12" t="str">
        <f ca="1">IFERROR(__xludf.DUMMYFUNCTION("""COMPUTED_VALUE"""),"TP-Link AX1800 完整家庭Mesh Wi-Fi系統Deco X20(３入組)")</f>
        <v>TP-Link AX1800 完整家庭Mesh Wi-Fi系統Deco X20(３入組)</v>
      </c>
      <c r="E6" s="12" t="str">
        <f ca="1">IFERROR(__xludf.DUMMYFUNCTION("""COMPUTED_VALUE"""),"Deco X20_3-Pack")</f>
        <v>Deco X20_3-Pack</v>
      </c>
      <c r="F6" s="12">
        <f ca="1">IFERROR(__xludf.DUMMYFUNCTION("""COMPUTED_VALUE"""),51011165)</f>
        <v>51011165</v>
      </c>
      <c r="G6" s="12" t="str">
        <f ca="1">IFERROR(__xludf.DUMMYFUNCTION("""COMPUTED_VALUE"""),"IGEM086X")</f>
        <v>IGEM086X</v>
      </c>
      <c r="H6" s="13">
        <f ca="1">IFERROR(__xludf.DUMMYFUNCTION("""COMPUTED_VALUE"""),5999)</f>
        <v>5999</v>
      </c>
      <c r="I6" s="14">
        <f ca="1">IFERROR(__xludf.DUMMYFUNCTION("""COMPUTED_VALUE"""),4980)</f>
        <v>4980</v>
      </c>
      <c r="J6" s="16">
        <f ca="1">IFERROR(__xludf.DUMMYFUNCTION("""COMPUTED_VALUE"""),45615)</f>
        <v>45615</v>
      </c>
      <c r="K6" s="12" t="str">
        <f ca="1">IFERROR(__xludf.DUMMYFUNCTION("""COMPUTED_VALUE"""),"到貨")</f>
        <v>到貨</v>
      </c>
      <c r="L6" s="12" t="str">
        <f ca="1">IFERROR(__xludf.DUMMYFUNCTION("""COMPUTED_VALUE"""),"上架中")</f>
        <v>上架中</v>
      </c>
      <c r="M6" s="12" t="str">
        <f ca="1">IFERROR(__xludf.DUMMYFUNCTION("""COMPUTED_VALUE"""),"2024/01/09到貨 2023/12/13缺貨112/11/3到貨2023/10/17缺貨7/21新機上架")</f>
        <v>2024/01/09到貨 2023/12/13缺貨112/11/3到貨2023/10/17缺貨7/21新機上架</v>
      </c>
      <c r="N6" s="12" t="str">
        <f ca="1">IFERROR(__xludf.DUMMYFUNCTION("""COMPUTED_VALUE"""),"無線路由器")</f>
        <v>無線路由器</v>
      </c>
      <c r="O6" s="12" t="str">
        <f ca="1">IFERROR(__xludf.DUMMYFUNCTION("""COMPUTED_VALUE"""),"白")</f>
        <v>白</v>
      </c>
      <c r="P6" s="12" t="str">
        <f ca="1">IFERROR(__xludf.DUMMYFUNCTION("""COMPUTED_VALUE"""),"Mesh")</f>
        <v>Mesh</v>
      </c>
      <c r="Q6" s="12" t="str">
        <f ca="1">IFERROR(__xludf.DUMMYFUNCTION("""COMPUTED_VALUE"""),"200*300*400(mm)")</f>
        <v>200*300*400(mm)</v>
      </c>
      <c r="R6" s="12" t="str">
        <f ca="1">IFERROR(__xludf.DUMMYFUNCTION("""COMPUTED_VALUE"""),"中國")</f>
        <v>中國</v>
      </c>
      <c r="S6" s="12"/>
      <c r="T6" s="12"/>
      <c r="U6" s="12" t="str">
        <f ca="1">IFERROR(__xludf.DUMMYFUNCTION("""COMPUTED_VALUE"""),"主機3年，
電源供應器３個月")</f>
        <v>主機3年，
電源供應器３個月</v>
      </c>
      <c r="V6" s="12"/>
      <c r="W6" s="12"/>
      <c r="X6" s="12"/>
      <c r="Y6" s="12"/>
      <c r="Z6" s="14"/>
      <c r="AA6" s="15" t="str">
        <f ca="1">IFERROR(__xludf.DUMMYFUNCTION("""COMPUTED_VALUE"""),"*AX1800雙頻智慧型Mesh網狀路由器* Wi-Fi 6, 高通1GHz 四核處理器*1201Mbps 5GHz+574Mbps 2.4GHz*2 *2 MIMO 5GHz*2 Gigabit埠*4 內建天線* OFDMA, MU-MIMO, 1024QAM, 波束成型*家庭照護, 基地台模式, MOD.")</f>
        <v>*AX1800雙頻智慧型Mesh網狀路由器* Wi-Fi 6, 高通1GHz 四核處理器*1201Mbps 5GHz+574Mbps 2.4GHz*2 *2 MIMO 5GHz*2 Gigabit埠*4 內建天線* OFDMA, MU-MIMO, 1024QAM, 波束成型*家庭照護, 基地台模式, MOD.</v>
      </c>
    </row>
    <row r="7" spans="1:27" ht="19.5" customHeight="1">
      <c r="A7" s="12" t="str">
        <f ca="1">IFERROR(__xludf.DUMMYFUNCTION("""COMPUTED_VALUE"""),"3C")</f>
        <v>3C</v>
      </c>
      <c r="B7" s="12" t="str">
        <f ca="1">IFERROR(__xludf.DUMMYFUNCTION("""COMPUTED_VALUE"""),"建達")</f>
        <v>建達</v>
      </c>
      <c r="C7" s="12" t="str">
        <f ca="1">IFERROR(__xludf.DUMMYFUNCTION("""COMPUTED_VALUE"""),"TP-Link")</f>
        <v>TP-Link</v>
      </c>
      <c r="D7" s="12" t="str">
        <f ca="1">IFERROR(__xludf.DUMMYFUNCTION("""COMPUTED_VALUE"""),"TP-Link AX3000 Mesh WiFi 雙頻網狀路由器Deco X50(3入組)")</f>
        <v>TP-Link AX3000 Mesh WiFi 雙頻網狀路由器Deco X50(3入組)</v>
      </c>
      <c r="E7" s="12" t="str">
        <f ca="1">IFERROR(__xludf.DUMMYFUNCTION("""COMPUTED_VALUE"""),"Deco X50-3pack")</f>
        <v>Deco X50-3pack</v>
      </c>
      <c r="F7" s="12">
        <f ca="1">IFERROR(__xludf.DUMMYFUNCTION("""COMPUTED_VALUE"""),51011175)</f>
        <v>51011175</v>
      </c>
      <c r="G7" s="12" t="str">
        <f ca="1">IFERROR(__xludf.DUMMYFUNCTION("""COMPUTED_VALUE"""),"IGEM1024")</f>
        <v>IGEM1024</v>
      </c>
      <c r="H7" s="13">
        <f ca="1">IFERROR(__xludf.DUMMYFUNCTION("""COMPUTED_VALUE"""),8999)</f>
        <v>8999</v>
      </c>
      <c r="I7" s="14">
        <f ca="1">IFERROR(__xludf.DUMMYFUNCTION("""COMPUTED_VALUE"""),6999)</f>
        <v>6999</v>
      </c>
      <c r="J7" s="16">
        <f ca="1">IFERROR(__xludf.DUMMYFUNCTION("""COMPUTED_VALUE"""),45440)</f>
        <v>45440</v>
      </c>
      <c r="K7" s="12" t="str">
        <f ca="1">IFERROR(__xludf.DUMMYFUNCTION("""COMPUTED_VALUE"""),"新機上架")</f>
        <v>新機上架</v>
      </c>
      <c r="L7" s="12" t="str">
        <f ca="1">IFERROR(__xludf.DUMMYFUNCTION("""COMPUTED_VALUE"""),"上架中")</f>
        <v>上架中</v>
      </c>
      <c r="M7" s="12" t="str">
        <f ca="1">IFERROR(__xludf.DUMMYFUNCTION("""COMPUTED_VALUE"""),"2024/5/28新機上架")</f>
        <v>2024/5/28新機上架</v>
      </c>
      <c r="N7" s="12" t="str">
        <f ca="1">IFERROR(__xludf.DUMMYFUNCTION("""COMPUTED_VALUE"""),"無線路由器")</f>
        <v>無線路由器</v>
      </c>
      <c r="O7" s="12" t="str">
        <f ca="1">IFERROR(__xludf.DUMMYFUNCTION("""COMPUTED_VALUE"""),"白色")</f>
        <v>白色</v>
      </c>
      <c r="P7" s="12" t="str">
        <f ca="1">IFERROR(__xludf.DUMMYFUNCTION("""COMPUTED_VALUE"""),"AX3000")</f>
        <v>AX3000</v>
      </c>
      <c r="Q7" s="12" t="str">
        <f ca="1">IFERROR(__xludf.DUMMYFUNCTION("""COMPUTED_VALUE"""),"(高)110* (寬)110*  (深)114mm(每Pcs)")</f>
        <v>(高)110* (寬)110*  (深)114mm(每Pcs)</v>
      </c>
      <c r="R7" s="12" t="str">
        <f ca="1">IFERROR(__xludf.DUMMYFUNCTION("""COMPUTED_VALUE"""),"中國")</f>
        <v>中國</v>
      </c>
      <c r="S7" s="12"/>
      <c r="T7" s="12"/>
      <c r="U7" s="12" t="str">
        <f ca="1">IFERROR(__xludf.DUMMYFUNCTION("""COMPUTED_VALUE"""),"主機3年，
電源供應器３個月")</f>
        <v>主機3年，
電源供應器３個月</v>
      </c>
      <c r="V7" s="12"/>
      <c r="W7" s="12"/>
      <c r="X7" s="12"/>
      <c r="Y7" s="12"/>
      <c r="Z7" s="14"/>
      <c r="AA7" s="15" t="str">
        <f ca="1">IFERROR(__xludf.DUMMYFUNCTION("""COMPUTED_VALUE"""),"*AX3000雙頻WiFi - 超高速WiFi 6 速度高達3.0 Gbps*4串流,減少延遲 - 2×2/HT160 2402 Mbps + 2×2 574 Mbps*Gigabit無線速度- 3×Gigabit連接埠提供更多設備連接*提升無縫範圍 - 無縫WiFi 覆蓋範圍高達180坪(3入組)*TP-Link HomeShield - 提供家中網路和 IoT 設備更好的保護效果*輕鬆簡單完成設定 - 依照Deco app 指示即可輕鬆完成設定")</f>
        <v>*AX3000雙頻WiFi - 超高速WiFi 6 速度高達3.0 Gbps*4串流,減少延遲 - 2×2/HT160 2402 Mbps + 2×2 574 Mbps*Gigabit無線速度- 3×Gigabit連接埠提供更多設備連接*提升無縫範圍 - 無縫WiFi 覆蓋範圍高達180坪(3入組)*TP-Link HomeShield - 提供家中網路和 IoT 設備更好的保護效果*輕鬆簡單完成設定 - 依照Deco app 指示即可輕鬆完成設定</v>
      </c>
    </row>
    <row r="8" spans="1:27" ht="19.5" customHeight="1">
      <c r="A8" s="12" t="str">
        <f ca="1">IFERROR(__xludf.DUMMYFUNCTION("""COMPUTED_VALUE"""),"3C")</f>
        <v>3C</v>
      </c>
      <c r="B8" s="12" t="str">
        <f ca="1">IFERROR(__xludf.DUMMYFUNCTION("""COMPUTED_VALUE"""),"建達")</f>
        <v>建達</v>
      </c>
      <c r="C8" s="12" t="str">
        <f ca="1">IFERROR(__xludf.DUMMYFUNCTION("""COMPUTED_VALUE"""),"TP-Link")</f>
        <v>TP-Link</v>
      </c>
      <c r="D8" s="12" t="str">
        <f ca="1">IFERROR(__xludf.DUMMYFUNCTION("""COMPUTED_VALUE"""),"TP-Link AX3000 Mesh WiFi 雙頻網狀路由器Deco X50")</f>
        <v>TP-Link AX3000 Mesh WiFi 雙頻網狀路由器Deco X50</v>
      </c>
      <c r="E8" s="12" t="str">
        <f ca="1">IFERROR(__xludf.DUMMYFUNCTION("""COMPUTED_VALUE"""),"Deco X50-1pack")</f>
        <v>Deco X50-1pack</v>
      </c>
      <c r="F8" s="12">
        <f ca="1">IFERROR(__xludf.DUMMYFUNCTION("""COMPUTED_VALUE"""),51011179)</f>
        <v>51011179</v>
      </c>
      <c r="G8" s="12" t="str">
        <f ca="1">IFERROR(__xludf.DUMMYFUNCTION("""COMPUTED_VALUE"""),"IGEM105P")</f>
        <v>IGEM105P</v>
      </c>
      <c r="H8" s="13">
        <f ca="1">IFERROR(__xludf.DUMMYFUNCTION("""COMPUTED_VALUE"""),3999)</f>
        <v>3999</v>
      </c>
      <c r="I8" s="14">
        <f ca="1">IFERROR(__xludf.DUMMYFUNCTION("""COMPUTED_VALUE"""),2999)</f>
        <v>2999</v>
      </c>
      <c r="J8" s="16">
        <f ca="1">IFERROR(__xludf.DUMMYFUNCTION("""COMPUTED_VALUE"""),45560)</f>
        <v>45560</v>
      </c>
      <c r="K8" s="12" t="str">
        <f ca="1">IFERROR(__xludf.DUMMYFUNCTION("""COMPUTED_VALUE"""),"到貨")</f>
        <v>到貨</v>
      </c>
      <c r="L8" s="12" t="str">
        <f ca="1">IFERROR(__xludf.DUMMYFUNCTION("""COMPUTED_VALUE"""),"上架中")</f>
        <v>上架中</v>
      </c>
      <c r="M8" s="12"/>
      <c r="N8" s="12" t="str">
        <f ca="1">IFERROR(__xludf.DUMMYFUNCTION("""COMPUTED_VALUE"""),"無線路由器")</f>
        <v>無線路由器</v>
      </c>
      <c r="O8" s="12" t="str">
        <f ca="1">IFERROR(__xludf.DUMMYFUNCTION("""COMPUTED_VALUE"""),"白色")</f>
        <v>白色</v>
      </c>
      <c r="P8" s="12" t="str">
        <f ca="1">IFERROR(__xludf.DUMMYFUNCTION("""COMPUTED_VALUE"""),"AX3000")</f>
        <v>AX3000</v>
      </c>
      <c r="Q8" s="12" t="str">
        <f ca="1">IFERROR(__xludf.DUMMYFUNCTION("""COMPUTED_VALUE""")," (高)110* (寬)110*(深)114mm(每Pcs)")</f>
        <v xml:space="preserve"> (高)110* (寬)110*(深)114mm(每Pcs)</v>
      </c>
      <c r="R8" s="12" t="str">
        <f ca="1">IFERROR(__xludf.DUMMYFUNCTION("""COMPUTED_VALUE"""),"中國")</f>
        <v>中國</v>
      </c>
      <c r="S8" s="12"/>
      <c r="T8" s="12"/>
      <c r="U8" s="12" t="str">
        <f ca="1">IFERROR(__xludf.DUMMYFUNCTION("""COMPUTED_VALUE"""),"主機3年，
電源供應器３個月")</f>
        <v>主機3年，
電源供應器３個月</v>
      </c>
      <c r="V8" s="12"/>
      <c r="W8" s="12"/>
      <c r="X8" s="12"/>
      <c r="Y8" s="12"/>
      <c r="Z8" s="14"/>
      <c r="AA8" s="15" t="str">
        <f ca="1">IFERROR(__xludf.DUMMYFUNCTION("""COMPUTED_VALUE"""),"*AX3000雙頻WiFi - 超高速WiFi 6 速度高達3.0 Gbps*4串流,減少延遲 - 2×2/HT160 2402 Mbps + 2×2 574 Mbps*Gigabit無線速度- 3×Gigabit連接埠提供更多設備連接*TP-Link HomeShield - 提供家中網路和 IoT 設備更好的保護效果*輕鬆簡單完成設定 - 依照Deco app 指示即可輕鬆完成設定")</f>
        <v>*AX3000雙頻WiFi - 超高速WiFi 6 速度高達3.0 Gbps*4串流,減少延遲 - 2×2/HT160 2402 Mbps + 2×2 574 Mbps*Gigabit無線速度- 3×Gigabit連接埠提供更多設備連接*TP-Link HomeShield - 提供家中網路和 IoT 設備更好的保護效果*輕鬆簡單完成設定 - 依照Deco app 指示即可輕鬆完成設定</v>
      </c>
    </row>
    <row r="9" spans="1:27" ht="19.5" customHeight="1">
      <c r="A9" s="12" t="str">
        <f ca="1">IFERROR(__xludf.DUMMYFUNCTION("""COMPUTED_VALUE"""),"3C")</f>
        <v>3C</v>
      </c>
      <c r="B9" s="12" t="str">
        <f ca="1">IFERROR(__xludf.DUMMYFUNCTION("""COMPUTED_VALUE"""),"祥豪")</f>
        <v>祥豪</v>
      </c>
      <c r="C9" s="12" t="str">
        <f ca="1">IFERROR(__xludf.DUMMYFUNCTION("""COMPUTED_VALUE"""),"Logitech")</f>
        <v>Logitech</v>
      </c>
      <c r="D9" s="12" t="str">
        <f ca="1">IFERROR(__xludf.DUMMYFUNCTION("""COMPUTED_VALUE"""),"logitech_炫彩遊戲滑鼠-黑_G102黑")</f>
        <v>logitech_炫彩遊戲滑鼠-黑_G102黑</v>
      </c>
      <c r="E9" s="12" t="str">
        <f ca="1">IFERROR(__xludf.DUMMYFUNCTION("""COMPUTED_VALUE"""),"G102黑")</f>
        <v>G102黑</v>
      </c>
      <c r="F9" s="12">
        <f ca="1">IFERROR(__xludf.DUMMYFUNCTION("""COMPUTED_VALUE"""),51096050)</f>
        <v>51096050</v>
      </c>
      <c r="G9" s="12" t="str">
        <f ca="1">IFERROR(__xludf.DUMMYFUNCTION("""COMPUTED_VALUE"""),"ESPTA00S")</f>
        <v>ESPTA00S</v>
      </c>
      <c r="H9" s="12">
        <f ca="1">IFERROR(__xludf.DUMMYFUNCTION("""COMPUTED_VALUE"""),699)</f>
        <v>699</v>
      </c>
      <c r="I9" s="14">
        <f ca="1">IFERROR(__xludf.DUMMYFUNCTION("""COMPUTED_VALUE"""),499)</f>
        <v>499</v>
      </c>
      <c r="J9" s="12"/>
      <c r="K9" s="12"/>
      <c r="L9" s="12" t="str">
        <f ca="1">IFERROR(__xludf.DUMMYFUNCTION("""COMPUTED_VALUE"""),"上架中")</f>
        <v>上架中</v>
      </c>
      <c r="M9" s="12" t="str">
        <f ca="1">IFERROR(__xludf.DUMMYFUNCTION("""COMPUTED_VALUE"""),"2021/6/1起調降")</f>
        <v>2021/6/1起調降</v>
      </c>
      <c r="N9" s="12" t="str">
        <f ca="1">IFERROR(__xludf.DUMMYFUNCTION("""COMPUTED_VALUE"""),"鍵盤/滑鼠")</f>
        <v>鍵盤/滑鼠</v>
      </c>
      <c r="O9" s="12" t="str">
        <f ca="1">IFERROR(__xludf.DUMMYFUNCTION("""COMPUTED_VALUE"""),"黑")</f>
        <v>黑</v>
      </c>
      <c r="P9" s="12" t="str">
        <f ca="1">IFERROR(__xludf.DUMMYFUNCTION("""COMPUTED_VALUE"""),"光學/8000dpi/黑")</f>
        <v>光學/8000dpi/黑</v>
      </c>
      <c r="Q9" s="12" t="str">
        <f ca="1">IFERROR(__xludf.DUMMYFUNCTION("""COMPUTED_VALUE"""),"102*46*155mm")</f>
        <v>102*46*155mm</v>
      </c>
      <c r="R9" s="12" t="str">
        <f ca="1">IFERROR(__xludf.DUMMYFUNCTION("""COMPUTED_VALUE"""),"中國")</f>
        <v>中國</v>
      </c>
      <c r="S9" s="12" t="str">
        <f ca="1">IFERROR(__xludf.DUMMYFUNCTION("""COMPUTED_VALUE"""),"歐盟RoSH")</f>
        <v>歐盟RoSH</v>
      </c>
      <c r="T9" s="12"/>
      <c r="U9" s="12" t="str">
        <f ca="1">IFERROR(__xludf.DUMMYFUNCTION("""COMPUTED_VALUE"""),"2年")</f>
        <v>2年</v>
      </c>
      <c r="V9" s="12"/>
      <c r="W9" s="12"/>
      <c r="X9" s="12"/>
      <c r="Y9" s="12"/>
      <c r="Z9" s="14"/>
      <c r="AA9" s="15" t="str">
        <f ca="1">IFERROR(__xludf.DUMMYFUNCTION("""COMPUTED_VALUE"""),"*RGB色彩波浪*200-8000DPI範圍*自訂5種預先設定*最佳化按鍵張力")</f>
        <v>*RGB色彩波浪*200-8000DPI範圍*自訂5種預先設定*最佳化按鍵張力</v>
      </c>
    </row>
    <row r="10" spans="1:27" ht="19.5" customHeight="1">
      <c r="A10" s="12" t="str">
        <f ca="1">IFERROR(__xludf.DUMMYFUNCTION("""COMPUTED_VALUE"""),"3C")</f>
        <v>3C</v>
      </c>
      <c r="B10" s="12" t="str">
        <f ca="1">IFERROR(__xludf.DUMMYFUNCTION("""COMPUTED_VALUE"""),"祥豪")</f>
        <v>祥豪</v>
      </c>
      <c r="C10" s="12" t="str">
        <f ca="1">IFERROR(__xludf.DUMMYFUNCTION("""COMPUTED_VALUE"""),"Logitech")</f>
        <v>Logitech</v>
      </c>
      <c r="D10" s="12" t="str">
        <f ca="1">IFERROR(__xludf.DUMMYFUNCTION("""COMPUTED_VALUE"""),"logitech_超薄無線鍵鼠組-石墨灰_MK470石墨灰")</f>
        <v>logitech_超薄無線鍵鼠組-石墨灰_MK470石墨灰</v>
      </c>
      <c r="E10" s="12" t="str">
        <f ca="1">IFERROR(__xludf.DUMMYFUNCTION("""COMPUTED_VALUE"""),"MK470石墨灰")</f>
        <v>MK470石墨灰</v>
      </c>
      <c r="F10" s="12">
        <f ca="1">IFERROR(__xludf.DUMMYFUNCTION("""COMPUTED_VALUE"""),51096051)</f>
        <v>51096051</v>
      </c>
      <c r="G10" s="12" t="str">
        <f ca="1">IFERROR(__xludf.DUMMYFUNCTION("""COMPUTED_VALUE"""),"ESPTA00T")</f>
        <v>ESPTA00T</v>
      </c>
      <c r="H10" s="12">
        <f ca="1">IFERROR(__xludf.DUMMYFUNCTION("""COMPUTED_VALUE"""),1590)</f>
        <v>1590</v>
      </c>
      <c r="I10" s="14">
        <f ca="1">IFERROR(__xludf.DUMMYFUNCTION("""COMPUTED_VALUE"""),1590)</f>
        <v>1590</v>
      </c>
      <c r="J10" s="12"/>
      <c r="K10" s="12"/>
      <c r="L10" s="12" t="str">
        <f ca="1">IFERROR(__xludf.DUMMYFUNCTION("""COMPUTED_VALUE"""),"上架中")</f>
        <v>上架中</v>
      </c>
      <c r="M10" s="12" t="str">
        <f ca="1">IFERROR(__xludf.DUMMYFUNCTION("""COMPUTED_VALUE"""),"2020/6/17新機上架")</f>
        <v>2020/6/17新機上架</v>
      </c>
      <c r="N10" s="12" t="str">
        <f ca="1">IFERROR(__xludf.DUMMYFUNCTION("""COMPUTED_VALUE"""),"鍵盤/滑鼠")</f>
        <v>鍵盤/滑鼠</v>
      </c>
      <c r="O10" s="12" t="str">
        <f ca="1">IFERROR(__xludf.DUMMYFUNCTION("""COMPUTED_VALUE"""),"石墨灰")</f>
        <v>石墨灰</v>
      </c>
      <c r="P10" s="12" t="str">
        <f ca="1">IFERROR(__xludf.DUMMYFUNCTION("""COMPUTED_VALUE"""),"USB/2.4GHz/GRAPHITE/石墨灰")</f>
        <v>USB/2.4GHz/GRAPHITE/石墨灰</v>
      </c>
      <c r="Q10" s="12" t="str">
        <f ca="1">IFERROR(__xludf.DUMMYFUNCTION("""COMPUTED_VALUE"""),"455*150*35mm")</f>
        <v>455*150*35mm</v>
      </c>
      <c r="R10" s="12" t="str">
        <f ca="1">IFERROR(__xludf.DUMMYFUNCTION("""COMPUTED_VALUE"""),"中國")</f>
        <v>中國</v>
      </c>
      <c r="S10" s="12" t="str">
        <f ca="1">IFERROR(__xludf.DUMMYFUNCTION("""COMPUTED_VALUE"""),"歐盟RoSH")</f>
        <v>歐盟RoSH</v>
      </c>
      <c r="T10" s="12"/>
      <c r="U10" s="12" t="str">
        <f ca="1">IFERROR(__xludf.DUMMYFUNCTION("""COMPUTED_VALUE"""),"1年")</f>
        <v>1年</v>
      </c>
      <c r="V10" s="12"/>
      <c r="W10" s="12"/>
      <c r="X10" s="12"/>
      <c r="Y10" s="12"/>
      <c r="Z10" s="14"/>
      <c r="AA10" s="15" t="str">
        <f ca="1">IFERROR(__xludf.DUMMYFUNCTION("""COMPUTED_VALUE"""),"*節省空間，高效辦公*簡約、現代、纖薄*流暢舒適的輸入與滑鼠操控*安靜無聲的工作")</f>
        <v>*節省空間，高效辦公*簡約、現代、纖薄*流暢舒適的輸入與滑鼠操控*安靜無聲的工作</v>
      </c>
    </row>
    <row r="11" spans="1:27" ht="19.5" customHeight="1">
      <c r="A11" s="12" t="str">
        <f ca="1">IFERROR(__xludf.DUMMYFUNCTION("""COMPUTED_VALUE"""),"3C")</f>
        <v>3C</v>
      </c>
      <c r="B11" s="12" t="str">
        <f ca="1">IFERROR(__xludf.DUMMYFUNCTION("""COMPUTED_VALUE"""),"祥豪")</f>
        <v>祥豪</v>
      </c>
      <c r="C11" s="12" t="str">
        <f ca="1">IFERROR(__xludf.DUMMYFUNCTION("""COMPUTED_VALUE"""),"Logitech")</f>
        <v>Logitech</v>
      </c>
      <c r="D11" s="12" t="str">
        <f ca="1">IFERROR(__xludf.DUMMYFUNCTION("""COMPUTED_VALUE"""),"logitech_超薄無線鍵鼠組-珍珠白_MK470珍珠白")</f>
        <v>logitech_超薄無線鍵鼠組-珍珠白_MK470珍珠白</v>
      </c>
      <c r="E11" s="12" t="str">
        <f ca="1">IFERROR(__xludf.DUMMYFUNCTION("""COMPUTED_VALUE"""),"MK470珍珠白")</f>
        <v>MK470珍珠白</v>
      </c>
      <c r="F11" s="12">
        <f ca="1">IFERROR(__xludf.DUMMYFUNCTION("""COMPUTED_VALUE"""),51096052)</f>
        <v>51096052</v>
      </c>
      <c r="G11" s="12" t="str">
        <f ca="1">IFERROR(__xludf.DUMMYFUNCTION("""COMPUTED_VALUE"""),"ESPTA00U")</f>
        <v>ESPTA00U</v>
      </c>
      <c r="H11" s="12">
        <f ca="1">IFERROR(__xludf.DUMMYFUNCTION("""COMPUTED_VALUE"""),1590)</f>
        <v>1590</v>
      </c>
      <c r="I11" s="14">
        <f ca="1">IFERROR(__xludf.DUMMYFUNCTION("""COMPUTED_VALUE"""),1590)</f>
        <v>1590</v>
      </c>
      <c r="J11" s="12"/>
      <c r="K11" s="12"/>
      <c r="L11" s="12" t="str">
        <f ca="1">IFERROR(__xludf.DUMMYFUNCTION("""COMPUTED_VALUE"""),"上架中")</f>
        <v>上架中</v>
      </c>
      <c r="M11" s="12" t="str">
        <f ca="1">IFERROR(__xludf.DUMMYFUNCTION("""COMPUTED_VALUE"""),"2020/7/17新機上架")</f>
        <v>2020/7/17新機上架</v>
      </c>
      <c r="N11" s="12" t="str">
        <f ca="1">IFERROR(__xludf.DUMMYFUNCTION("""COMPUTED_VALUE"""),"鍵盤/滑鼠")</f>
        <v>鍵盤/滑鼠</v>
      </c>
      <c r="O11" s="12" t="str">
        <f ca="1">IFERROR(__xludf.DUMMYFUNCTION("""COMPUTED_VALUE"""),"珍珠白")</f>
        <v>珍珠白</v>
      </c>
      <c r="P11" s="12" t="str">
        <f ca="1">IFERROR(__xludf.DUMMYFUNCTION("""COMPUTED_VALUE"""),"USB/2.4GHz/OFFWHITE/珍珠白")</f>
        <v>USB/2.4GHz/OFFWHITE/珍珠白</v>
      </c>
      <c r="Q11" s="12" t="str">
        <f ca="1">IFERROR(__xludf.DUMMYFUNCTION("""COMPUTED_VALUE"""),"455*150*35mm")</f>
        <v>455*150*35mm</v>
      </c>
      <c r="R11" s="12" t="str">
        <f ca="1">IFERROR(__xludf.DUMMYFUNCTION("""COMPUTED_VALUE"""),"中國")</f>
        <v>中國</v>
      </c>
      <c r="S11" s="12" t="str">
        <f ca="1">IFERROR(__xludf.DUMMYFUNCTION("""COMPUTED_VALUE"""),"歐盟RoSH")</f>
        <v>歐盟RoSH</v>
      </c>
      <c r="T11" s="12"/>
      <c r="U11" s="12" t="str">
        <f ca="1">IFERROR(__xludf.DUMMYFUNCTION("""COMPUTED_VALUE"""),"1年")</f>
        <v>1年</v>
      </c>
      <c r="V11" s="12"/>
      <c r="W11" s="12"/>
      <c r="X11" s="12"/>
      <c r="Y11" s="12"/>
      <c r="Z11" s="14"/>
      <c r="AA11" s="15" t="str">
        <f ca="1">IFERROR(__xludf.DUMMYFUNCTION("""COMPUTED_VALUE"""),"*節省空間，高效辦公*簡約、現代、纖薄*流暢舒適的輸入與滑鼠操控*安靜無聲的工作")</f>
        <v>*節省空間，高效辦公*簡約、現代、纖薄*流暢舒適的輸入與滑鼠操控*安靜無聲的工作</v>
      </c>
    </row>
    <row r="12" spans="1:27" ht="19.5" customHeight="1">
      <c r="A12" s="12" t="str">
        <f ca="1">IFERROR(__xludf.DUMMYFUNCTION("""COMPUTED_VALUE"""),"3C")</f>
        <v>3C</v>
      </c>
      <c r="B12" s="12" t="str">
        <f ca="1">IFERROR(__xludf.DUMMYFUNCTION("""COMPUTED_VALUE"""),"祥豪")</f>
        <v>祥豪</v>
      </c>
      <c r="C12" s="12" t="str">
        <f ca="1">IFERROR(__xludf.DUMMYFUNCTION("""COMPUTED_VALUE"""),"Logitech")</f>
        <v>Logitech</v>
      </c>
      <c r="D12" s="17" t="str">
        <f ca="1">IFERROR(__xludf.DUMMYFUNCTION("""COMPUTED_VALUE"""),"Logitech_羅技多工靜音無線滑鼠_M650石墨灰")</f>
        <v>Logitech_羅技多工靜音無線滑鼠_M650石墨灰</v>
      </c>
      <c r="E12" s="12" t="str">
        <f ca="1">IFERROR(__xludf.DUMMYFUNCTION("""COMPUTED_VALUE"""),"M650石墨灰")</f>
        <v>M650石墨灰</v>
      </c>
      <c r="F12" s="12">
        <f ca="1">IFERROR(__xludf.DUMMYFUNCTION("""COMPUTED_VALUE"""),51096196)</f>
        <v>51096196</v>
      </c>
      <c r="G12" s="12" t="str">
        <f ca="1">IFERROR(__xludf.DUMMYFUNCTION("""COMPUTED_VALUE"""),"ESPTA019")</f>
        <v>ESPTA019</v>
      </c>
      <c r="H12" s="12">
        <f ca="1">IFERROR(__xludf.DUMMYFUNCTION("""COMPUTED_VALUE"""),1090)</f>
        <v>1090</v>
      </c>
      <c r="I12" s="14">
        <f ca="1">IFERROR(__xludf.DUMMYFUNCTION("""COMPUTED_VALUE"""),1090)</f>
        <v>1090</v>
      </c>
      <c r="J12" s="12"/>
      <c r="K12" s="12"/>
      <c r="L12" s="12" t="str">
        <f ca="1">IFERROR(__xludf.DUMMYFUNCTION("""COMPUTED_VALUE"""),"上架中")</f>
        <v>上架中</v>
      </c>
      <c r="M12" s="12"/>
      <c r="N12" s="12" t="str">
        <f ca="1">IFERROR(__xludf.DUMMYFUNCTION("""COMPUTED_VALUE"""),"鍵盤/滑鼠")</f>
        <v>鍵盤/滑鼠</v>
      </c>
      <c r="O12" s="12" t="str">
        <f ca="1">IFERROR(__xludf.DUMMYFUNCTION("""COMPUTED_VALUE"""),"石墨灰")</f>
        <v>石墨灰</v>
      </c>
      <c r="P12" s="12" t="str">
        <f ca="1">IFERROR(__xludf.DUMMYFUNCTION("""COMPUTED_VALUE"""),"石墨灰/BT/2.4GHz/Flow 2ch/SanakMediumCore")</f>
        <v>石墨灰/BT/2.4GHz/Flow 2ch/SanakMediumCore</v>
      </c>
      <c r="Q12" s="12" t="str">
        <f ca="1">IFERROR(__xludf.DUMMYFUNCTION("""COMPUTED_VALUE"""),"107.19*61.8*37.8mm")</f>
        <v>107.19*61.8*37.8mm</v>
      </c>
      <c r="R12" s="12" t="str">
        <f ca="1">IFERROR(__xludf.DUMMYFUNCTION("""COMPUTED_VALUE"""),"中國")</f>
        <v>中國</v>
      </c>
      <c r="S12" s="12" t="str">
        <f ca="1">IFERROR(__xludf.DUMMYFUNCTION("""COMPUTED_VALUE"""),"歐盟RoSH&amp;FSC")</f>
        <v>歐盟RoSH&amp;FSC</v>
      </c>
      <c r="T12" s="12"/>
      <c r="U12" s="12" t="str">
        <f ca="1">IFERROR(__xludf.DUMMYFUNCTION("""COMPUTED_VALUE"""),"1 年有限硬體保固")</f>
        <v>1 年有限硬體保固</v>
      </c>
      <c r="V12" s="12" t="str">
        <f ca="1">IFERROR(__xludf.DUMMYFUNCTION("""COMPUTED_VALUE"""),"無")</f>
        <v>無</v>
      </c>
      <c r="W12" s="12"/>
      <c r="X12" s="12" t="str">
        <f ca="1">IFERROR(__xludf.DUMMYFUNCTION("""COMPUTED_VALUE"""),"(114/1/1-2/28)隨貨送Logi滑鼠墊(不挑款)*1-數量有限送完為止")</f>
        <v>(114/1/1-2/28)隨貨送Logi滑鼠墊(不挑款)*1-數量有限送完為止</v>
      </c>
      <c r="Y12" s="12"/>
      <c r="Z12" s="14"/>
      <c r="AA12" s="15" t="str">
        <f ca="1">IFERROR(__xludf.DUMMYFUNCTION("""COMPUTED_VALUE"""),"*藍芽&amp;接收器方式連線。可在多種平台上使用*更智慧的捲動。更好的貼合*SMARTWHEEL 捲動*完美貼合您的手型(建議小到中型手掌使用)")</f>
        <v>*藍芽&amp;接收器方式連線。可在多種平台上使用*更智慧的捲動。更好的貼合*SMARTWHEEL 捲動*完美貼合您的手型(建議小到中型手掌使用)</v>
      </c>
    </row>
    <row r="13" spans="1:27" ht="19.5" customHeight="1">
      <c r="A13" s="12" t="str">
        <f ca="1">IFERROR(__xludf.DUMMYFUNCTION("""COMPUTED_VALUE"""),"3C")</f>
        <v>3C</v>
      </c>
      <c r="B13" s="12" t="str">
        <f ca="1">IFERROR(__xludf.DUMMYFUNCTION("""COMPUTED_VALUE"""),"祥豪")</f>
        <v>祥豪</v>
      </c>
      <c r="C13" s="12" t="str">
        <f ca="1">IFERROR(__xludf.DUMMYFUNCTION("""COMPUTED_VALUE"""),"Logitech")</f>
        <v>Logitech</v>
      </c>
      <c r="D13" s="12" t="str">
        <f ca="1">IFERROR(__xludf.DUMMYFUNCTION("""COMPUTED_VALUE"""),"Logitech_羅技多工靜音無線滑鼠_M650玫瑰粉")</f>
        <v>Logitech_羅技多工靜音無線滑鼠_M650玫瑰粉</v>
      </c>
      <c r="E13" s="12" t="str">
        <f ca="1">IFERROR(__xludf.DUMMYFUNCTION("""COMPUTED_VALUE"""),"M650玫瑰粉")</f>
        <v>M650玫瑰粉</v>
      </c>
      <c r="F13" s="12">
        <f ca="1">IFERROR(__xludf.DUMMYFUNCTION("""COMPUTED_VALUE"""),51096197)</f>
        <v>51096197</v>
      </c>
      <c r="G13" s="12" t="str">
        <f ca="1">IFERROR(__xludf.DUMMYFUNCTION("""COMPUTED_VALUE"""),"ESPTA01A")</f>
        <v>ESPTA01A</v>
      </c>
      <c r="H13" s="12">
        <f ca="1">IFERROR(__xludf.DUMMYFUNCTION("""COMPUTED_VALUE"""),1090)</f>
        <v>1090</v>
      </c>
      <c r="I13" s="14">
        <f ca="1">IFERROR(__xludf.DUMMYFUNCTION("""COMPUTED_VALUE"""),1090)</f>
        <v>1090</v>
      </c>
      <c r="J13" s="12"/>
      <c r="K13" s="12"/>
      <c r="L13" s="12" t="str">
        <f ca="1">IFERROR(__xludf.DUMMYFUNCTION("""COMPUTED_VALUE"""),"上架中")</f>
        <v>上架中</v>
      </c>
      <c r="M13" s="12"/>
      <c r="N13" s="12" t="str">
        <f ca="1">IFERROR(__xludf.DUMMYFUNCTION("""COMPUTED_VALUE"""),"鍵盤/滑鼠")</f>
        <v>鍵盤/滑鼠</v>
      </c>
      <c r="O13" s="12" t="str">
        <f ca="1">IFERROR(__xludf.DUMMYFUNCTION("""COMPUTED_VALUE"""),"玫瑰粉")</f>
        <v>玫瑰粉</v>
      </c>
      <c r="P13" s="12" t="str">
        <f ca="1">IFERROR(__xludf.DUMMYFUNCTION("""COMPUTED_VALUE"""),"玫瑰粉/BT/2.4GHz/Flow 2ch/SanakMediumCore")</f>
        <v>玫瑰粉/BT/2.4GHz/Flow 2ch/SanakMediumCore</v>
      </c>
      <c r="Q13" s="12" t="str">
        <f ca="1">IFERROR(__xludf.DUMMYFUNCTION("""COMPUTED_VALUE"""),"107.19*61.8*37.8mm")</f>
        <v>107.19*61.8*37.8mm</v>
      </c>
      <c r="R13" s="12" t="str">
        <f ca="1">IFERROR(__xludf.DUMMYFUNCTION("""COMPUTED_VALUE"""),"中國")</f>
        <v>中國</v>
      </c>
      <c r="S13" s="12" t="str">
        <f ca="1">IFERROR(__xludf.DUMMYFUNCTION("""COMPUTED_VALUE"""),"歐盟RoSH&amp;FSC")</f>
        <v>歐盟RoSH&amp;FSC</v>
      </c>
      <c r="T13" s="12"/>
      <c r="U13" s="12" t="str">
        <f ca="1">IFERROR(__xludf.DUMMYFUNCTION("""COMPUTED_VALUE"""),"1 年有限硬體保固")</f>
        <v>1 年有限硬體保固</v>
      </c>
      <c r="V13" s="12" t="str">
        <f ca="1">IFERROR(__xludf.DUMMYFUNCTION("""COMPUTED_VALUE"""),"無")</f>
        <v>無</v>
      </c>
      <c r="W13" s="12"/>
      <c r="X13" s="12" t="str">
        <f ca="1">IFERROR(__xludf.DUMMYFUNCTION("""COMPUTED_VALUE"""),"(114/1/1-2/28)隨貨送Logi滑鼠墊(不挑款)*1-數量有限送完為止")</f>
        <v>(114/1/1-2/28)隨貨送Logi滑鼠墊(不挑款)*1-數量有限送完為止</v>
      </c>
      <c r="Y13" s="12"/>
      <c r="Z13" s="14"/>
      <c r="AA13" s="15" t="str">
        <f ca="1">IFERROR(__xludf.DUMMYFUNCTION("""COMPUTED_VALUE"""),"*藍芽&amp;接收器方式連線。可在多種平台上使用*更智慧的捲動。更好的貼合*SMARTWHEEL 捲動*完美貼合您的手型(建議小到中型手掌使用)")</f>
        <v>*藍芽&amp;接收器方式連線。可在多種平台上使用*更智慧的捲動。更好的貼合*SMARTWHEEL 捲動*完美貼合您的手型(建議小到中型手掌使用)</v>
      </c>
    </row>
    <row r="14" spans="1:27" ht="19.5" customHeight="1">
      <c r="A14" s="12" t="str">
        <f ca="1">IFERROR(__xludf.DUMMYFUNCTION("""COMPUTED_VALUE"""),"3C")</f>
        <v>3C</v>
      </c>
      <c r="B14" s="12" t="str">
        <f ca="1">IFERROR(__xludf.DUMMYFUNCTION("""COMPUTED_VALUE"""),"祥豪")</f>
        <v>祥豪</v>
      </c>
      <c r="C14" s="12" t="str">
        <f ca="1">IFERROR(__xludf.DUMMYFUNCTION("""COMPUTED_VALUE"""),"Logitech")</f>
        <v>Logitech</v>
      </c>
      <c r="D14" s="12" t="str">
        <f ca="1">IFERROR(__xludf.DUMMYFUNCTION("""COMPUTED_VALUE"""),"Logitech_羅技多工靜音無線滑鼠_M650珍珠白")</f>
        <v>Logitech_羅技多工靜音無線滑鼠_M650珍珠白</v>
      </c>
      <c r="E14" s="12" t="str">
        <f ca="1">IFERROR(__xludf.DUMMYFUNCTION("""COMPUTED_VALUE"""),"M650珍珠白")</f>
        <v>M650珍珠白</v>
      </c>
      <c r="F14" s="12">
        <f ca="1">IFERROR(__xludf.DUMMYFUNCTION("""COMPUTED_VALUE"""),51096198)</f>
        <v>51096198</v>
      </c>
      <c r="G14" s="12" t="str">
        <f ca="1">IFERROR(__xludf.DUMMYFUNCTION("""COMPUTED_VALUE"""),"ESPTA01B")</f>
        <v>ESPTA01B</v>
      </c>
      <c r="H14" s="12">
        <f ca="1">IFERROR(__xludf.DUMMYFUNCTION("""COMPUTED_VALUE"""),1090)</f>
        <v>1090</v>
      </c>
      <c r="I14" s="14">
        <f ca="1">IFERROR(__xludf.DUMMYFUNCTION("""COMPUTED_VALUE"""),1090)</f>
        <v>1090</v>
      </c>
      <c r="J14" s="12"/>
      <c r="K14" s="12"/>
      <c r="L14" s="12" t="str">
        <f ca="1">IFERROR(__xludf.DUMMYFUNCTION("""COMPUTED_VALUE"""),"上架中")</f>
        <v>上架中</v>
      </c>
      <c r="M14" s="12"/>
      <c r="N14" s="12" t="str">
        <f ca="1">IFERROR(__xludf.DUMMYFUNCTION("""COMPUTED_VALUE"""),"鍵盤/滑鼠")</f>
        <v>鍵盤/滑鼠</v>
      </c>
      <c r="O14" s="12" t="str">
        <f ca="1">IFERROR(__xludf.DUMMYFUNCTION("""COMPUTED_VALUE"""),"珍珠白")</f>
        <v>珍珠白</v>
      </c>
      <c r="P14" s="12" t="str">
        <f ca="1">IFERROR(__xludf.DUMMYFUNCTION("""COMPUTED_VALUE"""),"珍珠白/BT/2.4GHz/Flow 2ch/SanakMediumCore")</f>
        <v>珍珠白/BT/2.4GHz/Flow 2ch/SanakMediumCore</v>
      </c>
      <c r="Q14" s="12" t="str">
        <f ca="1">IFERROR(__xludf.DUMMYFUNCTION("""COMPUTED_VALUE"""),"107.19*61.8*37.8mm")</f>
        <v>107.19*61.8*37.8mm</v>
      </c>
      <c r="R14" s="12" t="str">
        <f ca="1">IFERROR(__xludf.DUMMYFUNCTION("""COMPUTED_VALUE"""),"中國")</f>
        <v>中國</v>
      </c>
      <c r="S14" s="12" t="str">
        <f ca="1">IFERROR(__xludf.DUMMYFUNCTION("""COMPUTED_VALUE"""),"歐盟RoSH&amp;FSC")</f>
        <v>歐盟RoSH&amp;FSC</v>
      </c>
      <c r="T14" s="12"/>
      <c r="U14" s="12" t="str">
        <f ca="1">IFERROR(__xludf.DUMMYFUNCTION("""COMPUTED_VALUE"""),"1 年有限硬體保固")</f>
        <v>1 年有限硬體保固</v>
      </c>
      <c r="V14" s="12" t="str">
        <f ca="1">IFERROR(__xludf.DUMMYFUNCTION("""COMPUTED_VALUE"""),"無")</f>
        <v>無</v>
      </c>
      <c r="W14" s="12"/>
      <c r="X14" s="12" t="str">
        <f ca="1">IFERROR(__xludf.DUMMYFUNCTION("""COMPUTED_VALUE"""),"(114/1/1-2/28)隨貨送Logi滑鼠墊(不挑款)*1-數量有限送完為止")</f>
        <v>(114/1/1-2/28)隨貨送Logi滑鼠墊(不挑款)*1-數量有限送完為止</v>
      </c>
      <c r="Y14" s="12"/>
      <c r="Z14" s="14"/>
      <c r="AA14" s="15" t="str">
        <f ca="1">IFERROR(__xludf.DUMMYFUNCTION("""COMPUTED_VALUE"""),"*藍芽&amp;接收器方式連線。可在多種平台上使用*更智慧的捲動。更好的貼合*SMARTWHEEL 捲動*完美貼合您的手型(建議小到中型手掌使用)")</f>
        <v>*藍芽&amp;接收器方式連線。可在多種平台上使用*更智慧的捲動。更好的貼合*SMARTWHEEL 捲動*完美貼合您的手型(建議小到中型手掌使用)</v>
      </c>
    </row>
    <row r="15" spans="1:27" ht="19.5" customHeight="1">
      <c r="A15" s="12" t="str">
        <f ca="1">IFERROR(__xludf.DUMMYFUNCTION("""COMPUTED_VALUE"""),"3C")</f>
        <v>3C</v>
      </c>
      <c r="B15" s="12" t="str">
        <f ca="1">IFERROR(__xludf.DUMMYFUNCTION("""COMPUTED_VALUE"""),"祥豪")</f>
        <v>祥豪</v>
      </c>
      <c r="C15" s="12" t="str">
        <f ca="1">IFERROR(__xludf.DUMMYFUNCTION("""COMPUTED_VALUE"""),"Logitech")</f>
        <v>Logitech</v>
      </c>
      <c r="D15" s="12" t="str">
        <f ca="1">IFERROR(__xludf.DUMMYFUNCTION("""COMPUTED_VALUE"""),"Logitech_羅技G502 X 高效能電競滑鼠(岩石黑)")</f>
        <v>Logitech_羅技G502 X 高效能電競滑鼠(岩石黑)</v>
      </c>
      <c r="E15" s="12" t="str">
        <f ca="1">IFERROR(__xludf.DUMMYFUNCTION("""COMPUTED_VALUE"""),"G502 X有線岩石黑")</f>
        <v>G502 X有線岩石黑</v>
      </c>
      <c r="F15" s="12">
        <f ca="1">IFERROR(__xludf.DUMMYFUNCTION("""COMPUTED_VALUE"""),51096203)</f>
        <v>51096203</v>
      </c>
      <c r="G15" s="12" t="str">
        <f ca="1">IFERROR(__xludf.DUMMYFUNCTION("""COMPUTED_VALUE"""),"IGEM084G")</f>
        <v>IGEM084G</v>
      </c>
      <c r="H15" s="13">
        <f ca="1">IFERROR(__xludf.DUMMYFUNCTION("""COMPUTED_VALUE"""),2290)</f>
        <v>2290</v>
      </c>
      <c r="I15" s="18">
        <f ca="1">IFERROR(__xludf.DUMMYFUNCTION("""COMPUTED_VALUE"""),2290)</f>
        <v>2290</v>
      </c>
      <c r="J15" s="16">
        <f ca="1">IFERROR(__xludf.DUMMYFUNCTION("""COMPUTED_VALUE"""),45075)</f>
        <v>45075</v>
      </c>
      <c r="K15" s="12" t="str">
        <f ca="1">IFERROR(__xludf.DUMMYFUNCTION("""COMPUTED_VALUE"""),"新機上架")</f>
        <v>新機上架</v>
      </c>
      <c r="L15" s="12" t="str">
        <f ca="1">IFERROR(__xludf.DUMMYFUNCTION("""COMPUTED_VALUE"""),"上架中")</f>
        <v>上架中</v>
      </c>
      <c r="M15" s="12" t="str">
        <f ca="1">IFERROR(__xludf.DUMMYFUNCTION("""COMPUTED_VALUE"""),"5/29新機上架")</f>
        <v>5/29新機上架</v>
      </c>
      <c r="N15" s="12" t="str">
        <f ca="1">IFERROR(__xludf.DUMMYFUNCTION("""COMPUTED_VALUE"""),"鍵盤/滑鼠")</f>
        <v>鍵盤/滑鼠</v>
      </c>
      <c r="O15" s="12" t="str">
        <f ca="1">IFERROR(__xludf.DUMMYFUNCTION("""COMPUTED_VALUE"""),"岩石黑")</f>
        <v>岩石黑</v>
      </c>
      <c r="P15" s="12"/>
      <c r="Q15" s="12"/>
      <c r="R15" s="12" t="str">
        <f ca="1">IFERROR(__xludf.DUMMYFUNCTION("""COMPUTED_VALUE"""),"中國")</f>
        <v>中國</v>
      </c>
      <c r="S15" s="12" t="str">
        <f ca="1">IFERROR(__xludf.DUMMYFUNCTION("""COMPUTED_VALUE"""),"歐盟RoSH&amp;FSC")</f>
        <v>歐盟RoSH&amp;FSC</v>
      </c>
      <c r="T15" s="12"/>
      <c r="U15" s="12" t="str">
        <f ca="1">IFERROR(__xludf.DUMMYFUNCTION("""COMPUTED_VALUE"""),"2年")</f>
        <v>2年</v>
      </c>
      <c r="V15" s="12"/>
      <c r="W15" s="12"/>
      <c r="X15" s="12"/>
      <c r="Y15" s="12"/>
      <c r="Z15" s="14"/>
      <c r="AA15" s="15" t="str">
        <f ca="1">IFERROR(__xludf.DUMMYFUNCTION("""COMPUTED_VALUE"""),"*LIGHTFORCE 開關*HERO 25K 感應器*可調整的DPI切換按鈕*重量減輕 至89 公克")</f>
        <v>*LIGHTFORCE 開關*HERO 25K 感應器*可調整的DPI切換按鈕*重量減輕 至89 公克</v>
      </c>
    </row>
    <row r="16" spans="1:27" ht="19.5" customHeight="1">
      <c r="A16" s="12" t="str">
        <f ca="1">IFERROR(__xludf.DUMMYFUNCTION("""COMPUTED_VALUE"""),"3C")</f>
        <v>3C</v>
      </c>
      <c r="B16" s="12" t="str">
        <f ca="1">IFERROR(__xludf.DUMMYFUNCTION("""COMPUTED_VALUE"""),"祥豪")</f>
        <v>祥豪</v>
      </c>
      <c r="C16" s="12" t="str">
        <f ca="1">IFERROR(__xludf.DUMMYFUNCTION("""COMPUTED_VALUE"""),"Logitech")</f>
        <v>Logitech</v>
      </c>
      <c r="D16" s="12" t="str">
        <f ca="1">IFERROR(__xludf.DUMMYFUNCTION("""COMPUTED_VALUE"""),"Logitech_羅技G502 X 高效能電競滑鼠(皓月白)")</f>
        <v>Logitech_羅技G502 X 高效能電競滑鼠(皓月白)</v>
      </c>
      <c r="E16" s="12" t="str">
        <f ca="1">IFERROR(__xludf.DUMMYFUNCTION("""COMPUTED_VALUE"""),"G502 X有線皓月白")</f>
        <v>G502 X有線皓月白</v>
      </c>
      <c r="F16" s="12">
        <f ca="1">IFERROR(__xludf.DUMMYFUNCTION("""COMPUTED_VALUE"""),51096204)</f>
        <v>51096204</v>
      </c>
      <c r="G16" s="12" t="str">
        <f ca="1">IFERROR(__xludf.DUMMYFUNCTION("""COMPUTED_VALUE"""),"IGEM084H")</f>
        <v>IGEM084H</v>
      </c>
      <c r="H16" s="13">
        <f ca="1">IFERROR(__xludf.DUMMYFUNCTION("""COMPUTED_VALUE"""),2290)</f>
        <v>2290</v>
      </c>
      <c r="I16" s="18">
        <f ca="1">IFERROR(__xludf.DUMMYFUNCTION("""COMPUTED_VALUE"""),2290)</f>
        <v>2290</v>
      </c>
      <c r="J16" s="16">
        <f ca="1">IFERROR(__xludf.DUMMYFUNCTION("""COMPUTED_VALUE"""),45075)</f>
        <v>45075</v>
      </c>
      <c r="K16" s="12" t="str">
        <f ca="1">IFERROR(__xludf.DUMMYFUNCTION("""COMPUTED_VALUE"""),"新機上架")</f>
        <v>新機上架</v>
      </c>
      <c r="L16" s="12" t="str">
        <f ca="1">IFERROR(__xludf.DUMMYFUNCTION("""COMPUTED_VALUE"""),"上架中")</f>
        <v>上架中</v>
      </c>
      <c r="M16" s="12" t="str">
        <f ca="1">IFERROR(__xludf.DUMMYFUNCTION("""COMPUTED_VALUE"""),"5/29新機上架")</f>
        <v>5/29新機上架</v>
      </c>
      <c r="N16" s="12" t="str">
        <f ca="1">IFERROR(__xludf.DUMMYFUNCTION("""COMPUTED_VALUE"""),"鍵盤/滑鼠")</f>
        <v>鍵盤/滑鼠</v>
      </c>
      <c r="O16" s="12" t="str">
        <f ca="1">IFERROR(__xludf.DUMMYFUNCTION("""COMPUTED_VALUE"""),"皓月白")</f>
        <v>皓月白</v>
      </c>
      <c r="P16" s="12"/>
      <c r="Q16" s="12"/>
      <c r="R16" s="12" t="str">
        <f ca="1">IFERROR(__xludf.DUMMYFUNCTION("""COMPUTED_VALUE"""),"中國")</f>
        <v>中國</v>
      </c>
      <c r="S16" s="12" t="str">
        <f ca="1">IFERROR(__xludf.DUMMYFUNCTION("""COMPUTED_VALUE"""),"歐盟RoSH&amp;FSC")</f>
        <v>歐盟RoSH&amp;FSC</v>
      </c>
      <c r="T16" s="12"/>
      <c r="U16" s="12" t="str">
        <f ca="1">IFERROR(__xludf.DUMMYFUNCTION("""COMPUTED_VALUE"""),"2年")</f>
        <v>2年</v>
      </c>
      <c r="V16" s="12"/>
      <c r="W16" s="12"/>
      <c r="X16" s="12"/>
      <c r="Y16" s="12"/>
      <c r="Z16" s="14"/>
      <c r="AA16" s="15" t="str">
        <f ca="1">IFERROR(__xludf.DUMMYFUNCTION("""COMPUTED_VALUE"""),"*LIGHTFORCE 開關*HERO 25K 感應器*可調整的DPI切換按鈕*重量減輕 至89 公克")</f>
        <v>*LIGHTFORCE 開關*HERO 25K 感應器*可調整的DPI切換按鈕*重量減輕 至89 公克</v>
      </c>
    </row>
    <row r="17" spans="1:27" ht="19.5" customHeight="1">
      <c r="A17" s="12" t="str">
        <f ca="1">IFERROR(__xludf.DUMMYFUNCTION("""COMPUTED_VALUE"""),"3C")</f>
        <v>3C</v>
      </c>
      <c r="B17" s="12" t="str">
        <f ca="1">IFERROR(__xludf.DUMMYFUNCTION("""COMPUTED_VALUE"""),"祥豪")</f>
        <v>祥豪</v>
      </c>
      <c r="C17" s="12" t="str">
        <f ca="1">IFERROR(__xludf.DUMMYFUNCTION("""COMPUTED_VALUE"""),"Logitech")</f>
        <v>Logitech</v>
      </c>
      <c r="D17" s="12" t="str">
        <f ca="1">IFERROR(__xludf.DUMMYFUNCTION("""COMPUTED_VALUE"""),"Logitech_羅技G502 X PLUS炫光高效能無線電競滑鼠(岩石黑)")</f>
        <v>Logitech_羅技G502 X PLUS炫光高效能無線電競滑鼠(岩石黑)</v>
      </c>
      <c r="E17" s="12" t="str">
        <f ca="1">IFERROR(__xludf.DUMMYFUNCTION("""COMPUTED_VALUE"""),"G502 X無線炫光岩石黑")</f>
        <v>G502 X無線炫光岩石黑</v>
      </c>
      <c r="F17" s="12">
        <f ca="1">IFERROR(__xludf.DUMMYFUNCTION("""COMPUTED_VALUE"""),51096205)</f>
        <v>51096205</v>
      </c>
      <c r="G17" s="12" t="str">
        <f ca="1">IFERROR(__xludf.DUMMYFUNCTION("""COMPUTED_VALUE"""),"IGEM084I")</f>
        <v>IGEM084I</v>
      </c>
      <c r="H17" s="13">
        <f ca="1">IFERROR(__xludf.DUMMYFUNCTION("""COMPUTED_VALUE"""),4990)</f>
        <v>4990</v>
      </c>
      <c r="I17" s="18">
        <f ca="1">IFERROR(__xludf.DUMMYFUNCTION("""COMPUTED_VALUE"""),4990)</f>
        <v>4990</v>
      </c>
      <c r="J17" s="16">
        <f ca="1">IFERROR(__xludf.DUMMYFUNCTION("""COMPUTED_VALUE"""),45075)</f>
        <v>45075</v>
      </c>
      <c r="K17" s="12" t="str">
        <f ca="1">IFERROR(__xludf.DUMMYFUNCTION("""COMPUTED_VALUE"""),"新機上架")</f>
        <v>新機上架</v>
      </c>
      <c r="L17" s="12" t="str">
        <f ca="1">IFERROR(__xludf.DUMMYFUNCTION("""COMPUTED_VALUE"""),"上架中")</f>
        <v>上架中</v>
      </c>
      <c r="M17" s="12" t="str">
        <f ca="1">IFERROR(__xludf.DUMMYFUNCTION("""COMPUTED_VALUE"""),"5/29新機上架")</f>
        <v>5/29新機上架</v>
      </c>
      <c r="N17" s="12" t="str">
        <f ca="1">IFERROR(__xludf.DUMMYFUNCTION("""COMPUTED_VALUE"""),"鍵盤/滑鼠")</f>
        <v>鍵盤/滑鼠</v>
      </c>
      <c r="O17" s="12" t="str">
        <f ca="1">IFERROR(__xludf.DUMMYFUNCTION("""COMPUTED_VALUE"""),"岩石黑")</f>
        <v>岩石黑</v>
      </c>
      <c r="P17" s="12"/>
      <c r="Q17" s="12"/>
      <c r="R17" s="12" t="str">
        <f ca="1">IFERROR(__xludf.DUMMYFUNCTION("""COMPUTED_VALUE"""),"中國")</f>
        <v>中國</v>
      </c>
      <c r="S17" s="12" t="str">
        <f ca="1">IFERROR(__xludf.DUMMYFUNCTION("""COMPUTED_VALUE"""),"歐盟RoSH&amp;FSC")</f>
        <v>歐盟RoSH&amp;FSC</v>
      </c>
      <c r="T17" s="12"/>
      <c r="U17" s="12" t="str">
        <f ca="1">IFERROR(__xludf.DUMMYFUNCTION("""COMPUTED_VALUE"""),"2年")</f>
        <v>2年</v>
      </c>
      <c r="V17" s="12"/>
      <c r="W17" s="12"/>
      <c r="X17" s="12"/>
      <c r="Y17" s="12"/>
      <c r="Z17" s="14"/>
      <c r="AA17" s="15" t="str">
        <f ca="1">IFERROR(__xludf.DUMMYFUNCTION("""COMPUTED_VALUE"""),"*LIGHTSYNC RGB*HERO 25K 光學感應器*LIGHTFORCE 開關*LIGHTSPEED 無線技術")</f>
        <v>*LIGHTSYNC RGB*HERO 25K 光學感應器*LIGHTFORCE 開關*LIGHTSPEED 無線技術</v>
      </c>
    </row>
    <row r="18" spans="1:27" ht="19.5" customHeight="1">
      <c r="A18" s="12" t="str">
        <f ca="1">IFERROR(__xludf.DUMMYFUNCTION("""COMPUTED_VALUE"""),"3C")</f>
        <v>3C</v>
      </c>
      <c r="B18" s="12" t="str">
        <f ca="1">IFERROR(__xludf.DUMMYFUNCTION("""COMPUTED_VALUE"""),"祥豪")</f>
        <v>祥豪</v>
      </c>
      <c r="C18" s="12" t="str">
        <f ca="1">IFERROR(__xludf.DUMMYFUNCTION("""COMPUTED_VALUE"""),"Logitech")</f>
        <v>Logitech</v>
      </c>
      <c r="D18" s="12" t="str">
        <f ca="1">IFERROR(__xludf.DUMMYFUNCTION("""COMPUTED_VALUE"""),"Logitech_羅技G502 X PLUS炫光高效能無線電競滑鼠(皓月白)")</f>
        <v>Logitech_羅技G502 X PLUS炫光高效能無線電競滑鼠(皓月白)</v>
      </c>
      <c r="E18" s="12" t="str">
        <f ca="1">IFERROR(__xludf.DUMMYFUNCTION("""COMPUTED_VALUE"""),"G502 X無線炫光皓月白")</f>
        <v>G502 X無線炫光皓月白</v>
      </c>
      <c r="F18" s="12">
        <f ca="1">IFERROR(__xludf.DUMMYFUNCTION("""COMPUTED_VALUE"""),51096206)</f>
        <v>51096206</v>
      </c>
      <c r="G18" s="12" t="str">
        <f ca="1">IFERROR(__xludf.DUMMYFUNCTION("""COMPUTED_VALUE"""),"IGEM084J")</f>
        <v>IGEM084J</v>
      </c>
      <c r="H18" s="13">
        <f ca="1">IFERROR(__xludf.DUMMYFUNCTION("""COMPUTED_VALUE"""),4990)</f>
        <v>4990</v>
      </c>
      <c r="I18" s="18">
        <f ca="1">IFERROR(__xludf.DUMMYFUNCTION("""COMPUTED_VALUE"""),4990)</f>
        <v>4990</v>
      </c>
      <c r="J18" s="12" t="str">
        <f ca="1">IFERROR(__xludf.DUMMYFUNCTION("""COMPUTED_VALUE"""),"#N/A")</f>
        <v>#N/A</v>
      </c>
      <c r="K18" s="12" t="str">
        <f ca="1">IFERROR(__xludf.DUMMYFUNCTION("""COMPUTED_VALUE"""),"#N/A")</f>
        <v>#N/A</v>
      </c>
      <c r="L18" s="12" t="str">
        <f ca="1">IFERROR(__xludf.DUMMYFUNCTION("""COMPUTED_VALUE"""),"上架中")</f>
        <v>上架中</v>
      </c>
      <c r="M18" s="12" t="str">
        <f ca="1">IFERROR(__xludf.DUMMYFUNCTION("""COMPUTED_VALUE"""),"5/29新機上架")</f>
        <v>5/29新機上架</v>
      </c>
      <c r="N18" s="12" t="str">
        <f ca="1">IFERROR(__xludf.DUMMYFUNCTION("""COMPUTED_VALUE"""),"鍵盤/滑鼠")</f>
        <v>鍵盤/滑鼠</v>
      </c>
      <c r="O18" s="12" t="str">
        <f ca="1">IFERROR(__xludf.DUMMYFUNCTION("""COMPUTED_VALUE"""),"皓月白")</f>
        <v>皓月白</v>
      </c>
      <c r="P18" s="12"/>
      <c r="Q18" s="12"/>
      <c r="R18" s="12" t="str">
        <f ca="1">IFERROR(__xludf.DUMMYFUNCTION("""COMPUTED_VALUE"""),"中國")</f>
        <v>中國</v>
      </c>
      <c r="S18" s="12" t="str">
        <f ca="1">IFERROR(__xludf.DUMMYFUNCTION("""COMPUTED_VALUE"""),"歐盟RoSH&amp;FSC")</f>
        <v>歐盟RoSH&amp;FSC</v>
      </c>
      <c r="T18" s="12"/>
      <c r="U18" s="12" t="str">
        <f ca="1">IFERROR(__xludf.DUMMYFUNCTION("""COMPUTED_VALUE"""),"2年")</f>
        <v>2年</v>
      </c>
      <c r="V18" s="12"/>
      <c r="W18" s="12"/>
      <c r="X18" s="12"/>
      <c r="Y18" s="12"/>
      <c r="Z18" s="14"/>
      <c r="AA18" s="15" t="str">
        <f ca="1">IFERROR(__xludf.DUMMYFUNCTION("""COMPUTED_VALUE"""),"*LIGHTSYNC RGB*HERO 25K 光學感應器*LIGHTFORCE 開關*LIGHTSPEED 無線技術")</f>
        <v>*LIGHTSYNC RGB*HERO 25K 光學感應器*LIGHTFORCE 開關*LIGHTSPEED 無線技術</v>
      </c>
    </row>
    <row r="19" spans="1:27" ht="19.5" customHeight="1">
      <c r="A19" s="12" t="str">
        <f ca="1">IFERROR(__xludf.DUMMYFUNCTION("""COMPUTED_VALUE"""),"3C")</f>
        <v>3C</v>
      </c>
      <c r="B19" s="12" t="str">
        <f ca="1">IFERROR(__xludf.DUMMYFUNCTION("""COMPUTED_VALUE"""),"祥豪")</f>
        <v>祥豪</v>
      </c>
      <c r="C19" s="12" t="str">
        <f ca="1">IFERROR(__xludf.DUMMYFUNCTION("""COMPUTED_VALUE"""),"Logitech")</f>
        <v>Logitech</v>
      </c>
      <c r="D19" s="12" t="str">
        <f ca="1">IFERROR(__xludf.DUMMYFUNCTION("""COMPUTED_VALUE"""),"Logitech_羅技超薄跨平台藍芽鍵盤_K580石墨灰")</f>
        <v>Logitech_羅技超薄跨平台藍芽鍵盤_K580石墨灰</v>
      </c>
      <c r="E19" s="12" t="str">
        <f ca="1">IFERROR(__xludf.DUMMYFUNCTION("""COMPUTED_VALUE"""),"K580石墨灰")</f>
        <v>K580石墨灰</v>
      </c>
      <c r="F19" s="12">
        <f ca="1">IFERROR(__xludf.DUMMYFUNCTION("""COMPUTED_VALUE"""),51096199)</f>
        <v>51096199</v>
      </c>
      <c r="G19" s="12" t="str">
        <f ca="1">IFERROR(__xludf.DUMMYFUNCTION("""COMPUTED_VALUE"""),"ESPTA01C")</f>
        <v>ESPTA01C</v>
      </c>
      <c r="H19" s="12">
        <f ca="1">IFERROR(__xludf.DUMMYFUNCTION("""COMPUTED_VALUE"""),1290)</f>
        <v>1290</v>
      </c>
      <c r="I19" s="14">
        <f ca="1">IFERROR(__xludf.DUMMYFUNCTION("""COMPUTED_VALUE"""),1290)</f>
        <v>1290</v>
      </c>
      <c r="J19" s="12"/>
      <c r="K19" s="12"/>
      <c r="L19" s="12" t="str">
        <f ca="1">IFERROR(__xludf.DUMMYFUNCTION("""COMPUTED_VALUE"""),"上架中")</f>
        <v>上架中</v>
      </c>
      <c r="M19" s="12"/>
      <c r="N19" s="12" t="str">
        <f ca="1">IFERROR(__xludf.DUMMYFUNCTION("""COMPUTED_VALUE"""),"鍵盤/滑鼠")</f>
        <v>鍵盤/滑鼠</v>
      </c>
      <c r="O19" s="12" t="str">
        <f ca="1">IFERROR(__xludf.DUMMYFUNCTION("""COMPUTED_VALUE"""),"石墨灰")</f>
        <v>石墨灰</v>
      </c>
      <c r="P19" s="12" t="str">
        <f ca="1">IFERROR(__xludf.DUMMYFUNCTION("""COMPUTED_VALUE"""),"立座寬17.2cm/石墨灰/藍芽/Win/iOS/Android/Chrome/Mac/AppleTV/Flow 3ch")</f>
        <v>立座寬17.2cm/石墨灰/藍芽/Win/iOS/Android/Chrome/Mac/AppleTV/Flow 3ch</v>
      </c>
      <c r="Q19" s="12" t="str">
        <f ca="1">IFERROR(__xludf.DUMMYFUNCTION("""COMPUTED_VALUE"""),"373.5*143.9*21.3mm")</f>
        <v>373.5*143.9*21.3mm</v>
      </c>
      <c r="R19" s="12" t="str">
        <f ca="1">IFERROR(__xludf.DUMMYFUNCTION("""COMPUTED_VALUE"""),"中國")</f>
        <v>中國</v>
      </c>
      <c r="S19" s="12" t="str">
        <f ca="1">IFERROR(__xludf.DUMMYFUNCTION("""COMPUTED_VALUE"""),"歐盟RoSH")</f>
        <v>歐盟RoSH</v>
      </c>
      <c r="T19" s="12"/>
      <c r="U19" s="12" t="str">
        <f ca="1">IFERROR(__xludf.DUMMYFUNCTION("""COMPUTED_VALUE"""),"1 年有限硬體保固")</f>
        <v>1 年有限硬體保固</v>
      </c>
      <c r="V19" s="12" t="str">
        <f ca="1">IFERROR(__xludf.DUMMYFUNCTION("""COMPUTED_VALUE"""),"無")</f>
        <v>無</v>
      </c>
      <c r="W19" s="12"/>
      <c r="X19" s="12"/>
      <c r="Y19" s="12"/>
      <c r="Z19" s="14"/>
      <c r="AA19" s="15" t="str">
        <f ca="1">IFERROR(__xludf.DUMMYFUNCTION("""COMPUTED_VALUE"""),"*現代、纖薄的設計*充分運用您的空間*利用 EASY-SWITCH順暢完成工作*在任何作業系統上都能享有熟悉的輸入方式")</f>
        <v>*現代、纖薄的設計*充分運用您的空間*利用 EASY-SWITCH順暢完成工作*在任何作業系統上都能享有熟悉的輸入方式</v>
      </c>
    </row>
    <row r="20" spans="1:27" ht="19.5" customHeight="1">
      <c r="A20" s="12" t="str">
        <f ca="1">IFERROR(__xludf.DUMMYFUNCTION("""COMPUTED_VALUE"""),"3C")</f>
        <v>3C</v>
      </c>
      <c r="B20" s="12" t="str">
        <f ca="1">IFERROR(__xludf.DUMMYFUNCTION("""COMPUTED_VALUE"""),"祥豪")</f>
        <v>祥豪</v>
      </c>
      <c r="C20" s="12" t="str">
        <f ca="1">IFERROR(__xludf.DUMMYFUNCTION("""COMPUTED_VALUE"""),"Logitech")</f>
        <v>Logitech</v>
      </c>
      <c r="D20" s="12" t="str">
        <f ca="1">IFERROR(__xludf.DUMMYFUNCTION("""COMPUTED_VALUE"""),"Logitech_羅技超薄跨平台藍芽鍵盤_K580珍珠白")</f>
        <v>Logitech_羅技超薄跨平台藍芽鍵盤_K580珍珠白</v>
      </c>
      <c r="E20" s="12" t="str">
        <f ca="1">IFERROR(__xludf.DUMMYFUNCTION("""COMPUTED_VALUE"""),"K580珍珠白")</f>
        <v>K580珍珠白</v>
      </c>
      <c r="F20" s="12">
        <f ca="1">IFERROR(__xludf.DUMMYFUNCTION("""COMPUTED_VALUE"""),51096200)</f>
        <v>51096200</v>
      </c>
      <c r="G20" s="12" t="str">
        <f ca="1">IFERROR(__xludf.DUMMYFUNCTION("""COMPUTED_VALUE"""),"ESPTA01D")</f>
        <v>ESPTA01D</v>
      </c>
      <c r="H20" s="12">
        <f ca="1">IFERROR(__xludf.DUMMYFUNCTION("""COMPUTED_VALUE"""),1290)</f>
        <v>1290</v>
      </c>
      <c r="I20" s="14">
        <f ca="1">IFERROR(__xludf.DUMMYFUNCTION("""COMPUTED_VALUE"""),1290)</f>
        <v>1290</v>
      </c>
      <c r="J20" s="12"/>
      <c r="K20" s="12"/>
      <c r="L20" s="12" t="str">
        <f ca="1">IFERROR(__xludf.DUMMYFUNCTION("""COMPUTED_VALUE"""),"上架中")</f>
        <v>上架中</v>
      </c>
      <c r="M20" s="12"/>
      <c r="N20" s="12" t="str">
        <f ca="1">IFERROR(__xludf.DUMMYFUNCTION("""COMPUTED_VALUE"""),"鍵盤/滑鼠")</f>
        <v>鍵盤/滑鼠</v>
      </c>
      <c r="O20" s="12" t="str">
        <f ca="1">IFERROR(__xludf.DUMMYFUNCTION("""COMPUTED_VALUE"""),"珍珠白")</f>
        <v>珍珠白</v>
      </c>
      <c r="P20" s="12" t="str">
        <f ca="1">IFERROR(__xludf.DUMMYFUNCTION("""COMPUTED_VALUE"""),"立座寬17.2cm/珍珠白/藍芽/Win/iOS/Android/Chrome/Mac/AppleTV/Flow 3ch")</f>
        <v>立座寬17.2cm/珍珠白/藍芽/Win/iOS/Android/Chrome/Mac/AppleTV/Flow 3ch</v>
      </c>
      <c r="Q20" s="12" t="str">
        <f ca="1">IFERROR(__xludf.DUMMYFUNCTION("""COMPUTED_VALUE"""),"373.5*143.9*21.3mm")</f>
        <v>373.5*143.9*21.3mm</v>
      </c>
      <c r="R20" s="12" t="str">
        <f ca="1">IFERROR(__xludf.DUMMYFUNCTION("""COMPUTED_VALUE"""),"中國")</f>
        <v>中國</v>
      </c>
      <c r="S20" s="12" t="str">
        <f ca="1">IFERROR(__xludf.DUMMYFUNCTION("""COMPUTED_VALUE"""),"歐盟RoSH")</f>
        <v>歐盟RoSH</v>
      </c>
      <c r="T20" s="12"/>
      <c r="U20" s="12" t="str">
        <f ca="1">IFERROR(__xludf.DUMMYFUNCTION("""COMPUTED_VALUE"""),"1 年有限硬體保固")</f>
        <v>1 年有限硬體保固</v>
      </c>
      <c r="V20" s="12" t="str">
        <f ca="1">IFERROR(__xludf.DUMMYFUNCTION("""COMPUTED_VALUE"""),"無")</f>
        <v>無</v>
      </c>
      <c r="W20" s="12"/>
      <c r="X20" s="12"/>
      <c r="Y20" s="12"/>
      <c r="Z20" s="14"/>
      <c r="AA20" s="15" t="str">
        <f ca="1">IFERROR(__xludf.DUMMYFUNCTION("""COMPUTED_VALUE"""),"*現代、纖薄的設計*充分運用您的空間*利用 EASY-SWITCH順暢完成工作*在任何作業系統上都能享有熟悉的輸入方式")</f>
        <v>*現代、纖薄的設計*充分運用您的空間*利用 EASY-SWITCH順暢完成工作*在任何作業系統上都能享有熟悉的輸入方式</v>
      </c>
    </row>
    <row r="21" spans="1:27" ht="19.5" customHeight="1">
      <c r="A21" s="12" t="str">
        <f ca="1">IFERROR(__xludf.DUMMYFUNCTION("""COMPUTED_VALUE"""),"3C")</f>
        <v>3C</v>
      </c>
      <c r="B21" s="12" t="str">
        <f ca="1">IFERROR(__xludf.DUMMYFUNCTION("""COMPUTED_VALUE"""),"祥豪")</f>
        <v>祥豪</v>
      </c>
      <c r="C21" s="12" t="str">
        <f ca="1">IFERROR(__xludf.DUMMYFUNCTION("""COMPUTED_VALUE"""),"Logitech")</f>
        <v>Logitech</v>
      </c>
      <c r="D21" s="12" t="str">
        <f ca="1">IFERROR(__xludf.DUMMYFUNCTION("""COMPUTED_VALUE"""),"Logitech_羅技WebCAM_C270")</f>
        <v>Logitech_羅技WebCAM_C270</v>
      </c>
      <c r="E21" s="12" t="str">
        <f ca="1">IFERROR(__xludf.DUMMYFUNCTION("""COMPUTED_VALUE"""),"C270")</f>
        <v>C270</v>
      </c>
      <c r="F21" s="12">
        <f ca="1">IFERROR(__xludf.DUMMYFUNCTION("""COMPUTED_VALUE"""),51096201)</f>
        <v>51096201</v>
      </c>
      <c r="G21" s="12" t="str">
        <f ca="1">IFERROR(__xludf.DUMMYFUNCTION("""COMPUTED_VALUE"""),"IGEM071E")</f>
        <v>IGEM071E</v>
      </c>
      <c r="H21" s="13">
        <f ca="1">IFERROR(__xludf.DUMMYFUNCTION("""COMPUTED_VALUE"""),799)</f>
        <v>799</v>
      </c>
      <c r="I21" s="14">
        <f ca="1">IFERROR(__xludf.DUMMYFUNCTION("""COMPUTED_VALUE"""),799)</f>
        <v>799</v>
      </c>
      <c r="J21" s="12"/>
      <c r="K21" s="12"/>
      <c r="L21" s="12" t="str">
        <f ca="1">IFERROR(__xludf.DUMMYFUNCTION("""COMPUTED_VALUE"""),"上架中")</f>
        <v>上架中</v>
      </c>
      <c r="M21" s="12"/>
      <c r="N21" s="12" t="str">
        <f ca="1">IFERROR(__xludf.DUMMYFUNCTION("""COMPUTED_VALUE"""),"視訊/通話設備")</f>
        <v>視訊/通話設備</v>
      </c>
      <c r="O21" s="12" t="str">
        <f ca="1">IFERROR(__xludf.DUMMYFUNCTION("""COMPUTED_VALUE"""),"黑")</f>
        <v>黑</v>
      </c>
      <c r="P21" s="12" t="str">
        <f ca="1">IFERROR(__xludf.DUMMYFUNCTION("""COMPUTED_VALUE"""),"720p/30fps/55度(非60度)/固定焦距/單聲道/1.5m USB傳輸線")</f>
        <v>720p/30fps/55度(非60度)/固定焦距/單聲道/1.5m USB傳輸線</v>
      </c>
      <c r="Q21" s="12"/>
      <c r="R21" s="12" t="str">
        <f ca="1">IFERROR(__xludf.DUMMYFUNCTION("""COMPUTED_VALUE"""),"中國")</f>
        <v>中國</v>
      </c>
      <c r="S21" s="12"/>
      <c r="T21" s="12"/>
      <c r="U21" s="12" t="str">
        <f ca="1">IFERROR(__xludf.DUMMYFUNCTION("""COMPUTED_VALUE"""),"2 年有限硬體保固")</f>
        <v>2 年有限硬體保固</v>
      </c>
      <c r="V21" s="12"/>
      <c r="W21" s="12"/>
      <c r="X21" s="12"/>
      <c r="Y21" s="12"/>
      <c r="Z21" s="14"/>
      <c r="AA21" s="15" t="str">
        <f ca="1">IFERROR(__xludf.DUMMYFUNCTION("""COMPUTED_VALUE"""),"1.單人適用，小巧靈活2.寬螢幕HD720P 視訊通話3.內建隔噪麥克風，清晰傳送聲音4.會調整照明條件，呈現鮮明對比影像")</f>
        <v>1.單人適用，小巧靈活2.寬螢幕HD720P 視訊通話3.內建隔噪麥克風，清晰傳送聲音4.會調整照明條件，呈現鮮明對比影像</v>
      </c>
    </row>
    <row r="22" spans="1:27" ht="19.5" customHeight="1">
      <c r="A22" s="12" t="str">
        <f ca="1">IFERROR(__xludf.DUMMYFUNCTION("""COMPUTED_VALUE"""),"3C")</f>
        <v>3C</v>
      </c>
      <c r="B22" s="12" t="str">
        <f ca="1">IFERROR(__xludf.DUMMYFUNCTION("""COMPUTED_VALUE"""),"祥豪")</f>
        <v>祥豪</v>
      </c>
      <c r="C22" s="12" t="str">
        <f ca="1">IFERROR(__xludf.DUMMYFUNCTION("""COMPUTED_VALUE"""),"Logitech")</f>
        <v>Logitech</v>
      </c>
      <c r="D22" s="12" t="str">
        <f ca="1">IFERROR(__xludf.DUMMYFUNCTION("""COMPUTED_VALUE"""),"Logitech_羅技MX Anywhere3S 無線行動滑鼠 - 石墨灰")</f>
        <v>Logitech_羅技MX Anywhere3S 無線行動滑鼠 - 石墨灰</v>
      </c>
      <c r="E22" s="12" t="str">
        <f ca="1">IFERROR(__xludf.DUMMYFUNCTION("""COMPUTED_VALUE"""),"MX Anywhere3S- 石墨灰")</f>
        <v>MX Anywhere3S- 石墨灰</v>
      </c>
      <c r="F22" s="12">
        <f ca="1">IFERROR(__xludf.DUMMYFUNCTION("""COMPUTED_VALUE"""),51096212)</f>
        <v>51096212</v>
      </c>
      <c r="G22" s="12" t="str">
        <f ca="1">IFERROR(__xludf.DUMMYFUNCTION("""COMPUTED_VALUE"""),"IGEM089A")</f>
        <v>IGEM089A</v>
      </c>
      <c r="H22" s="13">
        <f ca="1">IFERROR(__xludf.DUMMYFUNCTION("""COMPUTED_VALUE"""),2990)</f>
        <v>2990</v>
      </c>
      <c r="I22" s="18">
        <f ca="1">IFERROR(__xludf.DUMMYFUNCTION("""COMPUTED_VALUE"""),2990)</f>
        <v>2990</v>
      </c>
      <c r="J22" s="16">
        <f ca="1">IFERROR(__xludf.DUMMYFUNCTION("""COMPUTED_VALUE"""),45190)</f>
        <v>45190</v>
      </c>
      <c r="K22" s="12" t="str">
        <f ca="1">IFERROR(__xludf.DUMMYFUNCTION("""COMPUTED_VALUE"""),"新機上架")</f>
        <v>新機上架</v>
      </c>
      <c r="L22" s="12" t="str">
        <f ca="1">IFERROR(__xludf.DUMMYFUNCTION("""COMPUTED_VALUE"""),"上架中")</f>
        <v>上架中</v>
      </c>
      <c r="M22" s="12" t="str">
        <f ca="1">IFERROR(__xludf.DUMMYFUNCTION("""COMPUTED_VALUE"""),"9/21新機上架")</f>
        <v>9/21新機上架</v>
      </c>
      <c r="N22" s="12" t="str">
        <f ca="1">IFERROR(__xludf.DUMMYFUNCTION("""COMPUTED_VALUE"""),"鍵盤/滑鼠")</f>
        <v>鍵盤/滑鼠</v>
      </c>
      <c r="O22" s="12" t="str">
        <f ca="1">IFERROR(__xludf.DUMMYFUNCTION("""COMPUTED_VALUE"""),"石墨灰")</f>
        <v>石墨灰</v>
      </c>
      <c r="P22" s="12" t="str">
        <f ca="1">IFERROR(__xludf.DUMMYFUNCTION("""COMPUTED_VALUE"""),"BT/滑鼠支援Bolt/未附Bolt接收器/8000dpi/電磁滾輪/充電/小包裝")</f>
        <v>BT/滑鼠支援Bolt/未附Bolt接收器/8000dpi/電磁滾輪/充電/小包裝</v>
      </c>
      <c r="Q22" s="12" t="str">
        <f ca="1">IFERROR(__xludf.DUMMYFUNCTION("""COMPUTED_VALUE"""),"100.5x65x34.4mm")</f>
        <v>100.5x65x34.4mm</v>
      </c>
      <c r="R22" s="12" t="str">
        <f ca="1">IFERROR(__xludf.DUMMYFUNCTION("""COMPUTED_VALUE"""),"中國")</f>
        <v>中國</v>
      </c>
      <c r="S22" s="12" t="str">
        <f ca="1">IFERROR(__xludf.DUMMYFUNCTION("""COMPUTED_VALUE"""),"歐盟RoSH&amp;FSC")</f>
        <v>歐盟RoSH&amp;FSC</v>
      </c>
      <c r="T22" s="12"/>
      <c r="U22" s="12" t="str">
        <f ca="1">IFERROR(__xludf.DUMMYFUNCTION("""COMPUTED_VALUE"""),"1年")</f>
        <v>1年</v>
      </c>
      <c r="V22" s="12"/>
      <c r="W22" s="12"/>
      <c r="X22" s="12" t="str">
        <f ca="1">IFERROR(__xludf.DUMMYFUNCTION("""COMPUTED_VALUE"""),"(114/1/1-2/28)隨貨送Logi滑鼠墊(不挑款)*1-數量有限送完為止")</f>
        <v>(114/1/1-2/28)隨貨送Logi滑鼠墊(不挑款)*1-數量有限送完為止</v>
      </c>
      <c r="Y22" s="12"/>
      <c r="Z22" s="14"/>
      <c r="AA22" s="15" t="str">
        <f ca="1">IFERROR(__xludf.DUMMYFUNCTION("""COMPUTED_VALUE"""),"*多裝置、多作業系統*USB-C 快速充電，持久耐用*安靜點按帶來更深沉的流暢感")</f>
        <v>*多裝置、多作業系統*USB-C 快速充電，持久耐用*安靜點按帶來更深沉的流暢感</v>
      </c>
    </row>
    <row r="23" spans="1:27" ht="19.5" customHeight="1">
      <c r="A23" s="12" t="str">
        <f ca="1">IFERROR(__xludf.DUMMYFUNCTION("""COMPUTED_VALUE"""),"3C")</f>
        <v>3C</v>
      </c>
      <c r="B23" s="12" t="str">
        <f ca="1">IFERROR(__xludf.DUMMYFUNCTION("""COMPUTED_VALUE"""),"祥豪")</f>
        <v>祥豪</v>
      </c>
      <c r="C23" s="12" t="str">
        <f ca="1">IFERROR(__xludf.DUMMYFUNCTION("""COMPUTED_VALUE"""),"Logitech")</f>
        <v>Logitech</v>
      </c>
      <c r="D23" s="12" t="str">
        <f ca="1">IFERROR(__xludf.DUMMYFUNCTION("""COMPUTED_VALUE"""),"Logitech_羅技MX Anywhere3S 無線行動滑鼠 - 珍珠白")</f>
        <v>Logitech_羅技MX Anywhere3S 無線行動滑鼠 - 珍珠白</v>
      </c>
      <c r="E23" s="12" t="str">
        <f ca="1">IFERROR(__xludf.DUMMYFUNCTION("""COMPUTED_VALUE"""),"MX Anywhere3S - 珍珠白")</f>
        <v>MX Anywhere3S - 珍珠白</v>
      </c>
      <c r="F23" s="12">
        <f ca="1">IFERROR(__xludf.DUMMYFUNCTION("""COMPUTED_VALUE"""),51096213)</f>
        <v>51096213</v>
      </c>
      <c r="G23" s="12" t="str">
        <f ca="1">IFERROR(__xludf.DUMMYFUNCTION("""COMPUTED_VALUE"""),"IGEM089B")</f>
        <v>IGEM089B</v>
      </c>
      <c r="H23" s="13">
        <f ca="1">IFERROR(__xludf.DUMMYFUNCTION("""COMPUTED_VALUE"""),2990)</f>
        <v>2990</v>
      </c>
      <c r="I23" s="18">
        <f ca="1">IFERROR(__xludf.DUMMYFUNCTION("""COMPUTED_VALUE"""),2990)</f>
        <v>2990</v>
      </c>
      <c r="J23" s="16">
        <f ca="1">IFERROR(__xludf.DUMMYFUNCTION("""COMPUTED_VALUE"""),45190)</f>
        <v>45190</v>
      </c>
      <c r="K23" s="12" t="str">
        <f ca="1">IFERROR(__xludf.DUMMYFUNCTION("""COMPUTED_VALUE"""),"新機上架")</f>
        <v>新機上架</v>
      </c>
      <c r="L23" s="12" t="str">
        <f ca="1">IFERROR(__xludf.DUMMYFUNCTION("""COMPUTED_VALUE"""),"上架中")</f>
        <v>上架中</v>
      </c>
      <c r="M23" s="12" t="str">
        <f ca="1">IFERROR(__xludf.DUMMYFUNCTION("""COMPUTED_VALUE"""),"9/21新機上架")</f>
        <v>9/21新機上架</v>
      </c>
      <c r="N23" s="12" t="str">
        <f ca="1">IFERROR(__xludf.DUMMYFUNCTION("""COMPUTED_VALUE"""),"鍵盤/滑鼠")</f>
        <v>鍵盤/滑鼠</v>
      </c>
      <c r="O23" s="12" t="str">
        <f ca="1">IFERROR(__xludf.DUMMYFUNCTION("""COMPUTED_VALUE"""),"珍珠白")</f>
        <v>珍珠白</v>
      </c>
      <c r="P23" s="12" t="str">
        <f ca="1">IFERROR(__xludf.DUMMYFUNCTION("""COMPUTED_VALUE"""),"BT/滑鼠支援Bolt/未附Bolt接收器/8000dpi/電磁滾輪/充電/小包裝")</f>
        <v>BT/滑鼠支援Bolt/未附Bolt接收器/8000dpi/電磁滾輪/充電/小包裝</v>
      </c>
      <c r="Q23" s="12" t="str">
        <f ca="1">IFERROR(__xludf.DUMMYFUNCTION("""COMPUTED_VALUE"""),"100.5x65x34.4mm")</f>
        <v>100.5x65x34.4mm</v>
      </c>
      <c r="R23" s="12" t="str">
        <f ca="1">IFERROR(__xludf.DUMMYFUNCTION("""COMPUTED_VALUE"""),"中國")</f>
        <v>中國</v>
      </c>
      <c r="S23" s="12" t="str">
        <f ca="1">IFERROR(__xludf.DUMMYFUNCTION("""COMPUTED_VALUE"""),"歐盟RoSH&amp;FSC")</f>
        <v>歐盟RoSH&amp;FSC</v>
      </c>
      <c r="T23" s="12"/>
      <c r="U23" s="12" t="str">
        <f ca="1">IFERROR(__xludf.DUMMYFUNCTION("""COMPUTED_VALUE"""),"1年")</f>
        <v>1年</v>
      </c>
      <c r="V23" s="12"/>
      <c r="W23" s="12"/>
      <c r="X23" s="12" t="str">
        <f ca="1">IFERROR(__xludf.DUMMYFUNCTION("""COMPUTED_VALUE"""),"(114/1/1-2/28)隨貨送Logi滑鼠墊(不挑款)*1-數量有限送完為止")</f>
        <v>(114/1/1-2/28)隨貨送Logi滑鼠墊(不挑款)*1-數量有限送完為止</v>
      </c>
      <c r="Y23" s="12"/>
      <c r="Z23" s="14"/>
      <c r="AA23" s="15" t="str">
        <f ca="1">IFERROR(__xludf.DUMMYFUNCTION("""COMPUTED_VALUE"""),"*多裝置、多作業系統*USB-C 快速充電，持久耐用*安靜點按帶來更深沉的流暢感")</f>
        <v>*多裝置、多作業系統*USB-C 快速充電，持久耐用*安靜點按帶來更深沉的流暢感</v>
      </c>
    </row>
    <row r="24" spans="1:27" ht="19.5" customHeight="1">
      <c r="A24" s="12" t="str">
        <f ca="1">IFERROR(__xludf.DUMMYFUNCTION("""COMPUTED_VALUE"""),"3C")</f>
        <v>3C</v>
      </c>
      <c r="B24" s="12" t="str">
        <f ca="1">IFERROR(__xludf.DUMMYFUNCTION("""COMPUTED_VALUE"""),"祥豪")</f>
        <v>祥豪</v>
      </c>
      <c r="C24" s="12" t="str">
        <f ca="1">IFERROR(__xludf.DUMMYFUNCTION("""COMPUTED_VALUE"""),"Logitech")</f>
        <v>Logitech</v>
      </c>
      <c r="D24" s="12" t="str">
        <f ca="1">IFERROR(__xludf.DUMMYFUNCTION("""COMPUTED_VALUE"""),"Logitech_羅技MX Anywhere3S 無線行動滑鼠 - 玫瑰粉")</f>
        <v>Logitech_羅技MX Anywhere3S 無線行動滑鼠 - 玫瑰粉</v>
      </c>
      <c r="E24" s="12" t="str">
        <f ca="1">IFERROR(__xludf.DUMMYFUNCTION("""COMPUTED_VALUE"""),"MX Anywhere3S - 玫瑰粉")</f>
        <v>MX Anywhere3S - 玫瑰粉</v>
      </c>
      <c r="F24" s="12">
        <f ca="1">IFERROR(__xludf.DUMMYFUNCTION("""COMPUTED_VALUE"""),51096214)</f>
        <v>51096214</v>
      </c>
      <c r="G24" s="12" t="str">
        <f ca="1">IFERROR(__xludf.DUMMYFUNCTION("""COMPUTED_VALUE"""),"IGEM089C")</f>
        <v>IGEM089C</v>
      </c>
      <c r="H24" s="13">
        <f ca="1">IFERROR(__xludf.DUMMYFUNCTION("""COMPUTED_VALUE"""),2990)</f>
        <v>2990</v>
      </c>
      <c r="I24" s="18">
        <f ca="1">IFERROR(__xludf.DUMMYFUNCTION("""COMPUTED_VALUE"""),2990)</f>
        <v>2990</v>
      </c>
      <c r="J24" s="16">
        <f ca="1">IFERROR(__xludf.DUMMYFUNCTION("""COMPUTED_VALUE"""),45190)</f>
        <v>45190</v>
      </c>
      <c r="K24" s="12" t="str">
        <f ca="1">IFERROR(__xludf.DUMMYFUNCTION("""COMPUTED_VALUE"""),"新機上架")</f>
        <v>新機上架</v>
      </c>
      <c r="L24" s="12" t="str">
        <f ca="1">IFERROR(__xludf.DUMMYFUNCTION("""COMPUTED_VALUE"""),"上架中")</f>
        <v>上架中</v>
      </c>
      <c r="M24" s="12" t="str">
        <f ca="1">IFERROR(__xludf.DUMMYFUNCTION("""COMPUTED_VALUE"""),"9/21新機上架")</f>
        <v>9/21新機上架</v>
      </c>
      <c r="N24" s="12" t="str">
        <f ca="1">IFERROR(__xludf.DUMMYFUNCTION("""COMPUTED_VALUE"""),"鍵盤/滑鼠")</f>
        <v>鍵盤/滑鼠</v>
      </c>
      <c r="O24" s="12" t="str">
        <f ca="1">IFERROR(__xludf.DUMMYFUNCTION("""COMPUTED_VALUE"""),"玫瑰粉")</f>
        <v>玫瑰粉</v>
      </c>
      <c r="P24" s="12" t="str">
        <f ca="1">IFERROR(__xludf.DUMMYFUNCTION("""COMPUTED_VALUE"""),"BT/滑鼠支援Bolt/未附Bolt接收器/8000dpi/電磁滾輪/充電/小包裝")</f>
        <v>BT/滑鼠支援Bolt/未附Bolt接收器/8000dpi/電磁滾輪/充電/小包裝</v>
      </c>
      <c r="Q24" s="12" t="str">
        <f ca="1">IFERROR(__xludf.DUMMYFUNCTION("""COMPUTED_VALUE"""),"100.5x65x34.4mm")</f>
        <v>100.5x65x34.4mm</v>
      </c>
      <c r="R24" s="12" t="str">
        <f ca="1">IFERROR(__xludf.DUMMYFUNCTION("""COMPUTED_VALUE"""),"中國")</f>
        <v>中國</v>
      </c>
      <c r="S24" s="12" t="str">
        <f ca="1">IFERROR(__xludf.DUMMYFUNCTION("""COMPUTED_VALUE"""),"歐盟RoSH&amp;FSC")</f>
        <v>歐盟RoSH&amp;FSC</v>
      </c>
      <c r="T24" s="12"/>
      <c r="U24" s="12" t="str">
        <f ca="1">IFERROR(__xludf.DUMMYFUNCTION("""COMPUTED_VALUE"""),"1年")</f>
        <v>1年</v>
      </c>
      <c r="V24" s="12"/>
      <c r="W24" s="12"/>
      <c r="X24" s="12" t="str">
        <f ca="1">IFERROR(__xludf.DUMMYFUNCTION("""COMPUTED_VALUE"""),"(114/1/1-2/28)隨貨送Logi滑鼠墊(不挑款)*1-數量有限送完為止")</f>
        <v>(114/1/1-2/28)隨貨送Logi滑鼠墊(不挑款)*1-數量有限送完為止</v>
      </c>
      <c r="Y24" s="12"/>
      <c r="Z24" s="14"/>
      <c r="AA24" s="15" t="str">
        <f ca="1">IFERROR(__xludf.DUMMYFUNCTION("""COMPUTED_VALUE"""),"*多裝置、多作業系統*USB-C 快速充電，持久耐用*安靜點按帶來更深沉的流暢感")</f>
        <v>*多裝置、多作業系統*USB-C 快速充電，持久耐用*安靜點按帶來更深沉的流暢感</v>
      </c>
    </row>
    <row r="25" spans="1:27" ht="19.5" customHeight="1">
      <c r="A25" s="12" t="str">
        <f ca="1">IFERROR(__xludf.DUMMYFUNCTION("""COMPUTED_VALUE"""),"3C")</f>
        <v>3C</v>
      </c>
      <c r="B25" s="12" t="str">
        <f ca="1">IFERROR(__xludf.DUMMYFUNCTION("""COMPUTED_VALUE"""),"祥豪")</f>
        <v>祥豪</v>
      </c>
      <c r="C25" s="12" t="str">
        <f ca="1">IFERROR(__xludf.DUMMYFUNCTION("""COMPUTED_VALUE"""),"Logitech")</f>
        <v>Logitech</v>
      </c>
      <c r="D25" s="12" t="str">
        <f ca="1">IFERROR(__xludf.DUMMYFUNCTION("""COMPUTED_VALUE"""),"Logitech_羅技MX Keys S 無線智能鍵盤-石墨灰")</f>
        <v>Logitech_羅技MX Keys S 無線智能鍵盤-石墨灰</v>
      </c>
      <c r="E25" s="12" t="str">
        <f ca="1">IFERROR(__xludf.DUMMYFUNCTION("""COMPUTED_VALUE"""),"MX Keys S 鍵盤-石墨灰")</f>
        <v>MX Keys S 鍵盤-石墨灰</v>
      </c>
      <c r="F25" s="12">
        <f ca="1">IFERROR(__xludf.DUMMYFUNCTION("""COMPUTED_VALUE"""),51096215)</f>
        <v>51096215</v>
      </c>
      <c r="G25" s="12" t="str">
        <f ca="1">IFERROR(__xludf.DUMMYFUNCTION("""COMPUTED_VALUE"""),"IGEM089D")</f>
        <v>IGEM089D</v>
      </c>
      <c r="H25" s="13">
        <f ca="1">IFERROR(__xludf.DUMMYFUNCTION("""COMPUTED_VALUE"""),3990)</f>
        <v>3990</v>
      </c>
      <c r="I25" s="18">
        <f ca="1">IFERROR(__xludf.DUMMYFUNCTION("""COMPUTED_VALUE"""),3990)</f>
        <v>3990</v>
      </c>
      <c r="J25" s="16">
        <f ca="1">IFERROR(__xludf.DUMMYFUNCTION("""COMPUTED_VALUE"""),45190)</f>
        <v>45190</v>
      </c>
      <c r="K25" s="12" t="str">
        <f ca="1">IFERROR(__xludf.DUMMYFUNCTION("""COMPUTED_VALUE"""),"新機上架")</f>
        <v>新機上架</v>
      </c>
      <c r="L25" s="12" t="str">
        <f ca="1">IFERROR(__xludf.DUMMYFUNCTION("""COMPUTED_VALUE"""),"上架中")</f>
        <v>上架中</v>
      </c>
      <c r="M25" s="12" t="str">
        <f ca="1">IFERROR(__xludf.DUMMYFUNCTION("""COMPUTED_VALUE"""),"9/21新機上架")</f>
        <v>9/21新機上架</v>
      </c>
      <c r="N25" s="12" t="str">
        <f ca="1">IFERROR(__xludf.DUMMYFUNCTION("""COMPUTED_VALUE"""),"鍵盤/滑鼠")</f>
        <v>鍵盤/滑鼠</v>
      </c>
      <c r="O25" s="12" t="str">
        <f ca="1">IFERROR(__xludf.DUMMYFUNCTION("""COMPUTED_VALUE"""),"石墨灰")</f>
        <v>石墨灰</v>
      </c>
      <c r="P25" s="12" t="str">
        <f ca="1">IFERROR(__xludf.DUMMYFUNCTION("""COMPUTED_VALUE"""),"Bolt/BT/Flow 3ch/USB-C充電")</f>
        <v>Bolt/BT/Flow 3ch/USB-C充電</v>
      </c>
      <c r="Q25" s="12" t="str">
        <f ca="1">IFERROR(__xludf.DUMMYFUNCTION("""COMPUTED_VALUE"""),"430.20x131.63x20.5mm")</f>
        <v>430.20x131.63x20.5mm</v>
      </c>
      <c r="R25" s="12" t="str">
        <f ca="1">IFERROR(__xludf.DUMMYFUNCTION("""COMPUTED_VALUE"""),"中國")</f>
        <v>中國</v>
      </c>
      <c r="S25" s="12" t="str">
        <f ca="1">IFERROR(__xludf.DUMMYFUNCTION("""COMPUTED_VALUE"""),"歐盟RoSH&amp;FSC")</f>
        <v>歐盟RoSH&amp;FSC</v>
      </c>
      <c r="T25" s="12"/>
      <c r="U25" s="12" t="str">
        <f ca="1">IFERROR(__xludf.DUMMYFUNCTION("""COMPUTED_VALUE"""),"1年")</f>
        <v>1年</v>
      </c>
      <c r="V25" s="12"/>
      <c r="W25" s="12"/>
      <c r="X25" s="12"/>
      <c r="Y25" s="12"/>
      <c r="Z25" s="14"/>
      <c r="AA25" s="15" t="str">
        <f ca="1">IFERROR(__xludf.DUMMYFUNCTION("""COMPUTED_VALUE"""),"*人體工學設計*USB-C 快速充電*自動執行重複性工作")</f>
        <v>*人體工學設計*USB-C 快速充電*自動執行重複性工作</v>
      </c>
    </row>
    <row r="26" spans="1:27" ht="19.5" customHeight="1">
      <c r="A26" s="12" t="str">
        <f ca="1">IFERROR(__xludf.DUMMYFUNCTION("""COMPUTED_VALUE"""),"3C")</f>
        <v>3C</v>
      </c>
      <c r="B26" s="12" t="str">
        <f ca="1">IFERROR(__xludf.DUMMYFUNCTION("""COMPUTED_VALUE"""),"祥豪")</f>
        <v>祥豪</v>
      </c>
      <c r="C26" s="12" t="str">
        <f ca="1">IFERROR(__xludf.DUMMYFUNCTION("""COMPUTED_VALUE"""),"Logitech")</f>
        <v>Logitech</v>
      </c>
      <c r="D26" s="12" t="str">
        <f ca="1">IFERROR(__xludf.DUMMYFUNCTION("""COMPUTED_VALUE"""),"Logitech_羅技MX Keys S 無線智能鍵盤-珍珠白")</f>
        <v>Logitech_羅技MX Keys S 無線智能鍵盤-珍珠白</v>
      </c>
      <c r="E26" s="12" t="str">
        <f ca="1">IFERROR(__xludf.DUMMYFUNCTION("""COMPUTED_VALUE"""),"MX Keys S 鍵盤-珍珠白")</f>
        <v>MX Keys S 鍵盤-珍珠白</v>
      </c>
      <c r="F26" s="12">
        <f ca="1">IFERROR(__xludf.DUMMYFUNCTION("""COMPUTED_VALUE"""),51096216)</f>
        <v>51096216</v>
      </c>
      <c r="G26" s="12" t="str">
        <f ca="1">IFERROR(__xludf.DUMMYFUNCTION("""COMPUTED_VALUE"""),"IGEM089E")</f>
        <v>IGEM089E</v>
      </c>
      <c r="H26" s="13">
        <f ca="1">IFERROR(__xludf.DUMMYFUNCTION("""COMPUTED_VALUE"""),3990)</f>
        <v>3990</v>
      </c>
      <c r="I26" s="18">
        <f ca="1">IFERROR(__xludf.DUMMYFUNCTION("""COMPUTED_VALUE"""),3990)</f>
        <v>3990</v>
      </c>
      <c r="J26" s="16">
        <f ca="1">IFERROR(__xludf.DUMMYFUNCTION("""COMPUTED_VALUE"""),45190)</f>
        <v>45190</v>
      </c>
      <c r="K26" s="12" t="str">
        <f ca="1">IFERROR(__xludf.DUMMYFUNCTION("""COMPUTED_VALUE"""),"新機上架")</f>
        <v>新機上架</v>
      </c>
      <c r="L26" s="12" t="str">
        <f ca="1">IFERROR(__xludf.DUMMYFUNCTION("""COMPUTED_VALUE"""),"上架中")</f>
        <v>上架中</v>
      </c>
      <c r="M26" s="12" t="str">
        <f ca="1">IFERROR(__xludf.DUMMYFUNCTION("""COMPUTED_VALUE"""),"9/21新機上架")</f>
        <v>9/21新機上架</v>
      </c>
      <c r="N26" s="12" t="str">
        <f ca="1">IFERROR(__xludf.DUMMYFUNCTION("""COMPUTED_VALUE"""),"鍵盤/滑鼠")</f>
        <v>鍵盤/滑鼠</v>
      </c>
      <c r="O26" s="12" t="str">
        <f ca="1">IFERROR(__xludf.DUMMYFUNCTION("""COMPUTED_VALUE"""),"珍珠白")</f>
        <v>珍珠白</v>
      </c>
      <c r="P26" s="12" t="str">
        <f ca="1">IFERROR(__xludf.DUMMYFUNCTION("""COMPUTED_VALUE"""),"Bolt/BT/Flow 3ch/USB-C充電")</f>
        <v>Bolt/BT/Flow 3ch/USB-C充電</v>
      </c>
      <c r="Q26" s="12" t="str">
        <f ca="1">IFERROR(__xludf.DUMMYFUNCTION("""COMPUTED_VALUE"""),"430.20x131.63x20.5mm")</f>
        <v>430.20x131.63x20.5mm</v>
      </c>
      <c r="R26" s="12" t="str">
        <f ca="1">IFERROR(__xludf.DUMMYFUNCTION("""COMPUTED_VALUE"""),"中國")</f>
        <v>中國</v>
      </c>
      <c r="S26" s="12" t="str">
        <f ca="1">IFERROR(__xludf.DUMMYFUNCTION("""COMPUTED_VALUE"""),"歐盟RoSH&amp;FSC")</f>
        <v>歐盟RoSH&amp;FSC</v>
      </c>
      <c r="T26" s="12"/>
      <c r="U26" s="12" t="str">
        <f ca="1">IFERROR(__xludf.DUMMYFUNCTION("""COMPUTED_VALUE"""),"1年")</f>
        <v>1年</v>
      </c>
      <c r="V26" s="12"/>
      <c r="W26" s="12"/>
      <c r="X26" s="12"/>
      <c r="Y26" s="12"/>
      <c r="Z26" s="14"/>
      <c r="AA26" s="15" t="str">
        <f ca="1">IFERROR(__xludf.DUMMYFUNCTION("""COMPUTED_VALUE"""),"*人體工學設計*USB-C 快速充電*自動執行重複性工作")</f>
        <v>*人體工學設計*USB-C 快速充電*自動執行重複性工作</v>
      </c>
    </row>
    <row r="27" spans="1:27" ht="19.5" customHeight="1">
      <c r="A27" s="12" t="str">
        <f ca="1">IFERROR(__xludf.DUMMYFUNCTION("""COMPUTED_VALUE"""),"3C")</f>
        <v>3C</v>
      </c>
      <c r="B27" s="12" t="str">
        <f ca="1">IFERROR(__xludf.DUMMYFUNCTION("""COMPUTED_VALUE"""),"祥豪")</f>
        <v>祥豪</v>
      </c>
      <c r="C27" s="12" t="str">
        <f ca="1">IFERROR(__xludf.DUMMYFUNCTION("""COMPUTED_VALUE"""),"Logitech")</f>
        <v>Logitech</v>
      </c>
      <c r="D27" s="12" t="str">
        <f ca="1">IFERROR(__xludf.DUMMYFUNCTION("""COMPUTED_VALUE"""),"Logitech_羅技ZoneVibe100無線藍芽耳機麥克風 - 石墨灰")</f>
        <v>Logitech_羅技ZoneVibe100無線藍芽耳機麥克風 - 石墨灰</v>
      </c>
      <c r="E27" s="12" t="str">
        <f ca="1">IFERROR(__xludf.DUMMYFUNCTION("""COMPUTED_VALUE"""),"ZoneVibe100-石墨灰")</f>
        <v>ZoneVibe100-石墨灰</v>
      </c>
      <c r="F27" s="12">
        <f ca="1">IFERROR(__xludf.DUMMYFUNCTION("""COMPUTED_VALUE"""),51096217)</f>
        <v>51096217</v>
      </c>
      <c r="G27" s="12" t="str">
        <f ca="1">IFERROR(__xludf.DUMMYFUNCTION("""COMPUTED_VALUE"""),"IGEM089F")</f>
        <v>IGEM089F</v>
      </c>
      <c r="H27" s="13">
        <f ca="1">IFERROR(__xludf.DUMMYFUNCTION("""COMPUTED_VALUE"""),2790)</f>
        <v>2790</v>
      </c>
      <c r="I27" s="18">
        <f ca="1">IFERROR(__xludf.DUMMYFUNCTION("""COMPUTED_VALUE"""),2790)</f>
        <v>2790</v>
      </c>
      <c r="J27" s="16">
        <f ca="1">IFERROR(__xludf.DUMMYFUNCTION("""COMPUTED_VALUE"""),45607)</f>
        <v>45607</v>
      </c>
      <c r="K27" s="12" t="str">
        <f ca="1">IFERROR(__xludf.DUMMYFUNCTION("""COMPUTED_VALUE"""),"到貨")</f>
        <v>到貨</v>
      </c>
      <c r="L27" s="12" t="str">
        <f ca="1">IFERROR(__xludf.DUMMYFUNCTION("""COMPUTED_VALUE"""),"上架中")</f>
        <v>上架中</v>
      </c>
      <c r="M27" s="12" t="str">
        <f ca="1">IFERROR(__xludf.DUMMYFUNCTION("""COMPUTED_VALUE"""),"2023/12/25短促9/21新機上架")</f>
        <v>2023/12/25短促9/21新機上架</v>
      </c>
      <c r="N27" s="12" t="str">
        <f ca="1">IFERROR(__xludf.DUMMYFUNCTION("""COMPUTED_VALUE"""),"視訊/通話設備")</f>
        <v>視訊/通話設備</v>
      </c>
      <c r="O27" s="12" t="str">
        <f ca="1">IFERROR(__xludf.DUMMYFUNCTION("""COMPUTED_VALUE"""),"石墨灰")</f>
        <v>石墨灰</v>
      </c>
      <c r="P27" s="12" t="str">
        <f ca="1">IFERROR(__xludf.DUMMYFUNCTION("""COMPUTED_VALUE"""),"藍芽連線/未隨附Bolt接收器")</f>
        <v>藍芽連線/未隨附Bolt接收器</v>
      </c>
      <c r="Q27" s="12" t="str">
        <f ca="1">IFERROR(__xludf.DUMMYFUNCTION("""COMPUTED_VALUE"""),"183x169.7x73mm")</f>
        <v>183x169.7x73mm</v>
      </c>
      <c r="R27" s="12" t="str">
        <f ca="1">IFERROR(__xludf.DUMMYFUNCTION("""COMPUTED_VALUE"""),"中國")</f>
        <v>中國</v>
      </c>
      <c r="S27" s="12" t="str">
        <f ca="1">IFERROR(__xludf.DUMMYFUNCTION("""COMPUTED_VALUE"""),"歐盟RoSH&amp;FSC")</f>
        <v>歐盟RoSH&amp;FSC</v>
      </c>
      <c r="T27" s="12"/>
      <c r="U27" s="12" t="str">
        <f ca="1">IFERROR(__xludf.DUMMYFUNCTION("""COMPUTED_VALUE"""),"1年")</f>
        <v>1年</v>
      </c>
      <c r="V27" s="12"/>
      <c r="W27" s="12"/>
      <c r="X27" s="12"/>
      <c r="Y27" s="12"/>
      <c r="Z27" s="14"/>
      <c r="AA27" s="15" t="str">
        <f ca="1">IFERROR(__xludf.DUMMYFUNCTION("""COMPUTED_VALUE"""),"*在家輕鬆進行視訊會議*沈浸式音訊體驗*完全自由的無線聆聽體驗")</f>
        <v>*在家輕鬆進行視訊會議*沈浸式音訊體驗*完全自由的無線聆聽體驗</v>
      </c>
    </row>
    <row r="28" spans="1:27" ht="19.5" customHeight="1">
      <c r="A28" s="12" t="str">
        <f ca="1">IFERROR(__xludf.DUMMYFUNCTION("""COMPUTED_VALUE"""),"3C")</f>
        <v>3C</v>
      </c>
      <c r="B28" s="12" t="str">
        <f ca="1">IFERROR(__xludf.DUMMYFUNCTION("""COMPUTED_VALUE"""),"祥豪")</f>
        <v>祥豪</v>
      </c>
      <c r="C28" s="12" t="str">
        <f ca="1">IFERROR(__xludf.DUMMYFUNCTION("""COMPUTED_VALUE"""),"Logitech")</f>
        <v>Logitech</v>
      </c>
      <c r="D28" s="12" t="str">
        <f ca="1">IFERROR(__xludf.DUMMYFUNCTION("""COMPUTED_VALUE"""),"Logitech_羅技ZoneVibe100無線藍芽耳機麥克風 - 珍珠白")</f>
        <v>Logitech_羅技ZoneVibe100無線藍芽耳機麥克風 - 珍珠白</v>
      </c>
      <c r="E28" s="12" t="str">
        <f ca="1">IFERROR(__xludf.DUMMYFUNCTION("""COMPUTED_VALUE"""),"ZoneVibe100-珍珠白")</f>
        <v>ZoneVibe100-珍珠白</v>
      </c>
      <c r="F28" s="12">
        <f ca="1">IFERROR(__xludf.DUMMYFUNCTION("""COMPUTED_VALUE"""),51096218)</f>
        <v>51096218</v>
      </c>
      <c r="G28" s="12" t="str">
        <f ca="1">IFERROR(__xludf.DUMMYFUNCTION("""COMPUTED_VALUE"""),"IGEM089G")</f>
        <v>IGEM089G</v>
      </c>
      <c r="H28" s="13">
        <f ca="1">IFERROR(__xludf.DUMMYFUNCTION("""COMPUTED_VALUE"""),2790)</f>
        <v>2790</v>
      </c>
      <c r="I28" s="18">
        <f ca="1">IFERROR(__xludf.DUMMYFUNCTION("""COMPUTED_VALUE"""),2790)</f>
        <v>2790</v>
      </c>
      <c r="J28" s="16">
        <f ca="1">IFERROR(__xludf.DUMMYFUNCTION("""COMPUTED_VALUE"""),45384)</f>
        <v>45384</v>
      </c>
      <c r="K28" s="12" t="str">
        <f ca="1">IFERROR(__xludf.DUMMYFUNCTION("""COMPUTED_VALUE"""),"回價")</f>
        <v>回價</v>
      </c>
      <c r="L28" s="12" t="str">
        <f ca="1">IFERROR(__xludf.DUMMYFUNCTION("""COMPUTED_VALUE"""),"上架中")</f>
        <v>上架中</v>
      </c>
      <c r="M28" s="12" t="str">
        <f ca="1">IFERROR(__xludf.DUMMYFUNCTION("""COMPUTED_VALUE"""),"2023/12/25短促9/21新機上架")</f>
        <v>2023/12/25短促9/21新機上架</v>
      </c>
      <c r="N28" s="12" t="str">
        <f ca="1">IFERROR(__xludf.DUMMYFUNCTION("""COMPUTED_VALUE"""),"視訊/通話設備")</f>
        <v>視訊/通話設備</v>
      </c>
      <c r="O28" s="12" t="str">
        <f ca="1">IFERROR(__xludf.DUMMYFUNCTION("""COMPUTED_VALUE"""),"珍珠白")</f>
        <v>珍珠白</v>
      </c>
      <c r="P28" s="12" t="str">
        <f ca="1">IFERROR(__xludf.DUMMYFUNCTION("""COMPUTED_VALUE"""),"藍芽連線/未隨附Bolt接收器")</f>
        <v>藍芽連線/未隨附Bolt接收器</v>
      </c>
      <c r="Q28" s="12" t="str">
        <f ca="1">IFERROR(__xludf.DUMMYFUNCTION("""COMPUTED_VALUE"""),"183x169.7x73mm")</f>
        <v>183x169.7x73mm</v>
      </c>
      <c r="R28" s="12" t="str">
        <f ca="1">IFERROR(__xludf.DUMMYFUNCTION("""COMPUTED_VALUE"""),"中國")</f>
        <v>中國</v>
      </c>
      <c r="S28" s="12" t="str">
        <f ca="1">IFERROR(__xludf.DUMMYFUNCTION("""COMPUTED_VALUE"""),"歐盟RoSH&amp;FSC")</f>
        <v>歐盟RoSH&amp;FSC</v>
      </c>
      <c r="T28" s="12"/>
      <c r="U28" s="12" t="str">
        <f ca="1">IFERROR(__xludf.DUMMYFUNCTION("""COMPUTED_VALUE"""),"1年")</f>
        <v>1年</v>
      </c>
      <c r="V28" s="12"/>
      <c r="W28" s="12"/>
      <c r="X28" s="12"/>
      <c r="Y28" s="12"/>
      <c r="Z28" s="14"/>
      <c r="AA28" s="15" t="str">
        <f ca="1">IFERROR(__xludf.DUMMYFUNCTION("""COMPUTED_VALUE"""),"*在家輕鬆進行視訊會議*沈浸式音訊體驗*完全自由的無線聆聽體驗")</f>
        <v>*在家輕鬆進行視訊會議*沈浸式音訊體驗*完全自由的無線聆聽體驗</v>
      </c>
    </row>
    <row r="29" spans="1:27" ht="19.5" customHeight="1">
      <c r="A29" s="12" t="str">
        <f ca="1">IFERROR(__xludf.DUMMYFUNCTION("""COMPUTED_VALUE"""),"3C")</f>
        <v>3C</v>
      </c>
      <c r="B29" s="12" t="str">
        <f ca="1">IFERROR(__xludf.DUMMYFUNCTION("""COMPUTED_VALUE"""),"祥豪")</f>
        <v>祥豪</v>
      </c>
      <c r="C29" s="12" t="str">
        <f ca="1">IFERROR(__xludf.DUMMYFUNCTION("""COMPUTED_VALUE"""),"Logitech")</f>
        <v>Logitech</v>
      </c>
      <c r="D29" s="12" t="str">
        <f ca="1">IFERROR(__xludf.DUMMYFUNCTION("""COMPUTED_VALUE"""),"Logitech_羅技ZoneVibe100無線藍芽耳機麥克風 - 玫瑰粉")</f>
        <v>Logitech_羅技ZoneVibe100無線藍芽耳機麥克風 - 玫瑰粉</v>
      </c>
      <c r="E29" s="12" t="str">
        <f ca="1">IFERROR(__xludf.DUMMYFUNCTION("""COMPUTED_VALUE"""),"ZoneVibe100-玫瑰粉")</f>
        <v>ZoneVibe100-玫瑰粉</v>
      </c>
      <c r="F29" s="12">
        <f ca="1">IFERROR(__xludf.DUMMYFUNCTION("""COMPUTED_VALUE"""),51096219)</f>
        <v>51096219</v>
      </c>
      <c r="G29" s="12" t="str">
        <f ca="1">IFERROR(__xludf.DUMMYFUNCTION("""COMPUTED_VALUE"""),"IGEM089H")</f>
        <v>IGEM089H</v>
      </c>
      <c r="H29" s="13">
        <f ca="1">IFERROR(__xludf.DUMMYFUNCTION("""COMPUTED_VALUE"""),2790)</f>
        <v>2790</v>
      </c>
      <c r="I29" s="18">
        <f ca="1">IFERROR(__xludf.DUMMYFUNCTION("""COMPUTED_VALUE"""),2790)</f>
        <v>2790</v>
      </c>
      <c r="J29" s="16">
        <f ca="1">IFERROR(__xludf.DUMMYFUNCTION("""COMPUTED_VALUE"""),45384)</f>
        <v>45384</v>
      </c>
      <c r="K29" s="12" t="str">
        <f ca="1">IFERROR(__xludf.DUMMYFUNCTION("""COMPUTED_VALUE"""),"回價")</f>
        <v>回價</v>
      </c>
      <c r="L29" s="12" t="str">
        <f ca="1">IFERROR(__xludf.DUMMYFUNCTION("""COMPUTED_VALUE"""),"上架中")</f>
        <v>上架中</v>
      </c>
      <c r="M29" s="12" t="str">
        <f ca="1">IFERROR(__xludf.DUMMYFUNCTION("""COMPUTED_VALUE"""),"2023/12/25短促9/21新機上架")</f>
        <v>2023/12/25短促9/21新機上架</v>
      </c>
      <c r="N29" s="12" t="str">
        <f ca="1">IFERROR(__xludf.DUMMYFUNCTION("""COMPUTED_VALUE"""),"視訊/通話設備")</f>
        <v>視訊/通話設備</v>
      </c>
      <c r="O29" s="12" t="str">
        <f ca="1">IFERROR(__xludf.DUMMYFUNCTION("""COMPUTED_VALUE"""),"玫瑰粉")</f>
        <v>玫瑰粉</v>
      </c>
      <c r="P29" s="12" t="str">
        <f ca="1">IFERROR(__xludf.DUMMYFUNCTION("""COMPUTED_VALUE"""),"藍芽連線/未隨附Bolt接收器")</f>
        <v>藍芽連線/未隨附Bolt接收器</v>
      </c>
      <c r="Q29" s="12" t="str">
        <f ca="1">IFERROR(__xludf.DUMMYFUNCTION("""COMPUTED_VALUE"""),"183x169.7x73mm")</f>
        <v>183x169.7x73mm</v>
      </c>
      <c r="R29" s="12" t="str">
        <f ca="1">IFERROR(__xludf.DUMMYFUNCTION("""COMPUTED_VALUE"""),"中國")</f>
        <v>中國</v>
      </c>
      <c r="S29" s="12" t="str">
        <f ca="1">IFERROR(__xludf.DUMMYFUNCTION("""COMPUTED_VALUE"""),"歐盟RoSH&amp;FSC")</f>
        <v>歐盟RoSH&amp;FSC</v>
      </c>
      <c r="T29" s="12"/>
      <c r="U29" s="12" t="str">
        <f ca="1">IFERROR(__xludf.DUMMYFUNCTION("""COMPUTED_VALUE"""),"1年")</f>
        <v>1年</v>
      </c>
      <c r="V29" s="12"/>
      <c r="W29" s="12"/>
      <c r="X29" s="12"/>
      <c r="Y29" s="12"/>
      <c r="Z29" s="14"/>
      <c r="AA29" s="15" t="str">
        <f ca="1">IFERROR(__xludf.DUMMYFUNCTION("""COMPUTED_VALUE"""),"*在家輕鬆進行視訊會議*沈浸式音訊體驗*完全自由的無線聆聽體驗")</f>
        <v>*在家輕鬆進行視訊會議*沈浸式音訊體驗*完全自由的無線聆聽體驗</v>
      </c>
    </row>
    <row r="30" spans="1:27" ht="19.5" customHeight="1">
      <c r="A30" s="12" t="str">
        <f ca="1">IFERROR(__xludf.DUMMYFUNCTION("""COMPUTED_VALUE"""),"3C")</f>
        <v>3C</v>
      </c>
      <c r="B30" s="12" t="str">
        <f ca="1">IFERROR(__xludf.DUMMYFUNCTION("""COMPUTED_VALUE"""),"祥豪")</f>
        <v>祥豪</v>
      </c>
      <c r="C30" s="12" t="str">
        <f ca="1">IFERROR(__xludf.DUMMYFUNCTION("""COMPUTED_VALUE"""),"Logitech")</f>
        <v>Logitech</v>
      </c>
      <c r="D30" s="12" t="str">
        <f ca="1">IFERROR(__xludf.DUMMYFUNCTION("""COMPUTED_VALUE"""),"Logitech_羅技超薄無線鍵鼠組-玫瑰粉_MK470玫瑰粉")</f>
        <v>Logitech_羅技超薄無線鍵鼠組-玫瑰粉_MK470玫瑰粉</v>
      </c>
      <c r="E30" s="12" t="str">
        <f ca="1">IFERROR(__xludf.DUMMYFUNCTION("""COMPUTED_VALUE"""),"MK470玫瑰粉")</f>
        <v>MK470玫瑰粉</v>
      </c>
      <c r="F30" s="12">
        <f ca="1">IFERROR(__xludf.DUMMYFUNCTION("""COMPUTED_VALUE"""),51096222)</f>
        <v>51096222</v>
      </c>
      <c r="G30" s="12" t="str">
        <f ca="1">IFERROR(__xludf.DUMMYFUNCTION("""COMPUTED_VALUE"""),"IGEM101E")</f>
        <v>IGEM101E</v>
      </c>
      <c r="H30" s="12">
        <f ca="1">IFERROR(__xludf.DUMMYFUNCTION("""COMPUTED_VALUE"""),1590)</f>
        <v>1590</v>
      </c>
      <c r="I30" s="14">
        <f ca="1">IFERROR(__xludf.DUMMYFUNCTION("""COMPUTED_VALUE"""),1590)</f>
        <v>1590</v>
      </c>
      <c r="J30" s="16">
        <f ca="1">IFERROR(__xludf.DUMMYFUNCTION("""COMPUTED_VALUE"""),45426)</f>
        <v>45426</v>
      </c>
      <c r="K30" s="12" t="str">
        <f ca="1">IFERROR(__xludf.DUMMYFUNCTION("""COMPUTED_VALUE"""),"新機上架")</f>
        <v>新機上架</v>
      </c>
      <c r="L30" s="12" t="str">
        <f ca="1">IFERROR(__xludf.DUMMYFUNCTION("""COMPUTED_VALUE"""),"上架中")</f>
        <v>上架中</v>
      </c>
      <c r="M30" s="12" t="str">
        <f ca="1">IFERROR(__xludf.DUMMYFUNCTION("""COMPUTED_VALUE"""),"2024/5/14新機上架")</f>
        <v>2024/5/14新機上架</v>
      </c>
      <c r="N30" s="12" t="str">
        <f ca="1">IFERROR(__xludf.DUMMYFUNCTION("""COMPUTED_VALUE"""),"鍵盤/滑鼠")</f>
        <v>鍵盤/滑鼠</v>
      </c>
      <c r="O30" s="12" t="str">
        <f ca="1">IFERROR(__xludf.DUMMYFUNCTION("""COMPUTED_VALUE"""),"玫塊粉")</f>
        <v>玫塊粉</v>
      </c>
      <c r="P30" s="12" t="str">
        <f ca="1">IFERROR(__xludf.DUMMYFUNCTION("""COMPUTED_VALUE"""),"USB/2.4GHz/GRAPHITE/玫瑰粉")</f>
        <v>USB/2.4GHz/GRAPHITE/玫瑰粉</v>
      </c>
      <c r="Q30" s="12" t="str">
        <f ca="1">IFERROR(__xludf.DUMMYFUNCTION("""COMPUTED_VALUE"""),"45.5x15x3.5mm")</f>
        <v>45.5x15x3.5mm</v>
      </c>
      <c r="R30" s="12" t="str">
        <f ca="1">IFERROR(__xludf.DUMMYFUNCTION("""COMPUTED_VALUE"""),"中國")</f>
        <v>中國</v>
      </c>
      <c r="S30" s="12" t="str">
        <f ca="1">IFERROR(__xludf.DUMMYFUNCTION("""COMPUTED_VALUE"""),"歐盟RoSH")</f>
        <v>歐盟RoSH</v>
      </c>
      <c r="T30" s="12"/>
      <c r="U30" s="12" t="str">
        <f ca="1">IFERROR(__xludf.DUMMYFUNCTION("""COMPUTED_VALUE"""),"1年")</f>
        <v>1年</v>
      </c>
      <c r="V30" s="12"/>
      <c r="W30" s="12"/>
      <c r="X30" s="12"/>
      <c r="Y30" s="12"/>
      <c r="Z30" s="14"/>
      <c r="AA30" s="15" t="str">
        <f ca="1">IFERROR(__xludf.DUMMYFUNCTION("""COMPUTED_VALUE"""),"*簡約。現代。纖薄*節省空間，高效辦公*流暢舒適的輸入與滑鼠操控")</f>
        <v>*簡約。現代。纖薄*節省空間，高效辦公*流暢舒適的輸入與滑鼠操控</v>
      </c>
    </row>
    <row r="31" spans="1:27" ht="19.5" customHeight="1">
      <c r="A31" s="12" t="str">
        <f ca="1">IFERROR(__xludf.DUMMYFUNCTION("""COMPUTED_VALUE"""),"3C")</f>
        <v>3C</v>
      </c>
      <c r="B31" s="12" t="str">
        <f ca="1">IFERROR(__xludf.DUMMYFUNCTION("""COMPUTED_VALUE"""),"祥豪")</f>
        <v>祥豪</v>
      </c>
      <c r="C31" s="12" t="str">
        <f ca="1">IFERROR(__xludf.DUMMYFUNCTION("""COMPUTED_VALUE"""),"Logitech")</f>
        <v>Logitech</v>
      </c>
      <c r="D31" s="12" t="str">
        <f ca="1">IFERROR(__xludf.DUMMYFUNCTION("""COMPUTED_VALUE"""),"Logitech_羅技WaveKeys人體工學鍵盤-石墨灰_920-012313")</f>
        <v>Logitech_羅技WaveKeys人體工學鍵盤-石墨灰_920-012313</v>
      </c>
      <c r="E31" s="12" t="str">
        <f ca="1">IFERROR(__xludf.DUMMYFUNCTION("""COMPUTED_VALUE"""),"920-012313")</f>
        <v>920-012313</v>
      </c>
      <c r="F31" s="12">
        <f ca="1">IFERROR(__xludf.DUMMYFUNCTION("""COMPUTED_VALUE"""),51096223)</f>
        <v>51096223</v>
      </c>
      <c r="G31" s="12" t="str">
        <f ca="1">IFERROR(__xludf.DUMMYFUNCTION("""COMPUTED_VALUE"""),"IGEM101F")</f>
        <v>IGEM101F</v>
      </c>
      <c r="H31" s="13">
        <f ca="1">IFERROR(__xludf.DUMMYFUNCTION("""COMPUTED_VALUE"""),2490)</f>
        <v>2490</v>
      </c>
      <c r="I31" s="14">
        <f ca="1">IFERROR(__xludf.DUMMYFUNCTION("""COMPUTED_VALUE"""),2490)</f>
        <v>2490</v>
      </c>
      <c r="J31" s="16">
        <f ca="1">IFERROR(__xludf.DUMMYFUNCTION("""COMPUTED_VALUE"""),45426)</f>
        <v>45426</v>
      </c>
      <c r="K31" s="12" t="str">
        <f ca="1">IFERROR(__xludf.DUMMYFUNCTION("""COMPUTED_VALUE"""),"新機上架")</f>
        <v>新機上架</v>
      </c>
      <c r="L31" s="12" t="str">
        <f ca="1">IFERROR(__xludf.DUMMYFUNCTION("""COMPUTED_VALUE"""),"上架中")</f>
        <v>上架中</v>
      </c>
      <c r="M31" s="12" t="str">
        <f ca="1">IFERROR(__xludf.DUMMYFUNCTION("""COMPUTED_VALUE"""),"2024/5/14新機上架")</f>
        <v>2024/5/14新機上架</v>
      </c>
      <c r="N31" s="12" t="str">
        <f ca="1">IFERROR(__xludf.DUMMYFUNCTION("""COMPUTED_VALUE"""),"鍵盤/滑鼠")</f>
        <v>鍵盤/滑鼠</v>
      </c>
      <c r="O31" s="12" t="str">
        <f ca="1">IFERROR(__xludf.DUMMYFUNCTION("""COMPUTED_VALUE"""),"石墨灰")</f>
        <v>石墨灰</v>
      </c>
      <c r="P31" s="12" t="str">
        <f ca="1">IFERROR(__xludf.DUMMYFUNCTION("""COMPUTED_VALUE"""),"石墨灰/Bolt")</f>
        <v>石墨灰/Bolt</v>
      </c>
      <c r="Q31" s="12" t="str">
        <f ca="1">IFERROR(__xludf.DUMMYFUNCTION("""COMPUTED_VALUE"""),"23.8x39.4x3.8mm")</f>
        <v>23.8x39.4x3.8mm</v>
      </c>
      <c r="R31" s="12" t="str">
        <f ca="1">IFERROR(__xludf.DUMMYFUNCTION("""COMPUTED_VALUE"""),"中國")</f>
        <v>中國</v>
      </c>
      <c r="S31" s="12" t="str">
        <f ca="1">IFERROR(__xludf.DUMMYFUNCTION("""COMPUTED_VALUE"""),"歐盟RoSH&amp;FSC")</f>
        <v>歐盟RoSH&amp;FSC</v>
      </c>
      <c r="T31" s="12"/>
      <c r="U31" s="12" t="str">
        <f ca="1">IFERROR(__xludf.DUMMYFUNCTION("""COMPUTED_VALUE"""),"1年")</f>
        <v>1年</v>
      </c>
      <c r="V31" s="12"/>
      <c r="W31" s="12"/>
      <c r="X31" s="12"/>
      <c r="Y31" s="12"/>
      <c r="Z31" s="14"/>
      <c r="AA31" s="15" t="str">
        <f ca="1">IFERROR(__xludf.DUMMYFUNCTION("""COMPUTED_VALUE"""),"*更多手掌支撐，更少壓力*以您的方式讓生活更順暢*整天舒適打字")</f>
        <v>*更多手掌支撐，更少壓力*以您的方式讓生活更順暢*整天舒適打字</v>
      </c>
    </row>
    <row r="32" spans="1:27" ht="19.5" customHeight="1">
      <c r="A32" s="12" t="str">
        <f ca="1">IFERROR(__xludf.DUMMYFUNCTION("""COMPUTED_VALUE"""),"3C")</f>
        <v>3C</v>
      </c>
      <c r="B32" s="12" t="str">
        <f ca="1">IFERROR(__xludf.DUMMYFUNCTION("""COMPUTED_VALUE"""),"祥豪")</f>
        <v>祥豪</v>
      </c>
      <c r="C32" s="12" t="str">
        <f ca="1">IFERROR(__xludf.DUMMYFUNCTION("""COMPUTED_VALUE"""),"Logitech")</f>
        <v>Logitech</v>
      </c>
      <c r="D32" s="12" t="str">
        <f ca="1">IFERROR(__xludf.DUMMYFUNCTION("""COMPUTED_VALUE"""),"Logitech_羅技WaveKeys人體工學鍵盤-珍珠白_920-012314")</f>
        <v>Logitech_羅技WaveKeys人體工學鍵盤-珍珠白_920-012314</v>
      </c>
      <c r="E32" s="12" t="str">
        <f ca="1">IFERROR(__xludf.DUMMYFUNCTION("""COMPUTED_VALUE"""),"920-012314")</f>
        <v>920-012314</v>
      </c>
      <c r="F32" s="12">
        <f ca="1">IFERROR(__xludf.DUMMYFUNCTION("""COMPUTED_VALUE"""),51096224)</f>
        <v>51096224</v>
      </c>
      <c r="G32" s="12" t="str">
        <f ca="1">IFERROR(__xludf.DUMMYFUNCTION("""COMPUTED_VALUE"""),"IGEM101G")</f>
        <v>IGEM101G</v>
      </c>
      <c r="H32" s="13">
        <f ca="1">IFERROR(__xludf.DUMMYFUNCTION("""COMPUTED_VALUE"""),2490)</f>
        <v>2490</v>
      </c>
      <c r="I32" s="14">
        <f ca="1">IFERROR(__xludf.DUMMYFUNCTION("""COMPUTED_VALUE"""),2490)</f>
        <v>2490</v>
      </c>
      <c r="J32" s="16">
        <f ca="1">IFERROR(__xludf.DUMMYFUNCTION("""COMPUTED_VALUE"""),45426)</f>
        <v>45426</v>
      </c>
      <c r="K32" s="12" t="str">
        <f ca="1">IFERROR(__xludf.DUMMYFUNCTION("""COMPUTED_VALUE"""),"新機上架")</f>
        <v>新機上架</v>
      </c>
      <c r="L32" s="12" t="str">
        <f ca="1">IFERROR(__xludf.DUMMYFUNCTION("""COMPUTED_VALUE"""),"上架中")</f>
        <v>上架中</v>
      </c>
      <c r="M32" s="12" t="str">
        <f ca="1">IFERROR(__xludf.DUMMYFUNCTION("""COMPUTED_VALUE"""),"2024/5/14新機上架")</f>
        <v>2024/5/14新機上架</v>
      </c>
      <c r="N32" s="12" t="str">
        <f ca="1">IFERROR(__xludf.DUMMYFUNCTION("""COMPUTED_VALUE"""),"鍵盤/滑鼠")</f>
        <v>鍵盤/滑鼠</v>
      </c>
      <c r="O32" s="12" t="str">
        <f ca="1">IFERROR(__xludf.DUMMYFUNCTION("""COMPUTED_VALUE"""),"珍珠白")</f>
        <v>珍珠白</v>
      </c>
      <c r="P32" s="12" t="str">
        <f ca="1">IFERROR(__xludf.DUMMYFUNCTION("""COMPUTED_VALUE"""),"珍珠白/Bolt")</f>
        <v>珍珠白/Bolt</v>
      </c>
      <c r="Q32" s="12" t="str">
        <f ca="1">IFERROR(__xludf.DUMMYFUNCTION("""COMPUTED_VALUE"""),"23.8x39.4x3.8mm")</f>
        <v>23.8x39.4x3.8mm</v>
      </c>
      <c r="R32" s="12" t="str">
        <f ca="1">IFERROR(__xludf.DUMMYFUNCTION("""COMPUTED_VALUE"""),"中國")</f>
        <v>中國</v>
      </c>
      <c r="S32" s="12" t="str">
        <f ca="1">IFERROR(__xludf.DUMMYFUNCTION("""COMPUTED_VALUE"""),"歐盟RoSH&amp;FSC")</f>
        <v>歐盟RoSH&amp;FSC</v>
      </c>
      <c r="T32" s="12"/>
      <c r="U32" s="12" t="str">
        <f ca="1">IFERROR(__xludf.DUMMYFUNCTION("""COMPUTED_VALUE"""),"1年")</f>
        <v>1年</v>
      </c>
      <c r="V32" s="12"/>
      <c r="W32" s="12"/>
      <c r="X32" s="12"/>
      <c r="Y32" s="12"/>
      <c r="Z32" s="14"/>
      <c r="AA32" s="15" t="str">
        <f ca="1">IFERROR(__xludf.DUMMYFUNCTION("""COMPUTED_VALUE"""),"*更多手掌支撐，更少壓力*以您的方式讓生活更順暢*整天舒適打字")</f>
        <v>*更多手掌支撐，更少壓力*以您的方式讓生活更順暢*整天舒適打字</v>
      </c>
    </row>
    <row r="33" spans="1:27" ht="19.5" customHeight="1">
      <c r="A33" s="12" t="str">
        <f ca="1">IFERROR(__xludf.DUMMYFUNCTION("""COMPUTED_VALUE"""),"3C")</f>
        <v>3C</v>
      </c>
      <c r="B33" s="12" t="str">
        <f ca="1">IFERROR(__xludf.DUMMYFUNCTION("""COMPUTED_VALUE"""),"祥豪")</f>
        <v>祥豪</v>
      </c>
      <c r="C33" s="12" t="str">
        <f ca="1">IFERROR(__xludf.DUMMYFUNCTION("""COMPUTED_VALUE"""),"Logitech")</f>
        <v>Logitech</v>
      </c>
      <c r="D33" s="12" t="str">
        <f ca="1">IFERROR(__xludf.DUMMYFUNCTION("""COMPUTED_VALUE"""),"Logitech_羅技跨平台藍牙鍵盤K380s石墨灰")</f>
        <v>Logitech_羅技跨平台藍牙鍵盤K380s石墨灰</v>
      </c>
      <c r="E33" s="12" t="str">
        <f ca="1">IFERROR(__xludf.DUMMYFUNCTION("""COMPUTED_VALUE"""),"K380s石墨灰")</f>
        <v>K380s石墨灰</v>
      </c>
      <c r="F33" s="12">
        <f ca="1">IFERROR(__xludf.DUMMYFUNCTION("""COMPUTED_VALUE"""),51096225)</f>
        <v>51096225</v>
      </c>
      <c r="G33" s="12" t="str">
        <f ca="1">IFERROR(__xludf.DUMMYFUNCTION("""COMPUTED_VALUE"""),"IGEM1083")</f>
        <v>IGEM1083</v>
      </c>
      <c r="H33" s="13">
        <f ca="1">IFERROR(__xludf.DUMMYFUNCTION("""COMPUTED_VALUE"""),1090)</f>
        <v>1090</v>
      </c>
      <c r="I33" s="14">
        <f ca="1">IFERROR(__xludf.DUMMYFUNCTION("""COMPUTED_VALUE"""),1090)</f>
        <v>1090</v>
      </c>
      <c r="J33" s="16">
        <f ca="1">IFERROR(__xludf.DUMMYFUNCTION("""COMPUTED_VALUE"""),45510)</f>
        <v>45510</v>
      </c>
      <c r="K33" s="12" t="str">
        <f ca="1">IFERROR(__xludf.DUMMYFUNCTION("""COMPUTED_VALUE"""),"新機上架")</f>
        <v>新機上架</v>
      </c>
      <c r="L33" s="12" t="str">
        <f ca="1">IFERROR(__xludf.DUMMYFUNCTION("""COMPUTED_VALUE"""),"上架中")</f>
        <v>上架中</v>
      </c>
      <c r="M33" s="12"/>
      <c r="N33" s="12" t="str">
        <f ca="1">IFERROR(__xludf.DUMMYFUNCTION("""COMPUTED_VALUE"""),"鍵盤/滑鼠")</f>
        <v>鍵盤/滑鼠</v>
      </c>
      <c r="O33" s="12" t="str">
        <f ca="1">IFERROR(__xludf.DUMMYFUNCTION("""COMPUTED_VALUE"""),"石墨灰")</f>
        <v>石墨灰</v>
      </c>
      <c r="P33" s="12" t="str">
        <f ca="1">IFERROR(__xludf.DUMMYFUNCTION("""COMPUTED_VALUE"""),"石墨灰/藍芽連線/Bolt/BT/Win/iOS/Android/Chrome/Mac/iPad/Linux/Flow3ch/未隨附Bolt接收器")</f>
        <v>石墨灰/藍芽連線/Bolt/BT/Win/iOS/Android/Chrome/Mac/iPad/Linux/Flow3ch/未隨附Bolt接收器</v>
      </c>
      <c r="Q33" s="12" t="str">
        <f ca="1">IFERROR(__xludf.DUMMYFUNCTION("""COMPUTED_VALUE"""),"136*31*296")</f>
        <v>136*31*296</v>
      </c>
      <c r="R33" s="12" t="str">
        <f ca="1">IFERROR(__xludf.DUMMYFUNCTION("""COMPUTED_VALUE"""),"中國")</f>
        <v>中國</v>
      </c>
      <c r="S33" s="12" t="str">
        <f ca="1">IFERROR(__xludf.DUMMYFUNCTION("""COMPUTED_VALUE"""),"歐盟RoSH&amp;FSC")</f>
        <v>歐盟RoSH&amp;FSC</v>
      </c>
      <c r="T33" s="12"/>
      <c r="U33" s="12" t="str">
        <f ca="1">IFERROR(__xludf.DUMMYFUNCTION("""COMPUTED_VALUE"""),"1年")</f>
        <v>1年</v>
      </c>
      <c r="V33" s="12"/>
      <c r="W33" s="12"/>
      <c r="X33" s="12"/>
      <c r="Y33" s="12"/>
      <c r="Z33" s="14"/>
      <c r="AA33" s="15" t="str">
        <f ca="1">IFERROR(__xludf.DUMMYFUNCTION("""COMPUTED_VALUE"""),"*Easy-Swtich 3台裝置輕鬆切換*Logi Options+ 自訂快捷鍵*安靜的按鍵敲擊設計")</f>
        <v>*Easy-Swtich 3台裝置輕鬆切換*Logi Options+ 自訂快捷鍵*安靜的按鍵敲擊設計</v>
      </c>
    </row>
    <row r="34" spans="1:27" ht="19.5" customHeight="1">
      <c r="A34" s="12" t="str">
        <f ca="1">IFERROR(__xludf.DUMMYFUNCTION("""COMPUTED_VALUE"""),"3C")</f>
        <v>3C</v>
      </c>
      <c r="B34" s="12" t="str">
        <f ca="1">IFERROR(__xludf.DUMMYFUNCTION("""COMPUTED_VALUE"""),"祥豪")</f>
        <v>祥豪</v>
      </c>
      <c r="C34" s="12" t="str">
        <f ca="1">IFERROR(__xludf.DUMMYFUNCTION("""COMPUTED_VALUE"""),"Logitech")</f>
        <v>Logitech</v>
      </c>
      <c r="D34" s="12" t="str">
        <f ca="1">IFERROR(__xludf.DUMMYFUNCTION("""COMPUTED_VALUE"""),"Logitech_羅技跨平台藍牙鍵盤K380s珍珠白")</f>
        <v>Logitech_羅技跨平台藍牙鍵盤K380s珍珠白</v>
      </c>
      <c r="E34" s="12" t="str">
        <f ca="1">IFERROR(__xludf.DUMMYFUNCTION("""COMPUTED_VALUE"""),"K380s珍珠白")</f>
        <v>K380s珍珠白</v>
      </c>
      <c r="F34" s="12">
        <f ca="1">IFERROR(__xludf.DUMMYFUNCTION("""COMPUTED_VALUE"""),51096226)</f>
        <v>51096226</v>
      </c>
      <c r="G34" s="12" t="str">
        <f ca="1">IFERROR(__xludf.DUMMYFUNCTION("""COMPUTED_VALUE"""),"IGEM1084")</f>
        <v>IGEM1084</v>
      </c>
      <c r="H34" s="13">
        <f ca="1">IFERROR(__xludf.DUMMYFUNCTION("""COMPUTED_VALUE"""),1090)</f>
        <v>1090</v>
      </c>
      <c r="I34" s="14">
        <f ca="1">IFERROR(__xludf.DUMMYFUNCTION("""COMPUTED_VALUE"""),1090)</f>
        <v>1090</v>
      </c>
      <c r="J34" s="16">
        <f ca="1">IFERROR(__xludf.DUMMYFUNCTION("""COMPUTED_VALUE"""),45510)</f>
        <v>45510</v>
      </c>
      <c r="K34" s="12" t="str">
        <f ca="1">IFERROR(__xludf.DUMMYFUNCTION("""COMPUTED_VALUE"""),"新機上架")</f>
        <v>新機上架</v>
      </c>
      <c r="L34" s="12" t="str">
        <f ca="1">IFERROR(__xludf.DUMMYFUNCTION("""COMPUTED_VALUE"""),"上架中")</f>
        <v>上架中</v>
      </c>
      <c r="M34" s="12"/>
      <c r="N34" s="12" t="str">
        <f ca="1">IFERROR(__xludf.DUMMYFUNCTION("""COMPUTED_VALUE"""),"鍵盤/滑鼠")</f>
        <v>鍵盤/滑鼠</v>
      </c>
      <c r="O34" s="12" t="str">
        <f ca="1">IFERROR(__xludf.DUMMYFUNCTION("""COMPUTED_VALUE"""),"珍珠白")</f>
        <v>珍珠白</v>
      </c>
      <c r="P34" s="12" t="str">
        <f ca="1">IFERROR(__xludf.DUMMYFUNCTION("""COMPUTED_VALUE"""),"珍珠白/藍芽連線/Bolt/BT/Win/iOS/Android/Chrome/Mac/iPad/Linux/Flow3ch/未隨附Bolt接收器")</f>
        <v>珍珠白/藍芽連線/Bolt/BT/Win/iOS/Android/Chrome/Mac/iPad/Linux/Flow3ch/未隨附Bolt接收器</v>
      </c>
      <c r="Q34" s="12" t="str">
        <f ca="1">IFERROR(__xludf.DUMMYFUNCTION("""COMPUTED_VALUE"""),"136*31*296")</f>
        <v>136*31*296</v>
      </c>
      <c r="R34" s="12" t="str">
        <f ca="1">IFERROR(__xludf.DUMMYFUNCTION("""COMPUTED_VALUE"""),"中國")</f>
        <v>中國</v>
      </c>
      <c r="S34" s="12" t="str">
        <f ca="1">IFERROR(__xludf.DUMMYFUNCTION("""COMPUTED_VALUE"""),"歐盟RoSH&amp;FSC")</f>
        <v>歐盟RoSH&amp;FSC</v>
      </c>
      <c r="T34" s="12"/>
      <c r="U34" s="12" t="str">
        <f ca="1">IFERROR(__xludf.DUMMYFUNCTION("""COMPUTED_VALUE"""),"1年")</f>
        <v>1年</v>
      </c>
      <c r="V34" s="12"/>
      <c r="W34" s="12"/>
      <c r="X34" s="12"/>
      <c r="Y34" s="12"/>
      <c r="Z34" s="14"/>
      <c r="AA34" s="15" t="str">
        <f ca="1">IFERROR(__xludf.DUMMYFUNCTION("""COMPUTED_VALUE"""),"*Easy-Swtich 3台裝置輕鬆切換*Logi Options+ 自訂快捷鍵*安靜的按鍵敲擊設計")</f>
        <v>*Easy-Swtich 3台裝置輕鬆切換*Logi Options+ 自訂快捷鍵*安靜的按鍵敲擊設計</v>
      </c>
    </row>
    <row r="35" spans="1:27" ht="19.5" customHeight="1">
      <c r="A35" s="12" t="str">
        <f ca="1">IFERROR(__xludf.DUMMYFUNCTION("""COMPUTED_VALUE"""),"3C")</f>
        <v>3C</v>
      </c>
      <c r="B35" s="12" t="str">
        <f ca="1">IFERROR(__xludf.DUMMYFUNCTION("""COMPUTED_VALUE"""),"祥豪")</f>
        <v>祥豪</v>
      </c>
      <c r="C35" s="12" t="str">
        <f ca="1">IFERROR(__xludf.DUMMYFUNCTION("""COMPUTED_VALUE"""),"Logitech")</f>
        <v>Logitech</v>
      </c>
      <c r="D35" s="12" t="str">
        <f ca="1">IFERROR(__xludf.DUMMYFUNCTION("""COMPUTED_VALUE"""),"Logitech_羅技跨平台藍牙鍵盤K380s玫瑰粉")</f>
        <v>Logitech_羅技跨平台藍牙鍵盤K380s玫瑰粉</v>
      </c>
      <c r="E35" s="12" t="str">
        <f ca="1">IFERROR(__xludf.DUMMYFUNCTION("""COMPUTED_VALUE"""),"K380s玫瑰粉")</f>
        <v>K380s玫瑰粉</v>
      </c>
      <c r="F35" s="12">
        <f ca="1">IFERROR(__xludf.DUMMYFUNCTION("""COMPUTED_VALUE"""),51096227)</f>
        <v>51096227</v>
      </c>
      <c r="G35" s="12" t="str">
        <f ca="1">IFERROR(__xludf.DUMMYFUNCTION("""COMPUTED_VALUE"""),"IGEM1085")</f>
        <v>IGEM1085</v>
      </c>
      <c r="H35" s="13">
        <f ca="1">IFERROR(__xludf.DUMMYFUNCTION("""COMPUTED_VALUE"""),1090)</f>
        <v>1090</v>
      </c>
      <c r="I35" s="14">
        <f ca="1">IFERROR(__xludf.DUMMYFUNCTION("""COMPUTED_VALUE"""),1090)</f>
        <v>1090</v>
      </c>
      <c r="J35" s="16">
        <f ca="1">IFERROR(__xludf.DUMMYFUNCTION("""COMPUTED_VALUE"""),45510)</f>
        <v>45510</v>
      </c>
      <c r="K35" s="12" t="str">
        <f ca="1">IFERROR(__xludf.DUMMYFUNCTION("""COMPUTED_VALUE"""),"新機上架")</f>
        <v>新機上架</v>
      </c>
      <c r="L35" s="12" t="str">
        <f ca="1">IFERROR(__xludf.DUMMYFUNCTION("""COMPUTED_VALUE"""),"上架中")</f>
        <v>上架中</v>
      </c>
      <c r="M35" s="12"/>
      <c r="N35" s="12" t="str">
        <f ca="1">IFERROR(__xludf.DUMMYFUNCTION("""COMPUTED_VALUE"""),"鍵盤/滑鼠")</f>
        <v>鍵盤/滑鼠</v>
      </c>
      <c r="O35" s="12" t="str">
        <f ca="1">IFERROR(__xludf.DUMMYFUNCTION("""COMPUTED_VALUE"""),"玫瑰粉")</f>
        <v>玫瑰粉</v>
      </c>
      <c r="P35" s="12" t="str">
        <f ca="1">IFERROR(__xludf.DUMMYFUNCTION("""COMPUTED_VALUE"""),"玫瑰粉/藍芽連線/Bolt/BT/Win/iOS/Android/Chrome/Mac/iPad/Linux/Flow3ch/未隨附Bolt接收器")</f>
        <v>玫瑰粉/藍芽連線/Bolt/BT/Win/iOS/Android/Chrome/Mac/iPad/Linux/Flow3ch/未隨附Bolt接收器</v>
      </c>
      <c r="Q35" s="12" t="str">
        <f ca="1">IFERROR(__xludf.DUMMYFUNCTION("""COMPUTED_VALUE"""),"136*31*296")</f>
        <v>136*31*296</v>
      </c>
      <c r="R35" s="12" t="str">
        <f ca="1">IFERROR(__xludf.DUMMYFUNCTION("""COMPUTED_VALUE"""),"中國")</f>
        <v>中國</v>
      </c>
      <c r="S35" s="12" t="str">
        <f ca="1">IFERROR(__xludf.DUMMYFUNCTION("""COMPUTED_VALUE"""),"歐盟RoSH&amp;FSC")</f>
        <v>歐盟RoSH&amp;FSC</v>
      </c>
      <c r="T35" s="12"/>
      <c r="U35" s="12" t="str">
        <f ca="1">IFERROR(__xludf.DUMMYFUNCTION("""COMPUTED_VALUE"""),"1年")</f>
        <v>1年</v>
      </c>
      <c r="V35" s="12"/>
      <c r="W35" s="12"/>
      <c r="X35" s="12"/>
      <c r="Y35" s="12"/>
      <c r="Z35" s="14"/>
      <c r="AA35" s="15" t="str">
        <f ca="1">IFERROR(__xludf.DUMMYFUNCTION("""COMPUTED_VALUE"""),"*Easy-Swtich 3台裝置輕鬆切換*Logi Options+ 自訂快捷鍵*安靜的按鍵敲擊設計")</f>
        <v>*Easy-Swtich 3台裝置輕鬆切換*Logi Options+ 自訂快捷鍵*安靜的按鍵敲擊設計</v>
      </c>
    </row>
    <row r="36" spans="1:27" ht="19.5" customHeight="1">
      <c r="A36" s="12" t="str">
        <f ca="1">IFERROR(__xludf.DUMMYFUNCTION("""COMPUTED_VALUE"""),"3C")</f>
        <v>3C</v>
      </c>
      <c r="B36" s="12" t="str">
        <f ca="1">IFERROR(__xludf.DUMMYFUNCTION("""COMPUTED_VALUE"""),"祥豪")</f>
        <v>祥豪</v>
      </c>
      <c r="C36" s="12" t="str">
        <f ca="1">IFERROR(__xludf.DUMMYFUNCTION("""COMPUTED_VALUE"""),"Logitech")</f>
        <v>Logitech</v>
      </c>
      <c r="D36" s="12" t="str">
        <f ca="1">IFERROR(__xludf.DUMMYFUNCTION("""COMPUTED_VALUE"""),"Logitech_羅技無線鍵鼠組MK540黑")</f>
        <v>Logitech_羅技無線鍵鼠組MK540黑</v>
      </c>
      <c r="E36" s="12" t="str">
        <f ca="1">IFERROR(__xludf.DUMMYFUNCTION("""COMPUTED_VALUE"""),"MK540黑")</f>
        <v>MK540黑</v>
      </c>
      <c r="F36" s="12">
        <f ca="1">IFERROR(__xludf.DUMMYFUNCTION("""COMPUTED_VALUE"""),51096228)</f>
        <v>51096228</v>
      </c>
      <c r="G36" s="12" t="str">
        <f ca="1">IFERROR(__xludf.DUMMYFUNCTION("""COMPUTED_VALUE"""),"IGEM110H")</f>
        <v>IGEM110H</v>
      </c>
      <c r="H36" s="13">
        <f ca="1">IFERROR(__xludf.DUMMYFUNCTION("""COMPUTED_VALUE"""),1990)</f>
        <v>1990</v>
      </c>
      <c r="I36" s="14">
        <f ca="1">IFERROR(__xludf.DUMMYFUNCTION("""COMPUTED_VALUE"""),1990)</f>
        <v>1990</v>
      </c>
      <c r="J36" s="16">
        <f ca="1">IFERROR(__xludf.DUMMYFUNCTION("""COMPUTED_VALUE"""),45548)</f>
        <v>45548</v>
      </c>
      <c r="K36" s="12" t="str">
        <f ca="1">IFERROR(__xludf.DUMMYFUNCTION("""COMPUTED_VALUE"""),"新機上架")</f>
        <v>新機上架</v>
      </c>
      <c r="L36" s="12" t="str">
        <f ca="1">IFERROR(__xludf.DUMMYFUNCTION("""COMPUTED_VALUE"""),"上架中")</f>
        <v>上架中</v>
      </c>
      <c r="M36" s="12" t="str">
        <f ca="1">IFERROR(__xludf.DUMMYFUNCTION("""COMPUTED_VALUE"""),"2024/9/13新機上架")</f>
        <v>2024/9/13新機上架</v>
      </c>
      <c r="N36" s="12" t="str">
        <f ca="1">IFERROR(__xludf.DUMMYFUNCTION("""COMPUTED_VALUE"""),"鍵盤/滑鼠")</f>
        <v>鍵盤/滑鼠</v>
      </c>
      <c r="O36" s="12" t="str">
        <f ca="1">IFERROR(__xludf.DUMMYFUNCTION("""COMPUTED_VALUE"""),"黑色")</f>
        <v>黑色</v>
      </c>
      <c r="P36" s="12" t="str">
        <f ca="1">IFERROR(__xludf.DUMMYFUNCTION("""COMPUTED_VALUE"""),"Unifying/m310")</f>
        <v>Unifying/m310</v>
      </c>
      <c r="Q36" s="12" t="str">
        <f ca="1">IFERROR(__xludf.DUMMYFUNCTION("""COMPUTED_VALUE"""),"200*480*530 mm")</f>
        <v>200*480*530 mm</v>
      </c>
      <c r="R36" s="12" t="str">
        <f ca="1">IFERROR(__xludf.DUMMYFUNCTION("""COMPUTED_VALUE"""),"中國")</f>
        <v>中國</v>
      </c>
      <c r="S36" s="12" t="str">
        <f ca="1">IFERROR(__xludf.DUMMYFUNCTION("""COMPUTED_VALUE"""),"歐盟RoSH")</f>
        <v>歐盟RoSH</v>
      </c>
      <c r="T36" s="12"/>
      <c r="U36" s="12" t="str">
        <f ca="1">IFERROR(__xludf.DUMMYFUNCTION("""COMPUTED_VALUE"""),"1年")</f>
        <v>1年</v>
      </c>
      <c r="V36" s="12"/>
      <c r="W36" s="12"/>
      <c r="X36" s="12" t="str">
        <f ca="1">IFERROR(__xludf.DUMMYFUNCTION("""COMPUTED_VALUE"""),"(114/1/1-2/28)隨貨送Logi滑鼠墊(不挑款)*1-數量有限送完為止")</f>
        <v>(114/1/1-2/28)隨貨送Logi滑鼠墊(不挑款)*1-數量有限送完為止</v>
      </c>
      <c r="Y36" s="12"/>
      <c r="Z36" s="14"/>
      <c r="AA36" s="15" t="str">
        <f ca="1">IFERROR(__xludf.DUMMYFUNCTION("""COMPUTED_VALUE"""),"*隨插即用的無線鍵盤滑鼠組合*舒適合手的滑鼠*便利的快捷鍵，提高工作效率")</f>
        <v>*隨插即用的無線鍵盤滑鼠組合*舒適合手的滑鼠*便利的快捷鍵，提高工作效率</v>
      </c>
    </row>
    <row r="37" spans="1:27" ht="19.5" customHeight="1">
      <c r="A37" s="12" t="str">
        <f ca="1">IFERROR(__xludf.DUMMYFUNCTION("""COMPUTED_VALUE"""),"3C")</f>
        <v>3C</v>
      </c>
      <c r="B37" s="12" t="str">
        <f ca="1">IFERROR(__xludf.DUMMYFUNCTION("""COMPUTED_VALUE"""),"祥豪")</f>
        <v>祥豪</v>
      </c>
      <c r="C37" s="12" t="str">
        <f ca="1">IFERROR(__xludf.DUMMYFUNCTION("""COMPUTED_VALUE"""),"Logitech")</f>
        <v>Logitech</v>
      </c>
      <c r="D37" s="12" t="str">
        <f ca="1">IFERROR(__xludf.DUMMYFUNCTION("""COMPUTED_VALUE"""),"Logitech_羅技無線鍵盤K650石墨灰")</f>
        <v>Logitech_羅技無線鍵盤K650石墨灰</v>
      </c>
      <c r="E37" s="12" t="str">
        <f ca="1">IFERROR(__xludf.DUMMYFUNCTION("""COMPUTED_VALUE"""),"K650石墨灰")</f>
        <v>K650石墨灰</v>
      </c>
      <c r="F37" s="12">
        <f ca="1">IFERROR(__xludf.DUMMYFUNCTION("""COMPUTED_VALUE"""),51096229)</f>
        <v>51096229</v>
      </c>
      <c r="G37" s="12" t="str">
        <f ca="1">IFERROR(__xludf.DUMMYFUNCTION("""COMPUTED_VALUE"""),"IGEM120I")</f>
        <v>IGEM120I</v>
      </c>
      <c r="H37" s="13">
        <f ca="1">IFERROR(__xludf.DUMMYFUNCTION("""COMPUTED_VALUE"""),1490)</f>
        <v>1490</v>
      </c>
      <c r="I37" s="14">
        <f ca="1">IFERROR(__xludf.DUMMYFUNCTION("""COMPUTED_VALUE"""),1490)</f>
        <v>1490</v>
      </c>
      <c r="J37" s="16">
        <f ca="1">IFERROR(__xludf.DUMMYFUNCTION("""COMPUTED_VALUE"""),45706)</f>
        <v>45706</v>
      </c>
      <c r="K37" s="12" t="str">
        <f ca="1">IFERROR(__xludf.DUMMYFUNCTION("""COMPUTED_VALUE"""),"新機上架")</f>
        <v>新機上架</v>
      </c>
      <c r="L37" s="12" t="str">
        <f ca="1">IFERROR(__xludf.DUMMYFUNCTION("""COMPUTED_VALUE"""),"上架中")</f>
        <v>上架中</v>
      </c>
      <c r="M37" s="12"/>
      <c r="N37" s="12" t="str">
        <f ca="1">IFERROR(__xludf.DUMMYFUNCTION("""COMPUTED_VALUE"""),"鍵盤/滑鼠")</f>
        <v>鍵盤/滑鼠</v>
      </c>
      <c r="O37" s="12" t="str">
        <f ca="1">IFERROR(__xludf.DUMMYFUNCTION("""COMPUTED_VALUE"""),"石墨灰")</f>
        <v>石墨灰</v>
      </c>
      <c r="P37" s="12" t="str">
        <f ca="1">IFERROR(__xludf.DUMMYFUNCTION("""COMPUTED_VALUE"""),"石墨灰/Bolt")</f>
        <v>石墨灰/Bolt</v>
      </c>
      <c r="Q37" s="12" t="str">
        <f ca="1">IFERROR(__xludf.DUMMYFUNCTION("""COMPUTED_VALUE"""),"32x205x468 (mm)")</f>
        <v>32x205x468 (mm)</v>
      </c>
      <c r="R37" s="12" t="str">
        <f ca="1">IFERROR(__xludf.DUMMYFUNCTION("""COMPUTED_VALUE"""),"中國")</f>
        <v>中國</v>
      </c>
      <c r="S37" s="12" t="str">
        <f ca="1">IFERROR(__xludf.DUMMYFUNCTION("""COMPUTED_VALUE"""),"歐盟RoHS")</f>
        <v>歐盟RoHS</v>
      </c>
      <c r="T37" s="12"/>
      <c r="U37" s="12" t="str">
        <f ca="1">IFERROR(__xludf.DUMMYFUNCTION("""COMPUTED_VALUE"""),"1年")</f>
        <v>1年</v>
      </c>
      <c r="V37" s="12"/>
      <c r="W37" s="12"/>
      <c r="X37" s="12"/>
      <c r="Y37" s="12"/>
      <c r="Z37" s="14"/>
      <c r="AA37" s="15" t="str">
        <f ca="1">IFERROR(__xludf.DUMMYFUNCTION("""COMPUTED_VALUE"""),"*低緩衝鍵帽設計*支援藍牙與無線連接*新增快捷及媒體鍵*一體成形手托")</f>
        <v>*低緩衝鍵帽設計*支援藍牙與無線連接*新增快捷及媒體鍵*一體成形手托</v>
      </c>
    </row>
    <row r="38" spans="1:27" ht="19.5" customHeight="1">
      <c r="A38" s="12" t="str">
        <f ca="1">IFERROR(__xludf.DUMMYFUNCTION("""COMPUTED_VALUE"""),"3C")</f>
        <v>3C</v>
      </c>
      <c r="B38" s="12" t="str">
        <f ca="1">IFERROR(__xludf.DUMMYFUNCTION("""COMPUTED_VALUE"""),"祥豪")</f>
        <v>祥豪</v>
      </c>
      <c r="C38" s="12" t="str">
        <f ca="1">IFERROR(__xludf.DUMMYFUNCTION("""COMPUTED_VALUE"""),"Logitech")</f>
        <v>Logitech</v>
      </c>
      <c r="D38" s="12" t="str">
        <f ca="1">IFERROR(__xludf.DUMMYFUNCTION("""COMPUTED_VALUE"""),"Logitech_羅技無線鍵盤K650珍珠白")</f>
        <v>Logitech_羅技無線鍵盤K650珍珠白</v>
      </c>
      <c r="E38" s="12" t="str">
        <f ca="1">IFERROR(__xludf.DUMMYFUNCTION("""COMPUTED_VALUE"""),"K650珍珠白")</f>
        <v>K650珍珠白</v>
      </c>
      <c r="F38" s="12">
        <f ca="1">IFERROR(__xludf.DUMMYFUNCTION("""COMPUTED_VALUE"""),51096230)</f>
        <v>51096230</v>
      </c>
      <c r="G38" s="12" t="str">
        <f ca="1">IFERROR(__xludf.DUMMYFUNCTION("""COMPUTED_VALUE"""),"IGEM120J")</f>
        <v>IGEM120J</v>
      </c>
      <c r="H38" s="13">
        <f ca="1">IFERROR(__xludf.DUMMYFUNCTION("""COMPUTED_VALUE"""),1490)</f>
        <v>1490</v>
      </c>
      <c r="I38" s="14">
        <f ca="1">IFERROR(__xludf.DUMMYFUNCTION("""COMPUTED_VALUE"""),1490)</f>
        <v>1490</v>
      </c>
      <c r="J38" s="16">
        <f ca="1">IFERROR(__xludf.DUMMYFUNCTION("""COMPUTED_VALUE"""),45706)</f>
        <v>45706</v>
      </c>
      <c r="K38" s="12" t="str">
        <f ca="1">IFERROR(__xludf.DUMMYFUNCTION("""COMPUTED_VALUE"""),"新機上架")</f>
        <v>新機上架</v>
      </c>
      <c r="L38" s="12" t="str">
        <f ca="1">IFERROR(__xludf.DUMMYFUNCTION("""COMPUTED_VALUE"""),"上架中")</f>
        <v>上架中</v>
      </c>
      <c r="M38" s="12"/>
      <c r="N38" s="12" t="str">
        <f ca="1">IFERROR(__xludf.DUMMYFUNCTION("""COMPUTED_VALUE"""),"鍵盤/滑鼠")</f>
        <v>鍵盤/滑鼠</v>
      </c>
      <c r="O38" s="12" t="str">
        <f ca="1">IFERROR(__xludf.DUMMYFUNCTION("""COMPUTED_VALUE"""),"珍珠白")</f>
        <v>珍珠白</v>
      </c>
      <c r="P38" s="12" t="str">
        <f ca="1">IFERROR(__xludf.DUMMYFUNCTION("""COMPUTED_VALUE"""),"珍珠白/Bolt")</f>
        <v>珍珠白/Bolt</v>
      </c>
      <c r="Q38" s="12" t="str">
        <f ca="1">IFERROR(__xludf.DUMMYFUNCTION("""COMPUTED_VALUE"""),"32x205x468 (mm)")</f>
        <v>32x205x468 (mm)</v>
      </c>
      <c r="R38" s="12" t="str">
        <f ca="1">IFERROR(__xludf.DUMMYFUNCTION("""COMPUTED_VALUE"""),"中國")</f>
        <v>中國</v>
      </c>
      <c r="S38" s="12" t="str">
        <f ca="1">IFERROR(__xludf.DUMMYFUNCTION("""COMPUTED_VALUE"""),"歐盟RoHS")</f>
        <v>歐盟RoHS</v>
      </c>
      <c r="T38" s="12"/>
      <c r="U38" s="12" t="str">
        <f ca="1">IFERROR(__xludf.DUMMYFUNCTION("""COMPUTED_VALUE"""),"1年")</f>
        <v>1年</v>
      </c>
      <c r="V38" s="12"/>
      <c r="W38" s="12"/>
      <c r="X38" s="12"/>
      <c r="Y38" s="12"/>
      <c r="Z38" s="14"/>
      <c r="AA38" s="15" t="str">
        <f ca="1">IFERROR(__xludf.DUMMYFUNCTION("""COMPUTED_VALUE"""),"*低緩衝鍵帽設計*支援藍牙與無線連接*新增快捷及媒體鍵*一體成形手托")</f>
        <v>*低緩衝鍵帽設計*支援藍牙與無線連接*新增快捷及媒體鍵*一體成形手托</v>
      </c>
    </row>
    <row r="39" spans="1:27" ht="19.5" customHeight="1">
      <c r="A39" s="12" t="str">
        <f ca="1">IFERROR(__xludf.DUMMYFUNCTION("""COMPUTED_VALUE"""),"3C")</f>
        <v>3C</v>
      </c>
      <c r="B39" s="12" t="str">
        <f ca="1">IFERROR(__xludf.DUMMYFUNCTION("""COMPUTED_VALUE"""),"順發")</f>
        <v>順發</v>
      </c>
      <c r="C39" s="12" t="str">
        <f ca="1">IFERROR(__xludf.DUMMYFUNCTION("""COMPUTED_VALUE"""),"msi")</f>
        <v>msi</v>
      </c>
      <c r="D39" s="12" t="str">
        <f ca="1">IFERROR(__xludf.DUMMYFUNCTION("""COMPUTED_VALUE"""),"MSI Modern B13M-012TW 15.6吋13代高效輕薄筆電筆電(黑)_306DC8")</f>
        <v>MSI Modern B13M-012TW 15.6吋13代高效輕薄筆電筆電(黑)_306DC8</v>
      </c>
      <c r="E39" s="12" t="str">
        <f ca="1">IFERROR(__xludf.DUMMYFUNCTION("""COMPUTED_VALUE"""),"B13M-012TW")</f>
        <v>B13M-012TW</v>
      </c>
      <c r="F39" s="12">
        <f ca="1">IFERROR(__xludf.DUMMYFUNCTION("""COMPUTED_VALUE"""),51095771)</f>
        <v>51095771</v>
      </c>
      <c r="G39" s="12" t="str">
        <f ca="1">IFERROR(__xludf.DUMMYFUNCTION("""COMPUTED_VALUE"""),"IGEM0996")</f>
        <v>IGEM0996</v>
      </c>
      <c r="H39" s="13">
        <f ca="1">IFERROR(__xludf.DUMMYFUNCTION("""COMPUTED_VALUE"""),19900)</f>
        <v>19900</v>
      </c>
      <c r="I39" s="18">
        <f ca="1">IFERROR(__xludf.DUMMYFUNCTION("""COMPUTED_VALUE"""),17900)</f>
        <v>17900</v>
      </c>
      <c r="J39" s="16">
        <f ca="1">IFERROR(__xludf.DUMMYFUNCTION("""COMPUTED_VALUE"""),45678)</f>
        <v>45678</v>
      </c>
      <c r="K39" s="12" t="str">
        <f ca="1">IFERROR(__xludf.DUMMYFUNCTION("""COMPUTED_VALUE"""),"永久降價")</f>
        <v>永久降價</v>
      </c>
      <c r="L39" s="12" t="str">
        <f ca="1">IFERROR(__xludf.DUMMYFUNCTION("""COMPUTED_VALUE"""),"上架中")</f>
        <v>上架中</v>
      </c>
      <c r="M39" s="12" t="str">
        <f ca="1">IFERROR(__xludf.DUMMYFUNCTION("""COMPUTED_VALUE"""),"2024/4/02新機上架")</f>
        <v>2024/4/02新機上架</v>
      </c>
      <c r="N39" s="12" t="str">
        <f ca="1">IFERROR(__xludf.DUMMYFUNCTION("""COMPUTED_VALUE"""),"筆電")</f>
        <v>筆電</v>
      </c>
      <c r="O39" s="12" t="str">
        <f ca="1">IFERROR(__xludf.DUMMYFUNCTION("""COMPUTED_VALUE"""),"黑")</f>
        <v>黑</v>
      </c>
      <c r="P39" s="12" t="str">
        <f ca="1">IFERROR(__xludf.DUMMYFUNCTION("""COMPUTED_VALUE"""),"15.6吋")</f>
        <v>15.6吋</v>
      </c>
      <c r="Q39" s="12"/>
      <c r="R39" s="12"/>
      <c r="S39" s="12"/>
      <c r="T39" s="12"/>
      <c r="U39" s="12" t="str">
        <f ca="1">IFERROR(__xludf.DUMMYFUNCTION("""COMPUTED_VALUE"""),"2年保固 /台灣地區2年到府收送 /免費客服電話0800-018880")</f>
        <v>2年保固 /台灣地區2年到府收送 /免費客服電話0800-018880</v>
      </c>
      <c r="V39" s="12"/>
      <c r="W39" s="12" t="str">
        <f ca="1">IFERROR(__xludf.DUMMYFUNCTION("""COMPUTED_VALUE"""),"包包與滑鼠")</f>
        <v>包包與滑鼠</v>
      </c>
      <c r="X39" s="12" t="str">
        <f ca="1">IFERROR(__xludf.DUMMYFUNCTION("""COMPUTED_VALUE"""),"隨貨送iCooby M10 2.4G無線滑鼠(黑色)")</f>
        <v>隨貨送iCooby M10 2.4G無線滑鼠(黑色)</v>
      </c>
      <c r="Y39" s="12"/>
      <c r="Z39" s="14"/>
      <c r="AA39" s="15" t="str">
        <f ca="1">IFERROR(__xludf.DUMMYFUNCTION("""COMPUTED_VALUE"""),"15.6""/處理器i5-13420H/記憶體8G/硬碟512G SSD/W11/重量1.7kg")</f>
        <v>15.6"/處理器i5-13420H/記憶體8G/硬碟512G SSD/W11/重量1.7kg</v>
      </c>
    </row>
    <row r="40" spans="1:27" ht="19.5" customHeight="1">
      <c r="A40" s="12" t="str">
        <f ca="1">IFERROR(__xludf.DUMMYFUNCTION("""COMPUTED_VALUE"""),"3C")</f>
        <v>3C</v>
      </c>
      <c r="B40" s="12" t="str">
        <f ca="1">IFERROR(__xludf.DUMMYFUNCTION("""COMPUTED_VALUE"""),"順發")</f>
        <v>順發</v>
      </c>
      <c r="C40" s="12" t="str">
        <f ca="1">IFERROR(__xludf.DUMMYFUNCTION("""COMPUTED_VALUE"""),"msi")</f>
        <v>msi</v>
      </c>
      <c r="D40" s="12" t="str">
        <f ca="1">IFERROR(__xludf.DUMMYFUNCTION("""COMPUTED_VALUE"""),"MSI Cyborg A13VFK-831TW 15.6吋電競筆電(黑)_306GK7")</f>
        <v>MSI Cyborg A13VFK-831TW 15.6吋電競筆電(黑)_306GK7</v>
      </c>
      <c r="E40" s="12" t="str">
        <f ca="1">IFERROR(__xludf.DUMMYFUNCTION("""COMPUTED_VALUE"""),"A13VFK-831TW")</f>
        <v>A13VFK-831TW</v>
      </c>
      <c r="F40" s="12">
        <f ca="1">IFERROR(__xludf.DUMMYFUNCTION("""COMPUTED_VALUE"""),51095819)</f>
        <v>51095819</v>
      </c>
      <c r="G40" s="12" t="str">
        <f ca="1">IFERROR(__xludf.DUMMYFUNCTION("""COMPUTED_VALUE"""),"IGEM1073")</f>
        <v>IGEM1073</v>
      </c>
      <c r="H40" s="13">
        <f ca="1">IFERROR(__xludf.DUMMYFUNCTION("""COMPUTED_VALUE"""),34900)</f>
        <v>34900</v>
      </c>
      <c r="I40" s="14">
        <f ca="1">IFERROR(__xludf.DUMMYFUNCTION("""COMPUTED_VALUE"""),32900)</f>
        <v>32900</v>
      </c>
      <c r="J40" s="16">
        <f ca="1">IFERROR(__xludf.DUMMYFUNCTION("""COMPUTED_VALUE"""),45496)</f>
        <v>45496</v>
      </c>
      <c r="K40" s="12" t="str">
        <f ca="1">IFERROR(__xludf.DUMMYFUNCTION("""COMPUTED_VALUE"""),"新機上架")</f>
        <v>新機上架</v>
      </c>
      <c r="L40" s="12" t="str">
        <f ca="1">IFERROR(__xludf.DUMMYFUNCTION("""COMPUTED_VALUE"""),"上架中")</f>
        <v>上架中</v>
      </c>
      <c r="M40" s="12" t="str">
        <f ca="1">IFERROR(__xludf.DUMMYFUNCTION("""COMPUTED_VALUE"""),"2024/7/23新機上架")</f>
        <v>2024/7/23新機上架</v>
      </c>
      <c r="N40" s="12" t="str">
        <f ca="1">IFERROR(__xludf.DUMMYFUNCTION("""COMPUTED_VALUE"""),"筆電")</f>
        <v>筆電</v>
      </c>
      <c r="O40" s="12" t="str">
        <f ca="1">IFERROR(__xludf.DUMMYFUNCTION("""COMPUTED_VALUE"""),"黑")</f>
        <v>黑</v>
      </c>
      <c r="P40" s="12" t="str">
        <f ca="1">IFERROR(__xludf.DUMMYFUNCTION("""COMPUTED_VALUE"""),"15.6吋")</f>
        <v>15.6吋</v>
      </c>
      <c r="Q40" s="12"/>
      <c r="R40" s="12"/>
      <c r="S40" s="12"/>
      <c r="T40" s="12"/>
      <c r="U40" s="12" t="str">
        <f ca="1">IFERROR(__xludf.DUMMYFUNCTION("""COMPUTED_VALUE"""),"2年保固 /台灣地區2年到府收送 /免費客服電話0800-018880")</f>
        <v>2年保固 /台灣地區2年到府收送 /免費客服電話0800-018880</v>
      </c>
      <c r="V40" s="12"/>
      <c r="W40" s="12" t="str">
        <f ca="1">IFERROR(__xludf.DUMMYFUNCTION("""COMPUTED_VALUE"""),"包包與滑鼠")</f>
        <v>包包與滑鼠</v>
      </c>
      <c r="X40" s="12" t="str">
        <f ca="1">IFERROR(__xludf.DUMMYFUNCTION("""COMPUTED_VALUE"""),"隨貨送iCooby M10 2.4G無線滑鼠(黑色)")</f>
        <v>隨貨送iCooby M10 2.4G無線滑鼠(黑色)</v>
      </c>
      <c r="Y40" s="12"/>
      <c r="Z40" s="14"/>
      <c r="AA40" s="15" t="str">
        <f ca="1">IFERROR(__xludf.DUMMYFUNCTION("""COMPUTED_VALUE"""),"15.6""/處理器i7-13620H/記憶體16G/顯卡RTX4060 8G/硬碟512G SSD/144Hz/W11/重量1.98kg")</f>
        <v>15.6"/處理器i7-13620H/記憶體16G/顯卡RTX4060 8G/硬碟512G SSD/144Hz/W11/重量1.98kg</v>
      </c>
    </row>
    <row r="41" spans="1:27" ht="19.5" customHeight="1">
      <c r="A41" s="12" t="str">
        <f ca="1">IFERROR(__xludf.DUMMYFUNCTION("""COMPUTED_VALUE"""),"3C")</f>
        <v>3C</v>
      </c>
      <c r="B41" s="12" t="str">
        <f ca="1">IFERROR(__xludf.DUMMYFUNCTION("""COMPUTED_VALUE"""),"順發")</f>
        <v>順發</v>
      </c>
      <c r="C41" s="12" t="str">
        <f ca="1">IFERROR(__xludf.DUMMYFUNCTION("""COMPUTED_VALUE"""),"msi")</f>
        <v>msi</v>
      </c>
      <c r="D41" s="12" t="str">
        <f ca="1">IFERROR(__xludf.DUMMYFUNCTION("""COMPUTED_VALUE"""),"MSI Cyborg A13VFK-831TW 15.6吋電競筆電(黑)+office365個人版15個月_306GK7")</f>
        <v>MSI Cyborg A13VFK-831TW 15.6吋電競筆電(黑)+office365個人版15個月_306GK7</v>
      </c>
      <c r="E41" s="12" t="str">
        <f ca="1">IFERROR(__xludf.DUMMYFUNCTION("""COMPUTED_VALUE"""),"A13VFK-831TW+office365個人版15個月")</f>
        <v>A13VFK-831TW+office365個人版15個月</v>
      </c>
      <c r="F41" s="12">
        <f ca="1">IFERROR(__xludf.DUMMYFUNCTION("""COMPUTED_VALUE"""),51095905)</f>
        <v>51095905</v>
      </c>
      <c r="G41" s="12" t="str">
        <f ca="1">IFERROR(__xludf.DUMMYFUNCTION("""COMPUTED_VALUE"""),"IGEM116O")</f>
        <v>IGEM116O</v>
      </c>
      <c r="H41" s="13">
        <f ca="1">IFERROR(__xludf.DUMMYFUNCTION("""COMPUTED_VALUE"""),37900)</f>
        <v>37900</v>
      </c>
      <c r="I41" s="14">
        <f ca="1">IFERROR(__xludf.DUMMYFUNCTION("""COMPUTED_VALUE"""),34900)</f>
        <v>34900</v>
      </c>
      <c r="J41" s="16">
        <f ca="1">IFERROR(__xludf.DUMMYFUNCTION("""COMPUTED_VALUE"""),45658)</f>
        <v>45658</v>
      </c>
      <c r="K41" s="12" t="str">
        <f ca="1">IFERROR(__xludf.DUMMYFUNCTION("""COMPUTED_VALUE"""),"新機上架")</f>
        <v>新機上架</v>
      </c>
      <c r="L41" s="12" t="str">
        <f ca="1">IFERROR(__xludf.DUMMYFUNCTION("""COMPUTED_VALUE"""),"上架中")</f>
        <v>上架中</v>
      </c>
      <c r="M41" s="12" t="str">
        <f ca="1">IFERROR(__xludf.DUMMYFUNCTION("""COMPUTED_VALUE"""),"2025/1/1上架")</f>
        <v>2025/1/1上架</v>
      </c>
      <c r="N41" s="12" t="str">
        <f ca="1">IFERROR(__xludf.DUMMYFUNCTION("""COMPUTED_VALUE"""),"筆電")</f>
        <v>筆電</v>
      </c>
      <c r="O41" s="12" t="str">
        <f ca="1">IFERROR(__xludf.DUMMYFUNCTION("""COMPUTED_VALUE"""),"黑")</f>
        <v>黑</v>
      </c>
      <c r="P41" s="12" t="str">
        <f ca="1">IFERROR(__xludf.DUMMYFUNCTION("""COMPUTED_VALUE"""),"15.6吋")</f>
        <v>15.6吋</v>
      </c>
      <c r="Q41" s="12"/>
      <c r="R41" s="12"/>
      <c r="S41" s="12"/>
      <c r="T41" s="12"/>
      <c r="U41" s="12" t="str">
        <f ca="1">IFERROR(__xludf.DUMMYFUNCTION("""COMPUTED_VALUE"""),"2年保固 /台灣地區2年到府收送 /免費客服電話0800-018882")</f>
        <v>2年保固 /台灣地區2年到府收送 /免費客服電話0800-018882</v>
      </c>
      <c r="V41" s="12"/>
      <c r="W41" s="12" t="str">
        <f ca="1">IFERROR(__xludf.DUMMYFUNCTION("""COMPUTED_VALUE"""),"包包與滑鼠")</f>
        <v>包包與滑鼠</v>
      </c>
      <c r="X41" s="12" t="str">
        <f ca="1">IFERROR(__xludf.DUMMYFUNCTION("""COMPUTED_VALUE"""),"隨貨送iCooby M10 2.4G無線滑鼠(黑色)")</f>
        <v>隨貨送iCooby M10 2.4G無線滑鼠(黑色)</v>
      </c>
      <c r="Y41" s="12"/>
      <c r="Z41" s="14"/>
      <c r="AA41" s="15" t="str">
        <f ca="1">IFERROR(__xludf.DUMMYFUNCTION("""COMPUTED_VALUE"""),"15.6""/處理器i7-13620H/記憶體16G/顯卡RTX4060 8G/硬碟512G SSD/144Hz/W11/重量1.98kg")</f>
        <v>15.6"/處理器i7-13620H/記憶體16G/顯卡RTX4060 8G/硬碟512G SSD/144Hz/W11/重量1.98kg</v>
      </c>
    </row>
    <row r="42" spans="1:27" ht="19.5" customHeight="1">
      <c r="A42" s="12" t="str">
        <f ca="1">IFERROR(__xludf.DUMMYFUNCTION("""COMPUTED_VALUE"""),"3C")</f>
        <v>3C</v>
      </c>
      <c r="B42" s="12" t="str">
        <f ca="1">IFERROR(__xludf.DUMMYFUNCTION("""COMPUTED_VALUE"""),"順發")</f>
        <v>順發</v>
      </c>
      <c r="C42" s="12" t="str">
        <f ca="1">IFERROR(__xludf.DUMMYFUNCTION("""COMPUTED_VALUE"""),"msi")</f>
        <v>msi</v>
      </c>
      <c r="D42" s="12" t="str">
        <f ca="1">IFERROR(__xludf.DUMMYFUNCTION("""COMPUTED_VALUE"""),"MSI Thin 15 B13UC-1418TW 15.6吋電競筆電(黑)_306DY6")</f>
        <v>MSI Thin 15 B13UC-1418TW 15.6吋電競筆電(黑)_306DY6</v>
      </c>
      <c r="E42" s="12" t="str">
        <f ca="1">IFERROR(__xludf.DUMMYFUNCTION("""COMPUTED_VALUE"""),"B13UC-1418TW")</f>
        <v>B13UC-1418TW</v>
      </c>
      <c r="F42" s="12">
        <f ca="1">IFERROR(__xludf.DUMMYFUNCTION("""COMPUTED_VALUE"""),51095910)</f>
        <v>51095910</v>
      </c>
      <c r="G42" s="12" t="str">
        <f ca="1">IFERROR(__xludf.DUMMYFUNCTION("""COMPUTED_VALUE"""),"IGEM116T")</f>
        <v>IGEM116T</v>
      </c>
      <c r="H42" s="13">
        <f ca="1">IFERROR(__xludf.DUMMYFUNCTION("""COMPUTED_VALUE"""),27900)</f>
        <v>27900</v>
      </c>
      <c r="I42" s="14">
        <f ca="1">IFERROR(__xludf.DUMMYFUNCTION("""COMPUTED_VALUE"""),25900)</f>
        <v>25900</v>
      </c>
      <c r="J42" s="16">
        <f ca="1">IFERROR(__xludf.DUMMYFUNCTION("""COMPUTED_VALUE"""),45658)</f>
        <v>45658</v>
      </c>
      <c r="K42" s="12" t="str">
        <f ca="1">IFERROR(__xludf.DUMMYFUNCTION("""COMPUTED_VALUE"""),"新機上架")</f>
        <v>新機上架</v>
      </c>
      <c r="L42" s="12" t="str">
        <f ca="1">IFERROR(__xludf.DUMMYFUNCTION("""COMPUTED_VALUE"""),"上架中")</f>
        <v>上架中</v>
      </c>
      <c r="M42" s="12" t="str">
        <f ca="1">IFERROR(__xludf.DUMMYFUNCTION("""COMPUTED_VALUE"""),"2025/1/1上架")</f>
        <v>2025/1/1上架</v>
      </c>
      <c r="N42" s="12" t="str">
        <f ca="1">IFERROR(__xludf.DUMMYFUNCTION("""COMPUTED_VALUE"""),"筆電")</f>
        <v>筆電</v>
      </c>
      <c r="O42" s="12" t="str">
        <f ca="1">IFERROR(__xludf.DUMMYFUNCTION("""COMPUTED_VALUE"""),"黑")</f>
        <v>黑</v>
      </c>
      <c r="P42" s="12" t="str">
        <f ca="1">IFERROR(__xludf.DUMMYFUNCTION("""COMPUTED_VALUE"""),"15.6吋")</f>
        <v>15.6吋</v>
      </c>
      <c r="Q42" s="12"/>
      <c r="R42" s="12" t="str">
        <f ca="1">IFERROR(__xludf.DUMMYFUNCTION("""COMPUTED_VALUE"""),"中國")</f>
        <v>中國</v>
      </c>
      <c r="S42" s="12"/>
      <c r="T42" s="12"/>
      <c r="U42" s="12" t="str">
        <f ca="1">IFERROR(__xludf.DUMMYFUNCTION("""COMPUTED_VALUE"""),"2年保固 /台灣地區2年到府收送 /免費客服電話0800-018880")</f>
        <v>2年保固 /台灣地區2年到府收送 /免費客服電話0800-018880</v>
      </c>
      <c r="V42" s="12"/>
      <c r="W42" s="12" t="str">
        <f ca="1">IFERROR(__xludf.DUMMYFUNCTION("""COMPUTED_VALUE"""),"包包與滑鼠")</f>
        <v>包包與滑鼠</v>
      </c>
      <c r="X42" s="12" t="str">
        <f ca="1">IFERROR(__xludf.DUMMYFUNCTION("""COMPUTED_VALUE"""),"隨貨送iCooby M10 2.4G無線滑鼠(黑色)")</f>
        <v>隨貨送iCooby M10 2.4G無線滑鼠(黑色)</v>
      </c>
      <c r="Y42" s="12"/>
      <c r="Z42" s="14"/>
      <c r="AA42" s="15" t="str">
        <f ca="1">IFERROR(__xludf.DUMMYFUNCTION("""COMPUTED_VALUE"""),"15.6""/處理器i7-13620H/記憶體16G/顯卡RTX3050 4G/硬碟512G SSD/W11/重量1.86 kg")</f>
        <v>15.6"/處理器i7-13620H/記憶體16G/顯卡RTX3050 4G/硬碟512G SSD/W11/重量1.86 kg</v>
      </c>
    </row>
    <row r="43" spans="1:27" ht="19.5" customHeight="1">
      <c r="A43" s="12" t="str">
        <f ca="1">IFERROR(__xludf.DUMMYFUNCTION("""COMPUTED_VALUE"""),"3C")</f>
        <v>3C</v>
      </c>
      <c r="B43" s="12" t="str">
        <f ca="1">IFERROR(__xludf.DUMMYFUNCTION("""COMPUTED_VALUE"""),"順發")</f>
        <v>順發</v>
      </c>
      <c r="C43" s="12" t="str">
        <f ca="1">IFERROR(__xludf.DUMMYFUNCTION("""COMPUTED_VALUE"""),"msi")</f>
        <v>msi</v>
      </c>
      <c r="D43" s="12" t="str">
        <f ca="1">IFERROR(__xludf.DUMMYFUNCTION("""COMPUTED_VALUE"""),"MSI Thin 15 B13UC-1418TW 15.6吋電競筆電(黑)+office365個人版15個月_306DY6")</f>
        <v>MSI Thin 15 B13UC-1418TW 15.6吋電競筆電(黑)+office365個人版15個月_306DY6</v>
      </c>
      <c r="E43" s="12" t="str">
        <f ca="1">IFERROR(__xludf.DUMMYFUNCTION("""COMPUTED_VALUE"""),"B13UC-1418TW+office365個人版15個月")</f>
        <v>B13UC-1418TW+office365個人版15個月</v>
      </c>
      <c r="F43" s="12">
        <f ca="1">IFERROR(__xludf.DUMMYFUNCTION("""COMPUTED_VALUE"""),51095911)</f>
        <v>51095911</v>
      </c>
      <c r="G43" s="12" t="str">
        <f ca="1">IFERROR(__xludf.DUMMYFUNCTION("""COMPUTED_VALUE"""),"IGEM116U")</f>
        <v>IGEM116U</v>
      </c>
      <c r="H43" s="13">
        <f ca="1">IFERROR(__xludf.DUMMYFUNCTION("""COMPUTED_VALUE"""),30900)</f>
        <v>30900</v>
      </c>
      <c r="I43" s="14">
        <f ca="1">IFERROR(__xludf.DUMMYFUNCTION("""COMPUTED_VALUE"""),27900)</f>
        <v>27900</v>
      </c>
      <c r="J43" s="16">
        <f ca="1">IFERROR(__xludf.DUMMYFUNCTION("""COMPUTED_VALUE"""),45658)</f>
        <v>45658</v>
      </c>
      <c r="K43" s="12" t="str">
        <f ca="1">IFERROR(__xludf.DUMMYFUNCTION("""COMPUTED_VALUE"""),"新機上架")</f>
        <v>新機上架</v>
      </c>
      <c r="L43" s="12" t="str">
        <f ca="1">IFERROR(__xludf.DUMMYFUNCTION("""COMPUTED_VALUE"""),"上架中")</f>
        <v>上架中</v>
      </c>
      <c r="M43" s="12" t="str">
        <f ca="1">IFERROR(__xludf.DUMMYFUNCTION("""COMPUTED_VALUE"""),"2025/1/1上架")</f>
        <v>2025/1/1上架</v>
      </c>
      <c r="N43" s="12" t="str">
        <f ca="1">IFERROR(__xludf.DUMMYFUNCTION("""COMPUTED_VALUE"""),"筆電")</f>
        <v>筆電</v>
      </c>
      <c r="O43" s="12" t="str">
        <f ca="1">IFERROR(__xludf.DUMMYFUNCTION("""COMPUTED_VALUE"""),"黑")</f>
        <v>黑</v>
      </c>
      <c r="P43" s="12" t="str">
        <f ca="1">IFERROR(__xludf.DUMMYFUNCTION("""COMPUTED_VALUE"""),"15.6吋")</f>
        <v>15.6吋</v>
      </c>
      <c r="Q43" s="12"/>
      <c r="R43" s="12" t="str">
        <f ca="1">IFERROR(__xludf.DUMMYFUNCTION("""COMPUTED_VALUE"""),"中國")</f>
        <v>中國</v>
      </c>
      <c r="S43" s="12"/>
      <c r="T43" s="12"/>
      <c r="U43" s="12" t="str">
        <f ca="1">IFERROR(__xludf.DUMMYFUNCTION("""COMPUTED_VALUE"""),"2年保固 /台灣地區2年到府收送 /免費客服電話0800-018881")</f>
        <v>2年保固 /台灣地區2年到府收送 /免費客服電話0800-018881</v>
      </c>
      <c r="V43" s="12"/>
      <c r="W43" s="12" t="str">
        <f ca="1">IFERROR(__xludf.DUMMYFUNCTION("""COMPUTED_VALUE"""),"包包與滑鼠")</f>
        <v>包包與滑鼠</v>
      </c>
      <c r="X43" s="12" t="str">
        <f ca="1">IFERROR(__xludf.DUMMYFUNCTION("""COMPUTED_VALUE"""),"隨貨送iCooby M10 2.4G無線滑鼠(黑色)")</f>
        <v>隨貨送iCooby M10 2.4G無線滑鼠(黑色)</v>
      </c>
      <c r="Y43" s="12"/>
      <c r="Z43" s="14"/>
      <c r="AA43" s="15" t="str">
        <f ca="1">IFERROR(__xludf.DUMMYFUNCTION("""COMPUTED_VALUE"""),"15.6""/處理器i7-13620H/記憶體16G/顯卡RTX3050 4G/硬碟512G SSD/W11/重量1.86 kg")</f>
        <v>15.6"/處理器i7-13620H/記憶體16G/顯卡RTX3050 4G/硬碟512G SSD/W11/重量1.86 kg</v>
      </c>
    </row>
    <row r="44" spans="1:27" ht="19.5" customHeight="1">
      <c r="A44" s="12" t="str">
        <f ca="1">IFERROR(__xludf.DUMMYFUNCTION("""COMPUTED_VALUE"""),"3C")</f>
        <v>3C</v>
      </c>
      <c r="B44" s="12" t="str">
        <f ca="1">IFERROR(__xludf.DUMMYFUNCTION("""COMPUTED_VALUE"""),"順發")</f>
        <v>順發</v>
      </c>
      <c r="C44" s="12" t="str">
        <f ca="1">IFERROR(__xludf.DUMMYFUNCTION("""COMPUTED_VALUE"""),"msi")</f>
        <v>msi</v>
      </c>
      <c r="D44" s="12" t="str">
        <f ca="1">IFERROR(__xludf.DUMMYFUNCTION("""COMPUTED_VALUE"""),"MSI Modern B13M-012TW 15.6吋13代高效輕薄筆電筆電(黑)+office365個人版15個月_306DC8")</f>
        <v>MSI Modern B13M-012TW 15.6吋13代高效輕薄筆電筆電(黑)+office365個人版15個月_306DC8</v>
      </c>
      <c r="E44" s="12" t="str">
        <f ca="1">IFERROR(__xludf.DUMMYFUNCTION("""COMPUTED_VALUE"""),"B13M-012TW+office365個人版15個月")</f>
        <v>B13M-012TW+office365個人版15個月</v>
      </c>
      <c r="F44" s="12">
        <f ca="1">IFERROR(__xludf.DUMMYFUNCTION("""COMPUTED_VALUE"""),51095898)</f>
        <v>51095898</v>
      </c>
      <c r="G44" s="12" t="str">
        <f ca="1">IFERROR(__xludf.DUMMYFUNCTION("""COMPUTED_VALUE"""),"IGEM116H")</f>
        <v>IGEM116H</v>
      </c>
      <c r="H44" s="13">
        <f ca="1">IFERROR(__xludf.DUMMYFUNCTION("""COMPUTED_VALUE"""),22900)</f>
        <v>22900</v>
      </c>
      <c r="I44" s="14">
        <f ca="1">IFERROR(__xludf.DUMMYFUNCTION("""COMPUTED_VALUE"""),19900)</f>
        <v>19900</v>
      </c>
      <c r="J44" s="16">
        <f ca="1">IFERROR(__xludf.DUMMYFUNCTION("""COMPUTED_VALUE"""),45678)</f>
        <v>45678</v>
      </c>
      <c r="K44" s="12" t="str">
        <f ca="1">IFERROR(__xludf.DUMMYFUNCTION("""COMPUTED_VALUE"""),"永久降價")</f>
        <v>永久降價</v>
      </c>
      <c r="L44" s="12" t="str">
        <f ca="1">IFERROR(__xludf.DUMMYFUNCTION("""COMPUTED_VALUE"""),"上架中")</f>
        <v>上架中</v>
      </c>
      <c r="M44" s="12" t="str">
        <f ca="1">IFERROR(__xludf.DUMMYFUNCTION("""COMPUTED_VALUE"""),"2025/1/1上架")</f>
        <v>2025/1/1上架</v>
      </c>
      <c r="N44" s="12" t="str">
        <f ca="1">IFERROR(__xludf.DUMMYFUNCTION("""COMPUTED_VALUE"""),"筆電")</f>
        <v>筆電</v>
      </c>
      <c r="O44" s="12" t="str">
        <f ca="1">IFERROR(__xludf.DUMMYFUNCTION("""COMPUTED_VALUE"""),"黑")</f>
        <v>黑</v>
      </c>
      <c r="P44" s="12" t="str">
        <f ca="1">IFERROR(__xludf.DUMMYFUNCTION("""COMPUTED_VALUE"""),"15.6吋")</f>
        <v>15.6吋</v>
      </c>
      <c r="Q44" s="12"/>
      <c r="R44" s="12"/>
      <c r="S44" s="12"/>
      <c r="T44" s="12"/>
      <c r="U44" s="12" t="str">
        <f ca="1">IFERROR(__xludf.DUMMYFUNCTION("""COMPUTED_VALUE"""),"2年保固 /台灣地區2年到府收送 /免費客服電話0800-018880")</f>
        <v>2年保固 /台灣地區2年到府收送 /免費客服電話0800-018880</v>
      </c>
      <c r="V44" s="12"/>
      <c r="W44" s="12"/>
      <c r="X44" s="12" t="str">
        <f ca="1">IFERROR(__xludf.DUMMYFUNCTION("""COMPUTED_VALUE"""),"隨貨送iCooby M10 2.4G無線滑鼠(黑色)")</f>
        <v>隨貨送iCooby M10 2.4G無線滑鼠(黑色)</v>
      </c>
      <c r="Y44" s="12"/>
      <c r="Z44" s="14"/>
      <c r="AA44" s="15" t="str">
        <f ca="1">IFERROR(__xludf.DUMMYFUNCTION("""COMPUTED_VALUE"""),"15.6""/i5-13420H/8G/512G SSD/W11")</f>
        <v>15.6"/i5-13420H/8G/512G SSD/W11</v>
      </c>
    </row>
    <row r="45" spans="1:27" ht="19.5" customHeight="1">
      <c r="A45" s="12" t="str">
        <f ca="1">IFERROR(__xludf.DUMMYFUNCTION("""COMPUTED_VALUE"""),"3C")</f>
        <v>3C</v>
      </c>
      <c r="B45" s="12" t="str">
        <f ca="1">IFERROR(__xludf.DUMMYFUNCTION("""COMPUTED_VALUE"""),"順發")</f>
        <v>順發</v>
      </c>
      <c r="C45" s="12" t="str">
        <f ca="1">IFERROR(__xludf.DUMMYFUNCTION("""COMPUTED_VALUE"""),"ASUS")</f>
        <v>ASUS</v>
      </c>
      <c r="D45" s="12" t="str">
        <f ca="1">IFERROR(__xludf.DUMMYFUNCTION("""COMPUTED_VALUE"""),"ASUS TUF F17 FA706NF-0052B7535HS 17.3吋TUF軍規電競筆電(石墨黑)_306FM3")</f>
        <v>ASUS TUF F17 FA706NF-0052B7535HS 17.3吋TUF軍規電競筆電(石墨黑)_306FM3</v>
      </c>
      <c r="E45" s="12" t="str">
        <f ca="1">IFERROR(__xludf.DUMMYFUNCTION("""COMPUTED_VALUE"""),"FA706NF-0052B7535HS")</f>
        <v>FA706NF-0052B7535HS</v>
      </c>
      <c r="F45" s="12">
        <f ca="1">IFERROR(__xludf.DUMMYFUNCTION("""COMPUTED_VALUE"""),51095775)</f>
        <v>51095775</v>
      </c>
      <c r="G45" s="12" t="str">
        <f ca="1">IFERROR(__xludf.DUMMYFUNCTION("""COMPUTED_VALUE"""),"IGEM099A")</f>
        <v>IGEM099A</v>
      </c>
      <c r="H45" s="13">
        <f ca="1">IFERROR(__xludf.DUMMYFUNCTION("""COMPUTED_VALUE"""),24999)</f>
        <v>24999</v>
      </c>
      <c r="I45" s="18">
        <f ca="1">IFERROR(__xludf.DUMMYFUNCTION("""COMPUTED_VALUE"""),22999)</f>
        <v>22999</v>
      </c>
      <c r="J45" s="19">
        <f ca="1">IFERROR(__xludf.DUMMYFUNCTION("""COMPUTED_VALUE"""),45461)</f>
        <v>45461</v>
      </c>
      <c r="K45" s="12" t="str">
        <f ca="1">IFERROR(__xludf.DUMMYFUNCTION("""COMPUTED_VALUE"""),"永久降價")</f>
        <v>永久降價</v>
      </c>
      <c r="L45" s="12" t="str">
        <f ca="1">IFERROR(__xludf.DUMMYFUNCTION("""COMPUTED_VALUE"""),"上架中")</f>
        <v>上架中</v>
      </c>
      <c r="M45" s="12" t="str">
        <f ca="1">IFERROR(__xludf.DUMMYFUNCTION("""COMPUTED_VALUE"""),"2024/4/02新機上架")</f>
        <v>2024/4/02新機上架</v>
      </c>
      <c r="N45" s="12" t="str">
        <f ca="1">IFERROR(__xludf.DUMMYFUNCTION("""COMPUTED_VALUE"""),"筆電")</f>
        <v>筆電</v>
      </c>
      <c r="O45" s="12" t="str">
        <f ca="1">IFERROR(__xludf.DUMMYFUNCTION("""COMPUTED_VALUE"""),"石墨黑")</f>
        <v>石墨黑</v>
      </c>
      <c r="P45" s="12" t="str">
        <f ca="1">IFERROR(__xludf.DUMMYFUNCTION("""COMPUTED_VALUE"""),"17.3吋")</f>
        <v>17.3吋</v>
      </c>
      <c r="Q45" s="12"/>
      <c r="R45" s="12"/>
      <c r="S45" s="12"/>
      <c r="T45" s="12"/>
      <c r="U45" s="12" t="str">
        <f ca="1">IFERROR(__xludf.DUMMYFUNCTION("""COMPUTED_VALUE"""),"註冊首年完美保固+二年全球保固")</f>
        <v>註冊首年完美保固+二年全球保固</v>
      </c>
      <c r="V45" s="12"/>
      <c r="W45" s="12" t="str">
        <f ca="1">IFERROR(__xludf.DUMMYFUNCTION("""COMPUTED_VALUE"""),"滑鼠")</f>
        <v>滑鼠</v>
      </c>
      <c r="X45" s="12" t="str">
        <f ca="1">IFERROR(__xludf.DUMMYFUNCTION("""COMPUTED_VALUE"""),"隨貨送iCooby M10 2.4G無線滑鼠(黑色)")</f>
        <v>隨貨送iCooby M10 2.4G無線滑鼠(黑色)</v>
      </c>
      <c r="Y45" s="12"/>
      <c r="Z45" s="14"/>
      <c r="AA45" s="15" t="str">
        <f ca="1">IFERROR(__xludf.DUMMYFUNCTION("""COMPUTED_VALUE"""),"17.3""/處理器R5 7535HS/記憶體8G/顯卡RTX2050 4G/硬碟512G SSD/W11/重量2.6kg")</f>
        <v>17.3"/處理器R5 7535HS/記憶體8G/顯卡RTX2050 4G/硬碟512G SSD/W11/重量2.6kg</v>
      </c>
    </row>
    <row r="46" spans="1:27" ht="19.5" customHeight="1">
      <c r="A46" s="12" t="str">
        <f ca="1">IFERROR(__xludf.DUMMYFUNCTION("""COMPUTED_VALUE"""),"3C")</f>
        <v>3C</v>
      </c>
      <c r="B46" s="12" t="str">
        <f ca="1">IFERROR(__xludf.DUMMYFUNCTION("""COMPUTED_VALUE"""),"順發")</f>
        <v>順發</v>
      </c>
      <c r="C46" s="12" t="str">
        <f ca="1">IFERROR(__xludf.DUMMYFUNCTION("""COMPUTED_VALUE"""),"ASUS")</f>
        <v>ASUS</v>
      </c>
      <c r="D46" s="12" t="str">
        <f ca="1">IFERROR(__xludf.DUMMYFUNCTION("""COMPUTED_VALUE"""),"ASUS TUF F17 FA706NF-0052B7535HS 17.3吋TUF軍規電競筆電(石墨黑)+office365個人版15個月_306FM3")</f>
        <v>ASUS TUF F17 FA706NF-0052B7535HS 17.3吋TUF軍規電競筆電(石墨黑)+office365個人版15個月_306FM3</v>
      </c>
      <c r="E46" s="12" t="str">
        <f ca="1">IFERROR(__xludf.DUMMYFUNCTION("""COMPUTED_VALUE"""),"FA706NF-0052B7535HS+office365個人版15個月")</f>
        <v>FA706NF-0052B7535HS+office365個人版15個月</v>
      </c>
      <c r="F46" s="12">
        <f ca="1">IFERROR(__xludf.DUMMYFUNCTION("""COMPUTED_VALUE"""),51095899)</f>
        <v>51095899</v>
      </c>
      <c r="G46" s="12" t="str">
        <f ca="1">IFERROR(__xludf.DUMMYFUNCTION("""COMPUTED_VALUE"""),"IGEM116I")</f>
        <v>IGEM116I</v>
      </c>
      <c r="H46" s="13">
        <f ca="1">IFERROR(__xludf.DUMMYFUNCTION("""COMPUTED_VALUE"""),27999)</f>
        <v>27999</v>
      </c>
      <c r="I46" s="14">
        <f ca="1">IFERROR(__xludf.DUMMYFUNCTION("""COMPUTED_VALUE"""),24999)</f>
        <v>24999</v>
      </c>
      <c r="J46" s="16">
        <f ca="1">IFERROR(__xludf.DUMMYFUNCTION("""COMPUTED_VALUE"""),45658)</f>
        <v>45658</v>
      </c>
      <c r="K46" s="12" t="str">
        <f ca="1">IFERROR(__xludf.DUMMYFUNCTION("""COMPUTED_VALUE"""),"新機上架")</f>
        <v>新機上架</v>
      </c>
      <c r="L46" s="12" t="str">
        <f ca="1">IFERROR(__xludf.DUMMYFUNCTION("""COMPUTED_VALUE"""),"上架中")</f>
        <v>上架中</v>
      </c>
      <c r="M46" s="12" t="str">
        <f ca="1">IFERROR(__xludf.DUMMYFUNCTION("""COMPUTED_VALUE"""),"2025/1/1上架")</f>
        <v>2025/1/1上架</v>
      </c>
      <c r="N46" s="12" t="str">
        <f ca="1">IFERROR(__xludf.DUMMYFUNCTION("""COMPUTED_VALUE"""),"筆電")</f>
        <v>筆電</v>
      </c>
      <c r="O46" s="12" t="str">
        <f ca="1">IFERROR(__xludf.DUMMYFUNCTION("""COMPUTED_VALUE"""),"石墨黑")</f>
        <v>石墨黑</v>
      </c>
      <c r="P46" s="12" t="str">
        <f ca="1">IFERROR(__xludf.DUMMYFUNCTION("""COMPUTED_VALUE"""),"17.3吋")</f>
        <v>17.3吋</v>
      </c>
      <c r="Q46" s="12"/>
      <c r="R46" s="12"/>
      <c r="S46" s="12"/>
      <c r="T46" s="12"/>
      <c r="U46" s="12" t="str">
        <f ca="1">IFERROR(__xludf.DUMMYFUNCTION("""COMPUTED_VALUE"""),"註冊首年完美保固+二年全球保固")</f>
        <v>註冊首年完美保固+二年全球保固</v>
      </c>
      <c r="V46" s="12"/>
      <c r="W46" s="12" t="str">
        <f ca="1">IFERROR(__xludf.DUMMYFUNCTION("""COMPUTED_VALUE"""),"滑鼠")</f>
        <v>滑鼠</v>
      </c>
      <c r="X46" s="12" t="str">
        <f ca="1">IFERROR(__xludf.DUMMYFUNCTION("""COMPUTED_VALUE"""),"隨貨送iCooby M10 2.4G無線滑鼠(黑色)")</f>
        <v>隨貨送iCooby M10 2.4G無線滑鼠(黑色)</v>
      </c>
      <c r="Y46" s="12"/>
      <c r="Z46" s="14"/>
      <c r="AA46" s="15" t="str">
        <f ca="1">IFERROR(__xludf.DUMMYFUNCTION("""COMPUTED_VALUE"""),"17.3""/R5 7535HS/8G/RTX2050 4G/512G SSD/W11")</f>
        <v>17.3"/R5 7535HS/8G/RTX2050 4G/512G SSD/W11</v>
      </c>
    </row>
    <row r="47" spans="1:27" ht="19.5" customHeight="1">
      <c r="A47" s="12" t="str">
        <f ca="1">IFERROR(__xludf.DUMMYFUNCTION("""COMPUTED_VALUE"""),"3C")</f>
        <v>3C</v>
      </c>
      <c r="B47" s="12" t="str">
        <f ca="1">IFERROR(__xludf.DUMMYFUNCTION("""COMPUTED_VALUE"""),"順發")</f>
        <v>順發</v>
      </c>
      <c r="C47" s="12" t="str">
        <f ca="1">IFERROR(__xludf.DUMMYFUNCTION("""COMPUTED_VALUE"""),"ASUS")</f>
        <v>ASUS</v>
      </c>
      <c r="D47" s="12" t="str">
        <f ca="1">IFERROR(__xludf.DUMMYFUNCTION("""COMPUTED_VALUE"""),"ASUS Vivobook X1502ZA-0351B12500H 15.6吋輕薄筆電(午夜藍)+office365個人版15個月_306FP6")</f>
        <v>ASUS Vivobook X1502ZA-0351B12500H 15.6吋輕薄筆電(午夜藍)+office365個人版15個月_306FP6</v>
      </c>
      <c r="E47" s="12" t="str">
        <f ca="1">IFERROR(__xludf.DUMMYFUNCTION("""COMPUTED_VALUE"""),"X1502ZA-0351B12500H+office365個人版15個月")</f>
        <v>X1502ZA-0351B12500H+office365個人版15個月</v>
      </c>
      <c r="F47" s="12">
        <f ca="1">IFERROR(__xludf.DUMMYFUNCTION("""COMPUTED_VALUE"""),51095901)</f>
        <v>51095901</v>
      </c>
      <c r="G47" s="12" t="str">
        <f ca="1">IFERROR(__xludf.DUMMYFUNCTION("""COMPUTED_VALUE"""),"IGEM116K")</f>
        <v>IGEM116K</v>
      </c>
      <c r="H47" s="13">
        <f ca="1">IFERROR(__xludf.DUMMYFUNCTION("""COMPUTED_VALUE"""),23999)</f>
        <v>23999</v>
      </c>
      <c r="I47" s="14">
        <f ca="1">IFERROR(__xludf.DUMMYFUNCTION("""COMPUTED_VALUE"""),20999)</f>
        <v>20999</v>
      </c>
      <c r="J47" s="16">
        <f ca="1">IFERROR(__xludf.DUMMYFUNCTION("""COMPUTED_VALUE"""),45658)</f>
        <v>45658</v>
      </c>
      <c r="K47" s="12" t="str">
        <f ca="1">IFERROR(__xludf.DUMMYFUNCTION("""COMPUTED_VALUE"""),"新機上架")</f>
        <v>新機上架</v>
      </c>
      <c r="L47" s="12" t="str">
        <f ca="1">IFERROR(__xludf.DUMMYFUNCTION("""COMPUTED_VALUE"""),"上架中")</f>
        <v>上架中</v>
      </c>
      <c r="M47" s="12" t="str">
        <f ca="1">IFERROR(__xludf.DUMMYFUNCTION("""COMPUTED_VALUE"""),"2025/1/1上架")</f>
        <v>2025/1/1上架</v>
      </c>
      <c r="N47" s="12" t="str">
        <f ca="1">IFERROR(__xludf.DUMMYFUNCTION("""COMPUTED_VALUE"""),"筆電")</f>
        <v>筆電</v>
      </c>
      <c r="O47" s="12" t="str">
        <f ca="1">IFERROR(__xludf.DUMMYFUNCTION("""COMPUTED_VALUE"""),"午夜藍")</f>
        <v>午夜藍</v>
      </c>
      <c r="P47" s="12" t="str">
        <f ca="1">IFERROR(__xludf.DUMMYFUNCTION("""COMPUTED_VALUE"""),"15.6吋")</f>
        <v>15.6吋</v>
      </c>
      <c r="Q47" s="12"/>
      <c r="R47" s="12"/>
      <c r="S47" s="12"/>
      <c r="T47" s="12"/>
      <c r="U47" s="12" t="str">
        <f ca="1">IFERROR(__xludf.DUMMYFUNCTION("""COMPUTED_VALUE"""),"註冊首年完美保固+二年全球保固")</f>
        <v>註冊首年完美保固+二年全球保固</v>
      </c>
      <c r="V47" s="12"/>
      <c r="W47" s="12"/>
      <c r="X47" s="12" t="str">
        <f ca="1">IFERROR(__xludf.DUMMYFUNCTION("""COMPUTED_VALUE"""),"隨貨送iCooby M10 2.4G無線滑鼠(黑色)")</f>
        <v>隨貨送iCooby M10 2.4G無線滑鼠(黑色)</v>
      </c>
      <c r="Y47" s="12"/>
      <c r="Z47" s="14"/>
      <c r="AA47" s="15" t="str">
        <f ca="1">IFERROR(__xludf.DUMMYFUNCTION("""COMPUTED_VALUE"""),"15.6""/i5-12500H/8G/512G SSD/180度轉軸/抗菌/W11/重量1.70kg")</f>
        <v>15.6"/i5-12500H/8G/512G SSD/180度轉軸/抗菌/W11/重量1.70kg</v>
      </c>
    </row>
    <row r="48" spans="1:27" ht="19.5" customHeight="1">
      <c r="A48" s="12" t="str">
        <f ca="1">IFERROR(__xludf.DUMMYFUNCTION("""COMPUTED_VALUE"""),"3C")</f>
        <v>3C</v>
      </c>
      <c r="B48" s="12" t="str">
        <f ca="1">IFERROR(__xludf.DUMMYFUNCTION("""COMPUTED_VALUE"""),"順發")</f>
        <v>順發</v>
      </c>
      <c r="C48" s="12" t="str">
        <f ca="1">IFERROR(__xludf.DUMMYFUNCTION("""COMPUTED_VALUE"""),"ASUS")</f>
        <v>ASUS</v>
      </c>
      <c r="D48" s="12" t="str">
        <f ca="1">IFERROR(__xludf.DUMMYFUNCTION("""COMPUTED_VALUE"""),"ASUS Vivobook X1505VA-0241K13500H 15.6吋OLED輕薄筆電(搖滾黑)+office365個人版15個月_306FN6")</f>
        <v>ASUS Vivobook X1505VA-0241K13500H 15.6吋OLED輕薄筆電(搖滾黑)+office365個人版15個月_306FN6</v>
      </c>
      <c r="E48" s="12" t="str">
        <f ca="1">IFERROR(__xludf.DUMMYFUNCTION("""COMPUTED_VALUE"""),"X1505VA-0241K13500H+office365個人版15個月")</f>
        <v>X1505VA-0241K13500H+office365個人版15個月</v>
      </c>
      <c r="F48" s="12">
        <f ca="1">IFERROR(__xludf.DUMMYFUNCTION("""COMPUTED_VALUE"""),51095902)</f>
        <v>51095902</v>
      </c>
      <c r="G48" s="12" t="str">
        <f ca="1">IFERROR(__xludf.DUMMYFUNCTION("""COMPUTED_VALUE"""),"IGEM116L")</f>
        <v>IGEM116L</v>
      </c>
      <c r="H48" s="13">
        <f ca="1">IFERROR(__xludf.DUMMYFUNCTION("""COMPUTED_VALUE"""),28900)</f>
        <v>28900</v>
      </c>
      <c r="I48" s="14">
        <f ca="1">IFERROR(__xludf.DUMMYFUNCTION("""COMPUTED_VALUE"""),25900)</f>
        <v>25900</v>
      </c>
      <c r="J48" s="16">
        <f ca="1">IFERROR(__xludf.DUMMYFUNCTION("""COMPUTED_VALUE"""),45658)</f>
        <v>45658</v>
      </c>
      <c r="K48" s="12" t="str">
        <f ca="1">IFERROR(__xludf.DUMMYFUNCTION("""COMPUTED_VALUE"""),"新機上架")</f>
        <v>新機上架</v>
      </c>
      <c r="L48" s="12" t="str">
        <f ca="1">IFERROR(__xludf.DUMMYFUNCTION("""COMPUTED_VALUE"""),"上架中")</f>
        <v>上架中</v>
      </c>
      <c r="M48" s="12" t="str">
        <f ca="1">IFERROR(__xludf.DUMMYFUNCTION("""COMPUTED_VALUE"""),"2025/1/1上架")</f>
        <v>2025/1/1上架</v>
      </c>
      <c r="N48" s="12" t="str">
        <f ca="1">IFERROR(__xludf.DUMMYFUNCTION("""COMPUTED_VALUE"""),"筆電")</f>
        <v>筆電</v>
      </c>
      <c r="O48" s="12" t="str">
        <f ca="1">IFERROR(__xludf.DUMMYFUNCTION("""COMPUTED_VALUE"""),"搖滾黑")</f>
        <v>搖滾黑</v>
      </c>
      <c r="P48" s="12" t="str">
        <f ca="1">IFERROR(__xludf.DUMMYFUNCTION("""COMPUTED_VALUE"""),"15.6吋")</f>
        <v>15.6吋</v>
      </c>
      <c r="Q48" s="12"/>
      <c r="R48" s="12"/>
      <c r="S48" s="12"/>
      <c r="T48" s="12"/>
      <c r="U48" s="12" t="str">
        <f ca="1">IFERROR(__xludf.DUMMYFUNCTION("""COMPUTED_VALUE"""),"註冊首年完美保固+二年全球保固")</f>
        <v>註冊首年完美保固+二年全球保固</v>
      </c>
      <c r="V48" s="12"/>
      <c r="W48" s="12" t="str">
        <f ca="1">IFERROR(__xludf.DUMMYFUNCTION("""COMPUTED_VALUE"""),"包包與滑鼠")</f>
        <v>包包與滑鼠</v>
      </c>
      <c r="X48" s="12" t="str">
        <f ca="1">IFERROR(__xludf.DUMMYFUNCTION("""COMPUTED_VALUE"""),"隨貨送iCooby M10 2.4G無線滑鼠(黑色)")</f>
        <v>隨貨送iCooby M10 2.4G無線滑鼠(黑色)</v>
      </c>
      <c r="Y48" s="12"/>
      <c r="Z48" s="14"/>
      <c r="AA48" s="15" t="str">
        <f ca="1">IFERROR(__xludf.DUMMYFUNCTION("""COMPUTED_VALUE"""),"15.6""/i5-13500H/8G/512G SSD/3K/OLED/180度轉軸/抗菌/W11/1.70kg")</f>
        <v>15.6"/i5-13500H/8G/512G SSD/3K/OLED/180度轉軸/抗菌/W11/1.70kg</v>
      </c>
    </row>
    <row r="49" spans="1:27" ht="19.5" customHeight="1">
      <c r="A49" s="12" t="str">
        <f ca="1">IFERROR(__xludf.DUMMYFUNCTION("""COMPUTED_VALUE"""),"3C")</f>
        <v>3C</v>
      </c>
      <c r="B49" s="12" t="str">
        <f ca="1">IFERROR(__xludf.DUMMYFUNCTION("""COMPUTED_VALUE"""),"順發")</f>
        <v>順發</v>
      </c>
      <c r="C49" s="12" t="str">
        <f ca="1">IFERROR(__xludf.DUMMYFUNCTION("""COMPUTED_VALUE"""),"ASUS")</f>
        <v>ASUS</v>
      </c>
      <c r="D49" s="12" t="str">
        <f ca="1">IFERROR(__xludf.DUMMYFUNCTION("""COMPUTED_VALUE"""),"ASUS Vivobook S M5406NA-0038S7535HS 14吋OLED輕薄筆電(酷玩銀)+office365個人版15個月_306FP2")</f>
        <v>ASUS Vivobook S M5406NA-0038S7535HS 14吋OLED輕薄筆電(酷玩銀)+office365個人版15個月_306FP2</v>
      </c>
      <c r="E49" s="12" t="str">
        <f ca="1">IFERROR(__xludf.DUMMYFUNCTION("""COMPUTED_VALUE"""),"M5406NA-0038S7535HS+office365個人版15個月")</f>
        <v>M5406NA-0038S7535HS+office365個人版15個月</v>
      </c>
      <c r="F49" s="12">
        <f ca="1">IFERROR(__xludf.DUMMYFUNCTION("""COMPUTED_VALUE"""),51095903)</f>
        <v>51095903</v>
      </c>
      <c r="G49" s="12" t="str">
        <f ca="1">IFERROR(__xludf.DUMMYFUNCTION("""COMPUTED_VALUE"""),"IGEM116M")</f>
        <v>IGEM116M</v>
      </c>
      <c r="H49" s="13">
        <f ca="1">IFERROR(__xludf.DUMMYFUNCTION("""COMPUTED_VALUE"""),31999)</f>
        <v>31999</v>
      </c>
      <c r="I49" s="14">
        <f ca="1">IFERROR(__xludf.DUMMYFUNCTION("""COMPUTED_VALUE"""),28999)</f>
        <v>28999</v>
      </c>
      <c r="J49" s="16">
        <f ca="1">IFERROR(__xludf.DUMMYFUNCTION("""COMPUTED_VALUE"""),45658)</f>
        <v>45658</v>
      </c>
      <c r="K49" s="12" t="str">
        <f ca="1">IFERROR(__xludf.DUMMYFUNCTION("""COMPUTED_VALUE"""),"新機上架")</f>
        <v>新機上架</v>
      </c>
      <c r="L49" s="12" t="str">
        <f ca="1">IFERROR(__xludf.DUMMYFUNCTION("""COMPUTED_VALUE"""),"上架中")</f>
        <v>上架中</v>
      </c>
      <c r="M49" s="12" t="str">
        <f ca="1">IFERROR(__xludf.DUMMYFUNCTION("""COMPUTED_VALUE"""),"2025/1/1上架")</f>
        <v>2025/1/1上架</v>
      </c>
      <c r="N49" s="12" t="str">
        <f ca="1">IFERROR(__xludf.DUMMYFUNCTION("""COMPUTED_VALUE"""),"筆電")</f>
        <v>筆電</v>
      </c>
      <c r="O49" s="12" t="str">
        <f ca="1">IFERROR(__xludf.DUMMYFUNCTION("""COMPUTED_VALUE"""),"酷玩銀")</f>
        <v>酷玩銀</v>
      </c>
      <c r="P49" s="12" t="str">
        <f ca="1">IFERROR(__xludf.DUMMYFUNCTION("""COMPUTED_VALUE"""),"14吋")</f>
        <v>14吋</v>
      </c>
      <c r="Q49" s="12"/>
      <c r="R49" s="12"/>
      <c r="S49" s="12"/>
      <c r="T49" s="12"/>
      <c r="U49" s="12" t="str">
        <f ca="1">IFERROR(__xludf.DUMMYFUNCTION("""COMPUTED_VALUE"""),"註冊首年完美保固+二年全球保固")</f>
        <v>註冊首年完美保固+二年全球保固</v>
      </c>
      <c r="V49" s="12"/>
      <c r="W49" s="12"/>
      <c r="X49" s="12" t="str">
        <f ca="1">IFERROR(__xludf.DUMMYFUNCTION("""COMPUTED_VALUE"""),"隨貨送iCooby M10 2.4G無線滑鼠(黑色)")</f>
        <v>隨貨送iCooby M10 2.4G無線滑鼠(黑色)</v>
      </c>
      <c r="Y49" s="12"/>
      <c r="Z49" s="14"/>
      <c r="AA49" s="15" t="str">
        <f ca="1">IFERROR(__xludf.DUMMYFUNCTION("""COMPUTED_VALUE"""),"14""/R5 7535HS/16G/512G SSD/OLED/180度轉軸/W11/重量1.30kg")</f>
        <v>14"/R5 7535HS/16G/512G SSD/OLED/180度轉軸/W11/重量1.30kg</v>
      </c>
    </row>
    <row r="50" spans="1:27" ht="19.5" customHeight="1">
      <c r="A50" s="12" t="str">
        <f ca="1">IFERROR(__xludf.DUMMYFUNCTION("""COMPUTED_VALUE"""),"3C")</f>
        <v>3C</v>
      </c>
      <c r="B50" s="12" t="str">
        <f ca="1">IFERROR(__xludf.DUMMYFUNCTION("""COMPUTED_VALUE"""),"順發")</f>
        <v>順發</v>
      </c>
      <c r="C50" s="12" t="str">
        <f ca="1">IFERROR(__xludf.DUMMYFUNCTION("""COMPUTED_VALUE"""),"ASUS")</f>
        <v>ASUS</v>
      </c>
      <c r="D50" s="12" t="str">
        <f ca="1">IFERROR(__xludf.DUMMYFUNCTION("""COMPUTED_VALUE"""),"ASUS Vivobook K3605ZC-0352K12700H 16吋獨顯輕薄筆電(搖滾黑)+office365個人版15個月_306707")</f>
        <v>ASUS Vivobook K3605ZC-0352K12700H 16吋獨顯輕薄筆電(搖滾黑)+office365個人版15個月_306707</v>
      </c>
      <c r="E50" s="12" t="str">
        <f ca="1">IFERROR(__xludf.DUMMYFUNCTION("""COMPUTED_VALUE"""),"K3605ZC-0352K12700H+office365個人版15個月")</f>
        <v>K3605ZC-0352K12700H+office365個人版15個月</v>
      </c>
      <c r="F50" s="12">
        <f ca="1">IFERROR(__xludf.DUMMYFUNCTION("""COMPUTED_VALUE"""),51095906)</f>
        <v>51095906</v>
      </c>
      <c r="G50" s="12" t="str">
        <f ca="1">IFERROR(__xludf.DUMMYFUNCTION("""COMPUTED_VALUE"""),"IGEM116P")</f>
        <v>IGEM116P</v>
      </c>
      <c r="H50" s="13">
        <f ca="1">IFERROR(__xludf.DUMMYFUNCTION("""COMPUTED_VALUE"""),32999)</f>
        <v>32999</v>
      </c>
      <c r="I50" s="14">
        <f ca="1">IFERROR(__xludf.DUMMYFUNCTION("""COMPUTED_VALUE"""),29999)</f>
        <v>29999</v>
      </c>
      <c r="J50" s="16">
        <f ca="1">IFERROR(__xludf.DUMMYFUNCTION("""COMPUTED_VALUE"""),45658)</f>
        <v>45658</v>
      </c>
      <c r="K50" s="12" t="str">
        <f ca="1">IFERROR(__xludf.DUMMYFUNCTION("""COMPUTED_VALUE"""),"新機上架")</f>
        <v>新機上架</v>
      </c>
      <c r="L50" s="12" t="str">
        <f ca="1">IFERROR(__xludf.DUMMYFUNCTION("""COMPUTED_VALUE"""),"上架中")</f>
        <v>上架中</v>
      </c>
      <c r="M50" s="12" t="str">
        <f ca="1">IFERROR(__xludf.DUMMYFUNCTION("""COMPUTED_VALUE"""),"2025/1/1上架")</f>
        <v>2025/1/1上架</v>
      </c>
      <c r="N50" s="12" t="str">
        <f ca="1">IFERROR(__xludf.DUMMYFUNCTION("""COMPUTED_VALUE"""),"筆電")</f>
        <v>筆電</v>
      </c>
      <c r="O50" s="12" t="str">
        <f ca="1">IFERROR(__xludf.DUMMYFUNCTION("""COMPUTED_VALUE"""),"搖滾黑")</f>
        <v>搖滾黑</v>
      </c>
      <c r="P50" s="12" t="str">
        <f ca="1">IFERROR(__xludf.DUMMYFUNCTION("""COMPUTED_VALUE"""),"16吋")</f>
        <v>16吋</v>
      </c>
      <c r="Q50" s="12"/>
      <c r="R50" s="12"/>
      <c r="S50" s="12"/>
      <c r="T50" s="12"/>
      <c r="U50" s="12" t="str">
        <f ca="1">IFERROR(__xludf.DUMMYFUNCTION("""COMPUTED_VALUE"""),"註冊首年完美保固+二年全球保固")</f>
        <v>註冊首年完美保固+二年全球保固</v>
      </c>
      <c r="V50" s="12"/>
      <c r="W50" s="12"/>
      <c r="X50" s="12" t="str">
        <f ca="1">IFERROR(__xludf.DUMMYFUNCTION("""COMPUTED_VALUE"""),"隨貨送iCooby M10 2.4G無線滑鼠(黑色)")</f>
        <v>隨貨送iCooby M10 2.4G無線滑鼠(黑色)</v>
      </c>
      <c r="Y50" s="12"/>
      <c r="Z50" s="14"/>
      <c r="AA50" s="15" t="str">
        <f ca="1">IFERROR(__xludf.DUMMYFUNCTION("""COMPUTED_VALUE"""),"16""/i7-12700H/16G/RTX 3050 4G/512G SSD/144Hz/抗菌/180度轉軸/W11/1.80 KG")</f>
        <v>16"/i7-12700H/16G/RTX 3050 4G/512G SSD/144Hz/抗菌/180度轉軸/W11/1.80 KG</v>
      </c>
    </row>
    <row r="51" spans="1:27" ht="19.5" customHeight="1">
      <c r="A51" s="12" t="str">
        <f ca="1">IFERROR(__xludf.DUMMYFUNCTION("""COMPUTED_VALUE"""),"3C")</f>
        <v>3C</v>
      </c>
      <c r="B51" s="12" t="str">
        <f ca="1">IFERROR(__xludf.DUMMYFUNCTION("""COMPUTED_VALUE"""),"順發")</f>
        <v>順發</v>
      </c>
      <c r="C51" s="12" t="str">
        <f ca="1">IFERROR(__xludf.DUMMYFUNCTION("""COMPUTED_VALUE"""),"acer")</f>
        <v>acer</v>
      </c>
      <c r="D51" s="12" t="str">
        <f ca="1">IFERROR(__xludf.DUMMYFUNCTION("""COMPUTED_VALUE"""),"acer Swift Go SFG14-73-53HY 14吋輕薄OLED AI筆電(銀)_306635")</f>
        <v>acer Swift Go SFG14-73-53HY 14吋輕薄OLED AI筆電(銀)_306635</v>
      </c>
      <c r="E51" s="12" t="str">
        <f ca="1">IFERROR(__xludf.DUMMYFUNCTION("""COMPUTED_VALUE"""),"SFG14-73-53HY")</f>
        <v>SFG14-73-53HY</v>
      </c>
      <c r="F51" s="12">
        <f ca="1">IFERROR(__xludf.DUMMYFUNCTION("""COMPUTED_VALUE"""),51095789)</f>
        <v>51095789</v>
      </c>
      <c r="G51" s="12" t="str">
        <f ca="1">IFERROR(__xludf.DUMMYFUNCTION("""COMPUTED_VALUE"""),"IGEM100O")</f>
        <v>IGEM100O</v>
      </c>
      <c r="H51" s="13">
        <f ca="1">IFERROR(__xludf.DUMMYFUNCTION("""COMPUTED_VALUE"""),29900)</f>
        <v>29900</v>
      </c>
      <c r="I51" s="18">
        <f ca="1">IFERROR(__xludf.DUMMYFUNCTION("""COMPUTED_VALUE"""),27900)</f>
        <v>27900</v>
      </c>
      <c r="J51" s="16">
        <f ca="1">IFERROR(__xludf.DUMMYFUNCTION("""COMPUTED_VALUE"""),45566)</f>
        <v>45566</v>
      </c>
      <c r="K51" s="12" t="str">
        <f ca="1">IFERROR(__xludf.DUMMYFUNCTION("""COMPUTED_VALUE"""),"永久降價")</f>
        <v>永久降價</v>
      </c>
      <c r="L51" s="12" t="str">
        <f ca="1">IFERROR(__xludf.DUMMYFUNCTION("""COMPUTED_VALUE"""),"上架中")</f>
        <v>上架中</v>
      </c>
      <c r="M51" s="12" t="str">
        <f ca="1">IFERROR(__xludf.DUMMYFUNCTION("""COMPUTED_VALUE"""),"2024/5/01新機上架")</f>
        <v>2024/5/01新機上架</v>
      </c>
      <c r="N51" s="12" t="str">
        <f ca="1">IFERROR(__xludf.DUMMYFUNCTION("""COMPUTED_VALUE"""),"筆電")</f>
        <v>筆電</v>
      </c>
      <c r="O51" s="12" t="str">
        <f ca="1">IFERROR(__xludf.DUMMYFUNCTION("""COMPUTED_VALUE"""),"銀")</f>
        <v>銀</v>
      </c>
      <c r="P51" s="12" t="str">
        <f ca="1">IFERROR(__xludf.DUMMYFUNCTION("""COMPUTED_VALUE"""),"14吋")</f>
        <v>14吋</v>
      </c>
      <c r="Q51" s="12"/>
      <c r="R51" s="12"/>
      <c r="S51" s="12"/>
      <c r="T51" s="12"/>
      <c r="U51" s="12" t="str">
        <f ca="1">IFERROR(__xludf.DUMMYFUNCTION("""COMPUTED_VALUE"""),"台灣2年")</f>
        <v>台灣2年</v>
      </c>
      <c r="V51" s="12"/>
      <c r="W51" s="12" t="str">
        <f ca="1">IFERROR(__xludf.DUMMYFUNCTION("""COMPUTED_VALUE"""),"包包與滑鼠")</f>
        <v>包包與滑鼠</v>
      </c>
      <c r="X51" s="12" t="str">
        <f ca="1">IFERROR(__xludf.DUMMYFUNCTION("""COMPUTED_VALUE"""),"隨貨送iCooby M10 2.4G無線滑鼠(黑色)")</f>
        <v>隨貨送iCooby M10 2.4G無線滑鼠(黑色)</v>
      </c>
      <c r="Y51" s="12"/>
      <c r="Z51" s="14"/>
      <c r="AA51" s="15" t="str">
        <f ca="1">IFERROR(__xludf.DUMMYFUNCTION("""COMPUTED_VALUE"""),"14""/處理器Ultra 5 125H/記憶體16G/硬碟512G SSD/2.8K/OLED/EVO/180度轉軸/W11/重量1.32 kg")</f>
        <v>14"/處理器Ultra 5 125H/記憶體16G/硬碟512G SSD/2.8K/OLED/EVO/180度轉軸/W11/重量1.32 kg</v>
      </c>
    </row>
    <row r="52" spans="1:27" ht="19.5" customHeight="1">
      <c r="A52" s="12" t="str">
        <f ca="1">IFERROR(__xludf.DUMMYFUNCTION("""COMPUTED_VALUE"""),"3C")</f>
        <v>3C</v>
      </c>
      <c r="B52" s="12" t="str">
        <f ca="1">IFERROR(__xludf.DUMMYFUNCTION("""COMPUTED_VALUE"""),"順發")</f>
        <v>順發</v>
      </c>
      <c r="C52" s="12" t="str">
        <f ca="1">IFERROR(__xludf.DUMMYFUNCTION("""COMPUTED_VALUE"""),"acer")</f>
        <v>acer</v>
      </c>
      <c r="D52" s="12" t="str">
        <f ca="1">IFERROR(__xludf.DUMMYFUNCTION("""COMPUTED_VALUE"""),"acer Swift Go SFG14-73-53HY 14吋輕薄OLED AI筆電(銀)+office365個人版15個月_306635")</f>
        <v>acer Swift Go SFG14-73-53HY 14吋輕薄OLED AI筆電(銀)+office365個人版15個月_306635</v>
      </c>
      <c r="E52" s="12" t="str">
        <f ca="1">IFERROR(__xludf.DUMMYFUNCTION("""COMPUTED_VALUE"""),"SFG14-73-53HY+office365個人版15個月")</f>
        <v>SFG14-73-53HY+office365個人版15個月</v>
      </c>
      <c r="F52" s="12">
        <f ca="1">IFERROR(__xludf.DUMMYFUNCTION("""COMPUTED_VALUE"""),51095900)</f>
        <v>51095900</v>
      </c>
      <c r="G52" s="12" t="str">
        <f ca="1">IFERROR(__xludf.DUMMYFUNCTION("""COMPUTED_VALUE"""),"IGEM116J")</f>
        <v>IGEM116J</v>
      </c>
      <c r="H52" s="13">
        <f ca="1">IFERROR(__xludf.DUMMYFUNCTION("""COMPUTED_VALUE"""),32900)</f>
        <v>32900</v>
      </c>
      <c r="I52" s="14">
        <f ca="1">IFERROR(__xludf.DUMMYFUNCTION("""COMPUTED_VALUE"""),29900)</f>
        <v>29900</v>
      </c>
      <c r="J52" s="16">
        <f ca="1">IFERROR(__xludf.DUMMYFUNCTION("""COMPUTED_VALUE"""),45658)</f>
        <v>45658</v>
      </c>
      <c r="K52" s="12" t="str">
        <f ca="1">IFERROR(__xludf.DUMMYFUNCTION("""COMPUTED_VALUE"""),"新機上架")</f>
        <v>新機上架</v>
      </c>
      <c r="L52" s="12" t="str">
        <f ca="1">IFERROR(__xludf.DUMMYFUNCTION("""COMPUTED_VALUE"""),"上架中")</f>
        <v>上架中</v>
      </c>
      <c r="M52" s="12" t="str">
        <f ca="1">IFERROR(__xludf.DUMMYFUNCTION("""COMPUTED_VALUE"""),"2025/1/1上架")</f>
        <v>2025/1/1上架</v>
      </c>
      <c r="N52" s="12" t="str">
        <f ca="1">IFERROR(__xludf.DUMMYFUNCTION("""COMPUTED_VALUE"""),"筆電")</f>
        <v>筆電</v>
      </c>
      <c r="O52" s="12" t="str">
        <f ca="1">IFERROR(__xludf.DUMMYFUNCTION("""COMPUTED_VALUE"""),"銀")</f>
        <v>銀</v>
      </c>
      <c r="P52" s="12" t="str">
        <f ca="1">IFERROR(__xludf.DUMMYFUNCTION("""COMPUTED_VALUE"""),"14吋")</f>
        <v>14吋</v>
      </c>
      <c r="Q52" s="12"/>
      <c r="R52" s="12"/>
      <c r="S52" s="12"/>
      <c r="T52" s="12"/>
      <c r="U52" s="12" t="str">
        <f ca="1">IFERROR(__xludf.DUMMYFUNCTION("""COMPUTED_VALUE"""),"台灣2年")</f>
        <v>台灣2年</v>
      </c>
      <c r="V52" s="12"/>
      <c r="W52" s="12" t="str">
        <f ca="1">IFERROR(__xludf.DUMMYFUNCTION("""COMPUTED_VALUE"""),"包包與滑鼠")</f>
        <v>包包與滑鼠</v>
      </c>
      <c r="X52" s="12" t="str">
        <f ca="1">IFERROR(__xludf.DUMMYFUNCTION("""COMPUTED_VALUE"""),"隨貨送iCooby M10 2.4G無線滑鼠(黑色)")</f>
        <v>隨貨送iCooby M10 2.4G無線滑鼠(黑色)</v>
      </c>
      <c r="Y52" s="12"/>
      <c r="Z52" s="14"/>
      <c r="AA52" s="15" t="str">
        <f ca="1">IFERROR(__xludf.DUMMYFUNCTION("""COMPUTED_VALUE"""),"14""/Ultra 5 125H/16G/512G SSD/2.8K/OLED/EVO/180度轉軸/W11")</f>
        <v>14"/Ultra 5 125H/16G/512G SSD/2.8K/OLED/EVO/180度轉軸/W11</v>
      </c>
    </row>
    <row r="53" spans="1:27" ht="19.5" customHeight="1">
      <c r="A53" s="12" t="str">
        <f ca="1">IFERROR(__xludf.DUMMYFUNCTION("""COMPUTED_VALUE"""),"3C")</f>
        <v>3C</v>
      </c>
      <c r="B53" s="12" t="str">
        <f ca="1">IFERROR(__xludf.DUMMYFUNCTION("""COMPUTED_VALUE"""),"順發")</f>
        <v>順發</v>
      </c>
      <c r="C53" s="12" t="str">
        <f ca="1">IFERROR(__xludf.DUMMYFUNCTION("""COMPUTED_VALUE"""),"acer")</f>
        <v>acer</v>
      </c>
      <c r="D53" s="12" t="str">
        <f ca="1">IFERROR(__xludf.DUMMYFUNCTION("""COMPUTED_VALUE"""),"acer Aspire Go AG15-31P-36XB 15.6吋文書筆電(銀)_306615")</f>
        <v>acer Aspire Go AG15-31P-36XB 15.6吋文書筆電(銀)_306615</v>
      </c>
      <c r="E53" s="12" t="str">
        <f ca="1">IFERROR(__xludf.DUMMYFUNCTION("""COMPUTED_VALUE"""),"AG15-31P-36XB")</f>
        <v>AG15-31P-36XB</v>
      </c>
      <c r="F53" s="12">
        <f ca="1">IFERROR(__xludf.DUMMYFUNCTION("""COMPUTED_VALUE"""),51095817)</f>
        <v>51095817</v>
      </c>
      <c r="G53" s="12" t="str">
        <f ca="1">IFERROR(__xludf.DUMMYFUNCTION("""COMPUTED_VALUE"""),"IGEM1071")</f>
        <v>IGEM1071</v>
      </c>
      <c r="H53" s="13">
        <f ca="1">IFERROR(__xludf.DUMMYFUNCTION("""COMPUTED_VALUE"""),16900)</f>
        <v>16900</v>
      </c>
      <c r="I53" s="14">
        <f ca="1">IFERROR(__xludf.DUMMYFUNCTION("""COMPUTED_VALUE"""),14900)</f>
        <v>14900</v>
      </c>
      <c r="J53" s="16">
        <f ca="1">IFERROR(__xludf.DUMMYFUNCTION("""COMPUTED_VALUE"""),45496)</f>
        <v>45496</v>
      </c>
      <c r="K53" s="12" t="str">
        <f ca="1">IFERROR(__xludf.DUMMYFUNCTION("""COMPUTED_VALUE"""),"新機上架")</f>
        <v>新機上架</v>
      </c>
      <c r="L53" s="12" t="str">
        <f ca="1">IFERROR(__xludf.DUMMYFUNCTION("""COMPUTED_VALUE"""),"上架中")</f>
        <v>上架中</v>
      </c>
      <c r="M53" s="12" t="str">
        <f ca="1">IFERROR(__xludf.DUMMYFUNCTION("""COMPUTED_VALUE"""),"2024/7/23新機上架")</f>
        <v>2024/7/23新機上架</v>
      </c>
      <c r="N53" s="12" t="str">
        <f ca="1">IFERROR(__xludf.DUMMYFUNCTION("""COMPUTED_VALUE"""),"筆電")</f>
        <v>筆電</v>
      </c>
      <c r="O53" s="12" t="str">
        <f ca="1">IFERROR(__xludf.DUMMYFUNCTION("""COMPUTED_VALUE"""),"銀")</f>
        <v>銀</v>
      </c>
      <c r="P53" s="12" t="str">
        <f ca="1">IFERROR(__xludf.DUMMYFUNCTION("""COMPUTED_VALUE"""),"15.6吋")</f>
        <v>15.6吋</v>
      </c>
      <c r="Q53" s="12"/>
      <c r="R53" s="12" t="str">
        <f ca="1">IFERROR(__xludf.DUMMYFUNCTION("""COMPUTED_VALUE"""),"中國")</f>
        <v>中國</v>
      </c>
      <c r="S53" s="12"/>
      <c r="T53" s="12"/>
      <c r="U53" s="12" t="str">
        <f ca="1">IFERROR(__xludf.DUMMYFUNCTION("""COMPUTED_VALUE"""),"台灣2年")</f>
        <v>台灣2年</v>
      </c>
      <c r="V53" s="12"/>
      <c r="W53" s="12"/>
      <c r="X53" s="12" t="str">
        <f ca="1">IFERROR(__xludf.DUMMYFUNCTION("""COMPUTED_VALUE"""),"隨貨送iCooby M10 2.4G無線滑鼠(黑色)")</f>
        <v>隨貨送iCooby M10 2.4G無線滑鼠(黑色)</v>
      </c>
      <c r="Y53" s="12"/>
      <c r="Z53" s="14"/>
      <c r="AA53" s="15" t="str">
        <f ca="1">IFERROR(__xludf.DUMMYFUNCTION("""COMPUTED_VALUE"""),"15.6""/處理器i3-N300/記憶體8G/硬碟512G SSD/W11/重量1.75kg")</f>
        <v>15.6"/處理器i3-N300/記憶體8G/硬碟512G SSD/W11/重量1.75kg</v>
      </c>
    </row>
    <row r="54" spans="1:27" ht="19.5" customHeight="1">
      <c r="A54" s="12" t="str">
        <f ca="1">IFERROR(__xludf.DUMMYFUNCTION("""COMPUTED_VALUE"""),"3C")</f>
        <v>3C</v>
      </c>
      <c r="B54" s="12" t="str">
        <f ca="1">IFERROR(__xludf.DUMMYFUNCTION("""COMPUTED_VALUE"""),"順發")</f>
        <v>順發</v>
      </c>
      <c r="C54" s="12" t="str">
        <f ca="1">IFERROR(__xludf.DUMMYFUNCTION("""COMPUTED_VALUE"""),"acer")</f>
        <v>acer</v>
      </c>
      <c r="D54" s="12" t="str">
        <f ca="1">IFERROR(__xludf.DUMMYFUNCTION("""COMPUTED_VALUE"""),"acer Aspire Go AG15-31P-36XB 15.6吋文書筆電(銀)+office365個人版15個月_306615")</f>
        <v>acer Aspire Go AG15-31P-36XB 15.6吋文書筆電(銀)+office365個人版15個月_306615</v>
      </c>
      <c r="E54" s="12" t="str">
        <f ca="1">IFERROR(__xludf.DUMMYFUNCTION("""COMPUTED_VALUE"""),"AG15-31P-36XB+office365個人版15個月")</f>
        <v>AG15-31P-36XB+office365個人版15個月</v>
      </c>
      <c r="F54" s="12">
        <f ca="1">IFERROR(__xludf.DUMMYFUNCTION("""COMPUTED_VALUE"""),51095904)</f>
        <v>51095904</v>
      </c>
      <c r="G54" s="12" t="str">
        <f ca="1">IFERROR(__xludf.DUMMYFUNCTION("""COMPUTED_VALUE"""),"IGEM116N")</f>
        <v>IGEM116N</v>
      </c>
      <c r="H54" s="13">
        <f ca="1">IFERROR(__xludf.DUMMYFUNCTION("""COMPUTED_VALUE"""),19900)</f>
        <v>19900</v>
      </c>
      <c r="I54" s="14">
        <f ca="1">IFERROR(__xludf.DUMMYFUNCTION("""COMPUTED_VALUE"""),16900)</f>
        <v>16900</v>
      </c>
      <c r="J54" s="16">
        <f ca="1">IFERROR(__xludf.DUMMYFUNCTION("""COMPUTED_VALUE"""),45658)</f>
        <v>45658</v>
      </c>
      <c r="K54" s="12" t="str">
        <f ca="1">IFERROR(__xludf.DUMMYFUNCTION("""COMPUTED_VALUE"""),"新機上架")</f>
        <v>新機上架</v>
      </c>
      <c r="L54" s="12" t="str">
        <f ca="1">IFERROR(__xludf.DUMMYFUNCTION("""COMPUTED_VALUE"""),"上架中")</f>
        <v>上架中</v>
      </c>
      <c r="M54" s="12" t="str">
        <f ca="1">IFERROR(__xludf.DUMMYFUNCTION("""COMPUTED_VALUE"""),"2025/1/1上架")</f>
        <v>2025/1/1上架</v>
      </c>
      <c r="N54" s="12" t="str">
        <f ca="1">IFERROR(__xludf.DUMMYFUNCTION("""COMPUTED_VALUE"""),"筆電")</f>
        <v>筆電</v>
      </c>
      <c r="O54" s="12" t="str">
        <f ca="1">IFERROR(__xludf.DUMMYFUNCTION("""COMPUTED_VALUE"""),"銀")</f>
        <v>銀</v>
      </c>
      <c r="P54" s="12" t="str">
        <f ca="1">IFERROR(__xludf.DUMMYFUNCTION("""COMPUTED_VALUE"""),"15.6吋")</f>
        <v>15.6吋</v>
      </c>
      <c r="Q54" s="12"/>
      <c r="R54" s="12" t="str">
        <f ca="1">IFERROR(__xludf.DUMMYFUNCTION("""COMPUTED_VALUE"""),"中國")</f>
        <v>中國</v>
      </c>
      <c r="S54" s="12"/>
      <c r="T54" s="12"/>
      <c r="U54" s="12" t="str">
        <f ca="1">IFERROR(__xludf.DUMMYFUNCTION("""COMPUTED_VALUE"""),"台灣2年")</f>
        <v>台灣2年</v>
      </c>
      <c r="V54" s="12"/>
      <c r="W54" s="12"/>
      <c r="X54" s="12" t="str">
        <f ca="1">IFERROR(__xludf.DUMMYFUNCTION("""COMPUTED_VALUE"""),"隨貨送iCooby M10 2.4G無線滑鼠(黑色)")</f>
        <v>隨貨送iCooby M10 2.4G無線滑鼠(黑色)</v>
      </c>
      <c r="Y54" s="12"/>
      <c r="Z54" s="14"/>
      <c r="AA54" s="15" t="str">
        <f ca="1">IFERROR(__xludf.DUMMYFUNCTION("""COMPUTED_VALUE"""),"15.6""/處理器i3-N300/記憶體8G/硬碟512G SSD/W11/重量1.75kg")</f>
        <v>15.6"/處理器i3-N300/記憶體8G/硬碟512G SSD/W11/重量1.75kg</v>
      </c>
    </row>
    <row r="55" spans="1:27" ht="19.5" customHeight="1">
      <c r="A55" s="12" t="str">
        <f ca="1">IFERROR(__xludf.DUMMYFUNCTION("""COMPUTED_VALUE"""),"3C")</f>
        <v>3C</v>
      </c>
      <c r="B55" s="12" t="str">
        <f ca="1">IFERROR(__xludf.DUMMYFUNCTION("""COMPUTED_VALUE"""),"順發")</f>
        <v>順發</v>
      </c>
      <c r="C55" s="12" t="str">
        <f ca="1">IFERROR(__xludf.DUMMYFUNCTION("""COMPUTED_VALUE"""),"acer")</f>
        <v>acer</v>
      </c>
      <c r="D55" s="12" t="str">
        <f ca="1">IFERROR(__xludf.DUMMYFUNCTION("""COMPUTED_VALUE"""),"acer Aspire Lite AL16-52P-58ZE 16吋輕薄文書筆電(銀)_306963")</f>
        <v>acer Aspire Lite AL16-52P-58ZE 16吋輕薄文書筆電(銀)_306963</v>
      </c>
      <c r="E55" s="12" t="str">
        <f ca="1">IFERROR(__xludf.DUMMYFUNCTION("""COMPUTED_VALUE"""),"AL16-52P-58ZE")</f>
        <v>AL16-52P-58ZE</v>
      </c>
      <c r="F55" s="12">
        <f ca="1">IFERROR(__xludf.DUMMYFUNCTION("""COMPUTED_VALUE"""),51095851)</f>
        <v>51095851</v>
      </c>
      <c r="G55" s="12" t="str">
        <f ca="1">IFERROR(__xludf.DUMMYFUNCTION("""COMPUTED_VALUE"""),"IGEM1103")</f>
        <v>IGEM1103</v>
      </c>
      <c r="H55" s="13">
        <f ca="1">IFERROR(__xludf.DUMMYFUNCTION("""COMPUTED_VALUE"""),20900)</f>
        <v>20900</v>
      </c>
      <c r="I55" s="14">
        <f ca="1">IFERROR(__xludf.DUMMYFUNCTION("""COMPUTED_VALUE"""),18900)</f>
        <v>18900</v>
      </c>
      <c r="J55" s="16">
        <f ca="1">IFERROR(__xludf.DUMMYFUNCTION("""COMPUTED_VALUE"""),45678)</f>
        <v>45678</v>
      </c>
      <c r="K55" s="12" t="str">
        <f ca="1">IFERROR(__xludf.DUMMYFUNCTION("""COMPUTED_VALUE"""),"永久降價")</f>
        <v>永久降價</v>
      </c>
      <c r="L55" s="12" t="str">
        <f ca="1">IFERROR(__xludf.DUMMYFUNCTION("""COMPUTED_VALUE"""),"上架中")</f>
        <v>上架中</v>
      </c>
      <c r="M55" s="12" t="str">
        <f ca="1">IFERROR(__xludf.DUMMYFUNCTION("""COMPUTED_VALUE"""),"2024/9/1新機上架")</f>
        <v>2024/9/1新機上架</v>
      </c>
      <c r="N55" s="12" t="str">
        <f ca="1">IFERROR(__xludf.DUMMYFUNCTION("""COMPUTED_VALUE"""),"筆電")</f>
        <v>筆電</v>
      </c>
      <c r="O55" s="12" t="str">
        <f ca="1">IFERROR(__xludf.DUMMYFUNCTION("""COMPUTED_VALUE"""),"銀")</f>
        <v>銀</v>
      </c>
      <c r="P55" s="12" t="str">
        <f ca="1">IFERROR(__xludf.DUMMYFUNCTION("""COMPUTED_VALUE"""),"16""")</f>
        <v>16"</v>
      </c>
      <c r="Q55" s="12"/>
      <c r="R55" s="12"/>
      <c r="S55" s="12"/>
      <c r="T55" s="12"/>
      <c r="U55" s="12" t="str">
        <f ca="1">IFERROR(__xludf.DUMMYFUNCTION("""COMPUTED_VALUE"""),"台灣2年")</f>
        <v>台灣2年</v>
      </c>
      <c r="V55" s="12"/>
      <c r="W55" s="12"/>
      <c r="X55" s="12" t="str">
        <f ca="1">IFERROR(__xludf.DUMMYFUNCTION("""COMPUTED_VALUE"""),"隨貨送iCooby M10 2.4G無線滑鼠(黑色)")</f>
        <v>隨貨送iCooby M10 2.4G無線滑鼠(黑色)</v>
      </c>
      <c r="Y55" s="12"/>
      <c r="Z55" s="14"/>
      <c r="AA55" s="15" t="str">
        <f ca="1">IFERROR(__xludf.DUMMYFUNCTION("""COMPUTED_VALUE"""),"16""/處理器i5-1334U/記憶體8G/硬碟512G SSD/W11/重量1.7 kg")</f>
        <v>16"/處理器i5-1334U/記憶體8G/硬碟512G SSD/W11/重量1.7 kg</v>
      </c>
    </row>
    <row r="56" spans="1:27" ht="19.5" customHeight="1">
      <c r="A56" s="12" t="str">
        <f ca="1">IFERROR(__xludf.DUMMYFUNCTION("""COMPUTED_VALUE"""),"3C")</f>
        <v>3C</v>
      </c>
      <c r="B56" s="12" t="str">
        <f ca="1">IFERROR(__xludf.DUMMYFUNCTION("""COMPUTED_VALUE"""),"順發")</f>
        <v>順發</v>
      </c>
      <c r="C56" s="12" t="str">
        <f ca="1">IFERROR(__xludf.DUMMYFUNCTION("""COMPUTED_VALUE"""),"acer")</f>
        <v>acer</v>
      </c>
      <c r="D56" s="12" t="str">
        <f ca="1">IFERROR(__xludf.DUMMYFUNCTION("""COMPUTED_VALUE"""),"acer Aspire Lite AL16-52P-58ZE 16吋輕薄文書筆電(銀)+office365個人版15個月_306963")</f>
        <v>acer Aspire Lite AL16-52P-58ZE 16吋輕薄文書筆電(銀)+office365個人版15個月_306963</v>
      </c>
      <c r="E56" s="12" t="str">
        <f ca="1">IFERROR(__xludf.DUMMYFUNCTION("""COMPUTED_VALUE"""),"AL16-52P-58ZE+office365個人版15個月")</f>
        <v>AL16-52P-58ZE+office365個人版15個月</v>
      </c>
      <c r="F56" s="12">
        <f ca="1">IFERROR(__xludf.DUMMYFUNCTION("""COMPUTED_VALUE"""),51095908)</f>
        <v>51095908</v>
      </c>
      <c r="G56" s="12" t="str">
        <f ca="1">IFERROR(__xludf.DUMMYFUNCTION("""COMPUTED_VALUE"""),"IGEM116R")</f>
        <v>IGEM116R</v>
      </c>
      <c r="H56" s="13">
        <f ca="1">IFERROR(__xludf.DUMMYFUNCTION("""COMPUTED_VALUE"""),23900)</f>
        <v>23900</v>
      </c>
      <c r="I56" s="14">
        <f ca="1">IFERROR(__xludf.DUMMYFUNCTION("""COMPUTED_VALUE"""),20900)</f>
        <v>20900</v>
      </c>
      <c r="J56" s="16">
        <f ca="1">IFERROR(__xludf.DUMMYFUNCTION("""COMPUTED_VALUE"""),45678)</f>
        <v>45678</v>
      </c>
      <c r="K56" s="12" t="str">
        <f ca="1">IFERROR(__xludf.DUMMYFUNCTION("""COMPUTED_VALUE"""),"永久降價")</f>
        <v>永久降價</v>
      </c>
      <c r="L56" s="12" t="str">
        <f ca="1">IFERROR(__xludf.DUMMYFUNCTION("""COMPUTED_VALUE"""),"上架中")</f>
        <v>上架中</v>
      </c>
      <c r="M56" s="12" t="str">
        <f ca="1">IFERROR(__xludf.DUMMYFUNCTION("""COMPUTED_VALUE"""),"2025/1/1上架")</f>
        <v>2025/1/1上架</v>
      </c>
      <c r="N56" s="12" t="str">
        <f ca="1">IFERROR(__xludf.DUMMYFUNCTION("""COMPUTED_VALUE"""),"筆電")</f>
        <v>筆電</v>
      </c>
      <c r="O56" s="12" t="str">
        <f ca="1">IFERROR(__xludf.DUMMYFUNCTION("""COMPUTED_VALUE"""),"銀")</f>
        <v>銀</v>
      </c>
      <c r="P56" s="12" t="str">
        <f ca="1">IFERROR(__xludf.DUMMYFUNCTION("""COMPUTED_VALUE"""),"16""")</f>
        <v>16"</v>
      </c>
      <c r="Q56" s="12"/>
      <c r="R56" s="12"/>
      <c r="S56" s="12"/>
      <c r="T56" s="12"/>
      <c r="U56" s="12" t="str">
        <f ca="1">IFERROR(__xludf.DUMMYFUNCTION("""COMPUTED_VALUE"""),"台灣2年")</f>
        <v>台灣2年</v>
      </c>
      <c r="V56" s="12"/>
      <c r="W56" s="12"/>
      <c r="X56" s="12" t="str">
        <f ca="1">IFERROR(__xludf.DUMMYFUNCTION("""COMPUTED_VALUE"""),"隨貨送iCooby M10 2.4G無線滑鼠(黑色)")</f>
        <v>隨貨送iCooby M10 2.4G無線滑鼠(黑色)</v>
      </c>
      <c r="Y56" s="12"/>
      <c r="Z56" s="14"/>
      <c r="AA56" s="15" t="str">
        <f ca="1">IFERROR(__xludf.DUMMYFUNCTION("""COMPUTED_VALUE"""),"16""/i5-1334U/8G/512G SSD/W11/1.7 kg")</f>
        <v>16"/i5-1334U/8G/512G SSD/W11/1.7 kg</v>
      </c>
    </row>
    <row r="57" spans="1:27" ht="19.5" customHeight="1">
      <c r="A57" s="12" t="str">
        <f ca="1">IFERROR(__xludf.DUMMYFUNCTION("""COMPUTED_VALUE"""),"3C")</f>
        <v>3C</v>
      </c>
      <c r="B57" s="12" t="str">
        <f ca="1">IFERROR(__xludf.DUMMYFUNCTION("""COMPUTED_VALUE"""),"順發")</f>
        <v>順發</v>
      </c>
      <c r="C57" s="12" t="str">
        <f ca="1">IFERROR(__xludf.DUMMYFUNCTION("""COMPUTED_VALUE"""),"acer")</f>
        <v>acer</v>
      </c>
      <c r="D57" s="12" t="str">
        <f ca="1">IFERROR(__xludf.DUMMYFUNCTION("""COMPUTED_VALUE"""),"acer Aspire A515-58GM-59KT 15.6吋獨顯輕薄筆電(灰)_306941")</f>
        <v>acer Aspire A515-58GM-59KT 15.6吋獨顯輕薄筆電(灰)_306941</v>
      </c>
      <c r="E57" s="12" t="str">
        <f ca="1">IFERROR(__xludf.DUMMYFUNCTION("""COMPUTED_VALUE"""),"A515-58GM-59KT")</f>
        <v>A515-58GM-59KT</v>
      </c>
      <c r="F57" s="12">
        <f ca="1">IFERROR(__xludf.DUMMYFUNCTION("""COMPUTED_VALUE"""),51095861)</f>
        <v>51095861</v>
      </c>
      <c r="G57" s="12" t="str">
        <f ca="1">IFERROR(__xludf.DUMMYFUNCTION("""COMPUTED_VALUE"""),"IGEM111D")</f>
        <v>IGEM111D</v>
      </c>
      <c r="H57" s="13">
        <f ca="1">IFERROR(__xludf.DUMMYFUNCTION("""COMPUTED_VALUE"""),25900)</f>
        <v>25900</v>
      </c>
      <c r="I57" s="14">
        <f ca="1">IFERROR(__xludf.DUMMYFUNCTION("""COMPUTED_VALUE"""),23900)</f>
        <v>23900</v>
      </c>
      <c r="J57" s="16">
        <f ca="1">IFERROR(__xludf.DUMMYFUNCTION("""COMPUTED_VALUE"""),45566)</f>
        <v>45566</v>
      </c>
      <c r="K57" s="12" t="str">
        <f ca="1">IFERROR(__xludf.DUMMYFUNCTION("""COMPUTED_VALUE"""),"新機上架")</f>
        <v>新機上架</v>
      </c>
      <c r="L57" s="12" t="str">
        <f ca="1">IFERROR(__xludf.DUMMYFUNCTION("""COMPUTED_VALUE"""),"上架中")</f>
        <v>上架中</v>
      </c>
      <c r="M57" s="12" t="str">
        <f ca="1">IFERROR(__xludf.DUMMYFUNCTION("""COMPUTED_VALUE"""),"2024/10/1新機上架")</f>
        <v>2024/10/1新機上架</v>
      </c>
      <c r="N57" s="12" t="str">
        <f ca="1">IFERROR(__xludf.DUMMYFUNCTION("""COMPUTED_VALUE"""),"筆電")</f>
        <v>筆電</v>
      </c>
      <c r="O57" s="12" t="str">
        <f ca="1">IFERROR(__xludf.DUMMYFUNCTION("""COMPUTED_VALUE"""),"灰")</f>
        <v>灰</v>
      </c>
      <c r="P57" s="12" t="str">
        <f ca="1">IFERROR(__xludf.DUMMYFUNCTION("""COMPUTED_VALUE"""),"15.6"" 
")</f>
        <v xml:space="preserve">15.6" 
</v>
      </c>
      <c r="Q57" s="12"/>
      <c r="R57" s="12" t="str">
        <f ca="1">IFERROR(__xludf.DUMMYFUNCTION("""COMPUTED_VALUE"""),"中國")</f>
        <v>中國</v>
      </c>
      <c r="S57" s="12"/>
      <c r="T57" s="12"/>
      <c r="U57" s="12" t="str">
        <f ca="1">IFERROR(__xludf.DUMMYFUNCTION("""COMPUTED_VALUE"""),"台灣2年")</f>
        <v>台灣2年</v>
      </c>
      <c r="V57" s="12"/>
      <c r="W57" s="12"/>
      <c r="X57" s="12" t="str">
        <f ca="1">IFERROR(__xludf.DUMMYFUNCTION("""COMPUTED_VALUE"""),"隨貨送iCooby M10 2.4G無線滑鼠(黑色)")</f>
        <v>隨貨送iCooby M10 2.4G無線滑鼠(黑色)</v>
      </c>
      <c r="Y57" s="12"/>
      <c r="Z57" s="14"/>
      <c r="AA57" s="15" t="str">
        <f ca="1">IFERROR(__xludf.DUMMYFUNCTION("""COMPUTED_VALUE"""),"15.6""/處理器i5-13420H/記憶體8G/顯卡RTX2050 4G/硬碟512G SSD/W11/重量1.78 kg")</f>
        <v>15.6"/處理器i5-13420H/記憶體8G/顯卡RTX2050 4G/硬碟512G SSD/W11/重量1.78 kg</v>
      </c>
    </row>
    <row r="58" spans="1:27" ht="19.5" customHeight="1">
      <c r="A58" s="12" t="str">
        <f ca="1">IFERROR(__xludf.DUMMYFUNCTION("""COMPUTED_VALUE"""),"3C")</f>
        <v>3C</v>
      </c>
      <c r="B58" s="12" t="str">
        <f ca="1">IFERROR(__xludf.DUMMYFUNCTION("""COMPUTED_VALUE"""),"順發")</f>
        <v>順發</v>
      </c>
      <c r="C58" s="12" t="str">
        <f ca="1">IFERROR(__xludf.DUMMYFUNCTION("""COMPUTED_VALUE"""),"acer")</f>
        <v>acer</v>
      </c>
      <c r="D58" s="12" t="str">
        <f ca="1">IFERROR(__xludf.DUMMYFUNCTION("""COMPUTED_VALUE"""),"acer Aspire A515-58GM-59KT 15.6吋獨顯輕薄筆電(灰)+office365個人版15個月_306941")</f>
        <v>acer Aspire A515-58GM-59KT 15.6吋獨顯輕薄筆電(灰)+office365個人版15個月_306941</v>
      </c>
      <c r="E58" s="12" t="str">
        <f ca="1">IFERROR(__xludf.DUMMYFUNCTION("""COMPUTED_VALUE"""),"A515-58GM-59KT+office365個人版15個月")</f>
        <v>A515-58GM-59KT+office365個人版15個月</v>
      </c>
      <c r="F58" s="12">
        <f ca="1">IFERROR(__xludf.DUMMYFUNCTION("""COMPUTED_VALUE"""),51095909)</f>
        <v>51095909</v>
      </c>
      <c r="G58" s="12" t="str">
        <f ca="1">IFERROR(__xludf.DUMMYFUNCTION("""COMPUTED_VALUE"""),"IGEM116S")</f>
        <v>IGEM116S</v>
      </c>
      <c r="H58" s="13">
        <f ca="1">IFERROR(__xludf.DUMMYFUNCTION("""COMPUTED_VALUE"""),28900)</f>
        <v>28900</v>
      </c>
      <c r="I58" s="14">
        <f ca="1">IFERROR(__xludf.DUMMYFUNCTION("""COMPUTED_VALUE"""),25900)</f>
        <v>25900</v>
      </c>
      <c r="J58" s="16">
        <f ca="1">IFERROR(__xludf.DUMMYFUNCTION("""COMPUTED_VALUE"""),45658)</f>
        <v>45658</v>
      </c>
      <c r="K58" s="12" t="str">
        <f ca="1">IFERROR(__xludf.DUMMYFUNCTION("""COMPUTED_VALUE"""),"新機上架")</f>
        <v>新機上架</v>
      </c>
      <c r="L58" s="12" t="str">
        <f ca="1">IFERROR(__xludf.DUMMYFUNCTION("""COMPUTED_VALUE"""),"上架中")</f>
        <v>上架中</v>
      </c>
      <c r="M58" s="12" t="str">
        <f ca="1">IFERROR(__xludf.DUMMYFUNCTION("""COMPUTED_VALUE"""),"2025/1/1上架")</f>
        <v>2025/1/1上架</v>
      </c>
      <c r="N58" s="12" t="str">
        <f ca="1">IFERROR(__xludf.DUMMYFUNCTION("""COMPUTED_VALUE"""),"筆電")</f>
        <v>筆電</v>
      </c>
      <c r="O58" s="12" t="str">
        <f ca="1">IFERROR(__xludf.DUMMYFUNCTION("""COMPUTED_VALUE"""),"灰")</f>
        <v>灰</v>
      </c>
      <c r="P58" s="12" t="str">
        <f ca="1">IFERROR(__xludf.DUMMYFUNCTION("""COMPUTED_VALUE"""),"15.6"" 
")</f>
        <v xml:space="preserve">15.6" 
</v>
      </c>
      <c r="Q58" s="12"/>
      <c r="R58" s="12" t="str">
        <f ca="1">IFERROR(__xludf.DUMMYFUNCTION("""COMPUTED_VALUE"""),"中國")</f>
        <v>中國</v>
      </c>
      <c r="S58" s="12"/>
      <c r="T58" s="12"/>
      <c r="U58" s="12" t="str">
        <f ca="1">IFERROR(__xludf.DUMMYFUNCTION("""COMPUTED_VALUE"""),"台灣2年")</f>
        <v>台灣2年</v>
      </c>
      <c r="V58" s="12"/>
      <c r="W58" s="12"/>
      <c r="X58" s="12" t="str">
        <f ca="1">IFERROR(__xludf.DUMMYFUNCTION("""COMPUTED_VALUE"""),"隨貨送iCooby M10 2.4G無線滑鼠(黑色)")</f>
        <v>隨貨送iCooby M10 2.4G無線滑鼠(黑色)</v>
      </c>
      <c r="Y58" s="12"/>
      <c r="Z58" s="14"/>
      <c r="AA58" s="15" t="str">
        <f ca="1">IFERROR(__xludf.DUMMYFUNCTION("""COMPUTED_VALUE"""),"15.6""/處理器i5-13420H/記憶體8G/顯卡RTX2050 4G/硬碟512G SSD/W11/重量1.78 kg")</f>
        <v>15.6"/處理器i5-13420H/記憶體8G/顯卡RTX2050 4G/硬碟512G SSD/W11/重量1.78 kg</v>
      </c>
    </row>
    <row r="59" spans="1:27" ht="19.5" customHeight="1">
      <c r="A59" s="12" t="str">
        <f ca="1">IFERROR(__xludf.DUMMYFUNCTION("""COMPUTED_VALUE"""),"3C")</f>
        <v>3C</v>
      </c>
      <c r="B59" s="12" t="str">
        <f ca="1">IFERROR(__xludf.DUMMYFUNCTION("""COMPUTED_VALUE"""),"順發")</f>
        <v>順發</v>
      </c>
      <c r="C59" s="12" t="str">
        <f ca="1">IFERROR(__xludf.DUMMYFUNCTION("""COMPUTED_VALUE"""),"ASUS")</f>
        <v>ASUS</v>
      </c>
      <c r="D59" s="12" t="str">
        <f ca="1">IFERROR(__xludf.DUMMYFUNCTION("""COMPUTED_VALUE"""),"ASUS Vivobook X1504VA-0021B1335U 15.6吋13代輕薄筆電(15.6""/i5-1335U/8G/512G SSD/抗菌/180度轉軸/W11/午夜藍)_306RS3")</f>
        <v>ASUS Vivobook X1504VA-0021B1335U 15.6吋13代輕薄筆電(15.6"/i5-1335U/8G/512G SSD/抗菌/180度轉軸/W11/午夜藍)_306RS3</v>
      </c>
      <c r="E59" s="12" t="str">
        <f ca="1">IFERROR(__xludf.DUMMYFUNCTION("""COMPUTED_VALUE"""),"X1504VA-0021B1335U")</f>
        <v>X1504VA-0021B1335U</v>
      </c>
      <c r="F59" s="12">
        <f ca="1">IFERROR(__xludf.DUMMYFUNCTION("""COMPUTED_VALUE"""),51095685)</f>
        <v>51095685</v>
      </c>
      <c r="G59" s="12" t="str">
        <f ca="1">IFERROR(__xludf.DUMMYFUNCTION("""COMPUTED_VALUE"""),"IGEM0881")</f>
        <v>IGEM0881</v>
      </c>
      <c r="H59" s="12">
        <f ca="1">IFERROR(__xludf.DUMMYFUNCTION("""COMPUTED_VALUE"""),20999)</f>
        <v>20999</v>
      </c>
      <c r="I59" s="14">
        <f ca="1">IFERROR(__xludf.DUMMYFUNCTION("""COMPUTED_VALUE"""),18999)</f>
        <v>18999</v>
      </c>
      <c r="J59" s="16">
        <f ca="1">IFERROR(__xludf.DUMMYFUNCTION("""COMPUTED_VALUE"""),45668)</f>
        <v>45668</v>
      </c>
      <c r="K59" s="12" t="str">
        <f ca="1">IFERROR(__xludf.DUMMYFUNCTION("""COMPUTED_VALUE"""),"永久降價")</f>
        <v>永久降價</v>
      </c>
      <c r="L59" s="12" t="str">
        <f ca="1">IFERROR(__xludf.DUMMYFUNCTION("""COMPUTED_VALUE"""),"上架中")</f>
        <v>上架中</v>
      </c>
      <c r="M59" s="12" t="str">
        <f ca="1">IFERROR(__xludf.DUMMYFUNCTION("""COMPUTED_VALUE"""),"2023/10/27降價8/23新機上架")</f>
        <v>2023/10/27降價8/23新機上架</v>
      </c>
      <c r="N59" s="12" t="str">
        <f ca="1">IFERROR(__xludf.DUMMYFUNCTION("""COMPUTED_VALUE"""),"筆電")</f>
        <v>筆電</v>
      </c>
      <c r="O59" s="12" t="str">
        <f ca="1">IFERROR(__xludf.DUMMYFUNCTION("""COMPUTED_VALUE"""),"午夜藍")</f>
        <v>午夜藍</v>
      </c>
      <c r="P59" s="12">
        <f ca="1">IFERROR(__xludf.DUMMYFUNCTION("""COMPUTED_VALUE"""),15.6)</f>
        <v>15.6</v>
      </c>
      <c r="Q59" s="12"/>
      <c r="R59" s="12"/>
      <c r="S59" s="12"/>
      <c r="T59" s="12"/>
      <c r="U59" s="12" t="str">
        <f ca="1">IFERROR(__xludf.DUMMYFUNCTION("""COMPUTED_VALUE"""),"註冊首年完美保固+二年全球保固")</f>
        <v>註冊首年完美保固+二年全球保固</v>
      </c>
      <c r="V59" s="12"/>
      <c r="W59" s="12"/>
      <c r="X59" s="12" t="str">
        <f ca="1">IFERROR(__xludf.DUMMYFUNCTION("""COMPUTED_VALUE"""),"隨貨送iCooby M10 2.4G無線滑鼠(黑色)")</f>
        <v>隨貨送iCooby M10 2.4G無線滑鼠(黑色)</v>
      </c>
      <c r="Y59" s="12"/>
      <c r="Z59" s="14"/>
      <c r="AA59" s="15" t="str">
        <f ca="1">IFERROR(__xludf.DUMMYFUNCTION("""COMPUTED_VALUE"""),"15.6""/處理器i5-1335U/記憶體8G/硬碟512G SSD/抗菌/180度轉軸/W11/重量1.7 kg")</f>
        <v>15.6"/處理器i5-1335U/記憶體8G/硬碟512G SSD/抗菌/180度轉軸/W11/重量1.7 kg</v>
      </c>
    </row>
    <row r="60" spans="1:27" ht="19.5" customHeight="1">
      <c r="A60" s="12" t="str">
        <f ca="1">IFERROR(__xludf.DUMMYFUNCTION("""COMPUTED_VALUE"""),"3C")</f>
        <v>3C</v>
      </c>
      <c r="B60" s="12" t="str">
        <f ca="1">IFERROR(__xludf.DUMMYFUNCTION("""COMPUTED_VALUE"""),"順發")</f>
        <v>順發</v>
      </c>
      <c r="C60" s="12" t="str">
        <f ca="1">IFERROR(__xludf.DUMMYFUNCTION("""COMPUTED_VALUE"""),"ASUS")</f>
        <v>ASUS</v>
      </c>
      <c r="D60" s="12" t="str">
        <f ca="1">IFERROR(__xludf.DUMMYFUNCTION("""COMPUTED_VALUE"""),"ASUS Vivobook X1504VA-0021B1335U 15.6吋13代輕薄筆電(午夜藍)+office365個人版15個月_306RS3")</f>
        <v>ASUS Vivobook X1504VA-0021B1335U 15.6吋13代輕薄筆電(午夜藍)+office365個人版15個月_306RS3</v>
      </c>
      <c r="E60" s="12" t="str">
        <f ca="1">IFERROR(__xludf.DUMMYFUNCTION("""COMPUTED_VALUE"""),"X1504VA-0021B1335U+office365個人版15個月")</f>
        <v>X1504VA-0021B1335U+office365個人版15個月</v>
      </c>
      <c r="F60" s="12">
        <f ca="1">IFERROR(__xludf.DUMMYFUNCTION("""COMPUTED_VALUE"""),51095893)</f>
        <v>51095893</v>
      </c>
      <c r="G60" s="12" t="str">
        <f ca="1">IFERROR(__xludf.DUMMYFUNCTION("""COMPUTED_VALUE"""),"IGEM116C")</f>
        <v>IGEM116C</v>
      </c>
      <c r="H60" s="13">
        <f ca="1">IFERROR(__xludf.DUMMYFUNCTION("""COMPUTED_VALUE"""),23999)</f>
        <v>23999</v>
      </c>
      <c r="I60" s="14">
        <f ca="1">IFERROR(__xludf.DUMMYFUNCTION("""COMPUTED_VALUE"""),20999)</f>
        <v>20999</v>
      </c>
      <c r="J60" s="16">
        <f ca="1">IFERROR(__xludf.DUMMYFUNCTION("""COMPUTED_VALUE"""),45658)</f>
        <v>45658</v>
      </c>
      <c r="K60" s="12" t="str">
        <f ca="1">IFERROR(__xludf.DUMMYFUNCTION("""COMPUTED_VALUE"""),"新機上架")</f>
        <v>新機上架</v>
      </c>
      <c r="L60" s="12" t="str">
        <f ca="1">IFERROR(__xludf.DUMMYFUNCTION("""COMPUTED_VALUE"""),"上架中")</f>
        <v>上架中</v>
      </c>
      <c r="M60" s="12" t="str">
        <f ca="1">IFERROR(__xludf.DUMMYFUNCTION("""COMPUTED_VALUE"""),"2025/1/1上架")</f>
        <v>2025/1/1上架</v>
      </c>
      <c r="N60" s="12" t="str">
        <f ca="1">IFERROR(__xludf.DUMMYFUNCTION("""COMPUTED_VALUE"""),"筆電")</f>
        <v>筆電</v>
      </c>
      <c r="O60" s="12" t="str">
        <f ca="1">IFERROR(__xludf.DUMMYFUNCTION("""COMPUTED_VALUE"""),"午夜藍")</f>
        <v>午夜藍</v>
      </c>
      <c r="P60" s="12">
        <f ca="1">IFERROR(__xludf.DUMMYFUNCTION("""COMPUTED_VALUE"""),15.6)</f>
        <v>15.6</v>
      </c>
      <c r="Q60" s="12"/>
      <c r="R60" s="12"/>
      <c r="S60" s="12"/>
      <c r="T60" s="12"/>
      <c r="U60" s="12" t="str">
        <f ca="1">IFERROR(__xludf.DUMMYFUNCTION("""COMPUTED_VALUE"""),"註冊首年完美保固+二年全球保固")</f>
        <v>註冊首年完美保固+二年全球保固</v>
      </c>
      <c r="V60" s="12"/>
      <c r="W60" s="12"/>
      <c r="X60" s="12" t="str">
        <f ca="1">IFERROR(__xludf.DUMMYFUNCTION("""COMPUTED_VALUE"""),"隨貨送iCooby M10 2.4G無線滑鼠(黑色)")</f>
        <v>隨貨送iCooby M10 2.4G無線滑鼠(黑色)</v>
      </c>
      <c r="Y60" s="12"/>
      <c r="Z60" s="14"/>
      <c r="AA60" s="15" t="str">
        <f ca="1">IFERROR(__xludf.DUMMYFUNCTION("""COMPUTED_VALUE"""),"15.6""/i5-1335U/8G/512G SSD/抗菌/180度轉軸/W11")</f>
        <v>15.6"/i5-1335U/8G/512G SSD/抗菌/180度轉軸/W11</v>
      </c>
    </row>
    <row r="61" spans="1:27" ht="19.5" customHeight="1">
      <c r="A61" s="12" t="str">
        <f ca="1">IFERROR(__xludf.DUMMYFUNCTION("""COMPUTED_VALUE"""),"3C")</f>
        <v>3C</v>
      </c>
      <c r="B61" s="12" t="str">
        <f ca="1">IFERROR(__xludf.DUMMYFUNCTION("""COMPUTED_VALUE"""),"順發")</f>
        <v>順發</v>
      </c>
      <c r="C61" s="12" t="str">
        <f ca="1">IFERROR(__xludf.DUMMYFUNCTION("""COMPUTED_VALUE"""),"ASUS")</f>
        <v>ASUS</v>
      </c>
      <c r="D61" s="12" t="str">
        <f ca="1">IFERROR(__xludf.DUMMYFUNCTION("""COMPUTED_VALUE"""),"ASUS TUF Gaming F15 FX507ZC4-0051A12500H 15.6吋TUF軍規電競筆電(15.6""/i5-12500H/8GB/RTX3050 4G/512G SSD/W11/機甲灰)_306537")</f>
        <v>ASUS TUF Gaming F15 FX507ZC4-0051A12500H 15.6吋TUF軍規電競筆電(15.6"/i5-12500H/8GB/RTX3050 4G/512G SSD/W11/機甲灰)_306537</v>
      </c>
      <c r="E61" s="12" t="str">
        <f ca="1">IFERROR(__xludf.DUMMYFUNCTION("""COMPUTED_VALUE"""),"FX507ZC4-0051A12500H")</f>
        <v>FX507ZC4-0051A12500H</v>
      </c>
      <c r="F61" s="12">
        <f ca="1">IFERROR(__xludf.DUMMYFUNCTION("""COMPUTED_VALUE"""),51095671)</f>
        <v>51095671</v>
      </c>
      <c r="G61" s="12" t="str">
        <f ca="1">IFERROR(__xludf.DUMMYFUNCTION("""COMPUTED_VALUE"""),"IGEM086A")</f>
        <v>IGEM086A</v>
      </c>
      <c r="H61" s="13">
        <f ca="1">IFERROR(__xludf.DUMMYFUNCTION("""COMPUTED_VALUE"""),27999)</f>
        <v>27999</v>
      </c>
      <c r="I61" s="14">
        <f ca="1">IFERROR(__xludf.DUMMYFUNCTION("""COMPUTED_VALUE"""),25999)</f>
        <v>25999</v>
      </c>
      <c r="J61" s="16">
        <f ca="1">IFERROR(__xludf.DUMMYFUNCTION("""COMPUTED_VALUE"""),45706)</f>
        <v>45706</v>
      </c>
      <c r="K61" s="12" t="str">
        <f ca="1">IFERROR(__xludf.DUMMYFUNCTION("""COMPUTED_VALUE"""),"永久降價")</f>
        <v>永久降價</v>
      </c>
      <c r="L61" s="12" t="str">
        <f ca="1">IFERROR(__xludf.DUMMYFUNCTION("""COMPUTED_VALUE"""),"上架中")</f>
        <v>上架中</v>
      </c>
      <c r="M61" s="12" t="str">
        <f ca="1">IFERROR(__xludf.DUMMYFUNCTION("""COMPUTED_VALUE"""),"8/21降價7/11新機上架")</f>
        <v>8/21降價7/11新機上架</v>
      </c>
      <c r="N61" s="12" t="str">
        <f ca="1">IFERROR(__xludf.DUMMYFUNCTION("""COMPUTED_VALUE"""),"筆電")</f>
        <v>筆電</v>
      </c>
      <c r="O61" s="12" t="str">
        <f ca="1">IFERROR(__xludf.DUMMYFUNCTION("""COMPUTED_VALUE"""),"機甲灰")</f>
        <v>機甲灰</v>
      </c>
      <c r="P61" s="12">
        <f ca="1">IFERROR(__xludf.DUMMYFUNCTION("""COMPUTED_VALUE"""),15.6)</f>
        <v>15.6</v>
      </c>
      <c r="Q61" s="12"/>
      <c r="R61" s="12"/>
      <c r="S61" s="12"/>
      <c r="T61" s="12"/>
      <c r="U61" s="12" t="str">
        <f ca="1">IFERROR(__xludf.DUMMYFUNCTION("""COMPUTED_VALUE"""),"註冊首年完美保固+二年全球保固")</f>
        <v>註冊首年完美保固+二年全球保固</v>
      </c>
      <c r="V61" s="12"/>
      <c r="W61" s="12" t="str">
        <f ca="1">IFERROR(__xludf.DUMMYFUNCTION("""COMPUTED_VALUE"""),"附滑鼠")</f>
        <v>附滑鼠</v>
      </c>
      <c r="X61" s="12" t="str">
        <f ca="1">IFERROR(__xludf.DUMMYFUNCTION("""COMPUTED_VALUE"""),"隨貨送iCooby M10 2.4G無線滑鼠(黑色)")</f>
        <v>隨貨送iCooby M10 2.4G無線滑鼠(黑色)</v>
      </c>
      <c r="Y61" s="12"/>
      <c r="Z61" s="14"/>
      <c r="AA61" s="15" t="str">
        <f ca="1">IFERROR(__xludf.DUMMYFUNCTION("""COMPUTED_VALUE"""),"15.6""/i5-12500H/8GB/RTX3050 4G/512G SSD/W11")</f>
        <v>15.6"/i5-12500H/8GB/RTX3050 4G/512G SSD/W11</v>
      </c>
    </row>
    <row r="62" spans="1:27" ht="19.5" customHeight="1">
      <c r="A62" s="12" t="str">
        <f ca="1">IFERROR(__xludf.DUMMYFUNCTION("""COMPUTED_VALUE"""),"3C")</f>
        <v>3C</v>
      </c>
      <c r="B62" s="12" t="str">
        <f ca="1">IFERROR(__xludf.DUMMYFUNCTION("""COMPUTED_VALUE"""),"順發")</f>
        <v>順發</v>
      </c>
      <c r="C62" s="12" t="str">
        <f ca="1">IFERROR(__xludf.DUMMYFUNCTION("""COMPUTED_VALUE"""),"ASUS")</f>
        <v>ASUS</v>
      </c>
      <c r="D62" s="12" t="str">
        <f ca="1">IFERROR(__xludf.DUMMYFUNCTION("""COMPUTED_VALUE"""),"ASUS TUF Gaming F15 FX507ZC4-0051A12500H 15.6吋TUF軍規電競筆電(機甲灰)+office365個人版15個月_306537")</f>
        <v>ASUS TUF Gaming F15 FX507ZC4-0051A12500H 15.6吋TUF軍規電競筆電(機甲灰)+office365個人版15個月_306537</v>
      </c>
      <c r="E62" s="12" t="str">
        <f ca="1">IFERROR(__xludf.DUMMYFUNCTION("""COMPUTED_VALUE"""),"FX507ZC4-0051A12500H+office365個人版15個月")</f>
        <v>FX507ZC4-0051A12500H+office365個人版15個月</v>
      </c>
      <c r="F62" s="12">
        <f ca="1">IFERROR(__xludf.DUMMYFUNCTION("""COMPUTED_VALUE"""),51095892)</f>
        <v>51095892</v>
      </c>
      <c r="G62" s="12" t="str">
        <f ca="1">IFERROR(__xludf.DUMMYFUNCTION("""COMPUTED_VALUE"""),"IGEM116B")</f>
        <v>IGEM116B</v>
      </c>
      <c r="H62" s="13">
        <f ca="1">IFERROR(__xludf.DUMMYFUNCTION("""COMPUTED_VALUE"""),30999)</f>
        <v>30999</v>
      </c>
      <c r="I62" s="14">
        <f ca="1">IFERROR(__xludf.DUMMYFUNCTION("""COMPUTED_VALUE"""),27999)</f>
        <v>27999</v>
      </c>
      <c r="J62" s="16">
        <f ca="1">IFERROR(__xludf.DUMMYFUNCTION("""COMPUTED_VALUE"""),45706)</f>
        <v>45706</v>
      </c>
      <c r="K62" s="12" t="str">
        <f ca="1">IFERROR(__xludf.DUMMYFUNCTION("""COMPUTED_VALUE"""),"永久降價")</f>
        <v>永久降價</v>
      </c>
      <c r="L62" s="12" t="str">
        <f ca="1">IFERROR(__xludf.DUMMYFUNCTION("""COMPUTED_VALUE"""),"上架中")</f>
        <v>上架中</v>
      </c>
      <c r="M62" s="12" t="str">
        <f ca="1">IFERROR(__xludf.DUMMYFUNCTION("""COMPUTED_VALUE"""),"2025/1/1上架")</f>
        <v>2025/1/1上架</v>
      </c>
      <c r="N62" s="12" t="str">
        <f ca="1">IFERROR(__xludf.DUMMYFUNCTION("""COMPUTED_VALUE"""),"筆電")</f>
        <v>筆電</v>
      </c>
      <c r="O62" s="12" t="str">
        <f ca="1">IFERROR(__xludf.DUMMYFUNCTION("""COMPUTED_VALUE"""),"機甲灰")</f>
        <v>機甲灰</v>
      </c>
      <c r="P62" s="12">
        <f ca="1">IFERROR(__xludf.DUMMYFUNCTION("""COMPUTED_VALUE"""),15.6)</f>
        <v>15.6</v>
      </c>
      <c r="Q62" s="12"/>
      <c r="R62" s="12"/>
      <c r="S62" s="12"/>
      <c r="T62" s="12"/>
      <c r="U62" s="12" t="str">
        <f ca="1">IFERROR(__xludf.DUMMYFUNCTION("""COMPUTED_VALUE"""),"註冊首年完美保固+二年全球保固")</f>
        <v>註冊首年完美保固+二年全球保固</v>
      </c>
      <c r="V62" s="12"/>
      <c r="W62" s="12" t="str">
        <f ca="1">IFERROR(__xludf.DUMMYFUNCTION("""COMPUTED_VALUE"""),"附滑鼠")</f>
        <v>附滑鼠</v>
      </c>
      <c r="X62" s="12" t="str">
        <f ca="1">IFERROR(__xludf.DUMMYFUNCTION("""COMPUTED_VALUE"""),"隨貨送iCooby M10 2.4G無線滑鼠(黑色)")</f>
        <v>隨貨送iCooby M10 2.4G無線滑鼠(黑色)</v>
      </c>
      <c r="Y62" s="12"/>
      <c r="Z62" s="14"/>
      <c r="AA62" s="15" t="str">
        <f ca="1">IFERROR(__xludf.DUMMYFUNCTION("""COMPUTED_VALUE"""),"15.6""/i5-12500H/8GB/RTX3050 4G/512G SSD/W11")</f>
        <v>15.6"/i5-12500H/8GB/RTX3050 4G/512G SSD/W11</v>
      </c>
    </row>
    <row r="63" spans="1:27" ht="19.5" customHeight="1">
      <c r="A63" s="12" t="str">
        <f ca="1">IFERROR(__xludf.DUMMYFUNCTION("""COMPUTED_VALUE"""),"3C")</f>
        <v>3C</v>
      </c>
      <c r="B63" s="12" t="str">
        <f ca="1">IFERROR(__xludf.DUMMYFUNCTION("""COMPUTED_VALUE"""),"順發")</f>
        <v>順發</v>
      </c>
      <c r="C63" s="12" t="str">
        <f ca="1">IFERROR(__xludf.DUMMYFUNCTION("""COMPUTED_VALUE"""),"ASUS")</f>
        <v>ASUS</v>
      </c>
      <c r="D63" s="12" t="str">
        <f ca="1">IFERROR(__xludf.DUMMYFUNCTION("""COMPUTED_VALUE"""),"ASUS Vivobook Go E1504FA-0081K7520U 15.6吋OLED軍規認證輕薄筆電(15.6""/R5 7520U/16G/512GB SSD/OLED/180度轉軸/W11/黑)_306K74")</f>
        <v>ASUS Vivobook Go E1504FA-0081K7520U 15.6吋OLED軍規認證輕薄筆電(15.6"/R5 7520U/16G/512GB SSD/OLED/180度轉軸/W11/黑)_306K74</v>
      </c>
      <c r="E63" s="12" t="str">
        <f ca="1">IFERROR(__xludf.DUMMYFUNCTION("""COMPUTED_VALUE"""),"E1504FA-0081K7520U")</f>
        <v>E1504FA-0081K7520U</v>
      </c>
      <c r="F63" s="12">
        <f ca="1">IFERROR(__xludf.DUMMYFUNCTION("""COMPUTED_VALUE"""),51095695)</f>
        <v>51095695</v>
      </c>
      <c r="G63" s="12" t="str">
        <f ca="1">IFERROR(__xludf.DUMMYFUNCTION("""COMPUTED_VALUE"""),"IGEM089N")</f>
        <v>IGEM089N</v>
      </c>
      <c r="H63" s="13">
        <f ca="1">IFERROR(__xludf.DUMMYFUNCTION("""COMPUTED_VALUE"""),21999)</f>
        <v>21999</v>
      </c>
      <c r="I63" s="18">
        <f ca="1">IFERROR(__xludf.DUMMYFUNCTION("""COMPUTED_VALUE"""),19999)</f>
        <v>19999</v>
      </c>
      <c r="J63" s="16">
        <f ca="1">IFERROR(__xludf.DUMMYFUNCTION("""COMPUTED_VALUE"""),45536)</f>
        <v>45536</v>
      </c>
      <c r="K63" s="12" t="str">
        <f ca="1">IFERROR(__xludf.DUMMYFUNCTION("""COMPUTED_VALUE"""),"永久降價")</f>
        <v>永久降價</v>
      </c>
      <c r="L63" s="12" t="str">
        <f ca="1">IFERROR(__xludf.DUMMYFUNCTION("""COMPUTED_VALUE"""),"上架中")</f>
        <v>上架中</v>
      </c>
      <c r="M63" s="12" t="str">
        <f ca="1">IFERROR(__xludf.DUMMYFUNCTION("""COMPUTED_VALUE"""),"2024/01/26降價9/21新機上架")</f>
        <v>2024/01/26降價9/21新機上架</v>
      </c>
      <c r="N63" s="12" t="str">
        <f ca="1">IFERROR(__xludf.DUMMYFUNCTION("""COMPUTED_VALUE"""),"筆電")</f>
        <v>筆電</v>
      </c>
      <c r="O63" s="12" t="str">
        <f ca="1">IFERROR(__xludf.DUMMYFUNCTION("""COMPUTED_VALUE"""),"混成黑")</f>
        <v>混成黑</v>
      </c>
      <c r="P63" s="12">
        <f ca="1">IFERROR(__xludf.DUMMYFUNCTION("""COMPUTED_VALUE"""),15.6)</f>
        <v>15.6</v>
      </c>
      <c r="Q63" s="12"/>
      <c r="R63" s="12" t="str">
        <f ca="1">IFERROR(__xludf.DUMMYFUNCTION("""COMPUTED_VALUE"""),"中國")</f>
        <v>中國</v>
      </c>
      <c r="S63" s="12"/>
      <c r="T63" s="12"/>
      <c r="U63" s="12" t="str">
        <f ca="1">IFERROR(__xludf.DUMMYFUNCTION("""COMPUTED_VALUE"""),"註冊首年完美保固+二年全球保固")</f>
        <v>註冊首年完美保固+二年全球保固</v>
      </c>
      <c r="V63" s="12"/>
      <c r="W63" s="12"/>
      <c r="X63" s="12" t="str">
        <f ca="1">IFERROR(__xludf.DUMMYFUNCTION("""COMPUTED_VALUE"""),"隨貨送iCooby M10 2.4G無線滑鼠(黑色)")</f>
        <v>隨貨送iCooby M10 2.4G無線滑鼠(黑色)</v>
      </c>
      <c r="Y63" s="12"/>
      <c r="Z63" s="14"/>
      <c r="AA63" s="15" t="str">
        <f ca="1">IFERROR(__xludf.DUMMYFUNCTION("""COMPUTED_VALUE"""),"15.6""/處理器R5 7520U/記憶體16G/硬碟512GB SSD/OLED/180度轉軸/W11/重量1.63 kg")</f>
        <v>15.6"/處理器R5 7520U/記憶體16G/硬碟512GB SSD/OLED/180度轉軸/W11/重量1.63 kg</v>
      </c>
    </row>
    <row r="64" spans="1:27" ht="19.5" customHeight="1">
      <c r="A64" s="12" t="str">
        <f ca="1">IFERROR(__xludf.DUMMYFUNCTION("""COMPUTED_VALUE"""),"3C")</f>
        <v>3C</v>
      </c>
      <c r="B64" s="12" t="str">
        <f ca="1">IFERROR(__xludf.DUMMYFUNCTION("""COMPUTED_VALUE"""),"順發")</f>
        <v>順發</v>
      </c>
      <c r="C64" s="12" t="str">
        <f ca="1">IFERROR(__xludf.DUMMYFUNCTION("""COMPUTED_VALUE"""),"ASUS")</f>
        <v>ASUS</v>
      </c>
      <c r="D64" s="12" t="str">
        <f ca="1">IFERROR(__xludf.DUMMYFUNCTION("""COMPUTED_VALUE"""),"ASUS Vivobook Go E1504FA-0081K7520U 15.6吋OLED軍規認證輕薄筆電(黑)+office365個人版15個月_306K74")</f>
        <v>ASUS Vivobook Go E1504FA-0081K7520U 15.6吋OLED軍規認證輕薄筆電(黑)+office365個人版15個月_306K74</v>
      </c>
      <c r="E64" s="12" t="str">
        <f ca="1">IFERROR(__xludf.DUMMYFUNCTION("""COMPUTED_VALUE"""),"E1504FA-0081K7520U+office365個人版15個月")</f>
        <v>E1504FA-0081K7520U+office365個人版15個月</v>
      </c>
      <c r="F64" s="12">
        <f ca="1">IFERROR(__xludf.DUMMYFUNCTION("""COMPUTED_VALUE"""),51095894)</f>
        <v>51095894</v>
      </c>
      <c r="G64" s="12" t="str">
        <f ca="1">IFERROR(__xludf.DUMMYFUNCTION("""COMPUTED_VALUE"""),"IGEM116D")</f>
        <v>IGEM116D</v>
      </c>
      <c r="H64" s="13">
        <f ca="1">IFERROR(__xludf.DUMMYFUNCTION("""COMPUTED_VALUE"""),24999)</f>
        <v>24999</v>
      </c>
      <c r="I64" s="14">
        <f ca="1">IFERROR(__xludf.DUMMYFUNCTION("""COMPUTED_VALUE"""),21999)</f>
        <v>21999</v>
      </c>
      <c r="J64" s="16">
        <f ca="1">IFERROR(__xludf.DUMMYFUNCTION("""COMPUTED_VALUE"""),45658)</f>
        <v>45658</v>
      </c>
      <c r="K64" s="12" t="str">
        <f ca="1">IFERROR(__xludf.DUMMYFUNCTION("""COMPUTED_VALUE"""),"新機上架")</f>
        <v>新機上架</v>
      </c>
      <c r="L64" s="12" t="str">
        <f ca="1">IFERROR(__xludf.DUMMYFUNCTION("""COMPUTED_VALUE"""),"上架中")</f>
        <v>上架中</v>
      </c>
      <c r="M64" s="12" t="str">
        <f ca="1">IFERROR(__xludf.DUMMYFUNCTION("""COMPUTED_VALUE"""),"2025/1/1上架")</f>
        <v>2025/1/1上架</v>
      </c>
      <c r="N64" s="12" t="str">
        <f ca="1">IFERROR(__xludf.DUMMYFUNCTION("""COMPUTED_VALUE"""),"筆電")</f>
        <v>筆電</v>
      </c>
      <c r="O64" s="12" t="str">
        <f ca="1">IFERROR(__xludf.DUMMYFUNCTION("""COMPUTED_VALUE"""),"混成黑")</f>
        <v>混成黑</v>
      </c>
      <c r="P64" s="12">
        <f ca="1">IFERROR(__xludf.DUMMYFUNCTION("""COMPUTED_VALUE"""),15.6)</f>
        <v>15.6</v>
      </c>
      <c r="Q64" s="12"/>
      <c r="R64" s="12" t="str">
        <f ca="1">IFERROR(__xludf.DUMMYFUNCTION("""COMPUTED_VALUE"""),"中國")</f>
        <v>中國</v>
      </c>
      <c r="S64" s="12"/>
      <c r="T64" s="12"/>
      <c r="U64" s="12" t="str">
        <f ca="1">IFERROR(__xludf.DUMMYFUNCTION("""COMPUTED_VALUE"""),"註冊首年完美保固+二年全球保固")</f>
        <v>註冊首年完美保固+二年全球保固</v>
      </c>
      <c r="V64" s="12"/>
      <c r="W64" s="12"/>
      <c r="X64" s="12" t="str">
        <f ca="1">IFERROR(__xludf.DUMMYFUNCTION("""COMPUTED_VALUE"""),"隨貨送iCooby M10 2.4G無線滑鼠(黑色)")</f>
        <v>隨貨送iCooby M10 2.4G無線滑鼠(黑色)</v>
      </c>
      <c r="Y64" s="12"/>
      <c r="Z64" s="14"/>
      <c r="AA64" s="15" t="str">
        <f ca="1">IFERROR(__xludf.DUMMYFUNCTION("""COMPUTED_VALUE"""),"15.6""/R5 7520U/16G/512GB SSD/OLED/180度轉軸/W11")</f>
        <v>15.6"/R5 7520U/16G/512GB SSD/OLED/180度轉軸/W11</v>
      </c>
    </row>
    <row r="65" spans="1:27" ht="19.5" customHeight="1">
      <c r="A65" s="12" t="str">
        <f ca="1">IFERROR(__xludf.DUMMYFUNCTION("""COMPUTED_VALUE"""),"3C")</f>
        <v>3C</v>
      </c>
      <c r="B65" s="12" t="str">
        <f ca="1">IFERROR(__xludf.DUMMYFUNCTION("""COMPUTED_VALUE"""),"順發")</f>
        <v>順發</v>
      </c>
      <c r="C65" s="12" t="str">
        <f ca="1">IFERROR(__xludf.DUMMYFUNCTION("""COMPUTED_VALUE"""),"ASUS")</f>
        <v>ASUS</v>
      </c>
      <c r="D65" s="12" t="str">
        <f ca="1">IFERROR(__xludf.DUMMYFUNCTION("""COMPUTED_VALUE"""),"ASUS TUF_AX4200 Ai Mesh雙頻 WiFi 6 電競路由器_289D35")</f>
        <v>ASUS TUF_AX4200 Ai Mesh雙頻 WiFi 6 電競路由器_289D35</v>
      </c>
      <c r="E65" s="12" t="str">
        <f ca="1">IFERROR(__xludf.DUMMYFUNCTION("""COMPUTED_VALUE"""),"TUF-AX4200黑")</f>
        <v>TUF-AX4200黑</v>
      </c>
      <c r="F65" s="12">
        <f ca="1">IFERROR(__xludf.DUMMYFUNCTION("""COMPUTED_VALUE"""),51095714)</f>
        <v>51095714</v>
      </c>
      <c r="G65" s="12" t="str">
        <f ca="1">IFERROR(__xludf.DUMMYFUNCTION("""COMPUTED_VALUE"""),"IGEM092Q")</f>
        <v>IGEM092Q</v>
      </c>
      <c r="H65" s="13">
        <f ca="1">IFERROR(__xludf.DUMMYFUNCTION("""COMPUTED_VALUE"""),4299)</f>
        <v>4299</v>
      </c>
      <c r="I65" s="14">
        <f ca="1">IFERROR(__xludf.DUMMYFUNCTION("""COMPUTED_VALUE"""),3899)</f>
        <v>3899</v>
      </c>
      <c r="J65" s="16">
        <f ca="1">IFERROR(__xludf.DUMMYFUNCTION("""COMPUTED_VALUE"""),45611)</f>
        <v>45611</v>
      </c>
      <c r="K65" s="12" t="str">
        <f ca="1">IFERROR(__xludf.DUMMYFUNCTION("""COMPUTED_VALUE"""),"回價")</f>
        <v>回價</v>
      </c>
      <c r="L65" s="12" t="str">
        <f ca="1">IFERROR(__xludf.DUMMYFUNCTION("""COMPUTED_VALUE"""),"上架中")</f>
        <v>上架中</v>
      </c>
      <c r="M65" s="12" t="str">
        <f ca="1">IFERROR(__xludf.DUMMYFUNCTION("""COMPUTED_VALUE"""),"2024/11/15回價2023/12/11-12/13短促2023/11/17上架")</f>
        <v>2024/11/15回價2023/12/11-12/13短促2023/11/17上架</v>
      </c>
      <c r="N65" s="12" t="str">
        <f ca="1">IFERROR(__xludf.DUMMYFUNCTION("""COMPUTED_VALUE"""),"無線路由器")</f>
        <v>無線路由器</v>
      </c>
      <c r="O65" s="12" t="str">
        <f ca="1">IFERROR(__xludf.DUMMYFUNCTION("""COMPUTED_VALUE"""),"黑")</f>
        <v>黑</v>
      </c>
      <c r="P65" s="12" t="str">
        <f ca="1">IFERROR(__xludf.DUMMYFUNCTION("""COMPUTED_VALUE"""),"網路技術標準與協定： 
 IEEE 802.11a 
 IEEE 802.11b 
 IEEE 802.11g 
 WiFi 4 (802.11n) 
 WiFi 5 (802.11ac) 
 WiFi 6 (802.11ax) 
 IPv4 
 IPv6 
 無線傳輸速度 ：3200Mbps 
 無線運作頻率 ：2.4GHz&amp;5GHz雙頻 
 無線網路天線數 ：4 
 適用坪數 ：49坪以下 
 重量(g) ：547.4 
 VPN支援功能： PPTP, L2TP, IPSec 
 廣域網路連接支援： "&amp;"L2TP(Dual Access), PPTP(Dual Access), 浮動IP, 固定IP, PPPoE 
 BSMI認證碼：D33005 
 NCC證號 ：CCAF22LP2050T2")</f>
        <v>網路技術標準與協定： 
 IEEE 802.11a 
 IEEE 802.11b 
 IEEE 802.11g 
 WiFi 4 (802.11n) 
 WiFi 5 (802.11ac) 
 WiFi 6 (802.11ax) 
 IPv4 
 IPv6 
 無線傳輸速度 ：3200Mbps 
 無線運作頻率 ：2.4GHz&amp;5GHz雙頻 
 無線網路天線數 ：4 
 適用坪數 ：49坪以下 
 重量(g) ：547.4 
 VPN支援功能： PPTP, L2TP, IPSec 
 廣域網路連接支援： L2TP(Dual Access), PPTP(Dual Access), 浮動IP, 固定IP, PPPoE 
 BSMI認證碼：D33005 
 NCC證號 ：CCAF22LP2050T2</v>
      </c>
      <c r="Q65" s="12"/>
      <c r="R65" s="12" t="str">
        <f ca="1">IFERROR(__xludf.DUMMYFUNCTION("""COMPUTED_VALUE"""),"中國")</f>
        <v>中國</v>
      </c>
      <c r="S65" s="12"/>
      <c r="T65" s="12"/>
      <c r="U65" s="12" t="str">
        <f ca="1">IFERROR(__xludf.DUMMYFUNCTION("""COMPUTED_VALUE"""),"主機3年，
變壓器/電源線/天線一年")</f>
        <v>主機3年，
變壓器/電源線/天線一年</v>
      </c>
      <c r="V65" s="12"/>
      <c r="W65" s="12"/>
      <c r="X65" s="12"/>
      <c r="Y65" s="12"/>
      <c r="Z65" s="14"/>
      <c r="AA65" s="15" t="str">
        <f ca="1">IFERROR(__xludf.DUMMYFUNCTION("""COMPUTED_VALUE"""),"*超快速 WiFi 6 - 透過 OFDMA 和 160 MHz 通道，享受最高 4200 Mbps 的速度和 4 倍的網路效率。*實現真正的 Multi-Gigabit 有線速度 - 可支援聚合 2 條 Gigabit LAN 連線、有線 2.5Gbps 連接埠以及 WiFi 6。*簡易 3 步驟連接埠轉送 - Open NAT 讓連接埠轉送變得簡單，無需繁瑣複雜的手動設定。*靈活擴充網路 – 可混搭不同款式的可擴充路由器來建立彈性且無縫的全住宅網狀網路*通過測試的耐用性和穩定運作 - TUF Gami"&amp;"ng AX4200 極為耐用並通過多項驗證測試，以確保可靠穩定的運作。")</f>
        <v>*超快速 WiFi 6 - 透過 OFDMA 和 160 MHz 通道，享受最高 4200 Mbps 的速度和 4 倍的網路效率。*實現真正的 Multi-Gigabit 有線速度 - 可支援聚合 2 條 Gigabit LAN 連線、有線 2.5Gbps 連接埠以及 WiFi 6。*簡易 3 步驟連接埠轉送 - Open NAT 讓連接埠轉送變得簡單，無需繁瑣複雜的手動設定。*靈活擴充網路 – 可混搭不同款式的可擴充路由器來建立彈性且無縫的全住宅網狀網路*通過測試的耐用性和穩定運作 - TUF Gaming AX4200 極為耐用並通過多項驗證測試，以確保可靠穩定的運作。</v>
      </c>
    </row>
    <row r="66" spans="1:27" ht="19.5" customHeight="1">
      <c r="A66" s="12" t="str">
        <f ca="1">IFERROR(__xludf.DUMMYFUNCTION("""COMPUTED_VALUE"""),"3C")</f>
        <v>3C</v>
      </c>
      <c r="B66" s="12" t="str">
        <f ca="1">IFERROR(__xludf.DUMMYFUNCTION("""COMPUTED_VALUE"""),"順發")</f>
        <v>順發</v>
      </c>
      <c r="C66" s="12" t="str">
        <f ca="1">IFERROR(__xludf.DUMMYFUNCTION("""COMPUTED_VALUE"""),"ASUS")</f>
        <v>ASUS</v>
      </c>
      <c r="D66" s="12" t="str">
        <f ca="1">IFERROR(__xludf.DUMMYFUNCTION("""COMPUTED_VALUE"""),"ASUS ZENWIFI XD4 Plus(2_pack)黑 AX1800 路由器_289D34")</f>
        <v>ASUS ZENWIFI XD4 Plus(2_pack)黑 AX1800 路由器_289D34</v>
      </c>
      <c r="E66" s="12" t="str">
        <f ca="1">IFERROR(__xludf.DUMMYFUNCTION("""COMPUTED_VALUE"""),"ZENWIFI XD4 PLUS 2 PACK黑")</f>
        <v>ZENWIFI XD4 PLUS 2 PACK黑</v>
      </c>
      <c r="F66" s="12">
        <f ca="1">IFERROR(__xludf.DUMMYFUNCTION("""COMPUTED_VALUE"""),51095715)</f>
        <v>51095715</v>
      </c>
      <c r="G66" s="12" t="str">
        <f ca="1">IFERROR(__xludf.DUMMYFUNCTION("""COMPUTED_VALUE"""),"IGEM092R")</f>
        <v>IGEM092R</v>
      </c>
      <c r="H66" s="13">
        <f ca="1">IFERROR(__xludf.DUMMYFUNCTION("""COMPUTED_VALUE"""),4890)</f>
        <v>4890</v>
      </c>
      <c r="I66" s="14">
        <f ca="1">IFERROR(__xludf.DUMMYFUNCTION("""COMPUTED_VALUE"""),4299)</f>
        <v>4299</v>
      </c>
      <c r="J66" s="16">
        <f ca="1">IFERROR(__xludf.DUMMYFUNCTION("""COMPUTED_VALUE"""),45627)</f>
        <v>45627</v>
      </c>
      <c r="K66" s="12" t="str">
        <f ca="1">IFERROR(__xludf.DUMMYFUNCTION("""COMPUTED_VALUE"""),"回價")</f>
        <v>回價</v>
      </c>
      <c r="L66" s="12" t="str">
        <f ca="1">IFERROR(__xludf.DUMMYFUNCTION("""COMPUTED_VALUE"""),"上架中")</f>
        <v>上架中</v>
      </c>
      <c r="M66" s="12" t="str">
        <f ca="1">IFERROR(__xludf.DUMMYFUNCTION("""COMPUTED_VALUE"""),"2024/12/1回價2024/02/07-02/15短促 2024/02/06永久調降 2023/12/19回價2023/12/15-12/18短促2023/11/17上架")</f>
        <v>2024/12/1回價2024/02/07-02/15短促 2024/02/06永久調降 2023/12/19回價2023/12/15-12/18短促2023/11/17上架</v>
      </c>
      <c r="N66" s="12" t="str">
        <f ca="1">IFERROR(__xludf.DUMMYFUNCTION("""COMPUTED_VALUE"""),"無線路由器")</f>
        <v>無線路由器</v>
      </c>
      <c r="O66" s="12" t="str">
        <f ca="1">IFERROR(__xludf.DUMMYFUNCTION("""COMPUTED_VALUE"""),"黑")</f>
        <v>黑</v>
      </c>
      <c r="P66" s="12" t="str">
        <f ca="1">IFERROR(__xludf.DUMMYFUNCTION("""COMPUTED_VALUE"""),"網路技術標準與協定：
 IEEE 802.11a
 IEEE 802.11b
 IEEE 802.11g
 WiFi 4 (802.11n)
 WiFi 5 (802.11ac)
 WiFi 6 (802.11ax)
 IPv4
 IPv6
 無線傳輸速度 ：AX1500~AX1800Mbps
 無線運作頻率 ：2.4GHz&amp;5GHz雙頻
 無線網路天線數 ：2
 無線網路天線類型 ：內接式全向型天線
 適用坪數 ：30坪以下
 重量(g) ：307
 區域網路連接支援 ：DHCP Server、IGMP"&amp;" snooping、IPTV、Manually assign IP address、Maximum manually assign IP address rule : 64
 VPN支援功能： OpenVPN、PPTP VPN、L2TP VPN、IPSec VPN
 廣域網路連接支援： 固定IP、浮動IP、PPPoE、PPTP、L2TP
 無線加密模式： WPA-PSK、WPA-PSK/WPA2-PSK、WPA/WPA2、WPA3
 乙太網路介面數：
 RJ45 for Gigabits BaseT fo"&amp;"r WAN/LAN x 1
 RJ45 for Gigabits BaseT for LAN x 1
 電源輸入---
 AC 輸入： 110V~240V(50~60Hz)
 DC 輸出：12 V 最大 1.5 A 電流
 電磁相容性：CE, FCC, RoHS, NCC, BSMI
 安規認證：CE, FCC, RoHS, NCC, BSMI
 BSMI認證碼：D33005
 NCC證號 ：CCAF22LP144BT1")</f>
        <v>網路技術標準與協定：
 IEEE 802.11a
 IEEE 802.11b
 IEEE 802.11g
 WiFi 4 (802.11n)
 WiFi 5 (802.11ac)
 WiFi 6 (802.11ax)
 IPv4
 IPv6
 無線傳輸速度 ：AX1500~AX1800Mbps
 無線運作頻率 ：2.4GHz&amp;5GHz雙頻
 無線網路天線數 ：2
 無線網路天線類型 ：內接式全向型天線
 適用坪數 ：30坪以下
 重量(g) ：307
 區域網路連接支援 ：DHCP Server、IGMP snooping、IPTV、Manually assign IP address、Maximum manually assign IP address rule : 64
 VPN支援功能： OpenVPN、PPTP VPN、L2TP VPN、IPSec VPN
 廣域網路連接支援： 固定IP、浮動IP、PPPoE、PPTP、L2TP
 無線加密模式： WPA-PSK、WPA-PSK/WPA2-PSK、WPA/WPA2、WPA3
 乙太網路介面數：
 RJ45 for Gigabits BaseT for WAN/LAN x 1
 RJ45 for Gigabits BaseT for LAN x 1
 電源輸入---
 AC 輸入： 110V~240V(50~60Hz)
 DC 輸出：12 V 最大 1.5 A 電流
 電磁相容性：CE, FCC, RoHS, NCC, BSMI
 安規認證：CE, FCC, RoHS, NCC, BSMI
 BSMI認證碼：D33005
 NCC證號 ：CCAF22LP144BT1</v>
      </c>
      <c r="Q66" s="12"/>
      <c r="R66" s="12" t="str">
        <f ca="1">IFERROR(__xludf.DUMMYFUNCTION("""COMPUTED_VALUE"""),"中國")</f>
        <v>中國</v>
      </c>
      <c r="S66" s="12"/>
      <c r="T66" s="12"/>
      <c r="U66" s="12" t="str">
        <f ca="1">IFERROR(__xludf.DUMMYFUNCTION("""COMPUTED_VALUE"""),"主機3年，
變壓器/電源線/天線一年")</f>
        <v>主機3年，
變壓器/電源線/天線一年</v>
      </c>
      <c r="V66" s="12"/>
      <c r="W66" s="12"/>
      <c r="X66" s="12"/>
      <c r="Y66" s="12"/>
      <c r="Z66" s="14"/>
      <c r="AA66" s="15" t="str">
        <f ca="1">IFERROR(__xludf.DUMMYFUNCTION("""COMPUTED_VALUE"""),"*1800Mbps 總體無線傳輸速度*網狀Mesh WiFi系統消除WiFi訊號死角*持續更新的防護功能*ASUS Router App 3 步驟完成設定與管理*支援無線和網路線有線方式串接*家長控制功能")</f>
        <v>*1800Mbps 總體無線傳輸速度*網狀Mesh WiFi系統消除WiFi訊號死角*持續更新的防護功能*ASUS Router App 3 步驟完成設定與管理*支援無線和網路線有線方式串接*家長控制功能</v>
      </c>
    </row>
    <row r="67" spans="1:27" ht="19.5" customHeight="1">
      <c r="A67" s="12" t="str">
        <f ca="1">IFERROR(__xludf.DUMMYFUNCTION("""COMPUTED_VALUE"""),"3C")</f>
        <v>3C</v>
      </c>
      <c r="B67" s="12" t="str">
        <f ca="1">IFERROR(__xludf.DUMMYFUNCTION("""COMPUTED_VALUE"""),"順發")</f>
        <v>順發</v>
      </c>
      <c r="C67" s="12" t="str">
        <f ca="1">IFERROR(__xludf.DUMMYFUNCTION("""COMPUTED_VALUE"""),"ASUS")</f>
        <v>ASUS</v>
      </c>
      <c r="D67" s="12" t="str">
        <f ca="1">IFERROR(__xludf.DUMMYFUNCTION("""COMPUTED_VALUE"""),"ASUS RT_AX1800S V2 AX1800 雙頻 WiFi 6 無線路由器_289D29")</f>
        <v>ASUS RT_AX1800S V2 AX1800 雙頻 WiFi 6 無線路由器_289D29</v>
      </c>
      <c r="E67" s="12" t="str">
        <f ca="1">IFERROR(__xludf.DUMMYFUNCTION("""COMPUTED_VALUE"""),"RT-AX1800S V2")</f>
        <v>RT-AX1800S V2</v>
      </c>
      <c r="F67" s="12">
        <f ca="1">IFERROR(__xludf.DUMMYFUNCTION("""COMPUTED_VALUE"""),51095842)</f>
        <v>51095842</v>
      </c>
      <c r="G67" s="12" t="str">
        <f ca="1">IFERROR(__xludf.DUMMYFUNCTION("""COMPUTED_VALUE"""),"IGEM109P")</f>
        <v>IGEM109P</v>
      </c>
      <c r="H67" s="13">
        <f ca="1">IFERROR(__xludf.DUMMYFUNCTION("""COMPUTED_VALUE"""),2990)</f>
        <v>2990</v>
      </c>
      <c r="I67" s="14">
        <f ca="1">IFERROR(__xludf.DUMMYFUNCTION("""COMPUTED_VALUE"""),2290)</f>
        <v>2290</v>
      </c>
      <c r="J67" s="16">
        <f ca="1">IFERROR(__xludf.DUMMYFUNCTION("""COMPUTED_VALUE"""),45702)</f>
        <v>45702</v>
      </c>
      <c r="K67" s="12" t="str">
        <f ca="1">IFERROR(__xludf.DUMMYFUNCTION("""COMPUTED_VALUE"""),"回價")</f>
        <v>回價</v>
      </c>
      <c r="L67" s="12" t="str">
        <f ca="1">IFERROR(__xludf.DUMMYFUNCTION("""COMPUTED_VALUE"""),"上架中")</f>
        <v>上架中</v>
      </c>
      <c r="M67" s="12" t="str">
        <f ca="1">IFERROR(__xludf.DUMMYFUNCTION("""COMPUTED_VALUE"""),"2025/2/14回價2024/8/22新機上架")</f>
        <v>2025/2/14回價2024/8/22新機上架</v>
      </c>
      <c r="N67" s="12" t="str">
        <f ca="1">IFERROR(__xludf.DUMMYFUNCTION("""COMPUTED_VALUE"""),"無線路由器")</f>
        <v>無線路由器</v>
      </c>
      <c r="O67" s="12" t="str">
        <f ca="1">IFERROR(__xludf.DUMMYFUNCTION("""COMPUTED_VALUE"""),"黑")</f>
        <v>黑</v>
      </c>
      <c r="P67" s="12" t="str">
        <f ca="1">IFERROR(__xludf.DUMMYFUNCTION("""COMPUTED_VALUE"""),"新世代 WiFi 標準– WiFi 6(802.11ax) /總網路速度約 1800Mbps — 包括 2.4GHz 頻段的 574 Mbps 及 5GHz 頻段的 1201 Mbps/可同時與多個裝置進行通訊/ 一個Gigabit WAN 連接埠和四個 Gigabit LAN 連接/相容支援 AiMesh")</f>
        <v>新世代 WiFi 標準– WiFi 6(802.11ax) /總網路速度約 1800Mbps — 包括 2.4GHz 頻段的 574 Mbps 及 5GHz 頻段的 1201 Mbps/可同時與多個裝置進行通訊/ 一個Gigabit WAN 連接埠和四個 Gigabit LAN 連接/相容支援 AiMesh</v>
      </c>
      <c r="Q67" s="12"/>
      <c r="R67" s="12" t="str">
        <f ca="1">IFERROR(__xludf.DUMMYFUNCTION("""COMPUTED_VALUE"""),"中國")</f>
        <v>中國</v>
      </c>
      <c r="S67" s="12"/>
      <c r="T67" s="12"/>
      <c r="U67" s="12" t="str">
        <f ca="1">IFERROR(__xludf.DUMMYFUNCTION("""COMPUTED_VALUE"""),"主機3年，
 變壓器/電源線/天線一年")</f>
        <v>主機3年，
 變壓器/電源線/天線一年</v>
      </c>
      <c r="V67" s="12"/>
      <c r="W67" s="12"/>
      <c r="X67" s="12"/>
      <c r="Y67" s="12"/>
      <c r="Z67" s="14"/>
      <c r="AA67" s="15" t="str">
        <f ca="1">IFERROR(__xludf.DUMMYFUNCTION("""COMPUTED_VALUE"""),"*支援 MU-MIMO 和 OFDMA 技術，隨附由 Trend Micro™ 提供的 AiProtection Classic 網路安全性，支援AiMesh")</f>
        <v>*支援 MU-MIMO 和 OFDMA 技術，隨附由 Trend Micro™ 提供的 AiProtection Classic 網路安全性，支援AiMesh</v>
      </c>
    </row>
    <row r="68" spans="1:27" ht="19.5" customHeight="1">
      <c r="A68" s="12" t="str">
        <f ca="1">IFERROR(__xludf.DUMMYFUNCTION("""COMPUTED_VALUE"""),"3C")</f>
        <v>3C</v>
      </c>
      <c r="B68" s="12" t="str">
        <f ca="1">IFERROR(__xludf.DUMMYFUNCTION("""COMPUTED_VALUE"""),"順發")</f>
        <v>順發</v>
      </c>
      <c r="C68" s="12" t="str">
        <f ca="1">IFERROR(__xludf.DUMMYFUNCTION("""COMPUTED_VALUE"""),"ASUS")</f>
        <v>ASUS</v>
      </c>
      <c r="D68" s="12" t="str">
        <f ca="1">IFERROR(__xludf.DUMMYFUNCTION("""COMPUTED_VALUE"""),"ASUS Vivobook X1605VA-0031K13500H 16吋輕薄筆電(搖滾黑)_306535")</f>
        <v>ASUS Vivobook X1605VA-0031K13500H 16吋輕薄筆電(搖滾黑)_306535</v>
      </c>
      <c r="E68" s="12" t="str">
        <f ca="1">IFERROR(__xludf.DUMMYFUNCTION("""COMPUTED_VALUE"""),"X1605VA-0031K13500H")</f>
        <v>X1605VA-0031K13500H</v>
      </c>
      <c r="F68" s="12">
        <f ca="1">IFERROR(__xludf.DUMMYFUNCTION("""COMPUTED_VALUE"""),51095733)</f>
        <v>51095733</v>
      </c>
      <c r="G68" s="12" t="str">
        <f ca="1">IFERROR(__xludf.DUMMYFUNCTION("""COMPUTED_VALUE"""),"IGEM093U")</f>
        <v>IGEM093U</v>
      </c>
      <c r="H68" s="13">
        <f ca="1">IFERROR(__xludf.DUMMYFUNCTION("""COMPUTED_VALUE"""),24999)</f>
        <v>24999</v>
      </c>
      <c r="I68" s="18">
        <f ca="1">IFERROR(__xludf.DUMMYFUNCTION("""COMPUTED_VALUE"""),22999)</f>
        <v>22999</v>
      </c>
      <c r="J68" s="16">
        <f ca="1">IFERROR(__xludf.DUMMYFUNCTION("""COMPUTED_VALUE"""),45371)</f>
        <v>45371</v>
      </c>
      <c r="K68" s="12" t="str">
        <f ca="1">IFERROR(__xludf.DUMMYFUNCTION("""COMPUTED_VALUE"""),"永久降價")</f>
        <v>永久降價</v>
      </c>
      <c r="L68" s="12" t="str">
        <f ca="1">IFERROR(__xludf.DUMMYFUNCTION("""COMPUTED_VALUE"""),"上架中")</f>
        <v>上架中</v>
      </c>
      <c r="M68" s="12" t="str">
        <f ca="1">IFERROR(__xludf.DUMMYFUNCTION("""COMPUTED_VALUE"""),"2023/11/28新機上架")</f>
        <v>2023/11/28新機上架</v>
      </c>
      <c r="N68" s="12" t="str">
        <f ca="1">IFERROR(__xludf.DUMMYFUNCTION("""COMPUTED_VALUE"""),"筆電")</f>
        <v>筆電</v>
      </c>
      <c r="O68" s="12" t="str">
        <f ca="1">IFERROR(__xludf.DUMMYFUNCTION("""COMPUTED_VALUE"""),"搖滾黑")</f>
        <v>搖滾黑</v>
      </c>
      <c r="P68" s="12" t="str">
        <f ca="1">IFERROR(__xludf.DUMMYFUNCTION("""COMPUTED_VALUE"""),"16""")</f>
        <v>16"</v>
      </c>
      <c r="Q68" s="12"/>
      <c r="R68" s="12"/>
      <c r="S68" s="12"/>
      <c r="T68" s="12"/>
      <c r="U68" s="12" t="str">
        <f ca="1">IFERROR(__xludf.DUMMYFUNCTION("""COMPUTED_VALUE"""),"註冊首年完美保固+二年全球保固")</f>
        <v>註冊首年完美保固+二年全球保固</v>
      </c>
      <c r="V68" s="12"/>
      <c r="W68" s="12" t="str">
        <f ca="1">IFERROR(__xludf.DUMMYFUNCTION("""COMPUTED_VALUE"""),"附包包與滑鼠")</f>
        <v>附包包與滑鼠</v>
      </c>
      <c r="X68" s="12" t="str">
        <f ca="1">IFERROR(__xludf.DUMMYFUNCTION("""COMPUTED_VALUE"""),"隨貨送iCooby M10 2.4G無線滑鼠(黑色)")</f>
        <v>隨貨送iCooby M10 2.4G無線滑鼠(黑色)</v>
      </c>
      <c r="Y68" s="12"/>
      <c r="Z68" s="14"/>
      <c r="AA68" s="15" t="str">
        <f ca="1">IFERROR(__xludf.DUMMYFUNCTION("""COMPUTED_VALUE"""),"16""/處理器i5-13500H/記憶體8G/硬碟512G SSD/180度轉軸/抗菌/W11/重量1.88kg")</f>
        <v>16"/處理器i5-13500H/記憶體8G/硬碟512G SSD/180度轉軸/抗菌/W11/重量1.88kg</v>
      </c>
    </row>
    <row r="69" spans="1:27" ht="19.5" customHeight="1">
      <c r="A69" s="12" t="str">
        <f ca="1">IFERROR(__xludf.DUMMYFUNCTION("""COMPUTED_VALUE"""),"3C")</f>
        <v>3C</v>
      </c>
      <c r="B69" s="12" t="str">
        <f ca="1">IFERROR(__xludf.DUMMYFUNCTION("""COMPUTED_VALUE"""),"順發")</f>
        <v>順發</v>
      </c>
      <c r="C69" s="12" t="str">
        <f ca="1">IFERROR(__xludf.DUMMYFUNCTION("""COMPUTED_VALUE"""),"ASUS")</f>
        <v>ASUS</v>
      </c>
      <c r="D69" s="12" t="str">
        <f ca="1">IFERROR(__xludf.DUMMYFUNCTION("""COMPUTED_VALUE"""),"ASUS Vivobook X1605VA-0031K13500H 16吋輕薄筆電(搖滾黑)+office365個人版15個月_306535")</f>
        <v>ASUS Vivobook X1605VA-0031K13500H 16吋輕薄筆電(搖滾黑)+office365個人版15個月_306535</v>
      </c>
      <c r="E69" s="12" t="str">
        <f ca="1">IFERROR(__xludf.DUMMYFUNCTION("""COMPUTED_VALUE"""),"X1605VA-0031K13500H+office365個人版15個月")</f>
        <v>X1605VA-0031K13500H+office365個人版15個月</v>
      </c>
      <c r="F69" s="12">
        <f ca="1">IFERROR(__xludf.DUMMYFUNCTION("""COMPUTED_VALUE"""),51095895)</f>
        <v>51095895</v>
      </c>
      <c r="G69" s="12" t="str">
        <f ca="1">IFERROR(__xludf.DUMMYFUNCTION("""COMPUTED_VALUE"""),"IGEM116E")</f>
        <v>IGEM116E</v>
      </c>
      <c r="H69" s="13">
        <f ca="1">IFERROR(__xludf.DUMMYFUNCTION("""COMPUTED_VALUE"""),27999)</f>
        <v>27999</v>
      </c>
      <c r="I69" s="14">
        <f ca="1">IFERROR(__xludf.DUMMYFUNCTION("""COMPUTED_VALUE"""),24999)</f>
        <v>24999</v>
      </c>
      <c r="J69" s="16">
        <f ca="1">IFERROR(__xludf.DUMMYFUNCTION("""COMPUTED_VALUE"""),45658)</f>
        <v>45658</v>
      </c>
      <c r="K69" s="12" t="str">
        <f ca="1">IFERROR(__xludf.DUMMYFUNCTION("""COMPUTED_VALUE"""),"新機上架")</f>
        <v>新機上架</v>
      </c>
      <c r="L69" s="12" t="str">
        <f ca="1">IFERROR(__xludf.DUMMYFUNCTION("""COMPUTED_VALUE"""),"上架中")</f>
        <v>上架中</v>
      </c>
      <c r="M69" s="12" t="str">
        <f ca="1">IFERROR(__xludf.DUMMYFUNCTION("""COMPUTED_VALUE"""),"2025/1/1上架")</f>
        <v>2025/1/1上架</v>
      </c>
      <c r="N69" s="12" t="str">
        <f ca="1">IFERROR(__xludf.DUMMYFUNCTION("""COMPUTED_VALUE"""),"筆電")</f>
        <v>筆電</v>
      </c>
      <c r="O69" s="12" t="str">
        <f ca="1">IFERROR(__xludf.DUMMYFUNCTION("""COMPUTED_VALUE"""),"搖滾黑")</f>
        <v>搖滾黑</v>
      </c>
      <c r="P69" s="12" t="str">
        <f ca="1">IFERROR(__xludf.DUMMYFUNCTION("""COMPUTED_VALUE"""),"16""")</f>
        <v>16"</v>
      </c>
      <c r="Q69" s="12"/>
      <c r="R69" s="12"/>
      <c r="S69" s="12"/>
      <c r="T69" s="12"/>
      <c r="U69" s="12" t="str">
        <f ca="1">IFERROR(__xludf.DUMMYFUNCTION("""COMPUTED_VALUE"""),"註冊首年完美保固+二年全球保固")</f>
        <v>註冊首年完美保固+二年全球保固</v>
      </c>
      <c r="V69" s="12"/>
      <c r="W69" s="12" t="str">
        <f ca="1">IFERROR(__xludf.DUMMYFUNCTION("""COMPUTED_VALUE"""),"附包包與滑鼠")</f>
        <v>附包包與滑鼠</v>
      </c>
      <c r="X69" s="12" t="str">
        <f ca="1">IFERROR(__xludf.DUMMYFUNCTION("""COMPUTED_VALUE"""),"隨貨送iCooby M10 2.4G無線滑鼠(黑色)")</f>
        <v>隨貨送iCooby M10 2.4G無線滑鼠(黑色)</v>
      </c>
      <c r="Y69" s="12"/>
      <c r="Z69" s="14"/>
      <c r="AA69" s="15" t="str">
        <f ca="1">IFERROR(__xludf.DUMMYFUNCTION("""COMPUTED_VALUE"""),"16""/i5-13500H/8G/512G SSD/180度轉軸/抗菌/W11")</f>
        <v>16"/i5-13500H/8G/512G SSD/180度轉軸/抗菌/W11</v>
      </c>
    </row>
    <row r="70" spans="1:27" ht="19.5" customHeight="1">
      <c r="A70" s="12" t="str">
        <f ca="1">IFERROR(__xludf.DUMMYFUNCTION("""COMPUTED_VALUE"""),"3C")</f>
        <v>3C</v>
      </c>
      <c r="B70" s="12" t="str">
        <f ca="1">IFERROR(__xludf.DUMMYFUNCTION("""COMPUTED_VALUE"""),"順發")</f>
        <v>順發</v>
      </c>
      <c r="C70" s="12" t="str">
        <f ca="1">IFERROR(__xludf.DUMMYFUNCTION("""COMPUTED_VALUE"""),"ASUS")</f>
        <v>ASUS</v>
      </c>
      <c r="D70" s="12" t="str">
        <f ca="1">IFERROR(__xludf.DUMMYFUNCTION("""COMPUTED_VALUE"""),"ASUS Vivobook S S5504VA-0132K13500H 15.6吋OLED輕薄筆電(午夜黑)_306571")</f>
        <v>ASUS Vivobook S S5504VA-0132K13500H 15.6吋OLED輕薄筆電(午夜黑)_306571</v>
      </c>
      <c r="E70" s="12" t="str">
        <f ca="1">IFERROR(__xludf.DUMMYFUNCTION("""COMPUTED_VALUE"""),"S5504VA-0132K13500H")</f>
        <v>S5504VA-0132K13500H</v>
      </c>
      <c r="F70" s="12">
        <f ca="1">IFERROR(__xludf.DUMMYFUNCTION("""COMPUTED_VALUE"""),51095737)</f>
        <v>51095737</v>
      </c>
      <c r="G70" s="12" t="str">
        <f ca="1">IFERROR(__xludf.DUMMYFUNCTION("""COMPUTED_VALUE"""),"IGEM093Y")</f>
        <v>IGEM093Y</v>
      </c>
      <c r="H70" s="13">
        <f ca="1">IFERROR(__xludf.DUMMYFUNCTION("""COMPUTED_VALUE"""),27999)</f>
        <v>27999</v>
      </c>
      <c r="I70" s="18">
        <f ca="1">IFERROR(__xludf.DUMMYFUNCTION("""COMPUTED_VALUE"""),25999)</f>
        <v>25999</v>
      </c>
      <c r="J70" s="16">
        <f ca="1">IFERROR(__xludf.DUMMYFUNCTION("""COMPUTED_VALUE"""),45536)</f>
        <v>45536</v>
      </c>
      <c r="K70" s="12" t="str">
        <f ca="1">IFERROR(__xludf.DUMMYFUNCTION("""COMPUTED_VALUE"""),"永久降價")</f>
        <v>永久降價</v>
      </c>
      <c r="L70" s="12" t="str">
        <f ca="1">IFERROR(__xludf.DUMMYFUNCTION("""COMPUTED_VALUE"""),"上架中")</f>
        <v>上架中</v>
      </c>
      <c r="M70" s="12" t="str">
        <f ca="1">IFERROR(__xludf.DUMMYFUNCTION("""COMPUTED_VALUE"""),"2024/01/26調降2023/11/28新機上架")</f>
        <v>2024/01/26調降2023/11/28新機上架</v>
      </c>
      <c r="N70" s="12" t="str">
        <f ca="1">IFERROR(__xludf.DUMMYFUNCTION("""COMPUTED_VALUE"""),"筆電")</f>
        <v>筆電</v>
      </c>
      <c r="O70" s="12" t="str">
        <f ca="1">IFERROR(__xludf.DUMMYFUNCTION("""COMPUTED_VALUE"""),"午夜黑")</f>
        <v>午夜黑</v>
      </c>
      <c r="P70" s="12" t="str">
        <f ca="1">IFERROR(__xludf.DUMMYFUNCTION("""COMPUTED_VALUE"""),"15.6""")</f>
        <v>15.6"</v>
      </c>
      <c r="Q70" s="12"/>
      <c r="R70" s="12"/>
      <c r="S70" s="12"/>
      <c r="T70" s="12"/>
      <c r="U70" s="12" t="str">
        <f ca="1">IFERROR(__xludf.DUMMYFUNCTION("""COMPUTED_VALUE"""),"註冊首年完美保固+二年全球保固")</f>
        <v>註冊首年完美保固+二年全球保固</v>
      </c>
      <c r="V70" s="12"/>
      <c r="W70" s="12" t="str">
        <f ca="1">IFERROR(__xludf.DUMMYFUNCTION("""COMPUTED_VALUE"""),"附包包與滑鼠")</f>
        <v>附包包與滑鼠</v>
      </c>
      <c r="X70" s="12" t="str">
        <f ca="1">IFERROR(__xludf.DUMMYFUNCTION("""COMPUTED_VALUE"""),"隨貨送iCooby M10 2.4G無線滑鼠(黑色)")</f>
        <v>隨貨送iCooby M10 2.4G無線滑鼠(黑色)</v>
      </c>
      <c r="Y70" s="12"/>
      <c r="Z70" s="14"/>
      <c r="AA70" s="15" t="str">
        <f ca="1">IFERROR(__xludf.DUMMYFUNCTION("""COMPUTED_VALUE"""),"15.6""/處理器i5-13500H/記憶體16G/硬碟512G SSD/2.8K/OLED/EVO/180度轉軸/W11/重量1.70 kg")</f>
        <v>15.6"/處理器i5-13500H/記憶體16G/硬碟512G SSD/2.8K/OLED/EVO/180度轉軸/W11/重量1.70 kg</v>
      </c>
    </row>
    <row r="71" spans="1:27" ht="19.5" customHeight="1">
      <c r="A71" s="12" t="str">
        <f ca="1">IFERROR(__xludf.DUMMYFUNCTION("""COMPUTED_VALUE"""),"3C")</f>
        <v>3C</v>
      </c>
      <c r="B71" s="12" t="str">
        <f ca="1">IFERROR(__xludf.DUMMYFUNCTION("""COMPUTED_VALUE"""),"順發")</f>
        <v>順發</v>
      </c>
      <c r="C71" s="12" t="str">
        <f ca="1">IFERROR(__xludf.DUMMYFUNCTION("""COMPUTED_VALUE"""),"ASUS")</f>
        <v>ASUS</v>
      </c>
      <c r="D71" s="12" t="str">
        <f ca="1">IFERROR(__xludf.DUMMYFUNCTION("""COMPUTED_VALUE"""),"ASUS Vivobook S S5504VA-0132K13500H 15.6吋OLED輕薄筆電(午夜黑)+office365個人版15個月_306571")</f>
        <v>ASUS Vivobook S S5504VA-0132K13500H 15.6吋OLED輕薄筆電(午夜黑)+office365個人版15個月_306571</v>
      </c>
      <c r="E71" s="12" t="str">
        <f ca="1">IFERROR(__xludf.DUMMYFUNCTION("""COMPUTED_VALUE"""),"S5504VA-0132K13500H+office365個人版15個月")</f>
        <v>S5504VA-0132K13500H+office365個人版15個月</v>
      </c>
      <c r="F71" s="12">
        <f ca="1">IFERROR(__xludf.DUMMYFUNCTION("""COMPUTED_VALUE"""),51095896)</f>
        <v>51095896</v>
      </c>
      <c r="G71" s="12" t="str">
        <f ca="1">IFERROR(__xludf.DUMMYFUNCTION("""COMPUTED_VALUE"""),"IGEM116F")</f>
        <v>IGEM116F</v>
      </c>
      <c r="H71" s="13">
        <f ca="1">IFERROR(__xludf.DUMMYFUNCTION("""COMPUTED_VALUE"""),30999)</f>
        <v>30999</v>
      </c>
      <c r="I71" s="14">
        <f ca="1">IFERROR(__xludf.DUMMYFUNCTION("""COMPUTED_VALUE"""),27999)</f>
        <v>27999</v>
      </c>
      <c r="J71" s="16">
        <f ca="1">IFERROR(__xludf.DUMMYFUNCTION("""COMPUTED_VALUE"""),45658)</f>
        <v>45658</v>
      </c>
      <c r="K71" s="12" t="str">
        <f ca="1">IFERROR(__xludf.DUMMYFUNCTION("""COMPUTED_VALUE"""),"新機上架")</f>
        <v>新機上架</v>
      </c>
      <c r="L71" s="12" t="str">
        <f ca="1">IFERROR(__xludf.DUMMYFUNCTION("""COMPUTED_VALUE"""),"上架中")</f>
        <v>上架中</v>
      </c>
      <c r="M71" s="12" t="str">
        <f ca="1">IFERROR(__xludf.DUMMYFUNCTION("""COMPUTED_VALUE"""),"2025/1/1上架")</f>
        <v>2025/1/1上架</v>
      </c>
      <c r="N71" s="12" t="str">
        <f ca="1">IFERROR(__xludf.DUMMYFUNCTION("""COMPUTED_VALUE"""),"筆電")</f>
        <v>筆電</v>
      </c>
      <c r="O71" s="12" t="str">
        <f ca="1">IFERROR(__xludf.DUMMYFUNCTION("""COMPUTED_VALUE"""),"午夜黑")</f>
        <v>午夜黑</v>
      </c>
      <c r="P71" s="12" t="str">
        <f ca="1">IFERROR(__xludf.DUMMYFUNCTION("""COMPUTED_VALUE"""),"15.6""")</f>
        <v>15.6"</v>
      </c>
      <c r="Q71" s="12"/>
      <c r="R71" s="12"/>
      <c r="S71" s="12"/>
      <c r="T71" s="12"/>
      <c r="U71" s="12" t="str">
        <f ca="1">IFERROR(__xludf.DUMMYFUNCTION("""COMPUTED_VALUE"""),"註冊首年完美保固+二年全球保固")</f>
        <v>註冊首年完美保固+二年全球保固</v>
      </c>
      <c r="V71" s="12"/>
      <c r="W71" s="12" t="str">
        <f ca="1">IFERROR(__xludf.DUMMYFUNCTION("""COMPUTED_VALUE"""),"附包包與滑鼠")</f>
        <v>附包包與滑鼠</v>
      </c>
      <c r="X71" s="12" t="str">
        <f ca="1">IFERROR(__xludf.DUMMYFUNCTION("""COMPUTED_VALUE"""),"隨貨送iCooby M10 2.4G無線滑鼠(黑色)")</f>
        <v>隨貨送iCooby M10 2.4G無線滑鼠(黑色)</v>
      </c>
      <c r="Y71" s="12"/>
      <c r="Z71" s="14"/>
      <c r="AA71" s="15" t="str">
        <f ca="1">IFERROR(__xludf.DUMMYFUNCTION("""COMPUTED_VALUE"""),"15.6""/i5-13500H/16G/512G SSD/2.8K/OLED/EVO/180度轉軸/W11")</f>
        <v>15.6"/i5-13500H/16G/512G SSD/2.8K/OLED/EVO/180度轉軸/W11</v>
      </c>
    </row>
    <row r="72" spans="1:27" ht="19.5" customHeight="1">
      <c r="A72" s="12" t="str">
        <f ca="1">IFERROR(__xludf.DUMMYFUNCTION("""COMPUTED_VALUE"""),"3C")</f>
        <v>3C</v>
      </c>
      <c r="B72" s="12" t="str">
        <f ca="1">IFERROR(__xludf.DUMMYFUNCTION("""COMPUTED_VALUE"""),"順發")</f>
        <v>順發</v>
      </c>
      <c r="C72" s="12" t="str">
        <f ca="1">IFERROR(__xludf.DUMMYFUNCTION("""COMPUTED_VALUE"""),"ASUS")</f>
        <v>ASUS</v>
      </c>
      <c r="D72" s="12" t="str">
        <f ca="1">IFERROR(__xludf.DUMMYFUNCTION("""COMPUTED_VALUE"""),"ASUS Vivobook 15 X1500KA-0441KN6000 15.6吋輕薄筆電(搖滾黑)_306684")</f>
        <v>ASUS Vivobook 15 X1500KA-0441KN6000 15.6吋輕薄筆電(搖滾黑)_306684</v>
      </c>
      <c r="E72" s="12" t="str">
        <f ca="1">IFERROR(__xludf.DUMMYFUNCTION("""COMPUTED_VALUE"""),"X1500KA-0441KN6000")</f>
        <v>X1500KA-0441KN6000</v>
      </c>
      <c r="F72" s="12">
        <f ca="1">IFERROR(__xludf.DUMMYFUNCTION("""COMPUTED_VALUE"""),51095750)</f>
        <v>51095750</v>
      </c>
      <c r="G72" s="12" t="str">
        <f ca="1">IFERROR(__xludf.DUMMYFUNCTION("""COMPUTED_VALUE"""),"IGEM095U")</f>
        <v>IGEM095U</v>
      </c>
      <c r="H72" s="13">
        <f ca="1">IFERROR(__xludf.DUMMYFUNCTION("""COMPUTED_VALUE"""),15999)</f>
        <v>15999</v>
      </c>
      <c r="I72" s="18">
        <f ca="1">IFERROR(__xludf.DUMMYFUNCTION("""COMPUTED_VALUE"""),13999)</f>
        <v>13999</v>
      </c>
      <c r="J72" s="16">
        <f ca="1">IFERROR(__xludf.DUMMYFUNCTION("""COMPUTED_VALUE"""),45536)</f>
        <v>45536</v>
      </c>
      <c r="K72" s="12" t="str">
        <f ca="1">IFERROR(__xludf.DUMMYFUNCTION("""COMPUTED_VALUE"""),"永久降價")</f>
        <v>永久降價</v>
      </c>
      <c r="L72" s="12" t="str">
        <f ca="1">IFERROR(__xludf.DUMMYFUNCTION("""COMPUTED_VALUE"""),"上架中")</f>
        <v>上架中</v>
      </c>
      <c r="M72" s="12" t="str">
        <f ca="1">IFERROR(__xludf.DUMMYFUNCTION("""COMPUTED_VALUE"""),"2023/12/26新機上架")</f>
        <v>2023/12/26新機上架</v>
      </c>
      <c r="N72" s="12" t="str">
        <f ca="1">IFERROR(__xludf.DUMMYFUNCTION("""COMPUTED_VALUE"""),"筆電")</f>
        <v>筆電</v>
      </c>
      <c r="O72" s="12" t="str">
        <f ca="1">IFERROR(__xludf.DUMMYFUNCTION("""COMPUTED_VALUE"""),"搖滾黑")</f>
        <v>搖滾黑</v>
      </c>
      <c r="P72" s="12" t="str">
        <f ca="1">IFERROR(__xludf.DUMMYFUNCTION("""COMPUTED_VALUE"""),"15.6""")</f>
        <v>15.6"</v>
      </c>
      <c r="Q72" s="12"/>
      <c r="R72" s="12"/>
      <c r="S72" s="12"/>
      <c r="T72" s="12"/>
      <c r="U72" s="12" t="str">
        <f ca="1">IFERROR(__xludf.DUMMYFUNCTION("""COMPUTED_VALUE"""),"註冊首年完美保固+二年全球保固")</f>
        <v>註冊首年完美保固+二年全球保固</v>
      </c>
      <c r="V72" s="12"/>
      <c r="W72" s="12"/>
      <c r="X72" s="12" t="str">
        <f ca="1">IFERROR(__xludf.DUMMYFUNCTION("""COMPUTED_VALUE"""),"隨貨送iCooby M10 2.4G無線滑鼠(黑色)")</f>
        <v>隨貨送iCooby M10 2.4G無線滑鼠(黑色)</v>
      </c>
      <c r="Y72" s="12"/>
      <c r="Z72" s="14"/>
      <c r="AA72" s="15" t="str">
        <f ca="1">IFERROR(__xludf.DUMMYFUNCTION("""COMPUTED_VALUE"""),"15.6""/N6000/8G/512G SSD/W11")</f>
        <v>15.6"/N6000/8G/512G SSD/W11</v>
      </c>
    </row>
    <row r="73" spans="1:27" ht="19.5" customHeight="1">
      <c r="A73" s="12" t="str">
        <f ca="1">IFERROR(__xludf.DUMMYFUNCTION("""COMPUTED_VALUE"""),"3C")</f>
        <v>3C</v>
      </c>
      <c r="B73" s="12" t="str">
        <f ca="1">IFERROR(__xludf.DUMMYFUNCTION("""COMPUTED_VALUE"""),"順發")</f>
        <v>順發</v>
      </c>
      <c r="C73" s="12" t="str">
        <f ca="1">IFERROR(__xludf.DUMMYFUNCTION("""COMPUTED_VALUE"""),"ASUS")</f>
        <v>ASUS</v>
      </c>
      <c r="D73" s="12" t="str">
        <f ca="1">IFERROR(__xludf.DUMMYFUNCTION("""COMPUTED_VALUE"""),"ASUS Vivobook 15 X1500KA-0441KN6000 15.6吋輕薄筆電(搖滾黑)+office365個人版15個月_306684")</f>
        <v>ASUS Vivobook 15 X1500KA-0441KN6000 15.6吋輕薄筆電(搖滾黑)+office365個人版15個月_306684</v>
      </c>
      <c r="E73" s="12" t="str">
        <f ca="1">IFERROR(__xludf.DUMMYFUNCTION("""COMPUTED_VALUE"""),"X1500KA-0441KN6000+office365個人版15個月")</f>
        <v>X1500KA-0441KN6000+office365個人版15個月</v>
      </c>
      <c r="F73" s="12">
        <f ca="1">IFERROR(__xludf.DUMMYFUNCTION("""COMPUTED_VALUE"""),51095897)</f>
        <v>51095897</v>
      </c>
      <c r="G73" s="12" t="str">
        <f ca="1">IFERROR(__xludf.DUMMYFUNCTION("""COMPUTED_VALUE"""),"IGEM116G")</f>
        <v>IGEM116G</v>
      </c>
      <c r="H73" s="13">
        <f ca="1">IFERROR(__xludf.DUMMYFUNCTION("""COMPUTED_VALUE"""),18999)</f>
        <v>18999</v>
      </c>
      <c r="I73" s="14">
        <f ca="1">IFERROR(__xludf.DUMMYFUNCTION("""COMPUTED_VALUE"""),15999)</f>
        <v>15999</v>
      </c>
      <c r="J73" s="16">
        <f ca="1">IFERROR(__xludf.DUMMYFUNCTION("""COMPUTED_VALUE"""),45658)</f>
        <v>45658</v>
      </c>
      <c r="K73" s="12" t="str">
        <f ca="1">IFERROR(__xludf.DUMMYFUNCTION("""COMPUTED_VALUE"""),"新機上架")</f>
        <v>新機上架</v>
      </c>
      <c r="L73" s="12" t="str">
        <f ca="1">IFERROR(__xludf.DUMMYFUNCTION("""COMPUTED_VALUE"""),"上架中")</f>
        <v>上架中</v>
      </c>
      <c r="M73" s="12" t="str">
        <f ca="1">IFERROR(__xludf.DUMMYFUNCTION("""COMPUTED_VALUE"""),"2025/1/1上架")</f>
        <v>2025/1/1上架</v>
      </c>
      <c r="N73" s="12" t="str">
        <f ca="1">IFERROR(__xludf.DUMMYFUNCTION("""COMPUTED_VALUE"""),"筆電")</f>
        <v>筆電</v>
      </c>
      <c r="O73" s="12" t="str">
        <f ca="1">IFERROR(__xludf.DUMMYFUNCTION("""COMPUTED_VALUE"""),"搖滾黑")</f>
        <v>搖滾黑</v>
      </c>
      <c r="P73" s="12" t="str">
        <f ca="1">IFERROR(__xludf.DUMMYFUNCTION("""COMPUTED_VALUE"""),"15.6""")</f>
        <v>15.6"</v>
      </c>
      <c r="Q73" s="12"/>
      <c r="R73" s="12"/>
      <c r="S73" s="12"/>
      <c r="T73" s="12"/>
      <c r="U73" s="12" t="str">
        <f ca="1">IFERROR(__xludf.DUMMYFUNCTION("""COMPUTED_VALUE"""),"註冊首年完美保固+二年全球保固")</f>
        <v>註冊首年完美保固+二年全球保固</v>
      </c>
      <c r="V73" s="12"/>
      <c r="W73" s="12"/>
      <c r="X73" s="12" t="str">
        <f ca="1">IFERROR(__xludf.DUMMYFUNCTION("""COMPUTED_VALUE"""),"隨貨送iCooby M10 2.4G無線滑鼠(黑色)")</f>
        <v>隨貨送iCooby M10 2.4G無線滑鼠(黑色)</v>
      </c>
      <c r="Y73" s="12"/>
      <c r="Z73" s="14"/>
      <c r="AA73" s="15" t="str">
        <f ca="1">IFERROR(__xludf.DUMMYFUNCTION("""COMPUTED_VALUE"""),"15.6""/N6000/8G/512G SSD/W11")</f>
        <v>15.6"/N6000/8G/512G SSD/W11</v>
      </c>
    </row>
    <row r="74" spans="1:27" ht="19.5" customHeight="1">
      <c r="A74" s="12" t="str">
        <f ca="1">IFERROR(__xludf.DUMMYFUNCTION("""COMPUTED_VALUE"""),"3C")</f>
        <v>3C</v>
      </c>
      <c r="B74" s="12" t="str">
        <f ca="1">IFERROR(__xludf.DUMMYFUNCTION("""COMPUTED_VALUE"""),"順發")</f>
        <v>順發</v>
      </c>
      <c r="C74" s="12" t="str">
        <f ca="1">IFERROR(__xludf.DUMMYFUNCTION("""COMPUTED_VALUE"""),"ASUS")</f>
        <v>ASUS</v>
      </c>
      <c r="D74" s="12" t="str">
        <f ca="1">IFERROR(__xludf.DUMMYFUNCTION("""COMPUTED_VALUE"""),"ASUS Vivobook X1502ZA-0351B12500H 15.6吋輕薄筆電(午夜藍)_306FP6")</f>
        <v>ASUS Vivobook X1502ZA-0351B12500H 15.6吋輕薄筆電(午夜藍)_306FP6</v>
      </c>
      <c r="E74" s="12" t="str">
        <f ca="1">IFERROR(__xludf.DUMMYFUNCTION("""COMPUTED_VALUE"""),"X1502ZA-0351B12500H")</f>
        <v>X1502ZA-0351B12500H</v>
      </c>
      <c r="F74" s="12">
        <f ca="1">IFERROR(__xludf.DUMMYFUNCTION("""COMPUTED_VALUE"""),51095791)</f>
        <v>51095791</v>
      </c>
      <c r="G74" s="12" t="str">
        <f ca="1">IFERROR(__xludf.DUMMYFUNCTION("""COMPUTED_VALUE"""),"IGEM102O")</f>
        <v>IGEM102O</v>
      </c>
      <c r="H74" s="13">
        <f ca="1">IFERROR(__xludf.DUMMYFUNCTION("""COMPUTED_VALUE"""),20999)</f>
        <v>20999</v>
      </c>
      <c r="I74" s="14">
        <f ca="1">IFERROR(__xludf.DUMMYFUNCTION("""COMPUTED_VALUE"""),18999)</f>
        <v>18999</v>
      </c>
      <c r="J74" s="16">
        <f ca="1">IFERROR(__xludf.DUMMYFUNCTION("""COMPUTED_VALUE"""),45435)</f>
        <v>45435</v>
      </c>
      <c r="K74" s="12" t="str">
        <f ca="1">IFERROR(__xludf.DUMMYFUNCTION("""COMPUTED_VALUE"""),"新機上架")</f>
        <v>新機上架</v>
      </c>
      <c r="L74" s="12" t="str">
        <f ca="1">IFERROR(__xludf.DUMMYFUNCTION("""COMPUTED_VALUE"""),"上架中")</f>
        <v>上架中</v>
      </c>
      <c r="M74" s="12" t="str">
        <f ca="1">IFERROR(__xludf.DUMMYFUNCTION("""COMPUTED_VALUE"""),"2024/5/23新機上架")</f>
        <v>2024/5/23新機上架</v>
      </c>
      <c r="N74" s="12" t="str">
        <f ca="1">IFERROR(__xludf.DUMMYFUNCTION("""COMPUTED_VALUE"""),"筆電")</f>
        <v>筆電</v>
      </c>
      <c r="O74" s="12" t="str">
        <f ca="1">IFERROR(__xludf.DUMMYFUNCTION("""COMPUTED_VALUE"""),"午夜藍")</f>
        <v>午夜藍</v>
      </c>
      <c r="P74" s="12" t="str">
        <f ca="1">IFERROR(__xludf.DUMMYFUNCTION("""COMPUTED_VALUE"""),"15.6""")</f>
        <v>15.6"</v>
      </c>
      <c r="Q74" s="12"/>
      <c r="R74" s="12"/>
      <c r="S74" s="12"/>
      <c r="T74" s="12"/>
      <c r="U74" s="12" t="str">
        <f ca="1">IFERROR(__xludf.DUMMYFUNCTION("""COMPUTED_VALUE"""),"註冊首年完美保固+二年全球保固")</f>
        <v>註冊首年完美保固+二年全球保固</v>
      </c>
      <c r="V74" s="12"/>
      <c r="W74" s="12"/>
      <c r="X74" s="12" t="str">
        <f ca="1">IFERROR(__xludf.DUMMYFUNCTION("""COMPUTED_VALUE"""),"隨貨送iCooby M10 2.4G無線滑鼠(黑色)")</f>
        <v>隨貨送iCooby M10 2.4G無線滑鼠(黑色)</v>
      </c>
      <c r="Y74" s="12"/>
      <c r="Z74" s="14"/>
      <c r="AA74" s="15" t="str">
        <f ca="1">IFERROR(__xludf.DUMMYFUNCTION("""COMPUTED_VALUE"""),"15.6""/處理器i5-12500H/記憶體8G/硬碟512G SSD/180度轉軸/抗菌/W11/重量1.70kg")</f>
        <v>15.6"/處理器i5-12500H/記憶體8G/硬碟512G SSD/180度轉軸/抗菌/W11/重量1.70kg</v>
      </c>
    </row>
    <row r="75" spans="1:27" ht="19.5" customHeight="1">
      <c r="A75" s="12" t="str">
        <f ca="1">IFERROR(__xludf.DUMMYFUNCTION("""COMPUTED_VALUE"""),"3C")</f>
        <v>3C</v>
      </c>
      <c r="B75" s="12" t="str">
        <f ca="1">IFERROR(__xludf.DUMMYFUNCTION("""COMPUTED_VALUE"""),"順發")</f>
        <v>順發</v>
      </c>
      <c r="C75" s="12" t="str">
        <f ca="1">IFERROR(__xludf.DUMMYFUNCTION("""COMPUTED_VALUE"""),"ASUS")</f>
        <v>ASUS</v>
      </c>
      <c r="D75" s="12" t="str">
        <f ca="1">IFERROR(__xludf.DUMMYFUNCTION("""COMPUTED_VALUE"""),"ASUS Vivobook X1505VA-0241K13500H 15.6吋OLED輕薄筆電(搖滾黑)_306FN6")</f>
        <v>ASUS Vivobook X1505VA-0241K13500H 15.6吋OLED輕薄筆電(搖滾黑)_306FN6</v>
      </c>
      <c r="E75" s="12" t="str">
        <f ca="1">IFERROR(__xludf.DUMMYFUNCTION("""COMPUTED_VALUE"""),"X1505VA-0241K13500H")</f>
        <v>X1505VA-0241K13500H</v>
      </c>
      <c r="F75" s="12">
        <f ca="1">IFERROR(__xludf.DUMMYFUNCTION("""COMPUTED_VALUE"""),51095793)</f>
        <v>51095793</v>
      </c>
      <c r="G75" s="12" t="str">
        <f ca="1">IFERROR(__xludf.DUMMYFUNCTION("""COMPUTED_VALUE"""),"IGEM102Q")</f>
        <v>IGEM102Q</v>
      </c>
      <c r="H75" s="13">
        <f ca="1">IFERROR(__xludf.DUMMYFUNCTION("""COMPUTED_VALUE"""),25900)</f>
        <v>25900</v>
      </c>
      <c r="I75" s="14">
        <f ca="1">IFERROR(__xludf.DUMMYFUNCTION("""COMPUTED_VALUE"""),23900)</f>
        <v>23900</v>
      </c>
      <c r="J75" s="16">
        <f ca="1">IFERROR(__xludf.DUMMYFUNCTION("""COMPUTED_VALUE"""),45435)</f>
        <v>45435</v>
      </c>
      <c r="K75" s="12" t="str">
        <f ca="1">IFERROR(__xludf.DUMMYFUNCTION("""COMPUTED_VALUE"""),"新機上架")</f>
        <v>新機上架</v>
      </c>
      <c r="L75" s="12" t="str">
        <f ca="1">IFERROR(__xludf.DUMMYFUNCTION("""COMPUTED_VALUE"""),"上架中")</f>
        <v>上架中</v>
      </c>
      <c r="M75" s="12" t="str">
        <f ca="1">IFERROR(__xludf.DUMMYFUNCTION("""COMPUTED_VALUE"""),"2024/5/23新機上架")</f>
        <v>2024/5/23新機上架</v>
      </c>
      <c r="N75" s="12" t="str">
        <f ca="1">IFERROR(__xludf.DUMMYFUNCTION("""COMPUTED_VALUE"""),"筆電")</f>
        <v>筆電</v>
      </c>
      <c r="O75" s="12" t="str">
        <f ca="1">IFERROR(__xludf.DUMMYFUNCTION("""COMPUTED_VALUE"""),"搖滾黑")</f>
        <v>搖滾黑</v>
      </c>
      <c r="P75" s="12" t="str">
        <f ca="1">IFERROR(__xludf.DUMMYFUNCTION("""COMPUTED_VALUE"""),"15.6""")</f>
        <v>15.6"</v>
      </c>
      <c r="Q75" s="12"/>
      <c r="R75" s="12"/>
      <c r="S75" s="12"/>
      <c r="T75" s="12"/>
      <c r="U75" s="12" t="str">
        <f ca="1">IFERROR(__xludf.DUMMYFUNCTION("""COMPUTED_VALUE"""),"註冊首年完美保固+二年全球保固")</f>
        <v>註冊首年完美保固+二年全球保固</v>
      </c>
      <c r="V75" s="12"/>
      <c r="W75" s="12" t="str">
        <f ca="1">IFERROR(__xludf.DUMMYFUNCTION("""COMPUTED_VALUE"""),"包包與滑鼠")</f>
        <v>包包與滑鼠</v>
      </c>
      <c r="X75" s="12" t="str">
        <f ca="1">IFERROR(__xludf.DUMMYFUNCTION("""COMPUTED_VALUE"""),"隨貨送iCooby M10 2.4G無線滑鼠(黑色)")</f>
        <v>隨貨送iCooby M10 2.4G無線滑鼠(黑色)</v>
      </c>
      <c r="Y75" s="12"/>
      <c r="Z75" s="14"/>
      <c r="AA75" s="15" t="str">
        <f ca="1">IFERROR(__xludf.DUMMYFUNCTION("""COMPUTED_VALUE"""),"15.6""/處理器i5-13500H/記憶體8G/硬碟512G SSD/3K/OLED/180度轉軸/抗菌/W11/1.70kg")</f>
        <v>15.6"/處理器i5-13500H/記憶體8G/硬碟512G SSD/3K/OLED/180度轉軸/抗菌/W11/1.70kg</v>
      </c>
    </row>
    <row r="76" spans="1:27" ht="19.5" customHeight="1">
      <c r="A76" s="12" t="str">
        <f ca="1">IFERROR(__xludf.DUMMYFUNCTION("""COMPUTED_VALUE"""),"3C")</f>
        <v>3C</v>
      </c>
      <c r="B76" s="12" t="str">
        <f ca="1">IFERROR(__xludf.DUMMYFUNCTION("""COMPUTED_VALUE"""),"順發")</f>
        <v>順發</v>
      </c>
      <c r="C76" s="12" t="str">
        <f ca="1">IFERROR(__xludf.DUMMYFUNCTION("""COMPUTED_VALUE"""),"ASUS")</f>
        <v>ASUS</v>
      </c>
      <c r="D76" s="12" t="str">
        <f ca="1">IFERROR(__xludf.DUMMYFUNCTION("""COMPUTED_VALUE"""),"ASUS Vivobook S M5406NA-0038S7535HS 14吋OLED輕薄筆電(酷玩銀)_306FP2")</f>
        <v>ASUS Vivobook S M5406NA-0038S7535HS 14吋OLED輕薄筆電(酷玩銀)_306FP2</v>
      </c>
      <c r="E76" s="12" t="str">
        <f ca="1">IFERROR(__xludf.DUMMYFUNCTION("""COMPUTED_VALUE"""),"M5406NA-0038S7535HS")</f>
        <v>M5406NA-0038S7535HS</v>
      </c>
      <c r="F76" s="12">
        <f ca="1">IFERROR(__xludf.DUMMYFUNCTION("""COMPUTED_VALUE"""),51095795)</f>
        <v>51095795</v>
      </c>
      <c r="G76" s="12" t="str">
        <f ca="1">IFERROR(__xludf.DUMMYFUNCTION("""COMPUTED_VALUE"""),"IGEM102S")</f>
        <v>IGEM102S</v>
      </c>
      <c r="H76" s="13">
        <f ca="1">IFERROR(__xludf.DUMMYFUNCTION("""COMPUTED_VALUE"""),28999)</f>
        <v>28999</v>
      </c>
      <c r="I76" s="14">
        <f ca="1">IFERROR(__xludf.DUMMYFUNCTION("""COMPUTED_VALUE"""),26999)</f>
        <v>26999</v>
      </c>
      <c r="J76" s="16">
        <f ca="1">IFERROR(__xludf.DUMMYFUNCTION("""COMPUTED_VALUE"""),45536)</f>
        <v>45536</v>
      </c>
      <c r="K76" s="12" t="str">
        <f ca="1">IFERROR(__xludf.DUMMYFUNCTION("""COMPUTED_VALUE"""),"永久降價")</f>
        <v>永久降價</v>
      </c>
      <c r="L76" s="12" t="str">
        <f ca="1">IFERROR(__xludf.DUMMYFUNCTION("""COMPUTED_VALUE"""),"上架中")</f>
        <v>上架中</v>
      </c>
      <c r="M76" s="12" t="str">
        <f ca="1">IFERROR(__xludf.DUMMYFUNCTION("""COMPUTED_VALUE"""),"2024/5/23新機上架")</f>
        <v>2024/5/23新機上架</v>
      </c>
      <c r="N76" s="12" t="str">
        <f ca="1">IFERROR(__xludf.DUMMYFUNCTION("""COMPUTED_VALUE"""),"筆電")</f>
        <v>筆電</v>
      </c>
      <c r="O76" s="12" t="str">
        <f ca="1">IFERROR(__xludf.DUMMYFUNCTION("""COMPUTED_VALUE"""),"酷玩銀")</f>
        <v>酷玩銀</v>
      </c>
      <c r="P76" s="12" t="str">
        <f ca="1">IFERROR(__xludf.DUMMYFUNCTION("""COMPUTED_VALUE"""),"14""")</f>
        <v>14"</v>
      </c>
      <c r="Q76" s="12"/>
      <c r="R76" s="12"/>
      <c r="S76" s="12"/>
      <c r="T76" s="12"/>
      <c r="U76" s="12" t="str">
        <f ca="1">IFERROR(__xludf.DUMMYFUNCTION("""COMPUTED_VALUE"""),"註冊首年完美保固+二年全球保固")</f>
        <v>註冊首年完美保固+二年全球保固</v>
      </c>
      <c r="V76" s="12"/>
      <c r="W76" s="12" t="str">
        <f ca="1">IFERROR(__xludf.DUMMYFUNCTION("""COMPUTED_VALUE"""),"包包與滑鼠")</f>
        <v>包包與滑鼠</v>
      </c>
      <c r="X76" s="12" t="str">
        <f ca="1">IFERROR(__xludf.DUMMYFUNCTION("""COMPUTED_VALUE"""),"隨貨送iCooby M10 2.4G無線滑鼠(黑色)")</f>
        <v>隨貨送iCooby M10 2.4G無線滑鼠(黑色)</v>
      </c>
      <c r="Y76" s="12"/>
      <c r="Z76" s="14"/>
      <c r="AA76" s="15" t="str">
        <f ca="1">IFERROR(__xludf.DUMMYFUNCTION("""COMPUTED_VALUE"""),"14""/處理器R5 7535HS/記憶體16G/硬碟512G SSD/OLED/180度轉軸/W11/重量1.30kg")</f>
        <v>14"/處理器R5 7535HS/記憶體16G/硬碟512G SSD/OLED/180度轉軸/W11/重量1.30kg</v>
      </c>
    </row>
    <row r="77" spans="1:27" ht="19.5" customHeight="1">
      <c r="A77" s="12" t="str">
        <f ca="1">IFERROR(__xludf.DUMMYFUNCTION("""COMPUTED_VALUE"""),"3C")</f>
        <v>3C</v>
      </c>
      <c r="B77" s="12" t="str">
        <f ca="1">IFERROR(__xludf.DUMMYFUNCTION("""COMPUTED_VALUE"""),"順發")</f>
        <v>順發</v>
      </c>
      <c r="C77" s="12" t="str">
        <f ca="1">IFERROR(__xludf.DUMMYFUNCTION("""COMPUTED_VALUE"""),"ASUS")</f>
        <v>ASUS</v>
      </c>
      <c r="D77" s="12" t="str">
        <f ca="1">IFERROR(__xludf.DUMMYFUNCTION("""COMPUTED_VALUE"""),"ASUS Vivobook K3605ZC-0352K12700H 16吋獨顯輕薄筆電(搖滾黑)_306707")</f>
        <v>ASUS Vivobook K3605ZC-0352K12700H 16吋獨顯輕薄筆電(搖滾黑)_306707</v>
      </c>
      <c r="E77" s="12" t="str">
        <f ca="1">IFERROR(__xludf.DUMMYFUNCTION("""COMPUTED_VALUE"""),"K3605ZC-0352K12700H")</f>
        <v>K3605ZC-0352K12700H</v>
      </c>
      <c r="F77" s="12">
        <f ca="1">IFERROR(__xludf.DUMMYFUNCTION("""COMPUTED_VALUE"""),51095847)</f>
        <v>51095847</v>
      </c>
      <c r="G77" s="12" t="str">
        <f ca="1">IFERROR(__xludf.DUMMYFUNCTION("""COMPUTED_VALUE"""),"IGEM109Y")</f>
        <v>IGEM109Y</v>
      </c>
      <c r="H77" s="13">
        <f ca="1">IFERROR(__xludf.DUMMYFUNCTION("""COMPUTED_VALUE"""),29999)</f>
        <v>29999</v>
      </c>
      <c r="I77" s="14">
        <f ca="1">IFERROR(__xludf.DUMMYFUNCTION("""COMPUTED_VALUE"""),27999)</f>
        <v>27999</v>
      </c>
      <c r="J77" s="16">
        <f ca="1">IFERROR(__xludf.DUMMYFUNCTION("""COMPUTED_VALUE"""),45536)</f>
        <v>45536</v>
      </c>
      <c r="K77" s="12" t="str">
        <f ca="1">IFERROR(__xludf.DUMMYFUNCTION("""COMPUTED_VALUE"""),"新機上架")</f>
        <v>新機上架</v>
      </c>
      <c r="L77" s="12" t="str">
        <f ca="1">IFERROR(__xludf.DUMMYFUNCTION("""COMPUTED_VALUE"""),"上架中")</f>
        <v>上架中</v>
      </c>
      <c r="M77" s="12" t="str">
        <f ca="1">IFERROR(__xludf.DUMMYFUNCTION("""COMPUTED_VALUE"""),"2024/9/1新機上架")</f>
        <v>2024/9/1新機上架</v>
      </c>
      <c r="N77" s="12" t="str">
        <f ca="1">IFERROR(__xludf.DUMMYFUNCTION("""COMPUTED_VALUE"""),"筆電")</f>
        <v>筆電</v>
      </c>
      <c r="O77" s="12" t="str">
        <f ca="1">IFERROR(__xludf.DUMMYFUNCTION("""COMPUTED_VALUE"""),"搖滾黑")</f>
        <v>搖滾黑</v>
      </c>
      <c r="P77" s="12" t="str">
        <f ca="1">IFERROR(__xludf.DUMMYFUNCTION("""COMPUTED_VALUE"""),"16""")</f>
        <v>16"</v>
      </c>
      <c r="Q77" s="12"/>
      <c r="R77" s="12"/>
      <c r="S77" s="12"/>
      <c r="T77" s="12"/>
      <c r="U77" s="12" t="str">
        <f ca="1">IFERROR(__xludf.DUMMYFUNCTION("""COMPUTED_VALUE"""),"註冊首年完美保固+二年全球保固")</f>
        <v>註冊首年完美保固+二年全球保固</v>
      </c>
      <c r="V77" s="12"/>
      <c r="W77" s="12"/>
      <c r="X77" s="12" t="str">
        <f ca="1">IFERROR(__xludf.DUMMYFUNCTION("""COMPUTED_VALUE"""),"隨貨送iCooby M10 2.4G無線滑鼠(黑色)")</f>
        <v>隨貨送iCooby M10 2.4G無線滑鼠(黑色)</v>
      </c>
      <c r="Y77" s="12"/>
      <c r="Z77" s="14"/>
      <c r="AA77" s="15" t="str">
        <f ca="1">IFERROR(__xludf.DUMMYFUNCTION("""COMPUTED_VALUE"""),"16""/處理器i7-12700H/記憶體16G/顯卡RTX 3050 4G/硬碟512G SSD/144Hz/抗菌/180度轉軸/W11/重量1.80 KG")</f>
        <v>16"/處理器i7-12700H/記憶體16G/顯卡RTX 3050 4G/硬碟512G SSD/144Hz/抗菌/180度轉軸/W11/重量1.80 KG</v>
      </c>
    </row>
    <row r="78" spans="1:27" ht="19.5" customHeight="1">
      <c r="A78" s="12" t="str">
        <f ca="1">IFERROR(__xludf.DUMMYFUNCTION("""COMPUTED_VALUE"""),"3C")</f>
        <v>3C</v>
      </c>
      <c r="B78" s="12" t="str">
        <f ca="1">IFERROR(__xludf.DUMMYFUNCTION("""COMPUTED_VALUE"""),"順發")</f>
        <v>順發</v>
      </c>
      <c r="C78" s="12" t="str">
        <f ca="1">IFERROR(__xludf.DUMMYFUNCTION("""COMPUTED_VALUE"""),"ASUS")</f>
        <v>ASUS</v>
      </c>
      <c r="D78" s="12" t="str">
        <f ca="1">IFERROR(__xludf.DUMMYFUNCTION("""COMPUTED_VALUE"""),"ASUS Vivobook K3605ZF-0162K12500H 16吋獨顯輕薄筆電(搖滾黑)_306706")</f>
        <v>ASUS Vivobook K3605ZF-0162K12500H 16吋獨顯輕薄筆電(搖滾黑)_306706</v>
      </c>
      <c r="E78" s="12" t="str">
        <f ca="1">IFERROR(__xludf.DUMMYFUNCTION("""COMPUTED_VALUE"""),"K3605ZF-0162K12500H")</f>
        <v>K3605ZF-0162K12500H</v>
      </c>
      <c r="F78" s="12">
        <f ca="1">IFERROR(__xludf.DUMMYFUNCTION("""COMPUTED_VALUE"""),51095849)</f>
        <v>51095849</v>
      </c>
      <c r="G78" s="12" t="str">
        <f ca="1">IFERROR(__xludf.DUMMYFUNCTION("""COMPUTED_VALUE"""),"IGEM1101")</f>
        <v>IGEM1101</v>
      </c>
      <c r="H78" s="13">
        <f ca="1">IFERROR(__xludf.DUMMYFUNCTION("""COMPUTED_VALUE"""),25999)</f>
        <v>25999</v>
      </c>
      <c r="I78" s="14">
        <f ca="1">IFERROR(__xludf.DUMMYFUNCTION("""COMPUTED_VALUE"""),23999)</f>
        <v>23999</v>
      </c>
      <c r="J78" s="16">
        <f ca="1">IFERROR(__xludf.DUMMYFUNCTION("""COMPUTED_VALUE"""),45536)</f>
        <v>45536</v>
      </c>
      <c r="K78" s="12" t="str">
        <f ca="1">IFERROR(__xludf.DUMMYFUNCTION("""COMPUTED_VALUE"""),"新機上架")</f>
        <v>新機上架</v>
      </c>
      <c r="L78" s="12" t="str">
        <f ca="1">IFERROR(__xludf.DUMMYFUNCTION("""COMPUTED_VALUE"""),"上架中")</f>
        <v>上架中</v>
      </c>
      <c r="M78" s="12" t="str">
        <f ca="1">IFERROR(__xludf.DUMMYFUNCTION("""COMPUTED_VALUE"""),"2024/9/1新機上架")</f>
        <v>2024/9/1新機上架</v>
      </c>
      <c r="N78" s="12" t="str">
        <f ca="1">IFERROR(__xludf.DUMMYFUNCTION("""COMPUTED_VALUE"""),"筆電")</f>
        <v>筆電</v>
      </c>
      <c r="O78" s="12" t="str">
        <f ca="1">IFERROR(__xludf.DUMMYFUNCTION("""COMPUTED_VALUE"""),"搖滾黑")</f>
        <v>搖滾黑</v>
      </c>
      <c r="P78" s="12" t="str">
        <f ca="1">IFERROR(__xludf.DUMMYFUNCTION("""COMPUTED_VALUE"""),"16""")</f>
        <v>16"</v>
      </c>
      <c r="Q78" s="12"/>
      <c r="R78" s="12"/>
      <c r="S78" s="12"/>
      <c r="T78" s="12"/>
      <c r="U78" s="12" t="str">
        <f ca="1">IFERROR(__xludf.DUMMYFUNCTION("""COMPUTED_VALUE"""),"註冊首年完美保固+二年全球保固")</f>
        <v>註冊首年完美保固+二年全球保固</v>
      </c>
      <c r="V78" s="12"/>
      <c r="W78" s="12"/>
      <c r="X78" s="12" t="str">
        <f ca="1">IFERROR(__xludf.DUMMYFUNCTION("""COMPUTED_VALUE"""),"隨貨送iCooby M10 2.4G無線滑鼠(黑色)")</f>
        <v>隨貨送iCooby M10 2.4G無線滑鼠(黑色)</v>
      </c>
      <c r="Y78" s="12"/>
      <c r="Z78" s="14"/>
      <c r="AA78" s="15" t="str">
        <f ca="1">IFERROR(__xludf.DUMMYFUNCTION("""COMPUTED_VALUE"""),"16""/i5-12500H/8G/RTX 2050 4G/512G SSD/144Hz/抗菌/180度轉軸/W11/1.80 KG")</f>
        <v>16"/i5-12500H/8G/RTX 2050 4G/512G SSD/144Hz/抗菌/180度轉軸/W11/1.80 KG</v>
      </c>
    </row>
    <row r="79" spans="1:27" ht="19.5" customHeight="1">
      <c r="A79" s="12" t="str">
        <f ca="1">IFERROR(__xludf.DUMMYFUNCTION("""COMPUTED_VALUE"""),"HDTV")</f>
        <v>HDTV</v>
      </c>
      <c r="B79" s="12" t="str">
        <f ca="1">IFERROR(__xludf.DUMMYFUNCTION("""COMPUTED_VALUE"""),"順發")</f>
        <v>順發</v>
      </c>
      <c r="C79" s="12" t="str">
        <f ca="1">IFERROR(__xludf.DUMMYFUNCTION("""COMPUTED_VALUE"""),"ASUS")</f>
        <v>ASUS</v>
      </c>
      <c r="D79" s="12" t="str">
        <f ca="1">IFERROR(__xludf.DUMMYFUNCTION("""COMPUTED_VALUE"""),"ASUS 32型TUF VG328QA1A 170Hz電競螢幕_271K08")</f>
        <v>ASUS 32型TUF VG328QA1A 170Hz電競螢幕_271K08</v>
      </c>
      <c r="E79" s="12" t="str">
        <f ca="1">IFERROR(__xludf.DUMMYFUNCTION("""COMPUTED_VALUE"""),"VG328QA1A")</f>
        <v>VG328QA1A</v>
      </c>
      <c r="F79" s="12">
        <f ca="1">IFERROR(__xludf.DUMMYFUNCTION("""COMPUTED_VALUE"""),51095739)</f>
        <v>51095739</v>
      </c>
      <c r="G79" s="12" t="str">
        <f ca="1">IFERROR(__xludf.DUMMYFUNCTION("""COMPUTED_VALUE"""),"NCTV01NE")</f>
        <v>NCTV01NE</v>
      </c>
      <c r="H79" s="13">
        <f ca="1">IFERROR(__xludf.DUMMYFUNCTION("""COMPUTED_VALUE"""),6990)</f>
        <v>6990</v>
      </c>
      <c r="I79" s="18">
        <f ca="1">IFERROR(__xludf.DUMMYFUNCTION("""COMPUTED_VALUE"""),5500)</f>
        <v>5500</v>
      </c>
      <c r="J79" s="16">
        <f ca="1">IFERROR(__xludf.DUMMYFUNCTION("""COMPUTED_VALUE"""),45698)</f>
        <v>45698</v>
      </c>
      <c r="K79" s="12" t="str">
        <f ca="1">IFERROR(__xludf.DUMMYFUNCTION("""COMPUTED_VALUE"""),"永久降價")</f>
        <v>永久降價</v>
      </c>
      <c r="L79" s="12" t="str">
        <f ca="1">IFERROR(__xludf.DUMMYFUNCTION("""COMPUTED_VALUE"""),"上架中")</f>
        <v>上架中</v>
      </c>
      <c r="M79" s="12" t="str">
        <f ca="1">IFERROR(__xludf.DUMMYFUNCTION("""COMPUTED_VALUE"""),"CQ2Q only")</f>
        <v>CQ2Q only</v>
      </c>
      <c r="N79" s="12" t="str">
        <f ca="1">IFERROR(__xludf.DUMMYFUNCTION("""COMPUTED_VALUE"""),"螢幕/液晶電視")</f>
        <v>螢幕/液晶電視</v>
      </c>
      <c r="O79" s="12" t="str">
        <f ca="1">IFERROR(__xludf.DUMMYFUNCTION("""COMPUTED_VALUE"""),"黑框+金屬底座")</f>
        <v>黑框+金屬底座</v>
      </c>
      <c r="P79" s="12" t="str">
        <f ca="1">IFERROR(__xludf.DUMMYFUNCTION("""COMPUTED_VALUE"""),"32""/VA平面/170HZ/1ms")</f>
        <v>32"/VA平面/170HZ/1ms</v>
      </c>
      <c r="Q79" s="12" t="str">
        <f ca="1">IFERROR(__xludf.DUMMYFUNCTION("""COMPUTED_VALUE"""),"716.2 x 497.2 x 213.8 (mm) 含底座")</f>
        <v>716.2 x 497.2 x 213.8 (mm) 含底座</v>
      </c>
      <c r="R79" s="12" t="str">
        <f ca="1">IFERROR(__xludf.DUMMYFUNCTION("""COMPUTED_VALUE"""),"大陸")</f>
        <v>大陸</v>
      </c>
      <c r="S79" s="12"/>
      <c r="T79" s="12"/>
      <c r="U79" s="12" t="str">
        <f ca="1">IFERROR(__xludf.DUMMYFUNCTION("""COMPUTED_VALUE"""),"3年")</f>
        <v>3年</v>
      </c>
      <c r="V79" s="12"/>
      <c r="W79" s="12"/>
      <c r="X79" s="12"/>
      <c r="Y79" s="12"/>
      <c r="Z79" s="14"/>
      <c r="AA79" s="15" t="str">
        <f ca="1">IFERROR(__xludf.DUMMYFUNCTION("""COMPUTED_VALUE"""),"32"" ASUS TUF VG328QA1A 170Hz電競螢幕(F-sync/HDMI*2.DP/含喇叭/VA)_271K08")</f>
        <v>32" ASUS TUF VG328QA1A 170Hz電競螢幕(F-sync/HDMI*2.DP/含喇叭/VA)_271K08</v>
      </c>
    </row>
    <row r="80" spans="1:27" ht="19.5" customHeight="1">
      <c r="A80" s="12" t="str">
        <f ca="1">IFERROR(__xludf.DUMMYFUNCTION("""COMPUTED_VALUE"""),"HDTV")</f>
        <v>HDTV</v>
      </c>
      <c r="B80" s="12" t="str">
        <f ca="1">IFERROR(__xludf.DUMMYFUNCTION("""COMPUTED_VALUE"""),"順發")</f>
        <v>順發</v>
      </c>
      <c r="C80" s="12" t="str">
        <f ca="1">IFERROR(__xludf.DUMMYFUNCTION("""COMPUTED_VALUE"""),"ASUS")</f>
        <v>ASUS</v>
      </c>
      <c r="D80" s="12" t="str">
        <f ca="1">IFERROR(__xludf.DUMMYFUNCTION("""COMPUTED_VALUE"""),"ASUS 24型TUFGaming電競螢幕VG249Q3A FHD 180Hz電競(IPS)_271K09")</f>
        <v>ASUS 24型TUFGaming電競螢幕VG249Q3A FHD 180Hz電競(IPS)_271K09</v>
      </c>
      <c r="E80" s="12" t="str">
        <f ca="1">IFERROR(__xludf.DUMMYFUNCTION("""COMPUTED_VALUE"""),"VG249Q3A")</f>
        <v>VG249Q3A</v>
      </c>
      <c r="F80" s="12">
        <f ca="1">IFERROR(__xludf.DUMMYFUNCTION("""COMPUTED_VALUE"""),51095755)</f>
        <v>51095755</v>
      </c>
      <c r="G80" s="12" t="str">
        <f ca="1">IFERROR(__xludf.DUMMYFUNCTION("""COMPUTED_VALUE"""),"NCTV01NX")</f>
        <v>NCTV01NX</v>
      </c>
      <c r="H80" s="13">
        <f ca="1">IFERROR(__xludf.DUMMYFUNCTION("""COMPUTED_VALUE"""),3988)</f>
        <v>3988</v>
      </c>
      <c r="I80" s="14">
        <f ca="1">IFERROR(__xludf.DUMMYFUNCTION("""COMPUTED_VALUE"""),3588)</f>
        <v>3588</v>
      </c>
      <c r="J80" s="16">
        <f ca="1">IFERROR(__xludf.DUMMYFUNCTION("""COMPUTED_VALUE"""),45698)</f>
        <v>45698</v>
      </c>
      <c r="K80" s="12" t="str">
        <f ca="1">IFERROR(__xludf.DUMMYFUNCTION("""COMPUTED_VALUE"""),"永久降價")</f>
        <v>永久降價</v>
      </c>
      <c r="L80" s="12" t="str">
        <f ca="1">IFERROR(__xludf.DUMMYFUNCTION("""COMPUTED_VALUE"""),"上架中")</f>
        <v>上架中</v>
      </c>
      <c r="M80" s="12" t="str">
        <f ca="1">IFERROR(__xludf.DUMMYFUNCTION("""COMPUTED_VALUE"""),"CQ2Q only")</f>
        <v>CQ2Q only</v>
      </c>
      <c r="N80" s="12" t="str">
        <f ca="1">IFERROR(__xludf.DUMMYFUNCTION("""COMPUTED_VALUE"""),"螢幕/液晶電視")</f>
        <v>螢幕/液晶電視</v>
      </c>
      <c r="O80" s="12" t="str">
        <f ca="1">IFERROR(__xludf.DUMMYFUNCTION("""COMPUTED_VALUE"""),"黑")</f>
        <v>黑</v>
      </c>
      <c r="P80" s="12" t="str">
        <f ca="1">IFERROR(__xludf.DUMMYFUNCTION("""COMPUTED_VALUE"""),"24""/IPS平面/180HZ/1ms")</f>
        <v>24"/IPS平面/180HZ/1ms</v>
      </c>
      <c r="Q80" s="12" t="str">
        <f ca="1">IFERROR(__xludf.DUMMYFUNCTION("""COMPUTED_VALUE"""),"541 x 394 x 174 mm 含底座 ")</f>
        <v xml:space="preserve">541 x 394 x 174 mm 含底座 </v>
      </c>
      <c r="R80" s="12" t="str">
        <f ca="1">IFERROR(__xludf.DUMMYFUNCTION("""COMPUTED_VALUE"""),"大陸")</f>
        <v>大陸</v>
      </c>
      <c r="S80" s="12"/>
      <c r="T80" s="12"/>
      <c r="U80" s="12" t="str">
        <f ca="1">IFERROR(__xludf.DUMMYFUNCTION("""COMPUTED_VALUE"""),"3年")</f>
        <v>3年</v>
      </c>
      <c r="V80" s="12"/>
      <c r="W80" s="12"/>
      <c r="X80" s="12"/>
      <c r="Y80" s="12"/>
      <c r="Z80" s="14"/>
      <c r="AA80" s="15" t="str">
        <f ca="1">IFERROR(__xludf.DUMMYFUNCTION("""COMPUTED_VALUE"""),"23.8""ASUS VG249Q3A 1ms+180Hz電競(F-sync/HDMI*2.DP/含喇叭/IPS) _271K09")</f>
        <v>23.8"ASUS VG249Q3A 1ms+180Hz電競(F-sync/HDMI*2.DP/含喇叭/IPS) _271K09</v>
      </c>
    </row>
    <row r="81" spans="1:27" ht="19.5" customHeight="1">
      <c r="A81" s="12" t="str">
        <f ca="1">IFERROR(__xludf.DUMMYFUNCTION("""COMPUTED_VALUE"""),"HDTV")</f>
        <v>HDTV</v>
      </c>
      <c r="B81" s="12" t="str">
        <f ca="1">IFERROR(__xludf.DUMMYFUNCTION("""COMPUTED_VALUE"""),"順發")</f>
        <v>順發</v>
      </c>
      <c r="C81" s="12" t="str">
        <f ca="1">IFERROR(__xludf.DUMMYFUNCTION("""COMPUTED_VALUE"""),"ASUS")</f>
        <v>ASUS</v>
      </c>
      <c r="D81" s="12" t="str">
        <f ca="1">IFERROR(__xludf.DUMMYFUNCTION("""COMPUTED_VALUE"""),"ASUS 27型TUFGaming電競螢幕VG27AQ3A QHD 180Hz電競(IPS)_271471")</f>
        <v>ASUS 27型TUFGaming電競螢幕VG27AQ3A QHD 180Hz電競(IPS)_271471</v>
      </c>
      <c r="E81" s="12" t="str">
        <f ca="1">IFERROR(__xludf.DUMMYFUNCTION("""COMPUTED_VALUE"""),"VG27AQ3A")</f>
        <v>VG27AQ3A</v>
      </c>
      <c r="F81" s="12">
        <f ca="1">IFERROR(__xludf.DUMMYFUNCTION("""COMPUTED_VALUE"""),51095756)</f>
        <v>51095756</v>
      </c>
      <c r="G81" s="12" t="str">
        <f ca="1">IFERROR(__xludf.DUMMYFUNCTION("""COMPUTED_VALUE"""),"NCTV01NY")</f>
        <v>NCTV01NY</v>
      </c>
      <c r="H81" s="13">
        <f ca="1">IFERROR(__xludf.DUMMYFUNCTION("""COMPUTED_VALUE"""),5988)</f>
        <v>5988</v>
      </c>
      <c r="I81" s="14">
        <f ca="1">IFERROR(__xludf.DUMMYFUNCTION("""COMPUTED_VALUE"""),5788)</f>
        <v>5788</v>
      </c>
      <c r="J81" s="16">
        <f ca="1">IFERROR(__xludf.DUMMYFUNCTION("""COMPUTED_VALUE"""),45698)</f>
        <v>45698</v>
      </c>
      <c r="K81" s="12" t="str">
        <f ca="1">IFERROR(__xludf.DUMMYFUNCTION("""COMPUTED_VALUE"""),"永久降價")</f>
        <v>永久降價</v>
      </c>
      <c r="L81" s="12" t="str">
        <f ca="1">IFERROR(__xludf.DUMMYFUNCTION("""COMPUTED_VALUE"""),"上架中")</f>
        <v>上架中</v>
      </c>
      <c r="M81" s="12" t="str">
        <f ca="1">IFERROR(__xludf.DUMMYFUNCTION("""COMPUTED_VALUE"""),"CQ2Q only")</f>
        <v>CQ2Q only</v>
      </c>
      <c r="N81" s="12" t="str">
        <f ca="1">IFERROR(__xludf.DUMMYFUNCTION("""COMPUTED_VALUE"""),"螢幕/液晶電視")</f>
        <v>螢幕/液晶電視</v>
      </c>
      <c r="O81" s="12" t="str">
        <f ca="1">IFERROR(__xludf.DUMMYFUNCTION("""COMPUTED_VALUE"""),"黑")</f>
        <v>黑</v>
      </c>
      <c r="P81" s="12" t="str">
        <f ca="1">IFERROR(__xludf.DUMMYFUNCTION("""COMPUTED_VALUE"""),"27""/IPS平面/180HZ/1ms")</f>
        <v>27"/IPS平面/180HZ/1ms</v>
      </c>
      <c r="Q81" s="12" t="str">
        <f ca="1">IFERROR(__xludf.DUMMYFUNCTION("""COMPUTED_VALUE"""),"615 x 455 x 214 mm 含底座")</f>
        <v>615 x 455 x 214 mm 含底座</v>
      </c>
      <c r="R81" s="12" t="str">
        <f ca="1">IFERROR(__xludf.DUMMYFUNCTION("""COMPUTED_VALUE"""),"大陸")</f>
        <v>大陸</v>
      </c>
      <c r="S81" s="12"/>
      <c r="T81" s="12"/>
      <c r="U81" s="12" t="str">
        <f ca="1">IFERROR(__xludf.DUMMYFUNCTION("""COMPUTED_VALUE"""),"3年")</f>
        <v>3年</v>
      </c>
      <c r="V81" s="12"/>
      <c r="W81" s="12"/>
      <c r="X81" s="12"/>
      <c r="Y81" s="12"/>
      <c r="Z81" s="14"/>
      <c r="AA81" s="15" t="str">
        <f ca="1">IFERROR(__xludf.DUMMYFUNCTION("""COMPUTED_VALUE"""),"27""ASUS TUF VG27AQ3A 2K+180Hz電競(HDR10/1ms/F-Sync/HDMI*2.DP/含喇叭/IPS)_271471")</f>
        <v>27"ASUS TUF VG27AQ3A 2K+180Hz電競(HDR10/1ms/F-Sync/HDMI*2.DP/含喇叭/IPS)_271471</v>
      </c>
    </row>
    <row r="82" spans="1:27" ht="19.5" customHeight="1">
      <c r="A82" s="12" t="str">
        <f ca="1">IFERROR(__xludf.DUMMYFUNCTION("""COMPUTED_VALUE"""),"HDTV")</f>
        <v>HDTV</v>
      </c>
      <c r="B82" s="12" t="str">
        <f ca="1">IFERROR(__xludf.DUMMYFUNCTION("""COMPUTED_VALUE"""),"順發")</f>
        <v>順發</v>
      </c>
      <c r="C82" s="12" t="str">
        <f ca="1">IFERROR(__xludf.DUMMYFUNCTION("""COMPUTED_VALUE"""),"ASUS")</f>
        <v>ASUS</v>
      </c>
      <c r="D82" s="12" t="str">
        <f ca="1">IFERROR(__xludf.DUMMYFUNCTION("""COMPUTED_VALUE"""),"ASUS 27型TUF電競螢幕VG279Q3A_180Hz(IPS)_271K27")</f>
        <v>ASUS 27型TUF電競螢幕VG279Q3A_180Hz(IPS)_271K27</v>
      </c>
      <c r="E82" s="12" t="str">
        <f ca="1">IFERROR(__xludf.DUMMYFUNCTION("""COMPUTED_VALUE"""),"VG279Q3A ")</f>
        <v xml:space="preserve">VG279Q3A </v>
      </c>
      <c r="F82" s="12">
        <f ca="1">IFERROR(__xludf.DUMMYFUNCTION("""COMPUTED_VALUE"""),51095823)</f>
        <v>51095823</v>
      </c>
      <c r="G82" s="12" t="str">
        <f ca="1">IFERROR(__xludf.DUMMYFUNCTION("""COMPUTED_VALUE"""),"NCTV01PY")</f>
        <v>NCTV01PY</v>
      </c>
      <c r="H82" s="13">
        <f ca="1">IFERROR(__xludf.DUMMYFUNCTION("""COMPUTED_VALUE"""),3988)</f>
        <v>3988</v>
      </c>
      <c r="I82" s="18">
        <f ca="1">IFERROR(__xludf.DUMMYFUNCTION("""COMPUTED_VALUE"""),3988)</f>
        <v>3988</v>
      </c>
      <c r="J82" s="16">
        <f ca="1">IFERROR(__xludf.DUMMYFUNCTION("""COMPUTED_VALUE"""),45502)</f>
        <v>45502</v>
      </c>
      <c r="K82" s="12" t="str">
        <f ca="1">IFERROR(__xludf.DUMMYFUNCTION("""COMPUTED_VALUE"""),"新機上架")</f>
        <v>新機上架</v>
      </c>
      <c r="L82" s="12" t="str">
        <f ca="1">IFERROR(__xludf.DUMMYFUNCTION("""COMPUTED_VALUE"""),"上架中")</f>
        <v>上架中</v>
      </c>
      <c r="M82" s="12" t="str">
        <f ca="1">IFERROR(__xludf.DUMMYFUNCTION("""COMPUTED_VALUE"""),"CQ2Q only")</f>
        <v>CQ2Q only</v>
      </c>
      <c r="N82" s="12" t="str">
        <f ca="1">IFERROR(__xludf.DUMMYFUNCTION("""COMPUTED_VALUE"""),"螢幕/液晶電視")</f>
        <v>螢幕/液晶電視</v>
      </c>
      <c r="O82" s="12" t="str">
        <f ca="1">IFERROR(__xludf.DUMMYFUNCTION("""COMPUTED_VALUE"""),"黑")</f>
        <v>黑</v>
      </c>
      <c r="P82" s="12" t="str">
        <f ca="1">IFERROR(__xludf.DUMMYFUNCTION("""COMPUTED_VALUE"""),"27""/IPS平面/180HZ")</f>
        <v>27"/IPS平面/180HZ</v>
      </c>
      <c r="Q82" s="12" t="str">
        <f ca="1">IFERROR(__xludf.DUMMYFUNCTION("""COMPUTED_VALUE"""),"615 x 453 x 193 mm 含底座")</f>
        <v>615 x 453 x 193 mm 含底座</v>
      </c>
      <c r="R82" s="12" t="str">
        <f ca="1">IFERROR(__xludf.DUMMYFUNCTION("""COMPUTED_VALUE"""),"大陸")</f>
        <v>大陸</v>
      </c>
      <c r="S82" s="12"/>
      <c r="T82" s="12"/>
      <c r="U82" s="12" t="str">
        <f ca="1">IFERROR(__xludf.DUMMYFUNCTION("""COMPUTED_VALUE"""),"3年")</f>
        <v>3年</v>
      </c>
      <c r="V82" s="12"/>
      <c r="W82" s="12"/>
      <c r="X82" s="12"/>
      <c r="Y82" s="12"/>
      <c r="Z82" s="14"/>
      <c r="AA82" s="15" t="str">
        <f ca="1">IFERROR(__xludf.DUMMYFUNCTION("""COMPUTED_VALUE"""),"*27 吋 Full HD (1920x1080) 電競顯示器，180Hz 更新率，專為職業玩家和沈浸式遊戲所設計 *ASUS Extreme Low Motion Blur Sync (ELMB Sync) 技術可讓 ELMB 與可變更新率技術同時運作以消除殘影及破圖的情形，並透過高畫格率提供銳利的遊戲影像 *FreeSync Premium 和 G-Sync 相容透過預設啟用的 VRR (可變更新率) 提供無縫、無破圖的遊戲體驗 *Shadow Boost 可強化黑暗區域與明亮場景的影像細節，而不會導"&amp;"致明亮區域過度曝光")</f>
        <v>*27 吋 Full HD (1920x1080) 電競顯示器，180Hz 更新率，專為職業玩家和沈浸式遊戲所設計 *ASUS Extreme Low Motion Blur Sync (ELMB Sync) 技術可讓 ELMB 與可變更新率技術同時運作以消除殘影及破圖的情形，並透過高畫格率提供銳利的遊戲影像 *FreeSync Premium 和 G-Sync 相容透過預設啟用的 VRR (可變更新率) 提供無縫、無破圖的遊戲體驗 *Shadow Boost 可強化黑暗區域與明亮場景的影像細節，而不會導致明亮區域過度曝光</v>
      </c>
    </row>
    <row r="83" spans="1:27" ht="19.5" customHeight="1">
      <c r="A83" s="12" t="str">
        <f ca="1">IFERROR(__xludf.DUMMYFUNCTION("""COMPUTED_VALUE"""),"HDTV")</f>
        <v>HDTV</v>
      </c>
      <c r="B83" s="12" t="str">
        <f ca="1">IFERROR(__xludf.DUMMYFUNCTION("""COMPUTED_VALUE"""),"順發")</f>
        <v>順發</v>
      </c>
      <c r="C83" s="12" t="str">
        <f ca="1">IFERROR(__xludf.DUMMYFUNCTION("""COMPUTED_VALUE"""),"ASUS")</f>
        <v>ASUS</v>
      </c>
      <c r="D83" s="12" t="str">
        <f ca="1">IFERROR(__xludf.DUMMYFUNCTION("""COMPUTED_VALUE"""),"ASUS 27型TUF電競螢幕VG27AQL3A_QHD_180Hz(IPS)_271K05")</f>
        <v>ASUS 27型TUF電競螢幕VG27AQL3A_QHD_180Hz(IPS)_271K05</v>
      </c>
      <c r="E83" s="12" t="str">
        <f ca="1">IFERROR(__xludf.DUMMYFUNCTION("""COMPUTED_VALUE"""),"VG27AQL3A ")</f>
        <v xml:space="preserve">VG27AQL3A </v>
      </c>
      <c r="F83" s="12">
        <f ca="1">IFERROR(__xludf.DUMMYFUNCTION("""COMPUTED_VALUE"""),51095824)</f>
        <v>51095824</v>
      </c>
      <c r="G83" s="12" t="str">
        <f ca="1">IFERROR(__xludf.DUMMYFUNCTION("""COMPUTED_VALUE"""),"NCTV01PZ")</f>
        <v>NCTV01PZ</v>
      </c>
      <c r="H83" s="13">
        <f ca="1">IFERROR(__xludf.DUMMYFUNCTION("""COMPUTED_VALUE"""),6688)</f>
        <v>6688</v>
      </c>
      <c r="I83" s="18">
        <f ca="1">IFERROR(__xludf.DUMMYFUNCTION("""COMPUTED_VALUE"""),5988)</f>
        <v>5988</v>
      </c>
      <c r="J83" s="16">
        <f ca="1">IFERROR(__xludf.DUMMYFUNCTION("""COMPUTED_VALUE"""),45698)</f>
        <v>45698</v>
      </c>
      <c r="K83" s="12" t="str">
        <f ca="1">IFERROR(__xludf.DUMMYFUNCTION("""COMPUTED_VALUE"""),"永久降價")</f>
        <v>永久降價</v>
      </c>
      <c r="L83" s="12" t="str">
        <f ca="1">IFERROR(__xludf.DUMMYFUNCTION("""COMPUTED_VALUE"""),"上架中")</f>
        <v>上架中</v>
      </c>
      <c r="M83" s="12" t="str">
        <f ca="1">IFERROR(__xludf.DUMMYFUNCTION("""COMPUTED_VALUE"""),"CQ2Q only")</f>
        <v>CQ2Q only</v>
      </c>
      <c r="N83" s="12" t="str">
        <f ca="1">IFERROR(__xludf.DUMMYFUNCTION("""COMPUTED_VALUE"""),"螢幕/液晶電視")</f>
        <v>螢幕/液晶電視</v>
      </c>
      <c r="O83" s="12" t="str">
        <f ca="1">IFERROR(__xludf.DUMMYFUNCTION("""COMPUTED_VALUE"""),"黑")</f>
        <v>黑</v>
      </c>
      <c r="P83" s="12" t="str">
        <f ca="1">IFERROR(__xludf.DUMMYFUNCTION("""COMPUTED_VALUE"""),"27""/IPS平面/2K/180HZ")</f>
        <v>27"/IPS平面/2K/180HZ</v>
      </c>
      <c r="Q83" s="12" t="str">
        <f ca="1">IFERROR(__xludf.DUMMYFUNCTION("""COMPUTED_VALUE"""),"615 x (404~534) x 215 mm含底座")</f>
        <v>615 x (404~534) x 215 mm含底座</v>
      </c>
      <c r="R83" s="12" t="str">
        <f ca="1">IFERROR(__xludf.DUMMYFUNCTION("""COMPUTED_VALUE"""),"大陸")</f>
        <v>大陸</v>
      </c>
      <c r="S83" s="12"/>
      <c r="T83" s="12"/>
      <c r="U83" s="12" t="str">
        <f ca="1">IFERROR(__xludf.DUMMYFUNCTION("""COMPUTED_VALUE"""),"3年")</f>
        <v>3年</v>
      </c>
      <c r="V83" s="12"/>
      <c r="W83" s="12"/>
      <c r="X83" s="12"/>
      <c r="Y83" s="12"/>
      <c r="Z83" s="14"/>
      <c r="AA83" s="15" t="str">
        <f ca="1">IFERROR(__xludf.DUMMYFUNCTION("""COMPUTED_VALUE"""),"*27 吋 QHD (2560 x 1440) 電競顯示器，180Hz 更新率，專為職業玩家和沈浸式遊戲所設計 *ASUS Extreme Low Motion Blur Sync (ELMB Sync) 技術可讓 ELMB 與可變更新率技術同時運作以消除殘影及破圖的情形，並透過高畫格率提供銳利的遊戲影像 *FreeSync Premium 和 G-Sync 相容透過預設啟用的 VRR (可變更新率) 提供無縫、無破圖的遊戲體驗 *高動態範圍 (HDR) 技術，符合 DisplayHDR™ 400 規範，"&amp;"支援 HDR-10 格式以增強明亮與黑暗區域")</f>
        <v>*27 吋 QHD (2560 x 1440) 電競顯示器，180Hz 更新率，專為職業玩家和沈浸式遊戲所設計 *ASUS Extreme Low Motion Blur Sync (ELMB Sync) 技術可讓 ELMB 與可變更新率技術同時運作以消除殘影及破圖的情形，並透過高畫格率提供銳利的遊戲影像 *FreeSync Premium 和 G-Sync 相容透過預設啟用的 VRR (可變更新率) 提供無縫、無破圖的遊戲體驗 *高動態範圍 (HDR) 技術，符合 DisplayHDR™ 400 規範，支援 HDR-10 格式以增強明亮與黑暗區域</v>
      </c>
    </row>
    <row r="84" spans="1:27" ht="19.5" customHeight="1">
      <c r="A84" s="12" t="str">
        <f ca="1">IFERROR(__xludf.DUMMYFUNCTION("""COMPUTED_VALUE"""),"HDTV")</f>
        <v>HDTV</v>
      </c>
      <c r="B84" s="12" t="str">
        <f ca="1">IFERROR(__xludf.DUMMYFUNCTION("""COMPUTED_VALUE"""),"順發")</f>
        <v>順發</v>
      </c>
      <c r="C84" s="12" t="str">
        <f ca="1">IFERROR(__xludf.DUMMYFUNCTION("""COMPUTED_VALUE"""),"ASUS")</f>
        <v>ASUS</v>
      </c>
      <c r="D84" s="12" t="str">
        <f ca="1">IFERROR(__xludf.DUMMYFUNCTION("""COMPUTED_VALUE"""),"ASUS 24型VA24EHFR FHD 100Hz 護眼螢幕(IPS)_271220")</f>
        <v>ASUS 24型VA24EHFR FHD 100Hz 護眼螢幕(IPS)_271220</v>
      </c>
      <c r="E84" s="12" t="str">
        <f ca="1">IFERROR(__xludf.DUMMYFUNCTION("""COMPUTED_VALUE"""),"VA24EHFR")</f>
        <v>VA24EHFR</v>
      </c>
      <c r="F84" s="12">
        <f ca="1">IFERROR(__xludf.DUMMYFUNCTION("""COMPUTED_VALUE"""),51095825)</f>
        <v>51095825</v>
      </c>
      <c r="G84" s="12" t="str">
        <f ca="1">IFERROR(__xludf.DUMMYFUNCTION("""COMPUTED_VALUE"""),"NCTV01Q1")</f>
        <v>NCTV01Q1</v>
      </c>
      <c r="H84" s="13">
        <f ca="1">IFERROR(__xludf.DUMMYFUNCTION("""COMPUTED_VALUE"""),2888)</f>
        <v>2888</v>
      </c>
      <c r="I84" s="18">
        <f ca="1">IFERROR(__xludf.DUMMYFUNCTION("""COMPUTED_VALUE"""),2788)</f>
        <v>2788</v>
      </c>
      <c r="J84" s="16">
        <f ca="1">IFERROR(__xludf.DUMMYFUNCTION("""COMPUTED_VALUE"""),45502)</f>
        <v>45502</v>
      </c>
      <c r="K84" s="12" t="str">
        <f ca="1">IFERROR(__xludf.DUMMYFUNCTION("""COMPUTED_VALUE"""),"新機上架")</f>
        <v>新機上架</v>
      </c>
      <c r="L84" s="12" t="str">
        <f ca="1">IFERROR(__xludf.DUMMYFUNCTION("""COMPUTED_VALUE"""),"上架中")</f>
        <v>上架中</v>
      </c>
      <c r="M84" s="12" t="str">
        <f ca="1">IFERROR(__xludf.DUMMYFUNCTION("""COMPUTED_VALUE"""),"CQ2Q only")</f>
        <v>CQ2Q only</v>
      </c>
      <c r="N84" s="12" t="str">
        <f ca="1">IFERROR(__xludf.DUMMYFUNCTION("""COMPUTED_VALUE"""),"螢幕/液晶電視")</f>
        <v>螢幕/液晶電視</v>
      </c>
      <c r="O84" s="12" t="str">
        <f ca="1">IFERROR(__xludf.DUMMYFUNCTION("""COMPUTED_VALUE"""),"黑")</f>
        <v>黑</v>
      </c>
      <c r="P84" s="12" t="str">
        <f ca="1">IFERROR(__xludf.DUMMYFUNCTION("""COMPUTED_VALUE"""),"23.8""/IPS平面/100HZ")</f>
        <v>23.8"/IPS平面/100HZ</v>
      </c>
      <c r="Q84" s="12" t="str">
        <f ca="1">IFERROR(__xludf.DUMMYFUNCTION("""COMPUTED_VALUE"""),"540 x 417 x 205mm 含底座")</f>
        <v>540 x 417 x 205mm 含底座</v>
      </c>
      <c r="R84" s="12" t="str">
        <f ca="1">IFERROR(__xludf.DUMMYFUNCTION("""COMPUTED_VALUE"""),"大陸")</f>
        <v>大陸</v>
      </c>
      <c r="S84" s="12"/>
      <c r="T84" s="12"/>
      <c r="U84" s="12" t="str">
        <f ca="1">IFERROR(__xludf.DUMMYFUNCTION("""COMPUTED_VALUE"""),"3年")</f>
        <v>3年</v>
      </c>
      <c r="V84" s="12"/>
      <c r="W84" s="12"/>
      <c r="X84" s="12"/>
      <c r="Y84" s="12"/>
      <c r="Z84" s="14"/>
      <c r="AA84" s="15" t="str">
        <f ca="1">IFERROR(__xludf.DUMMYFUNCTION("""COMPUTED_VALUE"""),"*23.8 吋 Full HD (1920x1080) 無邊框設計 *IPS 178° 廣視角面板 *SmoothMotion 100Hz 更新率和 1ms MPRT 通過啟用VRR(可變更新率) *豐富的連接功能，支援HDMI和VGA適用於大多數多媒體設備 *VESA 壁掛式，節省桌面空間 *ASUS Eye Care 顯示器採用 TÜV Rheinland 認證的不閃屏和低藍光技術")</f>
        <v>*23.8 吋 Full HD (1920x1080) 無邊框設計 *IPS 178° 廣視角面板 *SmoothMotion 100Hz 更新率和 1ms MPRT 通過啟用VRR(可變更新率) *豐富的連接功能，支援HDMI和VGA適用於大多數多媒體設備 *VESA 壁掛式，節省桌面空間 *ASUS Eye Care 顯示器採用 TÜV Rheinland 認證的不閃屏和低藍光技術</v>
      </c>
    </row>
    <row r="85" spans="1:27" ht="19.5" customHeight="1">
      <c r="A85" s="12" t="str">
        <f ca="1">IFERROR(__xludf.DUMMYFUNCTION("""COMPUTED_VALUE"""),"HDTV")</f>
        <v>HDTV</v>
      </c>
      <c r="B85" s="12" t="str">
        <f ca="1">IFERROR(__xludf.DUMMYFUNCTION("""COMPUTED_VALUE"""),"順發")</f>
        <v>順發</v>
      </c>
      <c r="C85" s="12" t="str">
        <f ca="1">IFERROR(__xludf.DUMMYFUNCTION("""COMPUTED_VALUE"""),"Samsung")</f>
        <v>Samsung</v>
      </c>
      <c r="D85" s="12" t="str">
        <f ca="1">IFERROR(__xludf.DUMMYFUNCTION("""COMPUTED_VALUE"""),"SAMSUNG 32型4K UHD智慧聯網螢幕S32DM702UC-黑(VA)_271G67")</f>
        <v>SAMSUNG 32型4K UHD智慧聯網螢幕S32DM702UC-黑(VA)_271G67</v>
      </c>
      <c r="E85" s="12" t="str">
        <f ca="1">IFERROR(__xludf.DUMMYFUNCTION("""COMPUTED_VALUE"""),"S32DM702UC")</f>
        <v>S32DM702UC</v>
      </c>
      <c r="F85" s="12">
        <f ca="1">IFERROR(__xludf.DUMMYFUNCTION("""COMPUTED_VALUE"""),51095857)</f>
        <v>51095857</v>
      </c>
      <c r="G85" s="12" t="str">
        <f ca="1">IFERROR(__xludf.DUMMYFUNCTION("""COMPUTED_VALUE"""),"NCTV01RU")</f>
        <v>NCTV01RU</v>
      </c>
      <c r="H85" s="12">
        <f ca="1">IFERROR(__xludf.DUMMYFUNCTION("""COMPUTED_VALUE"""),9900)</f>
        <v>9900</v>
      </c>
      <c r="I85" s="14">
        <f ca="1">IFERROR(__xludf.DUMMYFUNCTION("""COMPUTED_VALUE"""),9900)</f>
        <v>9900</v>
      </c>
      <c r="J85" s="16">
        <f ca="1">IFERROR(__xludf.DUMMYFUNCTION("""COMPUTED_VALUE"""),45554)</f>
        <v>45554</v>
      </c>
      <c r="K85" s="12" t="str">
        <f ca="1">IFERROR(__xludf.DUMMYFUNCTION("""COMPUTED_VALUE"""),"新機上架")</f>
        <v>新機上架</v>
      </c>
      <c r="L85" s="12" t="str">
        <f ca="1">IFERROR(__xludf.DUMMYFUNCTION("""COMPUTED_VALUE"""),"上架中")</f>
        <v>上架中</v>
      </c>
      <c r="M85" s="12" t="str">
        <f ca="1">IFERROR(__xludf.DUMMYFUNCTION("""COMPUTED_VALUE"""),"CQ2Q only")</f>
        <v>CQ2Q only</v>
      </c>
      <c r="N85" s="12" t="str">
        <f ca="1">IFERROR(__xludf.DUMMYFUNCTION("""COMPUTED_VALUE"""),"螢幕/液晶電視")</f>
        <v>螢幕/液晶電視</v>
      </c>
      <c r="O85" s="12" t="str">
        <f ca="1">IFERROR(__xludf.DUMMYFUNCTION("""COMPUTED_VALUE"""),"黑框+金屬底座")</f>
        <v>黑框+金屬底座</v>
      </c>
      <c r="P85" s="12" t="str">
        <f ca="1">IFERROR(__xludf.DUMMYFUNCTION("""COMPUTED_VALUE"""),"32""/VA平面/4K/聯網")</f>
        <v>32"/VA平面/4K/聯網</v>
      </c>
      <c r="Q85" s="12" t="str">
        <f ca="1">IFERROR(__xludf.DUMMYFUNCTION("""COMPUTED_VALUE"""),"716.1 x 517.0 x 193.5(mm) 含底座")</f>
        <v>716.1 x 517.0 x 193.5(mm) 含底座</v>
      </c>
      <c r="R85" s="12" t="str">
        <f ca="1">IFERROR(__xludf.DUMMYFUNCTION("""COMPUTED_VALUE"""),"大陸")</f>
        <v>大陸</v>
      </c>
      <c r="S85" s="12"/>
      <c r="T85" s="12"/>
      <c r="U85" s="12" t="str">
        <f ca="1">IFERROR(__xludf.DUMMYFUNCTION("""COMPUTED_VALUE"""),"3年")</f>
        <v>3年</v>
      </c>
      <c r="V85" s="12"/>
      <c r="W85" s="12"/>
      <c r="X85" s="12"/>
      <c r="Y85" s="12"/>
      <c r="Z85" s="14"/>
      <c r="AA85" s="15" t="str">
        <f ca="1">IFERROR(__xludf.DUMMYFUNCTION("""COMPUTED_VALUE"""),"*內建 Smart TV 智慧電視功能，串流電影和節目隨選即看 *4K UHD (3840 x 2160) 超清晰畫質 *支援多功能操控，使用一組滑鼠與鍵盤，流暢操控多個螢幕 *配備 USB-C、HDMI 及 USB-A 連接埠 * 太陽能智慧遙控器")</f>
        <v>*內建 Smart TV 智慧電視功能，串流電影和節目隨選即看 *4K UHD (3840 x 2160) 超清晰畫質 *支援多功能操控，使用一組滑鼠與鍵盤，流暢操控多個螢幕 *配備 USB-C、HDMI 及 USB-A 連接埠 * 太陽能智慧遙控器</v>
      </c>
    </row>
    <row r="86" spans="1:27" ht="19.5" customHeight="1">
      <c r="A86" s="12" t="str">
        <f ca="1">IFERROR(__xludf.DUMMYFUNCTION("""COMPUTED_VALUE"""),"HDTV")</f>
        <v>HDTV</v>
      </c>
      <c r="B86" s="12" t="str">
        <f ca="1">IFERROR(__xludf.DUMMYFUNCTION("""COMPUTED_VALUE"""),"順發")</f>
        <v>順發</v>
      </c>
      <c r="C86" s="12" t="str">
        <f ca="1">IFERROR(__xludf.DUMMYFUNCTION("""COMPUTED_VALUE"""),"Samsung")</f>
        <v>Samsung</v>
      </c>
      <c r="D86" s="12" t="str">
        <f ca="1">IFERROR(__xludf.DUMMYFUNCTION("""COMPUTED_VALUE"""),"SAMSUNG 32型4K UHD智慧聯網螢幕S32DM703UC-白(VA)_271G68")</f>
        <v>SAMSUNG 32型4K UHD智慧聯網螢幕S32DM703UC-白(VA)_271G68</v>
      </c>
      <c r="E86" s="12" t="str">
        <f ca="1">IFERROR(__xludf.DUMMYFUNCTION("""COMPUTED_VALUE"""),"S32DM703UC")</f>
        <v>S32DM703UC</v>
      </c>
      <c r="F86" s="12">
        <f ca="1">IFERROR(__xludf.DUMMYFUNCTION("""COMPUTED_VALUE"""),51095858)</f>
        <v>51095858</v>
      </c>
      <c r="G86" s="12" t="str">
        <f ca="1">IFERROR(__xludf.DUMMYFUNCTION("""COMPUTED_VALUE"""),"NCTV01RV")</f>
        <v>NCTV01RV</v>
      </c>
      <c r="H86" s="12">
        <f ca="1">IFERROR(__xludf.DUMMYFUNCTION("""COMPUTED_VALUE"""),9900)</f>
        <v>9900</v>
      </c>
      <c r="I86" s="14">
        <f ca="1">IFERROR(__xludf.DUMMYFUNCTION("""COMPUTED_VALUE"""),9900)</f>
        <v>9900</v>
      </c>
      <c r="J86" s="16">
        <f ca="1">IFERROR(__xludf.DUMMYFUNCTION("""COMPUTED_VALUE"""),45554)</f>
        <v>45554</v>
      </c>
      <c r="K86" s="12" t="str">
        <f ca="1">IFERROR(__xludf.DUMMYFUNCTION("""COMPUTED_VALUE"""),"新機上架")</f>
        <v>新機上架</v>
      </c>
      <c r="L86" s="12" t="str">
        <f ca="1">IFERROR(__xludf.DUMMYFUNCTION("""COMPUTED_VALUE"""),"上架中")</f>
        <v>上架中</v>
      </c>
      <c r="M86" s="12" t="str">
        <f ca="1">IFERROR(__xludf.DUMMYFUNCTION("""COMPUTED_VALUE"""),"CQ2Q only")</f>
        <v>CQ2Q only</v>
      </c>
      <c r="N86" s="12" t="str">
        <f ca="1">IFERROR(__xludf.DUMMYFUNCTION("""COMPUTED_VALUE"""),"螢幕/液晶電視")</f>
        <v>螢幕/液晶電視</v>
      </c>
      <c r="O86" s="12" t="str">
        <f ca="1">IFERROR(__xludf.DUMMYFUNCTION("""COMPUTED_VALUE"""),"白框+金屬底座")</f>
        <v>白框+金屬底座</v>
      </c>
      <c r="P86" s="12" t="str">
        <f ca="1">IFERROR(__xludf.DUMMYFUNCTION("""COMPUTED_VALUE"""),"32""/VA平面/4K/聯網")</f>
        <v>32"/VA平面/4K/聯網</v>
      </c>
      <c r="Q86" s="12" t="str">
        <f ca="1">IFERROR(__xludf.DUMMYFUNCTION("""COMPUTED_VALUE"""),"716.1 x 517.0 x 193.5(mm) 含底座")</f>
        <v>716.1 x 517.0 x 193.5(mm) 含底座</v>
      </c>
      <c r="R86" s="12" t="str">
        <f ca="1">IFERROR(__xludf.DUMMYFUNCTION("""COMPUTED_VALUE"""),"大陸")</f>
        <v>大陸</v>
      </c>
      <c r="S86" s="12"/>
      <c r="T86" s="12"/>
      <c r="U86" s="12" t="str">
        <f ca="1">IFERROR(__xludf.DUMMYFUNCTION("""COMPUTED_VALUE"""),"3年")</f>
        <v>3年</v>
      </c>
      <c r="V86" s="12"/>
      <c r="W86" s="12"/>
      <c r="X86" s="12"/>
      <c r="Y86" s="12"/>
      <c r="Z86" s="14"/>
      <c r="AA86" s="15" t="str">
        <f ca="1">IFERROR(__xludf.DUMMYFUNCTION("""COMPUTED_VALUE"""),"*內建 Smart TV 智慧電視功能，串流電影和節目隨選即看 *4K UHD (3840 x 2160) 超清晰畫質 *支援多功能操控，使用一組滑鼠與鍵盤，流暢操控多個螢幕 *配備 USB-C、HDMI 及 USB-A 連接埠 * 太陽能智慧遙控器")</f>
        <v>*內建 Smart TV 智慧電視功能，串流電影和節目隨選即看 *4K UHD (3840 x 2160) 超清晰畫質 *支援多功能操控，使用一組滑鼠與鍵盤，流暢操控多個螢幕 *配備 USB-C、HDMI 及 USB-A 連接埠 * 太陽能智慧遙控器</v>
      </c>
    </row>
    <row r="87" spans="1:27" ht="19.5" customHeight="1">
      <c r="A87" s="12" t="str">
        <f ca="1">IFERROR(__xludf.DUMMYFUNCTION("""COMPUTED_VALUE"""),"HDTV")</f>
        <v>HDTV</v>
      </c>
      <c r="B87" s="12" t="str">
        <f ca="1">IFERROR(__xludf.DUMMYFUNCTION("""COMPUTED_VALUE"""),"順發")</f>
        <v>順發</v>
      </c>
      <c r="C87" s="12" t="str">
        <f ca="1">IFERROR(__xludf.DUMMYFUNCTION("""COMPUTED_VALUE"""),"Samsung")</f>
        <v>Samsung</v>
      </c>
      <c r="D87" s="12" t="str">
        <f ca="1">IFERROR(__xludf.DUMMYFUNCTION("""COMPUTED_VALUE"""),"SAMSUNG 43型4K UHD智慧聯網螢幕S43DM702UC-黑(VA)_271G66")</f>
        <v>SAMSUNG 43型4K UHD智慧聯網螢幕S43DM702UC-黑(VA)_271G66</v>
      </c>
      <c r="E87" s="12" t="str">
        <f ca="1">IFERROR(__xludf.DUMMYFUNCTION("""COMPUTED_VALUE"""),"S43DM702UC")</f>
        <v>S43DM702UC</v>
      </c>
      <c r="F87" s="12">
        <f ca="1">IFERROR(__xludf.DUMMYFUNCTION("""COMPUTED_VALUE"""),51095859)</f>
        <v>51095859</v>
      </c>
      <c r="G87" s="12" t="str">
        <f ca="1">IFERROR(__xludf.DUMMYFUNCTION("""COMPUTED_VALUE"""),"NCTV01RX")</f>
        <v>NCTV01RX</v>
      </c>
      <c r="H87" s="12">
        <f ca="1">IFERROR(__xludf.DUMMYFUNCTION("""COMPUTED_VALUE"""),13900)</f>
        <v>13900</v>
      </c>
      <c r="I87" s="14">
        <f ca="1">IFERROR(__xludf.DUMMYFUNCTION("""COMPUTED_VALUE"""),13900)</f>
        <v>13900</v>
      </c>
      <c r="J87" s="16">
        <f ca="1">IFERROR(__xludf.DUMMYFUNCTION("""COMPUTED_VALUE"""),45554)</f>
        <v>45554</v>
      </c>
      <c r="K87" s="12" t="str">
        <f ca="1">IFERROR(__xludf.DUMMYFUNCTION("""COMPUTED_VALUE"""),"新機上架")</f>
        <v>新機上架</v>
      </c>
      <c r="L87" s="12" t="str">
        <f ca="1">IFERROR(__xludf.DUMMYFUNCTION("""COMPUTED_VALUE"""),"上架中")</f>
        <v>上架中</v>
      </c>
      <c r="M87" s="12" t="str">
        <f ca="1">IFERROR(__xludf.DUMMYFUNCTION("""COMPUTED_VALUE"""),"CQ2Q only")</f>
        <v>CQ2Q only</v>
      </c>
      <c r="N87" s="12" t="str">
        <f ca="1">IFERROR(__xludf.DUMMYFUNCTION("""COMPUTED_VALUE"""),"螢幕/液晶電視")</f>
        <v>螢幕/液晶電視</v>
      </c>
      <c r="O87" s="12" t="str">
        <f ca="1">IFERROR(__xludf.DUMMYFUNCTION("""COMPUTED_VALUE"""),"黑框+金屬底座")</f>
        <v>黑框+金屬底座</v>
      </c>
      <c r="P87" s="12" t="str">
        <f ca="1">IFERROR(__xludf.DUMMYFUNCTION("""COMPUTED_VALUE"""),"43""/VA平面/4K/聯網")</f>
        <v>43"/VA平面/4K/聯網</v>
      </c>
      <c r="Q87" s="12" t="str">
        <f ca="1">IFERROR(__xludf.DUMMYFUNCTION("""COMPUTED_VALUE"""),"965.5 x 629.3 x 247.2(mm)含底座")</f>
        <v>965.5 x 629.3 x 247.2(mm)含底座</v>
      </c>
      <c r="R87" s="12" t="str">
        <f ca="1">IFERROR(__xludf.DUMMYFUNCTION("""COMPUTED_VALUE"""),"大陸")</f>
        <v>大陸</v>
      </c>
      <c r="S87" s="12"/>
      <c r="T87" s="12"/>
      <c r="U87" s="12" t="str">
        <f ca="1">IFERROR(__xludf.DUMMYFUNCTION("""COMPUTED_VALUE"""),"3年")</f>
        <v>3年</v>
      </c>
      <c r="V87" s="12"/>
      <c r="W87" s="12"/>
      <c r="X87" s="12"/>
      <c r="Y87" s="12"/>
      <c r="Z87" s="14"/>
      <c r="AA87" s="15" t="str">
        <f ca="1">IFERROR(__xludf.DUMMYFUNCTION("""COMPUTED_VALUE"""),"*內建 Smart TV 智慧電視功能，串流電影和節目隨選即看 *4K UHD (3840 x 2160) 超清晰畫質 *支援多功能操控，使用一組滑鼠與鍵盤，流暢操控多個螢幕 *配備 USB-C、HDMI 及 USB-A 連接埠 * 太陽能智慧遙控器")</f>
        <v>*內建 Smart TV 智慧電視功能，串流電影和節目隨選即看 *4K UHD (3840 x 2160) 超清晰畫質 *支援多功能操控，使用一組滑鼠與鍵盤，流暢操控多個螢幕 *配備 USB-C、HDMI 及 USB-A 連接埠 * 太陽能智慧遙控器</v>
      </c>
    </row>
    <row r="88" spans="1:27" ht="19.5" customHeight="1">
      <c r="A88" s="12" t="str">
        <f ca="1">IFERROR(__xludf.DUMMYFUNCTION("""COMPUTED_VALUE"""),"HDTV")</f>
        <v>HDTV</v>
      </c>
      <c r="B88" s="12" t="str">
        <f ca="1">IFERROR(__xludf.DUMMYFUNCTION("""COMPUTED_VALUE"""),"順發")</f>
        <v>順發</v>
      </c>
      <c r="C88" s="12" t="str">
        <f ca="1">IFERROR(__xludf.DUMMYFUNCTION("""COMPUTED_VALUE"""),"Samsung")</f>
        <v>Samsung</v>
      </c>
      <c r="D88" s="12" t="str">
        <f ca="1">IFERROR(__xludf.DUMMYFUNCTION("""COMPUTED_VALUE"""),"SAMSUNG 32型4K UHD智慧聯網螢幕M8 M80D (2024)_LS32DM803UCXZW")</f>
        <v>SAMSUNG 32型4K UHD智慧聯網螢幕M8 M80D (2024)_LS32DM803UCXZW</v>
      </c>
      <c r="E88" s="12" t="str">
        <f ca="1">IFERROR(__xludf.DUMMYFUNCTION("""COMPUTED_VALUE"""),"LS32DM803UCXZW")</f>
        <v>LS32DM803UCXZW</v>
      </c>
      <c r="F88" s="12">
        <f ca="1">IFERROR(__xludf.DUMMYFUNCTION("""COMPUTED_VALUE"""),51095827)</f>
        <v>51095827</v>
      </c>
      <c r="G88" s="12" t="str">
        <f ca="1">IFERROR(__xludf.DUMMYFUNCTION("""COMPUTED_VALUE"""),"NCTV01R2")</f>
        <v>NCTV01R2</v>
      </c>
      <c r="H88" s="12">
        <f ca="1">IFERROR(__xludf.DUMMYFUNCTION("""COMPUTED_VALUE"""),14900)</f>
        <v>14900</v>
      </c>
      <c r="I88" s="14">
        <f ca="1">IFERROR(__xludf.DUMMYFUNCTION("""COMPUTED_VALUE"""),14900)</f>
        <v>14900</v>
      </c>
      <c r="J88" s="12"/>
      <c r="K88" s="12" t="str">
        <f ca="1">IFERROR(__xludf.DUMMYFUNCTION("""COMPUTED_VALUE"""),"新機上架")</f>
        <v>新機上架</v>
      </c>
      <c r="L88" s="12" t="str">
        <f ca="1">IFERROR(__xludf.DUMMYFUNCTION("""COMPUTED_VALUE"""),"上架中")</f>
        <v>上架中</v>
      </c>
      <c r="M88" s="12" t="str">
        <f ca="1">IFERROR(__xludf.DUMMYFUNCTION("""COMPUTED_VALUE"""),"CQ2Q only")</f>
        <v>CQ2Q only</v>
      </c>
      <c r="N88" s="12" t="str">
        <f ca="1">IFERROR(__xludf.DUMMYFUNCTION("""COMPUTED_VALUE"""),"螢幕/液晶電視")</f>
        <v>螢幕/液晶電視</v>
      </c>
      <c r="O88" s="12" t="str">
        <f ca="1">IFERROR(__xludf.DUMMYFUNCTION("""COMPUTED_VALUE"""),"白")</f>
        <v>白</v>
      </c>
      <c r="P88" s="12" t="str">
        <f ca="1">IFERROR(__xludf.DUMMYFUNCTION("""COMPUTED_VALUE"""),"32""/VA平面/4K/智慧聯網")</f>
        <v>32"/VA平面/4K/智慧聯網</v>
      </c>
      <c r="Q88" s="12" t="str">
        <f ca="1">IFERROR(__xludf.DUMMYFUNCTION("""COMPUTED_VALUE"""),"713.4 x 616.2 x 200.1mm 含底座")</f>
        <v>713.4 x 616.2 x 200.1mm 含底座</v>
      </c>
      <c r="R88" s="12" t="str">
        <f ca="1">IFERROR(__xludf.DUMMYFUNCTION("""COMPUTED_VALUE"""),"大陸")</f>
        <v>大陸</v>
      </c>
      <c r="S88" s="12"/>
      <c r="T88" s="12"/>
      <c r="U88" s="12" t="str">
        <f ca="1">IFERROR(__xludf.DUMMYFUNCTION("""COMPUTED_VALUE"""),"3年")</f>
        <v>3年</v>
      </c>
      <c r="V88" s="12"/>
      <c r="W88" s="12"/>
      <c r="X88" s="12"/>
      <c r="Y88" s="12"/>
      <c r="Z88" s="14"/>
      <c r="AA88" s="15" t="str">
        <f ca="1">IFERROR(__xludf.DUMMYFUNCTION("""COMPUTED_VALUE"""),"32""/VA平面/4K/智慧聯網")</f>
        <v>32"/VA平面/4K/智慧聯網</v>
      </c>
    </row>
    <row r="89" spans="1:27" ht="19.5" customHeight="1">
      <c r="A89" s="12" t="str">
        <f ca="1">IFERROR(__xludf.DUMMYFUNCTION("""COMPUTED_VALUE"""),"HDTV")</f>
        <v>HDTV</v>
      </c>
      <c r="B89" s="12" t="str">
        <f ca="1">IFERROR(__xludf.DUMMYFUNCTION("""COMPUTED_VALUE"""),"順發")</f>
        <v>順發</v>
      </c>
      <c r="C89" s="12" t="str">
        <f ca="1">IFERROR(__xludf.DUMMYFUNCTION("""COMPUTED_VALUE"""),"BENQ")</f>
        <v>BENQ</v>
      </c>
      <c r="D89" s="12" t="str">
        <f ca="1">IFERROR(__xludf.DUMMYFUNCTION("""COMPUTED_VALUE"""),"BENQ 24型GW2490光智慧護眼螢幕100Hz(IPS )_271B03")</f>
        <v>BENQ 24型GW2490光智慧護眼螢幕100Hz(IPS )_271B03</v>
      </c>
      <c r="E89" s="12" t="str">
        <f ca="1">IFERROR(__xludf.DUMMYFUNCTION("""COMPUTED_VALUE"""),"GW2490")</f>
        <v>GW2490</v>
      </c>
      <c r="F89" s="12">
        <f ca="1">IFERROR(__xludf.DUMMYFUNCTION("""COMPUTED_VALUE"""),51095767)</f>
        <v>51095767</v>
      </c>
      <c r="G89" s="12" t="str">
        <f ca="1">IFERROR(__xludf.DUMMYFUNCTION("""COMPUTED_VALUE"""),"NCTV01O4")</f>
        <v>NCTV01O4</v>
      </c>
      <c r="H89" s="13">
        <f ca="1">IFERROR(__xludf.DUMMYFUNCTION("""COMPUTED_VALUE"""),3488)</f>
        <v>3488</v>
      </c>
      <c r="I89" s="18">
        <f ca="1">IFERROR(__xludf.DUMMYFUNCTION("""COMPUTED_VALUE"""),2988)</f>
        <v>2988</v>
      </c>
      <c r="J89" s="16">
        <f ca="1">IFERROR(__xludf.DUMMYFUNCTION("""COMPUTED_VALUE"""),45659)</f>
        <v>45659</v>
      </c>
      <c r="K89" s="12" t="str">
        <f ca="1">IFERROR(__xludf.DUMMYFUNCTION("""COMPUTED_VALUE"""),"永久降價")</f>
        <v>永久降價</v>
      </c>
      <c r="L89" s="12" t="str">
        <f ca="1">IFERROR(__xludf.DUMMYFUNCTION("""COMPUTED_VALUE"""),"上架中")</f>
        <v>上架中</v>
      </c>
      <c r="M89" s="12" t="str">
        <f ca="1">IFERROR(__xludf.DUMMYFUNCTION("""COMPUTED_VALUE"""),"CQ2Q only")</f>
        <v>CQ2Q only</v>
      </c>
      <c r="N89" s="12" t="str">
        <f ca="1">IFERROR(__xludf.DUMMYFUNCTION("""COMPUTED_VALUE"""),"螢幕/液晶電視")</f>
        <v>螢幕/液晶電視</v>
      </c>
      <c r="O89" s="12" t="str">
        <f ca="1">IFERROR(__xludf.DUMMYFUNCTION("""COMPUTED_VALUE"""),"黑色")</f>
        <v>黑色</v>
      </c>
      <c r="P89" s="12" t="str">
        <f ca="1">IFERROR(__xludf.DUMMYFUNCTION("""COMPUTED_VALUE"""),"24型")</f>
        <v>24型</v>
      </c>
      <c r="Q89" s="12" t="str">
        <f ca="1">IFERROR(__xludf.DUMMYFUNCTION("""COMPUTED_VALUE"""),"408x540x182(mm) 含底座")</f>
        <v>408x540x182(mm) 含底座</v>
      </c>
      <c r="R89" s="12" t="str">
        <f ca="1">IFERROR(__xludf.DUMMYFUNCTION("""COMPUTED_VALUE"""),"大陸")</f>
        <v>大陸</v>
      </c>
      <c r="S89" s="12"/>
      <c r="T89" s="12"/>
      <c r="U89" s="12" t="str">
        <f ca="1">IFERROR(__xludf.DUMMYFUNCTION("""COMPUTED_VALUE"""),"3年")</f>
        <v>3年</v>
      </c>
      <c r="V89" s="12"/>
      <c r="W89" s="12"/>
      <c r="X89" s="12"/>
      <c r="Y89" s="12"/>
      <c r="Z89" s="14"/>
      <c r="AA89" s="15" t="str">
        <f ca="1">IFERROR(__xludf.DUMMYFUNCTION("""COMPUTED_VALUE"""),"*獨家專利可調式光智慧護眼技術 *TÜV 德國萊茵認證 eyesafe 2.0 *流暢觀影~100Hz 無殘影動態影像 *獨家 Coding 模式 *電子紙模式")</f>
        <v>*獨家專利可調式光智慧護眼技術 *TÜV 德國萊茵認證 eyesafe 2.0 *流暢觀影~100Hz 無殘影動態影像 *獨家 Coding 模式 *電子紙模式</v>
      </c>
    </row>
    <row r="90" spans="1:27" ht="19.5" customHeight="1">
      <c r="A90" s="12" t="str">
        <f ca="1">IFERROR(__xludf.DUMMYFUNCTION("""COMPUTED_VALUE"""),"HDTV")</f>
        <v>HDTV</v>
      </c>
      <c r="B90" s="12" t="str">
        <f ca="1">IFERROR(__xludf.DUMMYFUNCTION("""COMPUTED_VALUE"""),"順發")</f>
        <v>順發</v>
      </c>
      <c r="C90" s="12" t="str">
        <f ca="1">IFERROR(__xludf.DUMMYFUNCTION("""COMPUTED_VALUE"""),"BENQ")</f>
        <v>BENQ</v>
      </c>
      <c r="D90" s="12" t="str">
        <f ca="1">IFERROR(__xludf.DUMMYFUNCTION("""COMPUTED_VALUE"""),"BENQ 27型GW2790光智慧護眼螢幕100Hz(IPS)_271B04")</f>
        <v>BENQ 27型GW2790光智慧護眼螢幕100Hz(IPS)_271B04</v>
      </c>
      <c r="E90" s="12" t="str">
        <f ca="1">IFERROR(__xludf.DUMMYFUNCTION("""COMPUTED_VALUE"""),"GW2790")</f>
        <v>GW2790</v>
      </c>
      <c r="F90" s="12">
        <f ca="1">IFERROR(__xludf.DUMMYFUNCTION("""COMPUTED_VALUE"""),51095768)</f>
        <v>51095768</v>
      </c>
      <c r="G90" s="12" t="str">
        <f ca="1">IFERROR(__xludf.DUMMYFUNCTION("""COMPUTED_VALUE"""),"NCTV01O5")</f>
        <v>NCTV01O5</v>
      </c>
      <c r="H90" s="13">
        <f ca="1">IFERROR(__xludf.DUMMYFUNCTION("""COMPUTED_VALUE"""),4588)</f>
        <v>4588</v>
      </c>
      <c r="I90" s="18">
        <f ca="1">IFERROR(__xludf.DUMMYFUNCTION("""COMPUTED_VALUE"""),4088)</f>
        <v>4088</v>
      </c>
      <c r="J90" s="16">
        <f ca="1">IFERROR(__xludf.DUMMYFUNCTION("""COMPUTED_VALUE"""),45364)</f>
        <v>45364</v>
      </c>
      <c r="K90" s="12" t="str">
        <f ca="1">IFERROR(__xludf.DUMMYFUNCTION("""COMPUTED_VALUE"""),"新機上架")</f>
        <v>新機上架</v>
      </c>
      <c r="L90" s="12" t="str">
        <f ca="1">IFERROR(__xludf.DUMMYFUNCTION("""COMPUTED_VALUE"""),"上架中")</f>
        <v>上架中</v>
      </c>
      <c r="M90" s="12" t="str">
        <f ca="1">IFERROR(__xludf.DUMMYFUNCTION("""COMPUTED_VALUE"""),"CQ2Q only")</f>
        <v>CQ2Q only</v>
      </c>
      <c r="N90" s="12" t="str">
        <f ca="1">IFERROR(__xludf.DUMMYFUNCTION("""COMPUTED_VALUE"""),"螢幕/液晶電視")</f>
        <v>螢幕/液晶電視</v>
      </c>
      <c r="O90" s="12" t="str">
        <f ca="1">IFERROR(__xludf.DUMMYFUNCTION("""COMPUTED_VALUE"""),"黑色")</f>
        <v>黑色</v>
      </c>
      <c r="P90" s="12" t="str">
        <f ca="1">IFERROR(__xludf.DUMMYFUNCTION("""COMPUTED_VALUE"""),"24型")</f>
        <v>24型</v>
      </c>
      <c r="Q90" s="12" t="str">
        <f ca="1">IFERROR(__xludf.DUMMYFUNCTION("""COMPUTED_VALUE"""),"449x612x182(mm) 含底座")</f>
        <v>449x612x182(mm) 含底座</v>
      </c>
      <c r="R90" s="12" t="str">
        <f ca="1">IFERROR(__xludf.DUMMYFUNCTION("""COMPUTED_VALUE"""),"大陸")</f>
        <v>大陸</v>
      </c>
      <c r="S90" s="12"/>
      <c r="T90" s="12"/>
      <c r="U90" s="12" t="str">
        <f ca="1">IFERROR(__xludf.DUMMYFUNCTION("""COMPUTED_VALUE"""),"3年")</f>
        <v>3年</v>
      </c>
      <c r="V90" s="12"/>
      <c r="W90" s="12"/>
      <c r="X90" s="12"/>
      <c r="Y90" s="12"/>
      <c r="Z90" s="14"/>
      <c r="AA90" s="15" t="str">
        <f ca="1">IFERROR(__xludf.DUMMYFUNCTION("""COMPUTED_VALUE"""),"*獨家專利可調式光智慧護眼技術 *TÜV 德國萊茵認證 eyesafe 2.0 *流暢觀影~100Hz 無殘影動態影像 *獨家 Coding 模式 *電子紙模式")</f>
        <v>*獨家專利可調式光智慧護眼技術 *TÜV 德國萊茵認證 eyesafe 2.0 *流暢觀影~100Hz 無殘影動態影像 *獨家 Coding 模式 *電子紙模式</v>
      </c>
    </row>
    <row r="91" spans="1:27" ht="19.5" customHeight="1">
      <c r="A91" s="12" t="str">
        <f ca="1">IFERROR(__xludf.DUMMYFUNCTION("""COMPUTED_VALUE"""),"HDTV")</f>
        <v>HDTV</v>
      </c>
      <c r="B91" s="12" t="str">
        <f ca="1">IFERROR(__xludf.DUMMYFUNCTION("""COMPUTED_VALUE"""),"順發")</f>
        <v>順發</v>
      </c>
      <c r="C91" s="12" t="str">
        <f ca="1">IFERROR(__xludf.DUMMYFUNCTION("""COMPUTED_VALUE"""),"ViewSonic")</f>
        <v>ViewSonic</v>
      </c>
      <c r="D91" s="12" t="str">
        <f ca="1">IFERROR(__xludf.DUMMYFUNCTION("""COMPUTED_VALUE"""),"ViewSonic 24型多媒體廣視角螢幕VA2432-MHD-100HZ")</f>
        <v>ViewSonic 24型多媒體廣視角螢幕VA2432-MHD-100HZ</v>
      </c>
      <c r="E91" s="12" t="str">
        <f ca="1">IFERROR(__xludf.DUMMYFUNCTION("""COMPUTED_VALUE"""),"VA2432-MHD")</f>
        <v>VA2432-MHD</v>
      </c>
      <c r="F91" s="12">
        <f ca="1">IFERROR(__xludf.DUMMYFUNCTION("""COMPUTED_VALUE"""),51095813)</f>
        <v>51095813</v>
      </c>
      <c r="G91" s="12" t="str">
        <f ca="1">IFERROR(__xludf.DUMMYFUNCTION("""COMPUTED_VALUE"""),"NCTV01PN")</f>
        <v>NCTV01PN</v>
      </c>
      <c r="H91" s="13">
        <f ca="1">IFERROR(__xludf.DUMMYFUNCTION("""COMPUTED_VALUE"""),3088)</f>
        <v>3088</v>
      </c>
      <c r="I91" s="18">
        <f ca="1">IFERROR(__xludf.DUMMYFUNCTION("""COMPUTED_VALUE"""),2988)</f>
        <v>2988</v>
      </c>
      <c r="J91" s="16">
        <f ca="1">IFERROR(__xludf.DUMMYFUNCTION("""COMPUTED_VALUE"""),45502)</f>
        <v>45502</v>
      </c>
      <c r="K91" s="12" t="str">
        <f ca="1">IFERROR(__xludf.DUMMYFUNCTION("""COMPUTED_VALUE"""),"新機上架")</f>
        <v>新機上架</v>
      </c>
      <c r="L91" s="12" t="str">
        <f ca="1">IFERROR(__xludf.DUMMYFUNCTION("""COMPUTED_VALUE"""),"上架中")</f>
        <v>上架中</v>
      </c>
      <c r="M91" s="12" t="str">
        <f ca="1">IFERROR(__xludf.DUMMYFUNCTION("""COMPUTED_VALUE"""),"CQ2Q only")</f>
        <v>CQ2Q only</v>
      </c>
      <c r="N91" s="12" t="str">
        <f ca="1">IFERROR(__xludf.DUMMYFUNCTION("""COMPUTED_VALUE"""),"螢幕/液晶電視")</f>
        <v>螢幕/液晶電視</v>
      </c>
      <c r="O91" s="12" t="str">
        <f ca="1">IFERROR(__xludf.DUMMYFUNCTION("""COMPUTED_VALUE"""),"黑")</f>
        <v>黑</v>
      </c>
      <c r="P91" s="12" t="str">
        <f ca="1">IFERROR(__xludf.DUMMYFUNCTION("""COMPUTED_VALUE"""),"23.8""/IPS平面/100HZ")</f>
        <v>23.8"/IPS平面/100HZ</v>
      </c>
      <c r="Q91" s="12" t="str">
        <f ca="1">IFERROR(__xludf.DUMMYFUNCTION("""COMPUTED_VALUE"""),"540 x 406 x 185mm 含底座")</f>
        <v>540 x 406 x 185mm 含底座</v>
      </c>
      <c r="R91" s="12" t="str">
        <f ca="1">IFERROR(__xludf.DUMMYFUNCTION("""COMPUTED_VALUE"""),"大陸")</f>
        <v>大陸</v>
      </c>
      <c r="S91" s="12"/>
      <c r="T91" s="12"/>
      <c r="U91" s="12" t="str">
        <f ca="1">IFERROR(__xludf.DUMMYFUNCTION("""COMPUTED_VALUE"""),"3年")</f>
        <v>3年</v>
      </c>
      <c r="V91" s="12"/>
      <c r="W91" s="12"/>
      <c r="X91" s="12"/>
      <c r="Y91" s="12"/>
      <c r="Z91" s="14"/>
      <c r="AA91" s="15" t="str">
        <f ca="1">IFERROR(__xludf.DUMMYFUNCTION("""COMPUTED_VALUE"""),"*SuperClear® IPS 面板，具備 Full HD 1080p 解析度 *100Hz 可變更新率，提供流暢視覺效果 *1 毫秒反應時間 *護眼技術帶來舒適的觀賞體驗 *配備 Display Port、HDMI 和 VGA 輸入，提供多元連接")</f>
        <v>*SuperClear® IPS 面板，具備 Full HD 1080p 解析度 *100Hz 可變更新率，提供流暢視覺效果 *1 毫秒反應時間 *護眼技術帶來舒適的觀賞體驗 *配備 Display Port、HDMI 和 VGA 輸入，提供多元連接</v>
      </c>
    </row>
    <row r="92" spans="1:27" ht="19.5" customHeight="1">
      <c r="A92" s="12" t="str">
        <f ca="1">IFERROR(__xludf.DUMMYFUNCTION("""COMPUTED_VALUE"""),"HDTV")</f>
        <v>HDTV</v>
      </c>
      <c r="B92" s="12" t="str">
        <f ca="1">IFERROR(__xludf.DUMMYFUNCTION("""COMPUTED_VALUE"""),"順發")</f>
        <v>順發</v>
      </c>
      <c r="C92" s="12" t="str">
        <f ca="1">IFERROR(__xludf.DUMMYFUNCTION("""COMPUTED_VALUE"""),"ViewSonic")</f>
        <v>ViewSonic</v>
      </c>
      <c r="D92" s="12" t="str">
        <f ca="1">IFERROR(__xludf.DUMMYFUNCTION("""COMPUTED_VALUE"""),"ViewSonic 27型窄邊IPS護眼螢幕VA2732-MH-100Hz_271D75")</f>
        <v>ViewSonic 27型窄邊IPS護眼螢幕VA2732-MH-100Hz_271D75</v>
      </c>
      <c r="E92" s="12" t="str">
        <f ca="1">IFERROR(__xludf.DUMMYFUNCTION("""COMPUTED_VALUE"""),"VA2732-MH-100Hz")</f>
        <v>VA2732-MH-100Hz</v>
      </c>
      <c r="F92" s="12">
        <f ca="1">IFERROR(__xludf.DUMMYFUNCTION("""COMPUTED_VALUE"""),51095876)</f>
        <v>51095876</v>
      </c>
      <c r="G92" s="12" t="str">
        <f ca="1">IFERROR(__xludf.DUMMYFUNCTION("""COMPUTED_VALUE"""),"NCTV01TP")</f>
        <v>NCTV01TP</v>
      </c>
      <c r="H92" s="13">
        <f ca="1">IFERROR(__xludf.DUMMYFUNCTION("""COMPUTED_VALUE"""),3288)</f>
        <v>3288</v>
      </c>
      <c r="I92" s="18">
        <f ca="1">IFERROR(__xludf.DUMMYFUNCTION("""COMPUTED_VALUE"""),3288)</f>
        <v>3288</v>
      </c>
      <c r="J92" s="16">
        <f ca="1">IFERROR(__xludf.DUMMYFUNCTION("""COMPUTED_VALUE"""),45598)</f>
        <v>45598</v>
      </c>
      <c r="K92" s="12" t="str">
        <f ca="1">IFERROR(__xludf.DUMMYFUNCTION("""COMPUTED_VALUE"""),"新機上架")</f>
        <v>新機上架</v>
      </c>
      <c r="L92" s="12" t="str">
        <f ca="1">IFERROR(__xludf.DUMMYFUNCTION("""COMPUTED_VALUE"""),"上架中")</f>
        <v>上架中</v>
      </c>
      <c r="M92" s="12" t="str">
        <f ca="1">IFERROR(__xludf.DUMMYFUNCTION("""COMPUTED_VALUE"""),"CQ2Q only")</f>
        <v>CQ2Q only</v>
      </c>
      <c r="N92" s="12" t="str">
        <f ca="1">IFERROR(__xludf.DUMMYFUNCTION("""COMPUTED_VALUE"""),"螢幕/液晶電視")</f>
        <v>螢幕/液晶電視</v>
      </c>
      <c r="O92" s="12" t="str">
        <f ca="1">IFERROR(__xludf.DUMMYFUNCTION("""COMPUTED_VALUE"""),"黑")</f>
        <v>黑</v>
      </c>
      <c r="P92" s="12" t="str">
        <f ca="1">IFERROR(__xludf.DUMMYFUNCTION("""COMPUTED_VALUE"""),"27""/IPS平面/100Hz/内建喇叭")</f>
        <v>27"/IPS平面/100Hz/内建喇叭</v>
      </c>
      <c r="Q92" s="12" t="str">
        <f ca="1">IFERROR(__xludf.DUMMYFUNCTION("""COMPUTED_VALUE"""),"615 x 458 x 225mm")</f>
        <v>615 x 458 x 225mm</v>
      </c>
      <c r="R92" s="12" t="str">
        <f ca="1">IFERROR(__xludf.DUMMYFUNCTION("""COMPUTED_VALUE"""),"大陸")</f>
        <v>大陸</v>
      </c>
      <c r="S92" s="12"/>
      <c r="T92" s="12"/>
      <c r="U92" s="12" t="str">
        <f ca="1">IFERROR(__xludf.DUMMYFUNCTION("""COMPUTED_VALUE"""),"3年")</f>
        <v>3年</v>
      </c>
      <c r="V92" s="12"/>
      <c r="W92" s="12"/>
      <c r="X92" s="12"/>
      <c r="Y92" s="12"/>
      <c r="Z92" s="14"/>
      <c r="AA92" s="15" t="str">
        <f ca="1">IFERROR(__xludf.DUMMYFUNCTION("""COMPUTED_VALUE"""),"*SuperClear® IPS 面板*Full HD 1080p 解析度*100Hz 可變更新率提供流暢的視覺效果*1ms (MPRT) 反應時間*護眼技術抗藍光、零閃屏提供舒適觀賞體驗")</f>
        <v>*SuperClear® IPS 面板*Full HD 1080p 解析度*100Hz 可變更新率提供流暢的視覺效果*1ms (MPRT) 反應時間*護眼技術抗藍光、零閃屏提供舒適觀賞體驗</v>
      </c>
    </row>
    <row r="93" spans="1:27" ht="19.5" customHeight="1">
      <c r="A93" s="12" t="str">
        <f ca="1">IFERROR(__xludf.DUMMYFUNCTION("""COMPUTED_VALUE"""),"3C")</f>
        <v>3C</v>
      </c>
      <c r="B93" s="12" t="str">
        <f ca="1">IFERROR(__xludf.DUMMYFUNCTION("""COMPUTED_VALUE"""),"順發")</f>
        <v>順發</v>
      </c>
      <c r="C93" s="12" t="str">
        <f ca="1">IFERROR(__xludf.DUMMYFUNCTION("""COMPUTED_VALUE"""),"ASUS")</f>
        <v>ASUS</v>
      </c>
      <c r="D93" s="12" t="str">
        <f ca="1">IFERROR(__xludf.DUMMYFUNCTION("""COMPUTED_VALUE"""),"ASUS TUF-BE3600 雙頻 WiFi 7 電競路由器_289191")</f>
        <v>ASUS TUF-BE3600 雙頻 WiFi 7 電競路由器_289191</v>
      </c>
      <c r="E93" s="12" t="str">
        <f ca="1">IFERROR(__xludf.DUMMYFUNCTION("""COMPUTED_VALUE"""),"TUF-BE3600")</f>
        <v>TUF-BE3600</v>
      </c>
      <c r="F93" s="12">
        <f ca="1">IFERROR(__xludf.DUMMYFUNCTION("""COMPUTED_VALUE"""),51095931)</f>
        <v>51095931</v>
      </c>
      <c r="G93" s="12" t="str">
        <f ca="1">IFERROR(__xludf.DUMMYFUNCTION("""COMPUTED_VALUE"""),"IGEM1195")</f>
        <v>IGEM1195</v>
      </c>
      <c r="H93" s="13">
        <f ca="1">IFERROR(__xludf.DUMMYFUNCTION("""COMPUTED_VALUE"""),4599)</f>
        <v>4599</v>
      </c>
      <c r="I93" s="18">
        <f ca="1">IFERROR(__xludf.DUMMYFUNCTION("""COMPUTED_VALUE"""),4599)</f>
        <v>4599</v>
      </c>
      <c r="J93" s="16">
        <f ca="1">IFERROR(__xludf.DUMMYFUNCTION("""COMPUTED_VALUE"""),45671)</f>
        <v>45671</v>
      </c>
      <c r="K93" s="12" t="str">
        <f ca="1">IFERROR(__xludf.DUMMYFUNCTION("""COMPUTED_VALUE"""),"新機上架")</f>
        <v>新機上架</v>
      </c>
      <c r="L93" s="12" t="str">
        <f ca="1">IFERROR(__xludf.DUMMYFUNCTION("""COMPUTED_VALUE"""),"上架中")</f>
        <v>上架中</v>
      </c>
      <c r="M93" s="12" t="str">
        <f ca="1">IFERROR(__xludf.DUMMYFUNCTION("""COMPUTED_VALUE"""),"2025/1/14上架")</f>
        <v>2025/1/14上架</v>
      </c>
      <c r="N93" s="12" t="str">
        <f ca="1">IFERROR(__xludf.DUMMYFUNCTION("""COMPUTED_VALUE"""),"無線路由器")</f>
        <v>無線路由器</v>
      </c>
      <c r="O93" s="12" t="str">
        <f ca="1">IFERROR(__xludf.DUMMYFUNCTION("""COMPUTED_VALUE"""),"黑")</f>
        <v>黑</v>
      </c>
      <c r="P93" s="12" t="str">
        <f ca="1">IFERROR(__xludf.DUMMYFUNCTION("""COMPUTED_VALUE"""),"BE3600 ultimate BE performance : 688+2882 Mbps
561g")</f>
        <v>BE3600 ultimate BE performance : 688+2882 Mbps
561g</v>
      </c>
      <c r="Q93" s="12" t="str">
        <f ca="1">IFERROR(__xludf.DUMMYFUNCTION("""COMPUTED_VALUE"""),"274 x 168 x 205 mm")</f>
        <v>274 x 168 x 205 mm</v>
      </c>
      <c r="R93" s="12" t="str">
        <f ca="1">IFERROR(__xludf.DUMMYFUNCTION("""COMPUTED_VALUE"""),"中國")</f>
        <v>中國</v>
      </c>
      <c r="S93" s="12"/>
      <c r="T93" s="12"/>
      <c r="U93" s="12" t="str">
        <f ca="1">IFERROR(__xludf.DUMMYFUNCTION("""COMPUTED_VALUE"""),"主機3年，
 變壓器/電源線/天線一年")</f>
        <v>主機3年，
 變壓器/電源線/天線一年</v>
      </c>
      <c r="V93" s="12"/>
      <c r="W93" s="12"/>
      <c r="X93" s="12"/>
      <c r="Y93" s="12"/>
      <c r="Z93" s="14"/>
      <c r="AA93" s="15" t="str">
        <f ca="1">IFERROR(__xludf.DUMMYFUNCTION("""COMPUTED_VALUE"""),"配備強大的 Broadcom 全新晶片，擁有超高運算速度、3 步驟連接埠轉送、AiMesh 技術打造可擴充WiFi，以及適用於網路安全性的 AiProtection Pro。")</f>
        <v>配備強大的 Broadcom 全新晶片，擁有超高運算速度、3 步驟連接埠轉送、AiMesh 技術打造可擴充WiFi，以及適用於網路安全性的 AiProtection Pro。</v>
      </c>
    </row>
    <row r="94" spans="1:27" ht="19.5" customHeight="1">
      <c r="A94" s="12" t="str">
        <f ca="1">IFERROR(__xludf.DUMMYFUNCTION("""COMPUTED_VALUE"""),"3C")</f>
        <v>3C</v>
      </c>
      <c r="B94" s="12" t="str">
        <f ca="1">IFERROR(__xludf.DUMMYFUNCTION("""COMPUTED_VALUE"""),"順發")</f>
        <v>順發</v>
      </c>
      <c r="C94" s="12" t="str">
        <f ca="1">IFERROR(__xludf.DUMMYFUNCTION("""COMPUTED_VALUE"""),"ASUS")</f>
        <v>ASUS</v>
      </c>
      <c r="D94" s="12" t="str">
        <f ca="1">IFERROR(__xludf.DUMMYFUNCTION("""COMPUTED_VALUE"""),"ASUS RT-BE86U BE6800 WiFi7 雙頻電競路由器_289D50")</f>
        <v>ASUS RT-BE86U BE6800 WiFi7 雙頻電競路由器_289D50</v>
      </c>
      <c r="E94" s="12" t="str">
        <f ca="1">IFERROR(__xludf.DUMMYFUNCTION("""COMPUTED_VALUE"""),"RT-BE86U")</f>
        <v>RT-BE86U</v>
      </c>
      <c r="F94" s="12">
        <f ca="1">IFERROR(__xludf.DUMMYFUNCTION("""COMPUTED_VALUE"""),51095932)</f>
        <v>51095932</v>
      </c>
      <c r="G94" s="12" t="str">
        <f ca="1">IFERROR(__xludf.DUMMYFUNCTION("""COMPUTED_VALUE"""),"IGEM1196")</f>
        <v>IGEM1196</v>
      </c>
      <c r="H94" s="13">
        <f ca="1">IFERROR(__xludf.DUMMYFUNCTION("""COMPUTED_VALUE"""),7690)</f>
        <v>7690</v>
      </c>
      <c r="I94" s="18">
        <f ca="1">IFERROR(__xludf.DUMMYFUNCTION("""COMPUTED_VALUE"""),7690)</f>
        <v>7690</v>
      </c>
      <c r="J94" s="16">
        <f ca="1">IFERROR(__xludf.DUMMYFUNCTION("""COMPUTED_VALUE"""),45696)</f>
        <v>45696</v>
      </c>
      <c r="K94" s="12" t="str">
        <f ca="1">IFERROR(__xludf.DUMMYFUNCTION("""COMPUTED_VALUE"""),"回價")</f>
        <v>回價</v>
      </c>
      <c r="L94" s="12" t="str">
        <f ca="1">IFERROR(__xludf.DUMMYFUNCTION("""COMPUTED_VALUE"""),"上架中")</f>
        <v>上架中</v>
      </c>
      <c r="M94" s="12" t="str">
        <f ca="1">IFERROR(__xludf.DUMMYFUNCTION("""COMPUTED_VALUE"""),"2025/2/8回價2025/1/14上架")</f>
        <v>2025/2/8回價2025/1/14上架</v>
      </c>
      <c r="N94" s="12" t="str">
        <f ca="1">IFERROR(__xludf.DUMMYFUNCTION("""COMPUTED_VALUE"""),"無線路由器")</f>
        <v>無線路由器</v>
      </c>
      <c r="O94" s="12" t="str">
        <f ca="1">IFERROR(__xludf.DUMMYFUNCTION("""COMPUTED_VALUE"""),"黑")</f>
        <v>黑</v>
      </c>
      <c r="P94" s="12" t="str">
        <f ca="1">IFERROR(__xludf.DUMMYFUNCTION("""COMPUTED_VALUE"""),"BE6800 ultimate BE performance : 1032+5764 Mbps
854g")</f>
        <v>BE6800 ultimate BE performance : 1032+5764 Mbps
854g</v>
      </c>
      <c r="Q94" s="12" t="str">
        <f ca="1">IFERROR(__xludf.DUMMYFUNCTION("""COMPUTED_VALUE"""),"235 x 90 x 316 mm")</f>
        <v>235 x 90 x 316 mm</v>
      </c>
      <c r="R94" s="12" t="str">
        <f ca="1">IFERROR(__xludf.DUMMYFUNCTION("""COMPUTED_VALUE"""),"越南")</f>
        <v>越南</v>
      </c>
      <c r="S94" s="12"/>
      <c r="T94" s="12"/>
      <c r="U94" s="12" t="str">
        <f ca="1">IFERROR(__xludf.DUMMYFUNCTION("""COMPUTED_VALUE"""),"主機3年，
 變壓器/電源線/天線一年")</f>
        <v>主機3年，
 變壓器/電源線/天線一年</v>
      </c>
      <c r="V94" s="12"/>
      <c r="W94" s="12"/>
      <c r="X94" s="12"/>
      <c r="Y94" s="12"/>
      <c r="Z94" s="14"/>
      <c r="AA94" s="15" t="str">
        <f ca="1">IFERROR(__xludf.DUMMYFUNCTION("""COMPUTED_VALUE"""),"搭載新一代 WiFi 7，可為您的連網生活提供 6800 Mbps 的超快雙頻網路速度。RT-BE86U 配備 20G 的怪物級網路總容量，並透過一個 10G WAN/LAN 連接埠和高達四個 2.5G LAN 連接埠，解鎖頂尖 10G 網路。")</f>
        <v>搭載新一代 WiFi 7，可為您的連網生活提供 6800 Mbps 的超快雙頻網路速度。RT-BE86U 配備 20G 的怪物級網路總容量，並透過一個 10G WAN/LAN 連接埠和高達四個 2.5G LAN 連接埠，解鎖頂尖 10G 網路。</v>
      </c>
    </row>
    <row r="95" spans="1:27" ht="19.5" customHeight="1">
      <c r="A95" s="12" t="str">
        <f ca="1">IFERROR(__xludf.DUMMYFUNCTION("""COMPUTED_VALUE"""),"3C")</f>
        <v>3C</v>
      </c>
      <c r="B95" s="12" t="str">
        <f ca="1">IFERROR(__xludf.DUMMYFUNCTION("""COMPUTED_VALUE"""),"展碁")</f>
        <v>展碁</v>
      </c>
      <c r="C95" s="12" t="str">
        <f ca="1">IFERROR(__xludf.DUMMYFUNCTION("""COMPUTED_VALUE"""),"任天堂")</f>
        <v>任天堂</v>
      </c>
      <c r="D95" s="12" t="str">
        <f ca="1">IFERROR(__xludf.DUMMYFUNCTION("""COMPUTED_VALUE"""),"Switch遊戲片-明星大亂鬥特別版")</f>
        <v>Switch遊戲片-明星大亂鬥特別版</v>
      </c>
      <c r="E95" s="12" t="str">
        <f ca="1">IFERROR(__xludf.DUMMYFUNCTION("""COMPUTED_VALUE"""),"HAC-P-AAABA-CHT")</f>
        <v>HAC-P-AAABA-CHT</v>
      </c>
      <c r="F95" s="12">
        <f ca="1">IFERROR(__xludf.DUMMYFUNCTION("""COMPUTED_VALUE"""),51091076)</f>
        <v>51091076</v>
      </c>
      <c r="G95" s="12" t="str">
        <f ca="1">IFERROR(__xludf.DUMMYFUNCTION("""COMPUTED_VALUE"""),"IGEM00YA")</f>
        <v>IGEM00YA</v>
      </c>
      <c r="H95" s="12">
        <f ca="1">IFERROR(__xludf.DUMMYFUNCTION("""COMPUTED_VALUE"""),1690)</f>
        <v>1690</v>
      </c>
      <c r="I95" s="14">
        <f ca="1">IFERROR(__xludf.DUMMYFUNCTION("""COMPUTED_VALUE"""),1550)</f>
        <v>1550</v>
      </c>
      <c r="J95" s="12"/>
      <c r="K95" s="12"/>
      <c r="L95" s="12" t="str">
        <f ca="1">IFERROR(__xludf.DUMMYFUNCTION("""COMPUTED_VALUE"""),"上架中")</f>
        <v>上架中</v>
      </c>
      <c r="M95" s="12" t="str">
        <f ca="1">IFERROR(__xludf.DUMMYFUNCTION("""COMPUTED_VALUE"""),"2020/12/23降價")</f>
        <v>2020/12/23降價</v>
      </c>
      <c r="N95" s="12" t="str">
        <f ca="1">IFERROR(__xludf.DUMMYFUNCTION("""COMPUTED_VALUE"""),"Switch遊戲")</f>
        <v>Switch遊戲</v>
      </c>
      <c r="O95" s="12" t="str">
        <f ca="1">IFERROR(__xludf.DUMMYFUNCTION("""COMPUTED_VALUE"""),"遊戲片")</f>
        <v>遊戲片</v>
      </c>
      <c r="P95" s="12" t="str">
        <f ca="1">IFERROR(__xludf.DUMMYFUNCTION("""COMPUTED_VALUE"""),"遊戲/配件")</f>
        <v>遊戲/配件</v>
      </c>
      <c r="Q95" s="12" t="str">
        <f ca="1">IFERROR(__xludf.DUMMYFUNCTION("""COMPUTED_VALUE"""),"高13.9*寬102*長239mm")</f>
        <v>高13.9*寬102*長239mm</v>
      </c>
      <c r="R95" s="12" t="str">
        <f ca="1">IFERROR(__xludf.DUMMYFUNCTION("""COMPUTED_VALUE"""),"日本")</f>
        <v>日本</v>
      </c>
      <c r="S95" s="12"/>
      <c r="T95" s="12"/>
      <c r="U95" s="12" t="str">
        <f ca="1">IFERROR(__xludf.DUMMYFUNCTION("""COMPUTED_VALUE"""),"無保固")</f>
        <v>無保固</v>
      </c>
      <c r="V95" s="12"/>
      <c r="W95" s="12"/>
      <c r="X95" s="12"/>
      <c r="Y95" s="12"/>
      <c r="Z95" s="14"/>
      <c r="AA95" s="15"/>
    </row>
    <row r="96" spans="1:27" ht="19.5" customHeight="1">
      <c r="A96" s="12" t="str">
        <f ca="1">IFERROR(__xludf.DUMMYFUNCTION("""COMPUTED_VALUE"""),"3C")</f>
        <v>3C</v>
      </c>
      <c r="B96" s="12" t="str">
        <f ca="1">IFERROR(__xludf.DUMMYFUNCTION("""COMPUTED_VALUE"""),"展碁")</f>
        <v>展碁</v>
      </c>
      <c r="C96" s="12" t="str">
        <f ca="1">IFERROR(__xludf.DUMMYFUNCTION("""COMPUTED_VALUE"""),"任天堂")</f>
        <v>任天堂</v>
      </c>
      <c r="D96" s="12" t="str">
        <f ca="1">IFERROR(__xludf.DUMMYFUNCTION("""COMPUTED_VALUE"""),"Switch遊戲片-超級瑪利歐派對")</f>
        <v>Switch遊戲片-超級瑪利歐派對</v>
      </c>
      <c r="E96" s="12" t="str">
        <f ca="1">IFERROR(__xludf.DUMMYFUNCTION("""COMPUTED_VALUE"""),"HAC-P-ADFJA-CHT")</f>
        <v>HAC-P-ADFJA-CHT</v>
      </c>
      <c r="F96" s="12">
        <f ca="1">IFERROR(__xludf.DUMMYFUNCTION("""COMPUTED_VALUE"""),51091077)</f>
        <v>51091077</v>
      </c>
      <c r="G96" s="12" t="str">
        <f ca="1">IFERROR(__xludf.DUMMYFUNCTION("""COMPUTED_VALUE"""),"IGEM00YB")</f>
        <v>IGEM00YB</v>
      </c>
      <c r="H96" s="12">
        <f ca="1">IFERROR(__xludf.DUMMYFUNCTION("""COMPUTED_VALUE"""),1690)</f>
        <v>1690</v>
      </c>
      <c r="I96" s="14">
        <f ca="1">IFERROR(__xludf.DUMMYFUNCTION("""COMPUTED_VALUE"""),1550)</f>
        <v>1550</v>
      </c>
      <c r="J96" s="12"/>
      <c r="K96" s="12"/>
      <c r="L96" s="12" t="str">
        <f ca="1">IFERROR(__xludf.DUMMYFUNCTION("""COMPUTED_VALUE"""),"上架中")</f>
        <v>上架中</v>
      </c>
      <c r="M96" s="12" t="str">
        <f ca="1">IFERROR(__xludf.DUMMYFUNCTION("""COMPUTED_VALUE"""),"2020/6/1到貨上架，2020/3/20上架")</f>
        <v>2020/6/1到貨上架，2020/3/20上架</v>
      </c>
      <c r="N96" s="12" t="str">
        <f ca="1">IFERROR(__xludf.DUMMYFUNCTION("""COMPUTED_VALUE"""),"Switch遊戲")</f>
        <v>Switch遊戲</v>
      </c>
      <c r="O96" s="12" t="str">
        <f ca="1">IFERROR(__xludf.DUMMYFUNCTION("""COMPUTED_VALUE"""),"遊戲片")</f>
        <v>遊戲片</v>
      </c>
      <c r="P96" s="12" t="str">
        <f ca="1">IFERROR(__xludf.DUMMYFUNCTION("""COMPUTED_VALUE"""),"遊戲/配件")</f>
        <v>遊戲/配件</v>
      </c>
      <c r="Q96" s="12" t="str">
        <f ca="1">IFERROR(__xludf.DUMMYFUNCTION("""COMPUTED_VALUE"""),"高13.9*寬102*長239mm")</f>
        <v>高13.9*寬102*長239mm</v>
      </c>
      <c r="R96" s="12" t="str">
        <f ca="1">IFERROR(__xludf.DUMMYFUNCTION("""COMPUTED_VALUE"""),"日本")</f>
        <v>日本</v>
      </c>
      <c r="S96" s="12"/>
      <c r="T96" s="12"/>
      <c r="U96" s="12" t="str">
        <f ca="1">IFERROR(__xludf.DUMMYFUNCTION("""COMPUTED_VALUE"""),"無保固")</f>
        <v>無保固</v>
      </c>
      <c r="V96" s="12"/>
      <c r="W96" s="12"/>
      <c r="X96" s="12"/>
      <c r="Y96" s="12"/>
      <c r="Z96" s="14"/>
      <c r="AA96" s="15"/>
    </row>
    <row r="97" spans="1:27" ht="19.5" customHeight="1">
      <c r="A97" s="12" t="str">
        <f ca="1">IFERROR(__xludf.DUMMYFUNCTION("""COMPUTED_VALUE"""),"3C")</f>
        <v>3C</v>
      </c>
      <c r="B97" s="12" t="str">
        <f ca="1">IFERROR(__xludf.DUMMYFUNCTION("""COMPUTED_VALUE"""),"展碁")</f>
        <v>展碁</v>
      </c>
      <c r="C97" s="12" t="str">
        <f ca="1">IFERROR(__xludf.DUMMYFUNCTION("""COMPUTED_VALUE"""),"任天堂")</f>
        <v>任天堂</v>
      </c>
      <c r="D97" s="12" t="str">
        <f ca="1">IFERROR(__xludf.DUMMYFUNCTION("""COMPUTED_VALUE"""),"Switch遊戲片-瑪利歐賽車8豪華版")</f>
        <v>Switch遊戲片-瑪利歐賽車8豪華版</v>
      </c>
      <c r="E97" s="12" t="str">
        <f ca="1">IFERROR(__xludf.DUMMYFUNCTION("""COMPUTED_VALUE"""),"HAC-P-AABPA(CHT)")</f>
        <v>HAC-P-AABPA(CHT)</v>
      </c>
      <c r="F97" s="12">
        <f ca="1">IFERROR(__xludf.DUMMYFUNCTION("""COMPUTED_VALUE"""),51091162)</f>
        <v>51091162</v>
      </c>
      <c r="G97" s="12" t="str">
        <f ca="1">IFERROR(__xludf.DUMMYFUNCTION("""COMPUTED_VALUE"""),"IGEM01DB")</f>
        <v>IGEM01DB</v>
      </c>
      <c r="H97" s="12">
        <f ca="1">IFERROR(__xludf.DUMMYFUNCTION("""COMPUTED_VALUE"""),1690)</f>
        <v>1690</v>
      </c>
      <c r="I97" s="14">
        <f ca="1">IFERROR(__xludf.DUMMYFUNCTION("""COMPUTED_VALUE"""),1550)</f>
        <v>1550</v>
      </c>
      <c r="J97" s="12"/>
      <c r="K97" s="12"/>
      <c r="L97" s="12" t="str">
        <f ca="1">IFERROR(__xludf.DUMMYFUNCTION("""COMPUTED_VALUE"""),"上架中")</f>
        <v>上架中</v>
      </c>
      <c r="M97" s="12" t="str">
        <f ca="1">IFERROR(__xludf.DUMMYFUNCTION("""COMPUTED_VALUE"""),"2020/12/23降價")</f>
        <v>2020/12/23降價</v>
      </c>
      <c r="N97" s="12" t="str">
        <f ca="1">IFERROR(__xludf.DUMMYFUNCTION("""COMPUTED_VALUE"""),"Switch遊戲")</f>
        <v>Switch遊戲</v>
      </c>
      <c r="O97" s="12" t="str">
        <f ca="1">IFERROR(__xludf.DUMMYFUNCTION("""COMPUTED_VALUE"""),"遊戲片")</f>
        <v>遊戲片</v>
      </c>
      <c r="P97" s="12" t="str">
        <f ca="1">IFERROR(__xludf.DUMMYFUNCTION("""COMPUTED_VALUE"""),"遊戲/配件")</f>
        <v>遊戲/配件</v>
      </c>
      <c r="Q97" s="12"/>
      <c r="R97" s="12" t="str">
        <f ca="1">IFERROR(__xludf.DUMMYFUNCTION("""COMPUTED_VALUE"""),"日本")</f>
        <v>日本</v>
      </c>
      <c r="S97" s="12"/>
      <c r="T97" s="12"/>
      <c r="U97" s="12" t="str">
        <f ca="1">IFERROR(__xludf.DUMMYFUNCTION("""COMPUTED_VALUE"""),"無保固")</f>
        <v>無保固</v>
      </c>
      <c r="V97" s="12"/>
      <c r="W97" s="12"/>
      <c r="X97" s="12"/>
      <c r="Y97" s="12"/>
      <c r="Z97" s="14"/>
      <c r="AA97" s="15" t="str">
        <f ca="1">IFERROR(__xludf.DUMMYFUNCTION("""COMPUTED_VALUE"""),"*8種專為對戰設計玩法*享受設置陷阱的競速比賽*新增多種道具使用")</f>
        <v>*8種專為對戰設計玩法*享受設置陷阱的競速比賽*新增多種道具使用</v>
      </c>
    </row>
    <row r="98" spans="1:27" ht="19.5" customHeight="1">
      <c r="A98" s="12" t="str">
        <f ca="1">IFERROR(__xludf.DUMMYFUNCTION("""COMPUTED_VALUE"""),"3C")</f>
        <v>3C</v>
      </c>
      <c r="B98" s="12" t="str">
        <f ca="1">IFERROR(__xludf.DUMMYFUNCTION("""COMPUTED_VALUE"""),"展碁")</f>
        <v>展碁</v>
      </c>
      <c r="C98" s="12" t="str">
        <f ca="1">IFERROR(__xludf.DUMMYFUNCTION("""COMPUTED_VALUE"""),"任天堂")</f>
        <v>任天堂</v>
      </c>
      <c r="D98" s="12" t="str">
        <f ca="1">IFERROR(__xludf.DUMMYFUNCTION("""COMPUTED_VALUE"""),"Switch遊戲片NS健身環大冒險")</f>
        <v>Switch遊戲片NS健身環大冒險</v>
      </c>
      <c r="E98" s="12" t="str">
        <f ca="1">IFERROR(__xludf.DUMMYFUNCTION("""COMPUTED_VALUE"""),"HAC-R-AL3PA-CHT")</f>
        <v>HAC-R-AL3PA-CHT</v>
      </c>
      <c r="F98" s="12">
        <f ca="1">IFERROR(__xludf.DUMMYFUNCTION("""COMPUTED_VALUE"""),51091167)</f>
        <v>51091167</v>
      </c>
      <c r="G98" s="12" t="str">
        <f ca="1">IFERROR(__xludf.DUMMYFUNCTION("""COMPUTED_VALUE"""),"IGEM01DP")</f>
        <v>IGEM01DP</v>
      </c>
      <c r="H98" s="12">
        <f ca="1">IFERROR(__xludf.DUMMYFUNCTION("""COMPUTED_VALUE"""),2090)</f>
        <v>2090</v>
      </c>
      <c r="I98" s="14">
        <f ca="1">IFERROR(__xludf.DUMMYFUNCTION("""COMPUTED_VALUE"""),2090)</f>
        <v>2090</v>
      </c>
      <c r="J98" s="12"/>
      <c r="K98" s="12"/>
      <c r="L98" s="12" t="str">
        <f ca="1">IFERROR(__xludf.DUMMYFUNCTION("""COMPUTED_VALUE"""),"上架中")</f>
        <v>上架中</v>
      </c>
      <c r="M98" s="12"/>
      <c r="N98" s="12" t="str">
        <f ca="1">IFERROR(__xludf.DUMMYFUNCTION("""COMPUTED_VALUE"""),"Switch遊戲")</f>
        <v>Switch遊戲</v>
      </c>
      <c r="O98" s="12" t="str">
        <f ca="1">IFERROR(__xludf.DUMMYFUNCTION("""COMPUTED_VALUE"""),"彩色")</f>
        <v>彩色</v>
      </c>
      <c r="P98" s="12" t="str">
        <f ca="1">IFERROR(__xludf.DUMMYFUNCTION("""COMPUTED_VALUE"""),"遊戲/配件")</f>
        <v>遊戲/配件</v>
      </c>
      <c r="Q98" s="12"/>
      <c r="R98" s="12" t="str">
        <f ca="1">IFERROR(__xludf.DUMMYFUNCTION("""COMPUTED_VALUE"""),"中國")</f>
        <v>中國</v>
      </c>
      <c r="S98" s="12"/>
      <c r="T98" s="12"/>
      <c r="U98" s="12" t="str">
        <f ca="1">IFERROR(__xludf.DUMMYFUNCTION("""COMPUTED_VALUE"""),"無保固")</f>
        <v>無保固</v>
      </c>
      <c r="V98" s="12"/>
      <c r="W98" s="12"/>
      <c r="X98" s="12"/>
      <c r="Y98" s="12"/>
      <c r="Z98" s="14"/>
      <c r="AA98" s="15" t="str">
        <f ca="1">IFERROR(__xludf.DUMMYFUNCTION("""COMPUTED_VALUE"""),"「Ring-Con」是搭配Joy-Con控制器使用的擴充周邊，採用健身用皮拉提斯拉力環的構造，由具備彈力的圓環與握把所構成。")</f>
        <v>「Ring-Con」是搭配Joy-Con控制器使用的擴充周邊，採用健身用皮拉提斯拉力環的構造，由具備彈力的圓環與握把所構成。</v>
      </c>
    </row>
    <row r="99" spans="1:27" ht="19.5" customHeight="1">
      <c r="A99" s="12" t="str">
        <f ca="1">IFERROR(__xludf.DUMMYFUNCTION("""COMPUTED_VALUE"""),"3C")</f>
        <v>3C</v>
      </c>
      <c r="B99" s="12" t="str">
        <f ca="1">IFERROR(__xludf.DUMMYFUNCTION("""COMPUTED_VALUE"""),"展碁")</f>
        <v>展碁</v>
      </c>
      <c r="C99" s="12" t="str">
        <f ca="1">IFERROR(__xludf.DUMMYFUNCTION("""COMPUTED_VALUE"""),"任天堂")</f>
        <v>任天堂</v>
      </c>
      <c r="D99" s="12" t="str">
        <f ca="1">IFERROR(__xludf.DUMMYFUNCTION("""COMPUTED_VALUE"""),"Switch遊戲片-超級瑪利歐3D世界+狂怒世界")</f>
        <v>Switch遊戲片-超級瑪利歐3D世界+狂怒世界</v>
      </c>
      <c r="E99" s="12" t="str">
        <f ca="1">IFERROR(__xludf.DUMMYFUNCTION("""COMPUTED_VALUE"""),"HAC-P-AUZPA-CHT")</f>
        <v>HAC-P-AUZPA-CHT</v>
      </c>
      <c r="F99" s="12">
        <f ca="1">IFERROR(__xludf.DUMMYFUNCTION("""COMPUTED_VALUE"""),51091268)</f>
        <v>51091268</v>
      </c>
      <c r="G99" s="12" t="str">
        <f ca="1">IFERROR(__xludf.DUMMYFUNCTION("""COMPUTED_VALUE"""),"IGEM0319")</f>
        <v>IGEM0319</v>
      </c>
      <c r="H99" s="12">
        <f ca="1">IFERROR(__xludf.DUMMYFUNCTION("""COMPUTED_VALUE"""),1690)</f>
        <v>1690</v>
      </c>
      <c r="I99" s="14">
        <f ca="1">IFERROR(__xludf.DUMMYFUNCTION("""COMPUTED_VALUE"""),1550)</f>
        <v>1550</v>
      </c>
      <c r="J99" s="12"/>
      <c r="K99" s="12"/>
      <c r="L99" s="12" t="str">
        <f ca="1">IFERROR(__xludf.DUMMYFUNCTION("""COMPUTED_VALUE"""),"上架中")</f>
        <v>上架中</v>
      </c>
      <c r="M99" s="12" t="str">
        <f ca="1">IFERROR(__xludf.DUMMYFUNCTION("""COMPUTED_VALUE"""),"2021/2/1新機上架")</f>
        <v>2021/2/1新機上架</v>
      </c>
      <c r="N99" s="12" t="str">
        <f ca="1">IFERROR(__xludf.DUMMYFUNCTION("""COMPUTED_VALUE"""),"Switch遊戲")</f>
        <v>Switch遊戲</v>
      </c>
      <c r="O99" s="12" t="str">
        <f ca="1">IFERROR(__xludf.DUMMYFUNCTION("""COMPUTED_VALUE"""),"遊戲片")</f>
        <v>遊戲片</v>
      </c>
      <c r="P99" s="12" t="str">
        <f ca="1">IFERROR(__xludf.DUMMYFUNCTION("""COMPUTED_VALUE"""),"遊戲/配件")</f>
        <v>遊戲/配件</v>
      </c>
      <c r="Q99" s="12"/>
      <c r="R99" s="12" t="str">
        <f ca="1">IFERROR(__xludf.DUMMYFUNCTION("""COMPUTED_VALUE"""),"中國")</f>
        <v>中國</v>
      </c>
      <c r="S99" s="12"/>
      <c r="T99" s="12"/>
      <c r="U99" s="12" t="str">
        <f ca="1">IFERROR(__xludf.DUMMYFUNCTION("""COMPUTED_VALUE"""),"無保固")</f>
        <v>無保固</v>
      </c>
      <c r="V99" s="12"/>
      <c r="W99" s="12"/>
      <c r="X99" s="12"/>
      <c r="Y99" s="12"/>
      <c r="Z99" s="14"/>
      <c r="AA99" s="15"/>
    </row>
    <row r="100" spans="1:27" ht="19.5" customHeight="1">
      <c r="A100" s="12" t="str">
        <f ca="1">IFERROR(__xludf.DUMMYFUNCTION("""COMPUTED_VALUE"""),"3C")</f>
        <v>3C</v>
      </c>
      <c r="B100" s="12" t="str">
        <f ca="1">IFERROR(__xludf.DUMMYFUNCTION("""COMPUTED_VALUE"""),"展碁")</f>
        <v>展碁</v>
      </c>
      <c r="C100" s="12" t="str">
        <f ca="1">IFERROR(__xludf.DUMMYFUNCTION("""COMPUTED_VALUE"""),"任天堂")</f>
        <v>任天堂</v>
      </c>
      <c r="D100" s="12" t="str">
        <f ca="1">IFERROR(__xludf.DUMMYFUNCTION("""COMPUTED_VALUE"""),"SwitchOLED主機-白色")</f>
        <v>SwitchOLED主機-白色</v>
      </c>
      <c r="E100" s="12" t="str">
        <f ca="1">IFERROR(__xludf.DUMMYFUNCTION("""COMPUTED_VALUE"""),"HEG-S-KAAAA-TWN")</f>
        <v>HEG-S-KAAAA-TWN</v>
      </c>
      <c r="F100" s="12">
        <f ca="1">IFERROR(__xludf.DUMMYFUNCTION("""COMPUTED_VALUE"""),51091303)</f>
        <v>51091303</v>
      </c>
      <c r="G100" s="12" t="str">
        <f ca="1">IFERROR(__xludf.DUMMYFUNCTION("""COMPUTED_VALUE"""),"IGEM044L")</f>
        <v>IGEM044L</v>
      </c>
      <c r="H100" s="12">
        <f ca="1">IFERROR(__xludf.DUMMYFUNCTION("""COMPUTED_VALUE"""),10480)</f>
        <v>10480</v>
      </c>
      <c r="I100" s="20">
        <f ca="1">IFERROR(__xludf.DUMMYFUNCTION("""COMPUTED_VALUE"""),10480)</f>
        <v>10480</v>
      </c>
      <c r="J100" s="16">
        <f ca="1">IFERROR(__xludf.DUMMYFUNCTION("""COMPUTED_VALUE"""),45701)</f>
        <v>45701</v>
      </c>
      <c r="K100" s="12" t="str">
        <f ca="1">IFERROR(__xludf.DUMMYFUNCTION("""COMPUTED_VALUE"""),"到貨")</f>
        <v>到貨</v>
      </c>
      <c r="L100" s="12" t="str">
        <f ca="1">IFERROR(__xludf.DUMMYFUNCTION("""COMPUTED_VALUE"""),"上架中")</f>
        <v>上架中</v>
      </c>
      <c r="M100" s="12" t="str">
        <f ca="1">IFERROR(__xludf.DUMMYFUNCTION("""COMPUTED_VALUE"""),"此商品不享任何商品卡活動")</f>
        <v>此商品不享任何商品卡活動</v>
      </c>
      <c r="N100" s="12" t="str">
        <f ca="1">IFERROR(__xludf.DUMMYFUNCTION("""COMPUTED_VALUE"""),"Switch主機")</f>
        <v>Switch主機</v>
      </c>
      <c r="O100" s="12" t="str">
        <f ca="1">IFERROR(__xludf.DUMMYFUNCTION("""COMPUTED_VALUE"""),"彩色")</f>
        <v>彩色</v>
      </c>
      <c r="P100" s="12" t="str">
        <f ca="1">IFERROR(__xludf.DUMMYFUNCTION("""COMPUTED_VALUE"""),"主機")</f>
        <v>主機</v>
      </c>
      <c r="Q100" s="12"/>
      <c r="R100" s="12" t="str">
        <f ca="1">IFERROR(__xludf.DUMMYFUNCTION("""COMPUTED_VALUE"""),"中國")</f>
        <v>中國</v>
      </c>
      <c r="S100" s="12"/>
      <c r="T100" s="12"/>
      <c r="U100" s="12" t="str">
        <f ca="1">IFERROR(__xludf.DUMMYFUNCTION("""COMPUTED_VALUE"""),"1年")</f>
        <v>1年</v>
      </c>
      <c r="V100" s="12"/>
      <c r="W100" s="12"/>
      <c r="X100" s="12"/>
      <c r="Y100" s="12"/>
      <c r="Z100" s="14"/>
      <c r="AA100" s="15" t="str">
        <f ca="1">IFERROR(__xludf.DUMMYFUNCTION("""COMPUTED_VALUE"""),"*配置增至７吋的OLED螢幕*轉軸式設計支架設計，自由調節角度")</f>
        <v>*配置增至７吋的OLED螢幕*轉軸式設計支架設計，自由調節角度</v>
      </c>
    </row>
    <row r="101" spans="1:27" ht="19.5" customHeight="1">
      <c r="A101" s="12" t="str">
        <f ca="1">IFERROR(__xludf.DUMMYFUNCTION("""COMPUTED_VALUE"""),"3C")</f>
        <v>3C</v>
      </c>
      <c r="B101" s="12" t="str">
        <f ca="1">IFERROR(__xludf.DUMMYFUNCTION("""COMPUTED_VALUE"""),"展碁")</f>
        <v>展碁</v>
      </c>
      <c r="C101" s="12" t="str">
        <f ca="1">IFERROR(__xludf.DUMMYFUNCTION("""COMPUTED_VALUE"""),"任天堂")</f>
        <v>任天堂</v>
      </c>
      <c r="D101" s="12" t="str">
        <f ca="1">IFERROR(__xludf.DUMMYFUNCTION("""COMPUTED_VALUE"""),"SwitchOLED主機-電光藍・電光紅")</f>
        <v>SwitchOLED主機-電光藍・電光紅</v>
      </c>
      <c r="E101" s="12" t="str">
        <f ca="1">IFERROR(__xludf.DUMMYFUNCTION("""COMPUTED_VALUE"""),"HEG-S-KABAA-TWN")</f>
        <v>HEG-S-KABAA-TWN</v>
      </c>
      <c r="F101" s="12">
        <f ca="1">IFERROR(__xludf.DUMMYFUNCTION("""COMPUTED_VALUE"""),51091304)</f>
        <v>51091304</v>
      </c>
      <c r="G101" s="12" t="str">
        <f ca="1">IFERROR(__xludf.DUMMYFUNCTION("""COMPUTED_VALUE"""),"IGEM044M")</f>
        <v>IGEM044M</v>
      </c>
      <c r="H101" s="12">
        <f ca="1">IFERROR(__xludf.DUMMYFUNCTION("""COMPUTED_VALUE"""),10480)</f>
        <v>10480</v>
      </c>
      <c r="I101" s="20">
        <f ca="1">IFERROR(__xludf.DUMMYFUNCTION("""COMPUTED_VALUE"""),10480)</f>
        <v>10480</v>
      </c>
      <c r="J101" s="16">
        <f ca="1">IFERROR(__xludf.DUMMYFUNCTION("""COMPUTED_VALUE"""),45672)</f>
        <v>45672</v>
      </c>
      <c r="K101" s="12" t="str">
        <f ca="1">IFERROR(__xludf.DUMMYFUNCTION("""COMPUTED_VALUE"""),"到貨")</f>
        <v>到貨</v>
      </c>
      <c r="L101" s="12" t="str">
        <f ca="1">IFERROR(__xludf.DUMMYFUNCTION("""COMPUTED_VALUE"""),"上架中")</f>
        <v>上架中</v>
      </c>
      <c r="M101" s="12" t="str">
        <f ca="1">IFERROR(__xludf.DUMMYFUNCTION("""COMPUTED_VALUE"""),"此商品不享任何商品卡活動")</f>
        <v>此商品不享任何商品卡活動</v>
      </c>
      <c r="N101" s="12" t="str">
        <f ca="1">IFERROR(__xludf.DUMMYFUNCTION("""COMPUTED_VALUE"""),"Switch主機")</f>
        <v>Switch主機</v>
      </c>
      <c r="O101" s="12" t="str">
        <f ca="1">IFERROR(__xludf.DUMMYFUNCTION("""COMPUTED_VALUE"""),"彩色")</f>
        <v>彩色</v>
      </c>
      <c r="P101" s="12" t="str">
        <f ca="1">IFERROR(__xludf.DUMMYFUNCTION("""COMPUTED_VALUE"""),"主機")</f>
        <v>主機</v>
      </c>
      <c r="Q101" s="12"/>
      <c r="R101" s="12" t="str">
        <f ca="1">IFERROR(__xludf.DUMMYFUNCTION("""COMPUTED_VALUE"""),"中國")</f>
        <v>中國</v>
      </c>
      <c r="S101" s="12"/>
      <c r="T101" s="12"/>
      <c r="U101" s="12" t="str">
        <f ca="1">IFERROR(__xludf.DUMMYFUNCTION("""COMPUTED_VALUE"""),"1年")</f>
        <v>1年</v>
      </c>
      <c r="V101" s="12"/>
      <c r="W101" s="12"/>
      <c r="X101" s="12"/>
      <c r="Y101" s="12"/>
      <c r="Z101" s="14"/>
      <c r="AA101" s="15" t="str">
        <f ca="1">IFERROR(__xludf.DUMMYFUNCTION("""COMPUTED_VALUE"""),"*配置增至７吋的OLED螢幕*轉軸式設計支架設計，自由調節角度")</f>
        <v>*配置增至７吋的OLED螢幕*轉軸式設計支架設計，自由調節角度</v>
      </c>
    </row>
    <row r="102" spans="1:27" ht="19.5" customHeight="1">
      <c r="A102" s="12" t="str">
        <f ca="1">IFERROR(__xludf.DUMMYFUNCTION("""COMPUTED_VALUE"""),"3C")</f>
        <v>3C</v>
      </c>
      <c r="B102" s="12" t="str">
        <f ca="1">IFERROR(__xludf.DUMMYFUNCTION("""COMPUTED_VALUE"""),"展碁")</f>
        <v>展碁</v>
      </c>
      <c r="C102" s="12" t="str">
        <f ca="1">IFERROR(__xludf.DUMMYFUNCTION("""COMPUTED_VALUE"""),"任天堂")</f>
        <v>任天堂</v>
      </c>
      <c r="D102" s="12" t="str">
        <f ca="1">IFERROR(__xludf.DUMMYFUNCTION("""COMPUTED_VALUE"""),"Switch遊戲片-瑪利歐派對超級巨星")</f>
        <v>Switch遊戲片-瑪利歐派對超級巨星</v>
      </c>
      <c r="E102" s="12" t="str">
        <f ca="1">IFERROR(__xludf.DUMMYFUNCTION("""COMPUTED_VALUE"""),"HAC-P-AZ82A-CHT")</f>
        <v>HAC-P-AZ82A-CHT</v>
      </c>
      <c r="F102" s="12">
        <f ca="1">IFERROR(__xludf.DUMMYFUNCTION("""COMPUTED_VALUE"""),51091308)</f>
        <v>51091308</v>
      </c>
      <c r="G102" s="12" t="str">
        <f ca="1">IFERROR(__xludf.DUMMYFUNCTION("""COMPUTED_VALUE"""),"IGEM044Q")</f>
        <v>IGEM044Q</v>
      </c>
      <c r="H102" s="12">
        <f ca="1">IFERROR(__xludf.DUMMYFUNCTION("""COMPUTED_VALUE"""),1550)</f>
        <v>1550</v>
      </c>
      <c r="I102" s="14">
        <f ca="1">IFERROR(__xludf.DUMMYFUNCTION("""COMPUTED_VALUE"""),1550)</f>
        <v>1550</v>
      </c>
      <c r="J102" s="12"/>
      <c r="K102" s="12"/>
      <c r="L102" s="12" t="str">
        <f ca="1">IFERROR(__xludf.DUMMYFUNCTION("""COMPUTED_VALUE"""),"上架中")</f>
        <v>上架中</v>
      </c>
      <c r="M102" s="12" t="str">
        <f ca="1">IFERROR(__xludf.DUMMYFUNCTION("""COMPUTED_VALUE"""),"2022/6/1到貨上架")</f>
        <v>2022/6/1到貨上架</v>
      </c>
      <c r="N102" s="12" t="str">
        <f ca="1">IFERROR(__xludf.DUMMYFUNCTION("""COMPUTED_VALUE"""),"Switch遊戲")</f>
        <v>Switch遊戲</v>
      </c>
      <c r="O102" s="12" t="str">
        <f ca="1">IFERROR(__xludf.DUMMYFUNCTION("""COMPUTED_VALUE"""),"遊戲片")</f>
        <v>遊戲片</v>
      </c>
      <c r="P102" s="12" t="str">
        <f ca="1">IFERROR(__xludf.DUMMYFUNCTION("""COMPUTED_VALUE"""),"遊戲/配件")</f>
        <v>遊戲/配件</v>
      </c>
      <c r="Q102" s="12"/>
      <c r="R102" s="12" t="str">
        <f ca="1">IFERROR(__xludf.DUMMYFUNCTION("""COMPUTED_VALUE"""),"日本")</f>
        <v>日本</v>
      </c>
      <c r="S102" s="12"/>
      <c r="T102" s="12"/>
      <c r="U102" s="12" t="str">
        <f ca="1">IFERROR(__xludf.DUMMYFUNCTION("""COMPUTED_VALUE"""),"無保固")</f>
        <v>無保固</v>
      </c>
      <c r="V102" s="12"/>
      <c r="W102" s="12"/>
      <c r="X102" s="12"/>
      <c r="Y102" s="12"/>
      <c r="Z102" s="14"/>
      <c r="AA102" s="15" t="str">
        <f ca="1">IFERROR(__xludf.DUMMYFUNCTION("""COMPUTED_VALUE"""),"*超多種類「動作」、「運動」、「競賽」和「益智」等*盡情享受目不暇給的對決樂趣*雙陸遊戲「碧姬蛋糕」和「太空樂園」是N64棋盤遊戲全新打造*對應「按鍵操作」支援JOY-CON、Lite主機及Pro手把*支援最多4人，隨時隨地和好友挑戰多人樂趣")</f>
        <v>*超多種類「動作」、「運動」、「競賽」和「益智」等*盡情享受目不暇給的對決樂趣*雙陸遊戲「碧姬蛋糕」和「太空樂園」是N64棋盤遊戲全新打造*對應「按鍵操作」支援JOY-CON、Lite主機及Pro手把*支援最多4人，隨時隨地和好友挑戰多人樂趣</v>
      </c>
    </row>
    <row r="103" spans="1:27" ht="19.5" customHeight="1">
      <c r="A103" s="12" t="str">
        <f ca="1">IFERROR(__xludf.DUMMYFUNCTION("""COMPUTED_VALUE"""),"3C")</f>
        <v>3C</v>
      </c>
      <c r="B103" s="12" t="str">
        <f ca="1">IFERROR(__xludf.DUMMYFUNCTION("""COMPUTED_VALUE"""),"展碁")</f>
        <v>展碁</v>
      </c>
      <c r="C103" s="12" t="str">
        <f ca="1">IFERROR(__xludf.DUMMYFUNCTION("""COMPUTED_VALUE"""),"任天堂")</f>
        <v>任天堂</v>
      </c>
      <c r="D103" s="12" t="str">
        <f ca="1">IFERROR(__xludf.DUMMYFUNCTION("""COMPUTED_VALUE"""),"Switch遊戲片-NintendoSwitch運動(內含腿部固定帶)")</f>
        <v>Switch遊戲片-NintendoSwitch運動(內含腿部固定帶)</v>
      </c>
      <c r="E103" s="12" t="str">
        <f ca="1">IFERROR(__xludf.DUMMYFUNCTION("""COMPUTED_VALUE"""),"HAC-R-AS8SA-CHT")</f>
        <v>HAC-R-AS8SA-CHT</v>
      </c>
      <c r="F103" s="12">
        <f ca="1">IFERROR(__xludf.DUMMYFUNCTION("""COMPUTED_VALUE"""),51091335)</f>
        <v>51091335</v>
      </c>
      <c r="G103" s="12" t="str">
        <f ca="1">IFERROR(__xludf.DUMMYFUNCTION("""COMPUTED_VALUE"""),"IGEM0598")</f>
        <v>IGEM0598</v>
      </c>
      <c r="H103" s="12">
        <f ca="1">IFERROR(__xludf.DUMMYFUNCTION("""COMPUTED_VALUE"""),1290)</f>
        <v>1290</v>
      </c>
      <c r="I103" s="14">
        <f ca="1">IFERROR(__xludf.DUMMYFUNCTION("""COMPUTED_VALUE"""),1290)</f>
        <v>1290</v>
      </c>
      <c r="J103" s="12"/>
      <c r="K103" s="12"/>
      <c r="L103" s="12" t="str">
        <f ca="1">IFERROR(__xludf.DUMMYFUNCTION("""COMPUTED_VALUE"""),"上架中")</f>
        <v>上架中</v>
      </c>
      <c r="M103" s="12"/>
      <c r="N103" s="12" t="str">
        <f ca="1">IFERROR(__xludf.DUMMYFUNCTION("""COMPUTED_VALUE"""),"Switch遊戲")</f>
        <v>Switch遊戲</v>
      </c>
      <c r="O103" s="12"/>
      <c r="P103" s="12"/>
      <c r="Q103" s="12"/>
      <c r="R103" s="12" t="str">
        <f ca="1">IFERROR(__xludf.DUMMYFUNCTION("""COMPUTED_VALUE"""),"中國")</f>
        <v>中國</v>
      </c>
      <c r="S103" s="12"/>
      <c r="T103" s="12"/>
      <c r="U103" s="12" t="str">
        <f ca="1">IFERROR(__xludf.DUMMYFUNCTION("""COMPUTED_VALUE"""),"無保固")</f>
        <v>無保固</v>
      </c>
      <c r="V103" s="12"/>
      <c r="W103" s="12"/>
      <c r="X103" s="12"/>
      <c r="Y103" s="12"/>
      <c r="Z103" s="14"/>
      <c r="AA103" s="15" t="str">
        <f ca="1">IFERROR(__xludf.DUMMYFUNCTION("""COMPUTED_VALUE"""),"收錄6種運動，包括排球、保齡球、擊劍、網球、羽毛球、足球")</f>
        <v>收錄6種運動，包括排球、保齡球、擊劍、網球、羽毛球、足球</v>
      </c>
    </row>
    <row r="104" spans="1:27" ht="19.5" customHeight="1">
      <c r="A104" s="12" t="str">
        <f ca="1">IFERROR(__xludf.DUMMYFUNCTION("""COMPUTED_VALUE"""),"3C")</f>
        <v>3C</v>
      </c>
      <c r="B104" s="12" t="str">
        <f ca="1">IFERROR(__xludf.DUMMYFUNCTION("""COMPUTED_VALUE"""),"展碁")</f>
        <v>展碁</v>
      </c>
      <c r="C104" s="12" t="str">
        <f ca="1">IFERROR(__xludf.DUMMYFUNCTION("""COMPUTED_VALUE"""),"任天堂")</f>
        <v>任天堂</v>
      </c>
      <c r="D104" s="12" t="str">
        <f ca="1">IFERROR(__xludf.DUMMYFUNCTION("""COMPUTED_VALUE"""),"Switch主機組合-OLED主機(白色)+1遊戲(NintendoSwitch運動)")</f>
        <v>Switch主機組合-OLED主機(白色)+1遊戲(NintendoSwitch運動)</v>
      </c>
      <c r="E104" s="12" t="str">
        <f ca="1">IFERROR(__xludf.DUMMYFUNCTION("""COMPUTED_VALUE"""),"HEG-S-KAAAA-TWN+HAC-R-AS8SA-CHT")</f>
        <v>HEG-S-KAAAA-TWN+HAC-R-AS8SA-CHT</v>
      </c>
      <c r="F104" s="12">
        <f ca="1">IFERROR(__xludf.DUMMYFUNCTION("""COMPUTED_VALUE"""),51091341)</f>
        <v>51091341</v>
      </c>
      <c r="G104" s="12" t="str">
        <f ca="1">IFERROR(__xludf.DUMMYFUNCTION("""COMPUTED_VALUE"""),"IGEM059E")</f>
        <v>IGEM059E</v>
      </c>
      <c r="H104" s="12">
        <f ca="1">IFERROR(__xludf.DUMMYFUNCTION("""COMPUTED_VALUE"""),11770)</f>
        <v>11770</v>
      </c>
      <c r="I104" s="20">
        <f ca="1">IFERROR(__xludf.DUMMYFUNCTION("""COMPUTED_VALUE"""),11770)</f>
        <v>11770</v>
      </c>
      <c r="J104" s="16">
        <f ca="1">IFERROR(__xludf.DUMMYFUNCTION("""COMPUTED_VALUE"""),45667)</f>
        <v>45667</v>
      </c>
      <c r="K104" s="12" t="str">
        <f ca="1">IFERROR(__xludf.DUMMYFUNCTION("""COMPUTED_VALUE"""),"缺貨")</f>
        <v>缺貨</v>
      </c>
      <c r="L104" s="12" t="str">
        <f ca="1">IFERROR(__xludf.DUMMYFUNCTION("""COMPUTED_VALUE"""),"缺貨")</f>
        <v>缺貨</v>
      </c>
      <c r="M104" s="12" t="str">
        <f ca="1">IFERROR(__xludf.DUMMYFUNCTION("""COMPUTED_VALUE"""),"不享第一重滿額商品卡活動")</f>
        <v>不享第一重滿額商品卡活動</v>
      </c>
      <c r="N104" s="12" t="str">
        <f ca="1">IFERROR(__xludf.DUMMYFUNCTION("""COMPUTED_VALUE"""),"Switch主機")</f>
        <v>Switch主機</v>
      </c>
      <c r="O104" s="12"/>
      <c r="P104" s="12" t="str">
        <f ca="1">IFERROR(__xludf.DUMMYFUNCTION("""COMPUTED_VALUE"""),"主機組合")</f>
        <v>主機組合</v>
      </c>
      <c r="Q104" s="12"/>
      <c r="R104" s="12" t="str">
        <f ca="1">IFERROR(__xludf.DUMMYFUNCTION("""COMPUTED_VALUE"""),"中國")</f>
        <v>中國</v>
      </c>
      <c r="S104" s="12"/>
      <c r="T104" s="12"/>
      <c r="U104" s="12" t="str">
        <f ca="1">IFERROR(__xludf.DUMMYFUNCTION("""COMPUTED_VALUE"""),"主機1年/遊戲無保固")</f>
        <v>主機1年/遊戲無保固</v>
      </c>
      <c r="V104" s="12"/>
      <c r="W104" s="12"/>
      <c r="X104" s="12"/>
      <c r="Y104" s="12"/>
      <c r="Z104" s="14"/>
      <c r="AA104" s="15"/>
    </row>
    <row r="105" spans="1:27" ht="19.5" customHeight="1">
      <c r="A105" s="12" t="str">
        <f ca="1">IFERROR(__xludf.DUMMYFUNCTION("""COMPUTED_VALUE"""),"3C")</f>
        <v>3C</v>
      </c>
      <c r="B105" s="12" t="str">
        <f ca="1">IFERROR(__xludf.DUMMYFUNCTION("""COMPUTED_VALUE"""),"展碁")</f>
        <v>展碁</v>
      </c>
      <c r="C105" s="12" t="str">
        <f ca="1">IFERROR(__xludf.DUMMYFUNCTION("""COMPUTED_VALUE"""),"任天堂")</f>
        <v>任天堂</v>
      </c>
      <c r="D105" s="12" t="str">
        <f ca="1">IFERROR(__xludf.DUMMYFUNCTION("""COMPUTED_VALUE"""),"Switch主機組合-OLED主機(紅藍)+1遊戲(NintendoSwitch運動)")</f>
        <v>Switch主機組合-OLED主機(紅藍)+1遊戲(NintendoSwitch運動)</v>
      </c>
      <c r="E105" s="12" t="str">
        <f ca="1">IFERROR(__xludf.DUMMYFUNCTION("""COMPUTED_VALUE"""),"HEG-S-KABAA-TWN+HAC-R-AS8SA-CHT")</f>
        <v>HEG-S-KABAA-TWN+HAC-R-AS8SA-CHT</v>
      </c>
      <c r="F105" s="12">
        <f ca="1">IFERROR(__xludf.DUMMYFUNCTION("""COMPUTED_VALUE"""),51091342)</f>
        <v>51091342</v>
      </c>
      <c r="G105" s="12" t="str">
        <f ca="1">IFERROR(__xludf.DUMMYFUNCTION("""COMPUTED_VALUE"""),"IGEM059F")</f>
        <v>IGEM059F</v>
      </c>
      <c r="H105" s="12">
        <f ca="1">IFERROR(__xludf.DUMMYFUNCTION("""COMPUTED_VALUE"""),11770)</f>
        <v>11770</v>
      </c>
      <c r="I105" s="20">
        <f ca="1">IFERROR(__xludf.DUMMYFUNCTION("""COMPUTED_VALUE"""),11770)</f>
        <v>11770</v>
      </c>
      <c r="J105" s="16">
        <f ca="1">IFERROR(__xludf.DUMMYFUNCTION("""COMPUTED_VALUE"""),45667)</f>
        <v>45667</v>
      </c>
      <c r="K105" s="12" t="str">
        <f ca="1">IFERROR(__xludf.DUMMYFUNCTION("""COMPUTED_VALUE"""),"缺貨")</f>
        <v>缺貨</v>
      </c>
      <c r="L105" s="12" t="str">
        <f ca="1">IFERROR(__xludf.DUMMYFUNCTION("""COMPUTED_VALUE"""),"缺貨")</f>
        <v>缺貨</v>
      </c>
      <c r="M105" s="12" t="str">
        <f ca="1">IFERROR(__xludf.DUMMYFUNCTION("""COMPUTED_VALUE"""),"不享第一重滿額商品卡活動")</f>
        <v>不享第一重滿額商品卡活動</v>
      </c>
      <c r="N105" s="12" t="str">
        <f ca="1">IFERROR(__xludf.DUMMYFUNCTION("""COMPUTED_VALUE"""),"Switch主機")</f>
        <v>Switch主機</v>
      </c>
      <c r="O105" s="12"/>
      <c r="P105" s="12" t="str">
        <f ca="1">IFERROR(__xludf.DUMMYFUNCTION("""COMPUTED_VALUE"""),"主機組合")</f>
        <v>主機組合</v>
      </c>
      <c r="Q105" s="12"/>
      <c r="R105" s="12" t="str">
        <f ca="1">IFERROR(__xludf.DUMMYFUNCTION("""COMPUTED_VALUE"""),"中國")</f>
        <v>中國</v>
      </c>
      <c r="S105" s="12"/>
      <c r="T105" s="12"/>
      <c r="U105" s="12" t="str">
        <f ca="1">IFERROR(__xludf.DUMMYFUNCTION("""COMPUTED_VALUE"""),"主機1年/遊戲無保固")</f>
        <v>主機1年/遊戲無保固</v>
      </c>
      <c r="V105" s="12"/>
      <c r="W105" s="12"/>
      <c r="X105" s="12"/>
      <c r="Y105" s="12"/>
      <c r="Z105" s="14"/>
      <c r="AA105" s="15"/>
    </row>
    <row r="106" spans="1:27" ht="19.5" customHeight="1">
      <c r="A106" s="12" t="str">
        <f ca="1">IFERROR(__xludf.DUMMYFUNCTION("""COMPUTED_VALUE"""),"3C")</f>
        <v>3C</v>
      </c>
      <c r="B106" s="12" t="str">
        <f ca="1">IFERROR(__xludf.DUMMYFUNCTION("""COMPUTED_VALUE"""),"展碁")</f>
        <v>展碁</v>
      </c>
      <c r="C106" s="12" t="str">
        <f ca="1">IFERROR(__xludf.DUMMYFUNCTION("""COMPUTED_VALUE"""),"任天堂")</f>
        <v>任天堂</v>
      </c>
      <c r="D106" s="12" t="str">
        <f ca="1">IFERROR(__xludf.DUMMYFUNCTION("""COMPUTED_VALUE"""),"Switch主機組合-OLED主機(白色)+2遊戲(Nintendo Switch運動+健身環大冒險)")</f>
        <v>Switch主機組合-OLED主機(白色)+2遊戲(Nintendo Switch運動+健身環大冒險)</v>
      </c>
      <c r="E106" s="12" t="str">
        <f ca="1">IFERROR(__xludf.DUMMYFUNCTION("""COMPUTED_VALUE"""),"HEG-S-KAAAA-TWN+HAC-R-AL3PA-CHT+HAC-R-AS8SA-CHT")</f>
        <v>HEG-S-KAAAA-TWN+HAC-R-AL3PA-CHT+HAC-R-AS8SA-CHT</v>
      </c>
      <c r="F106" s="12">
        <f ca="1">IFERROR(__xludf.DUMMYFUNCTION("""COMPUTED_VALUE"""),51091430)</f>
        <v>51091430</v>
      </c>
      <c r="G106" s="12" t="str">
        <f ca="1">IFERROR(__xludf.DUMMYFUNCTION("""COMPUTED_VALUE"""),"IGEM076P")</f>
        <v>IGEM076P</v>
      </c>
      <c r="H106" s="13">
        <f ca="1">IFERROR(__xludf.DUMMYFUNCTION("""COMPUTED_VALUE"""),13860)</f>
        <v>13860</v>
      </c>
      <c r="I106" s="20">
        <f ca="1">IFERROR(__xludf.DUMMYFUNCTION("""COMPUTED_VALUE"""),13550)</f>
        <v>13550</v>
      </c>
      <c r="J106" s="12"/>
      <c r="K106" s="12"/>
      <c r="L106" s="12" t="str">
        <f ca="1">IFERROR(__xludf.DUMMYFUNCTION("""COMPUTED_VALUE"""),"缺貨")</f>
        <v>缺貨</v>
      </c>
      <c r="M106" s="12" t="str">
        <f ca="1">IFERROR(__xludf.DUMMYFUNCTION("""COMPUTED_VALUE"""),"2023/3/1-5/31短促新機上架不享第一重滿額商品卡活動")</f>
        <v>2023/3/1-5/31短促新機上架不享第一重滿額商品卡活動</v>
      </c>
      <c r="N106" s="12" t="str">
        <f ca="1">IFERROR(__xludf.DUMMYFUNCTION("""COMPUTED_VALUE"""),"Switch主機")</f>
        <v>Switch主機</v>
      </c>
      <c r="O106" s="12"/>
      <c r="P106" s="12" t="str">
        <f ca="1">IFERROR(__xludf.DUMMYFUNCTION("""COMPUTED_VALUE"""),"主機組合")</f>
        <v>主機組合</v>
      </c>
      <c r="Q106" s="12"/>
      <c r="R106" s="12" t="str">
        <f ca="1">IFERROR(__xludf.DUMMYFUNCTION("""COMPUTED_VALUE"""),"中國")</f>
        <v>中國</v>
      </c>
      <c r="S106" s="12"/>
      <c r="T106" s="12"/>
      <c r="U106" s="12" t="str">
        <f ca="1">IFERROR(__xludf.DUMMYFUNCTION("""COMPUTED_VALUE"""),"主機1年/遊戲無保固")</f>
        <v>主機1年/遊戲無保固</v>
      </c>
      <c r="V106" s="12"/>
      <c r="W106" s="12"/>
      <c r="X106" s="12"/>
      <c r="Y106" s="12"/>
      <c r="Z106" s="14"/>
      <c r="AA106" s="15"/>
    </row>
    <row r="107" spans="1:27" ht="19.5" customHeight="1">
      <c r="A107" s="12" t="str">
        <f ca="1">IFERROR(__xludf.DUMMYFUNCTION("""COMPUTED_VALUE"""),"3C")</f>
        <v>3C</v>
      </c>
      <c r="B107" s="12" t="str">
        <f ca="1">IFERROR(__xludf.DUMMYFUNCTION("""COMPUTED_VALUE"""),"展碁")</f>
        <v>展碁</v>
      </c>
      <c r="C107" s="12" t="str">
        <f ca="1">IFERROR(__xludf.DUMMYFUNCTION("""COMPUTED_VALUE"""),"任天堂")</f>
        <v>任天堂</v>
      </c>
      <c r="D107" s="12" t="str">
        <f ca="1">IFERROR(__xludf.DUMMYFUNCTION("""COMPUTED_VALUE"""),"Switch主機組合-OLED主機(紅藍)+2遊戲(Nintendo Switch運動+健身環大冒險)")</f>
        <v>Switch主機組合-OLED主機(紅藍)+2遊戲(Nintendo Switch運動+健身環大冒險)</v>
      </c>
      <c r="E107" s="12" t="str">
        <f ca="1">IFERROR(__xludf.DUMMYFUNCTION("""COMPUTED_VALUE"""),"HEG-S-KABAA-TWN+HAC-R-AL3PA-CHT+HAC-R-AS8SA-CHT")</f>
        <v>HEG-S-KABAA-TWN+HAC-R-AL3PA-CHT+HAC-R-AS8SA-CHT</v>
      </c>
      <c r="F107" s="12">
        <f ca="1">IFERROR(__xludf.DUMMYFUNCTION("""COMPUTED_VALUE"""),51091431)</f>
        <v>51091431</v>
      </c>
      <c r="G107" s="12" t="str">
        <f ca="1">IFERROR(__xludf.DUMMYFUNCTION("""COMPUTED_VALUE"""),"IGEM076Q")</f>
        <v>IGEM076Q</v>
      </c>
      <c r="H107" s="13">
        <f ca="1">IFERROR(__xludf.DUMMYFUNCTION("""COMPUTED_VALUE"""),13860)</f>
        <v>13860</v>
      </c>
      <c r="I107" s="20">
        <f ca="1">IFERROR(__xludf.DUMMYFUNCTION("""COMPUTED_VALUE"""),13550)</f>
        <v>13550</v>
      </c>
      <c r="J107" s="12"/>
      <c r="K107" s="12"/>
      <c r="L107" s="12" t="str">
        <f ca="1">IFERROR(__xludf.DUMMYFUNCTION("""COMPUTED_VALUE"""),"缺貨")</f>
        <v>缺貨</v>
      </c>
      <c r="M107" s="12" t="str">
        <f ca="1">IFERROR(__xludf.DUMMYFUNCTION("""COMPUTED_VALUE"""),"2023/3/1-5/31短促新機上架不享第一重滿額商品卡活動")</f>
        <v>2023/3/1-5/31短促新機上架不享第一重滿額商品卡活動</v>
      </c>
      <c r="N107" s="12" t="str">
        <f ca="1">IFERROR(__xludf.DUMMYFUNCTION("""COMPUTED_VALUE"""),"Switch主機")</f>
        <v>Switch主機</v>
      </c>
      <c r="O107" s="12"/>
      <c r="P107" s="12" t="str">
        <f ca="1">IFERROR(__xludf.DUMMYFUNCTION("""COMPUTED_VALUE"""),"主機組合")</f>
        <v>主機組合</v>
      </c>
      <c r="Q107" s="12"/>
      <c r="R107" s="12" t="str">
        <f ca="1">IFERROR(__xludf.DUMMYFUNCTION("""COMPUTED_VALUE"""),"中國")</f>
        <v>中國</v>
      </c>
      <c r="S107" s="12"/>
      <c r="T107" s="12"/>
      <c r="U107" s="12" t="str">
        <f ca="1">IFERROR(__xludf.DUMMYFUNCTION("""COMPUTED_VALUE"""),"主機1年/遊戲無保固")</f>
        <v>主機1年/遊戲無保固</v>
      </c>
      <c r="V107" s="12"/>
      <c r="W107" s="12"/>
      <c r="X107" s="12"/>
      <c r="Y107" s="12"/>
      <c r="Z107" s="14"/>
      <c r="AA107" s="15"/>
    </row>
    <row r="108" spans="1:27" ht="19.5" customHeight="1">
      <c r="A108" s="12" t="str">
        <f ca="1">IFERROR(__xludf.DUMMYFUNCTION("""COMPUTED_VALUE"""),"3C")</f>
        <v>3C</v>
      </c>
      <c r="B108" s="12" t="str">
        <f ca="1">IFERROR(__xludf.DUMMYFUNCTION("""COMPUTED_VALUE"""),"展碁")</f>
        <v>展碁</v>
      </c>
      <c r="C108" s="12" t="str">
        <f ca="1">IFERROR(__xludf.DUMMYFUNCTION("""COMPUTED_VALUE"""),"任天堂")</f>
        <v>任天堂</v>
      </c>
      <c r="D108" s="12" t="str">
        <f ca="1">IFERROR(__xludf.DUMMYFUNCTION("""COMPUTED_VALUE"""),"Switch主機組合-OLED主機(白色)+1遊戲(瑪利歐賽車8豪華版)")</f>
        <v>Switch主機組合-OLED主機(白色)+1遊戲(瑪利歐賽車8豪華版)</v>
      </c>
      <c r="E108" s="12" t="str">
        <f ca="1">IFERROR(__xludf.DUMMYFUNCTION("""COMPUTED_VALUE"""),"HEG-S-KAAAA-TWN+HAC-P-AABPA(CHT)")</f>
        <v>HEG-S-KAAAA-TWN+HAC-P-AABPA(CHT)</v>
      </c>
      <c r="F108" s="12">
        <f ca="1">IFERROR(__xludf.DUMMYFUNCTION("""COMPUTED_VALUE"""),51091436)</f>
        <v>51091436</v>
      </c>
      <c r="G108" s="12" t="str">
        <f ca="1">IFERROR(__xludf.DUMMYFUNCTION("""COMPUTED_VALUE"""),"IGEM0833")</f>
        <v>IGEM0833</v>
      </c>
      <c r="H108" s="13">
        <f ca="1">IFERROR(__xludf.DUMMYFUNCTION("""COMPUTED_VALUE"""),12170)</f>
        <v>12170</v>
      </c>
      <c r="I108" s="20">
        <f ca="1">IFERROR(__xludf.DUMMYFUNCTION("""COMPUTED_VALUE"""),11900)</f>
        <v>11900</v>
      </c>
      <c r="J108" s="16">
        <f ca="1">IFERROR(__xludf.DUMMYFUNCTION("""COMPUTED_VALUE"""),45667)</f>
        <v>45667</v>
      </c>
      <c r="K108" s="12" t="str">
        <f ca="1">IFERROR(__xludf.DUMMYFUNCTION("""COMPUTED_VALUE"""),"缺貨")</f>
        <v>缺貨</v>
      </c>
      <c r="L108" s="12" t="str">
        <f ca="1">IFERROR(__xludf.DUMMYFUNCTION("""COMPUTED_VALUE"""),"缺貨")</f>
        <v>缺貨</v>
      </c>
      <c r="M108" s="12" t="str">
        <f ca="1">IFERROR(__xludf.DUMMYFUNCTION("""COMPUTED_VALUE"""),"5/9新機上架不享第一重滿額商品卡活動")</f>
        <v>5/9新機上架不享第一重滿額商品卡活動</v>
      </c>
      <c r="N108" s="12" t="str">
        <f ca="1">IFERROR(__xludf.DUMMYFUNCTION("""COMPUTED_VALUE"""),"Switch主機")</f>
        <v>Switch主機</v>
      </c>
      <c r="O108" s="12"/>
      <c r="P108" s="12" t="str">
        <f ca="1">IFERROR(__xludf.DUMMYFUNCTION("""COMPUTED_VALUE"""),"主機組合")</f>
        <v>主機組合</v>
      </c>
      <c r="Q108" s="12"/>
      <c r="R108" s="12" t="str">
        <f ca="1">IFERROR(__xludf.DUMMYFUNCTION("""COMPUTED_VALUE"""),"中國")</f>
        <v>中國</v>
      </c>
      <c r="S108" s="12"/>
      <c r="T108" s="12"/>
      <c r="U108" s="12" t="str">
        <f ca="1">IFERROR(__xludf.DUMMYFUNCTION("""COMPUTED_VALUE"""),"主機1年/遊戲無保固")</f>
        <v>主機1年/遊戲無保固</v>
      </c>
      <c r="V108" s="12"/>
      <c r="W108" s="12"/>
      <c r="X108" s="12"/>
      <c r="Y108" s="12"/>
      <c r="Z108" s="14"/>
      <c r="AA108" s="15"/>
    </row>
    <row r="109" spans="1:27" ht="19.5" customHeight="1">
      <c r="A109" s="12" t="str">
        <f ca="1">IFERROR(__xludf.DUMMYFUNCTION("""COMPUTED_VALUE"""),"3C")</f>
        <v>3C</v>
      </c>
      <c r="B109" s="12" t="str">
        <f ca="1">IFERROR(__xludf.DUMMYFUNCTION("""COMPUTED_VALUE"""),"展碁")</f>
        <v>展碁</v>
      </c>
      <c r="C109" s="12" t="str">
        <f ca="1">IFERROR(__xludf.DUMMYFUNCTION("""COMPUTED_VALUE"""),"任天堂")</f>
        <v>任天堂</v>
      </c>
      <c r="D109" s="12" t="str">
        <f ca="1">IFERROR(__xludf.DUMMYFUNCTION("""COMPUTED_VALUE"""),"Switch主機組合-OLED主機(紅藍)+1遊戲(瑪利歐賽車8豪華版)")</f>
        <v>Switch主機組合-OLED主機(紅藍)+1遊戲(瑪利歐賽車8豪華版)</v>
      </c>
      <c r="E109" s="12" t="str">
        <f ca="1">IFERROR(__xludf.DUMMYFUNCTION("""COMPUTED_VALUE"""),"HEG-S-KABAA-TWN+HAC-P-AABPA(CHT)")</f>
        <v>HEG-S-KABAA-TWN+HAC-P-AABPA(CHT)</v>
      </c>
      <c r="F109" s="12">
        <f ca="1">IFERROR(__xludf.DUMMYFUNCTION("""COMPUTED_VALUE"""),51091437)</f>
        <v>51091437</v>
      </c>
      <c r="G109" s="12" t="str">
        <f ca="1">IFERROR(__xludf.DUMMYFUNCTION("""COMPUTED_VALUE"""),"IGEM0834")</f>
        <v>IGEM0834</v>
      </c>
      <c r="H109" s="13">
        <f ca="1">IFERROR(__xludf.DUMMYFUNCTION("""COMPUTED_VALUE"""),12170)</f>
        <v>12170</v>
      </c>
      <c r="I109" s="20">
        <f ca="1">IFERROR(__xludf.DUMMYFUNCTION("""COMPUTED_VALUE"""),11900)</f>
        <v>11900</v>
      </c>
      <c r="J109" s="16">
        <f ca="1">IFERROR(__xludf.DUMMYFUNCTION("""COMPUTED_VALUE"""),45667)</f>
        <v>45667</v>
      </c>
      <c r="K109" s="12" t="str">
        <f ca="1">IFERROR(__xludf.DUMMYFUNCTION("""COMPUTED_VALUE"""),"缺貨")</f>
        <v>缺貨</v>
      </c>
      <c r="L109" s="12" t="str">
        <f ca="1">IFERROR(__xludf.DUMMYFUNCTION("""COMPUTED_VALUE"""),"缺貨")</f>
        <v>缺貨</v>
      </c>
      <c r="M109" s="12" t="str">
        <f ca="1">IFERROR(__xludf.DUMMYFUNCTION("""COMPUTED_VALUE"""),"5/9新機上架不享第一重滿額商品卡活動")</f>
        <v>5/9新機上架不享第一重滿額商品卡活動</v>
      </c>
      <c r="N109" s="12" t="str">
        <f ca="1">IFERROR(__xludf.DUMMYFUNCTION("""COMPUTED_VALUE"""),"Switch主機")</f>
        <v>Switch主機</v>
      </c>
      <c r="O109" s="12"/>
      <c r="P109" s="12" t="str">
        <f ca="1">IFERROR(__xludf.DUMMYFUNCTION("""COMPUTED_VALUE"""),"主機組合")</f>
        <v>主機組合</v>
      </c>
      <c r="Q109" s="12"/>
      <c r="R109" s="12" t="str">
        <f ca="1">IFERROR(__xludf.DUMMYFUNCTION("""COMPUTED_VALUE"""),"中國")</f>
        <v>中國</v>
      </c>
      <c r="S109" s="12"/>
      <c r="T109" s="12"/>
      <c r="U109" s="12" t="str">
        <f ca="1">IFERROR(__xludf.DUMMYFUNCTION("""COMPUTED_VALUE"""),"主機1年/遊戲無保固")</f>
        <v>主機1年/遊戲無保固</v>
      </c>
      <c r="V109" s="12"/>
      <c r="W109" s="12"/>
      <c r="X109" s="12"/>
      <c r="Y109" s="12"/>
      <c r="Z109" s="14"/>
      <c r="AA109" s="15"/>
    </row>
    <row r="110" spans="1:27" ht="19.5" customHeight="1">
      <c r="A110" s="12" t="str">
        <f ca="1">IFERROR(__xludf.DUMMYFUNCTION("""COMPUTED_VALUE"""),"3C")</f>
        <v>3C</v>
      </c>
      <c r="B110" s="12" t="str">
        <f ca="1">IFERROR(__xludf.DUMMYFUNCTION("""COMPUTED_VALUE"""),"展碁")</f>
        <v>展碁</v>
      </c>
      <c r="C110" s="12" t="str">
        <f ca="1">IFERROR(__xludf.DUMMYFUNCTION("""COMPUTED_VALUE"""),"任天堂")</f>
        <v>任天堂</v>
      </c>
      <c r="D110" s="12" t="str">
        <f ca="1">IFERROR(__xludf.DUMMYFUNCTION("""COMPUTED_VALUE"""),"Switch主機組合-OLED主機(白色)+1遊戲(超級瑪利歐3D世界+狂怒世界)")</f>
        <v>Switch主機組合-OLED主機(白色)+1遊戲(超級瑪利歐3D世界+狂怒世界)</v>
      </c>
      <c r="E110" s="12" t="str">
        <f ca="1">IFERROR(__xludf.DUMMYFUNCTION("""COMPUTED_VALUE"""),"HEG-S-KAAAA-TWN+HAC-P-AUZPA-CHT")</f>
        <v>HEG-S-KAAAA-TWN+HAC-P-AUZPA-CHT</v>
      </c>
      <c r="F110" s="12">
        <f ca="1">IFERROR(__xludf.DUMMYFUNCTION("""COMPUTED_VALUE"""),51091438)</f>
        <v>51091438</v>
      </c>
      <c r="G110" s="12" t="str">
        <f ca="1">IFERROR(__xludf.DUMMYFUNCTION("""COMPUTED_VALUE"""),"IGEM0835")</f>
        <v>IGEM0835</v>
      </c>
      <c r="H110" s="13">
        <f ca="1">IFERROR(__xludf.DUMMYFUNCTION("""COMPUTED_VALUE"""),12170)</f>
        <v>12170</v>
      </c>
      <c r="I110" s="20">
        <f ca="1">IFERROR(__xludf.DUMMYFUNCTION("""COMPUTED_VALUE"""),11900)</f>
        <v>11900</v>
      </c>
      <c r="J110" s="16">
        <f ca="1">IFERROR(__xludf.DUMMYFUNCTION("""COMPUTED_VALUE"""),45667)</f>
        <v>45667</v>
      </c>
      <c r="K110" s="12" t="str">
        <f ca="1">IFERROR(__xludf.DUMMYFUNCTION("""COMPUTED_VALUE"""),"缺貨")</f>
        <v>缺貨</v>
      </c>
      <c r="L110" s="12" t="str">
        <f ca="1">IFERROR(__xludf.DUMMYFUNCTION("""COMPUTED_VALUE"""),"缺貨")</f>
        <v>缺貨</v>
      </c>
      <c r="M110" s="12" t="str">
        <f ca="1">IFERROR(__xludf.DUMMYFUNCTION("""COMPUTED_VALUE"""),"5/9新機上架不享第一重滿額商品卡活動")</f>
        <v>5/9新機上架不享第一重滿額商品卡活動</v>
      </c>
      <c r="N110" s="12" t="str">
        <f ca="1">IFERROR(__xludf.DUMMYFUNCTION("""COMPUTED_VALUE"""),"Switch主機")</f>
        <v>Switch主機</v>
      </c>
      <c r="O110" s="12"/>
      <c r="P110" s="12" t="str">
        <f ca="1">IFERROR(__xludf.DUMMYFUNCTION("""COMPUTED_VALUE"""),"主機組合")</f>
        <v>主機組合</v>
      </c>
      <c r="Q110" s="12"/>
      <c r="R110" s="12" t="str">
        <f ca="1">IFERROR(__xludf.DUMMYFUNCTION("""COMPUTED_VALUE"""),"中國")</f>
        <v>中國</v>
      </c>
      <c r="S110" s="12"/>
      <c r="T110" s="12"/>
      <c r="U110" s="12" t="str">
        <f ca="1">IFERROR(__xludf.DUMMYFUNCTION("""COMPUTED_VALUE"""),"主機1年/遊戲無保固")</f>
        <v>主機1年/遊戲無保固</v>
      </c>
      <c r="V110" s="12"/>
      <c r="W110" s="12"/>
      <c r="X110" s="12"/>
      <c r="Y110" s="12"/>
      <c r="Z110" s="14"/>
      <c r="AA110" s="15"/>
    </row>
    <row r="111" spans="1:27" ht="19.5" customHeight="1">
      <c r="A111" s="12" t="str">
        <f ca="1">IFERROR(__xludf.DUMMYFUNCTION("""COMPUTED_VALUE"""),"3C")</f>
        <v>3C</v>
      </c>
      <c r="B111" s="12" t="str">
        <f ca="1">IFERROR(__xludf.DUMMYFUNCTION("""COMPUTED_VALUE"""),"展碁")</f>
        <v>展碁</v>
      </c>
      <c r="C111" s="12" t="str">
        <f ca="1">IFERROR(__xludf.DUMMYFUNCTION("""COMPUTED_VALUE"""),"任天堂")</f>
        <v>任天堂</v>
      </c>
      <c r="D111" s="12" t="str">
        <f ca="1">IFERROR(__xludf.DUMMYFUNCTION("""COMPUTED_VALUE"""),"Switch主機組合-OLED主機(紅藍)+1遊戲(超級瑪利歐3D世界+狂怒世界)")</f>
        <v>Switch主機組合-OLED主機(紅藍)+1遊戲(超級瑪利歐3D世界+狂怒世界)</v>
      </c>
      <c r="E111" s="12" t="str">
        <f ca="1">IFERROR(__xludf.DUMMYFUNCTION("""COMPUTED_VALUE"""),"HEG-S-KABAA-TWN+HAC-P-AUZPA-CHT")</f>
        <v>HEG-S-KABAA-TWN+HAC-P-AUZPA-CHT</v>
      </c>
      <c r="F111" s="12">
        <f ca="1">IFERROR(__xludf.DUMMYFUNCTION("""COMPUTED_VALUE"""),51091439)</f>
        <v>51091439</v>
      </c>
      <c r="G111" s="12" t="str">
        <f ca="1">IFERROR(__xludf.DUMMYFUNCTION("""COMPUTED_VALUE"""),"IGEM0836")</f>
        <v>IGEM0836</v>
      </c>
      <c r="H111" s="13">
        <f ca="1">IFERROR(__xludf.DUMMYFUNCTION("""COMPUTED_VALUE"""),12170)</f>
        <v>12170</v>
      </c>
      <c r="I111" s="20">
        <f ca="1">IFERROR(__xludf.DUMMYFUNCTION("""COMPUTED_VALUE"""),11900)</f>
        <v>11900</v>
      </c>
      <c r="J111" s="16">
        <f ca="1">IFERROR(__xludf.DUMMYFUNCTION("""COMPUTED_VALUE"""),45667)</f>
        <v>45667</v>
      </c>
      <c r="K111" s="12" t="str">
        <f ca="1">IFERROR(__xludf.DUMMYFUNCTION("""COMPUTED_VALUE"""),"缺貨")</f>
        <v>缺貨</v>
      </c>
      <c r="L111" s="12" t="str">
        <f ca="1">IFERROR(__xludf.DUMMYFUNCTION("""COMPUTED_VALUE"""),"缺貨")</f>
        <v>缺貨</v>
      </c>
      <c r="M111" s="12" t="str">
        <f ca="1">IFERROR(__xludf.DUMMYFUNCTION("""COMPUTED_VALUE"""),"5/9新機上架不享第一重滿額商品卡活動")</f>
        <v>5/9新機上架不享第一重滿額商品卡活動</v>
      </c>
      <c r="N111" s="12" t="str">
        <f ca="1">IFERROR(__xludf.DUMMYFUNCTION("""COMPUTED_VALUE"""),"Switch主機")</f>
        <v>Switch主機</v>
      </c>
      <c r="O111" s="12"/>
      <c r="P111" s="12" t="str">
        <f ca="1">IFERROR(__xludf.DUMMYFUNCTION("""COMPUTED_VALUE"""),"主機組合")</f>
        <v>主機組合</v>
      </c>
      <c r="Q111" s="12"/>
      <c r="R111" s="12" t="str">
        <f ca="1">IFERROR(__xludf.DUMMYFUNCTION("""COMPUTED_VALUE"""),"中國")</f>
        <v>中國</v>
      </c>
      <c r="S111" s="12"/>
      <c r="T111" s="12"/>
      <c r="U111" s="12" t="str">
        <f ca="1">IFERROR(__xludf.DUMMYFUNCTION("""COMPUTED_VALUE"""),"主機1年/遊戲無保固")</f>
        <v>主機1年/遊戲無保固</v>
      </c>
      <c r="V111" s="12"/>
      <c r="W111" s="12"/>
      <c r="X111" s="12"/>
      <c r="Y111" s="12"/>
      <c r="Z111" s="14"/>
      <c r="AA111" s="15"/>
    </row>
    <row r="112" spans="1:27" ht="19.5" customHeight="1">
      <c r="A112" s="12" t="str">
        <f ca="1">IFERROR(__xludf.DUMMYFUNCTION("""COMPUTED_VALUE"""),"3C")</f>
        <v>3C</v>
      </c>
      <c r="B112" s="12" t="str">
        <f ca="1">IFERROR(__xludf.DUMMYFUNCTION("""COMPUTED_VALUE"""),"展碁")</f>
        <v>展碁</v>
      </c>
      <c r="C112" s="12" t="str">
        <f ca="1">IFERROR(__xludf.DUMMYFUNCTION("""COMPUTED_VALUE"""),"任天堂")</f>
        <v>任天堂</v>
      </c>
      <c r="D112" s="12" t="str">
        <f ca="1">IFERROR(__xludf.DUMMYFUNCTION("""COMPUTED_VALUE"""),"Switch遊戲片-皮克敏４")</f>
        <v>Switch遊戲片-皮克敏４</v>
      </c>
      <c r="E112" s="12" t="str">
        <f ca="1">IFERROR(__xludf.DUMMYFUNCTION("""COMPUTED_VALUE"""),"HAC-P-AMPYA-CHT")</f>
        <v>HAC-P-AMPYA-CHT</v>
      </c>
      <c r="F112" s="12">
        <f ca="1">IFERROR(__xludf.DUMMYFUNCTION("""COMPUTED_VALUE"""),51091447)</f>
        <v>51091447</v>
      </c>
      <c r="G112" s="12" t="str">
        <f ca="1">IFERROR(__xludf.DUMMYFUNCTION("""COMPUTED_VALUE"""),"IGEM087T")</f>
        <v>IGEM087T</v>
      </c>
      <c r="H112" s="12">
        <f ca="1">IFERROR(__xludf.DUMMYFUNCTION("""COMPUTED_VALUE"""),1550)</f>
        <v>1550</v>
      </c>
      <c r="I112" s="14">
        <f ca="1">IFERROR(__xludf.DUMMYFUNCTION("""COMPUTED_VALUE"""),1550)</f>
        <v>1550</v>
      </c>
      <c r="J112" s="16">
        <f ca="1">IFERROR(__xludf.DUMMYFUNCTION("""COMPUTED_VALUE"""),45161)</f>
        <v>45161</v>
      </c>
      <c r="K112" s="12" t="str">
        <f ca="1">IFERROR(__xludf.DUMMYFUNCTION("""COMPUTED_VALUE"""),"新機上架")</f>
        <v>新機上架</v>
      </c>
      <c r="L112" s="12" t="str">
        <f ca="1">IFERROR(__xludf.DUMMYFUNCTION("""COMPUTED_VALUE"""),"上架中")</f>
        <v>上架中</v>
      </c>
      <c r="M112" s="12" t="str">
        <f ca="1">IFERROR(__xludf.DUMMYFUNCTION("""COMPUTED_VALUE"""),"8/23新機上架")</f>
        <v>8/23新機上架</v>
      </c>
      <c r="N112" s="12" t="str">
        <f ca="1">IFERROR(__xludf.DUMMYFUNCTION("""COMPUTED_VALUE"""),"Switch遊戲")</f>
        <v>Switch遊戲</v>
      </c>
      <c r="O112" s="12"/>
      <c r="P112" s="12" t="str">
        <f ca="1">IFERROR(__xludf.DUMMYFUNCTION("""COMPUTED_VALUE"""),"遊戲/配件")</f>
        <v>遊戲/配件</v>
      </c>
      <c r="Q112" s="12" t="str">
        <f ca="1">IFERROR(__xludf.DUMMYFUNCTION("""COMPUTED_VALUE"""),"高13.9*寬102*長239mm")</f>
        <v>高13.9*寬102*長239mm</v>
      </c>
      <c r="R112" s="12" t="str">
        <f ca="1">IFERROR(__xludf.DUMMYFUNCTION("""COMPUTED_VALUE"""),"日本")</f>
        <v>日本</v>
      </c>
      <c r="S112" s="12"/>
      <c r="T112" s="12"/>
      <c r="U112" s="12" t="str">
        <f ca="1">IFERROR(__xludf.DUMMYFUNCTION("""COMPUTED_VALUE"""),"無保固")</f>
        <v>無保固</v>
      </c>
      <c r="V112" s="12"/>
      <c r="W112" s="12"/>
      <c r="X112" s="12"/>
      <c r="Y112" s="12"/>
      <c r="Z112" s="14"/>
      <c r="AA112" s="15" t="str">
        <f ca="1">IFERROR(__xludf.DUMMYFUNCTION("""COMPUTED_VALUE"""),"*色彩繽紛的皮克敏*在未知星球上收集物資*突破難關與對抗兇惡生物")</f>
        <v>*色彩繽紛的皮克敏*在未知星球上收集物資*突破難關與對抗兇惡生物</v>
      </c>
    </row>
    <row r="113" spans="1:27" ht="19.5" customHeight="1">
      <c r="A113" s="12" t="str">
        <f ca="1">IFERROR(__xludf.DUMMYFUNCTION("""COMPUTED_VALUE"""),"3C")</f>
        <v>3C</v>
      </c>
      <c r="B113" s="12" t="str">
        <f ca="1">IFERROR(__xludf.DUMMYFUNCTION("""COMPUTED_VALUE"""),"展碁")</f>
        <v>展碁</v>
      </c>
      <c r="C113" s="12" t="str">
        <f ca="1">IFERROR(__xludf.DUMMYFUNCTION("""COMPUTED_VALUE"""),"任天堂")</f>
        <v>任天堂</v>
      </c>
      <c r="D113" s="12" t="str">
        <f ca="1">IFERROR(__xludf.DUMMYFUNCTION("""COMPUTED_VALUE"""),"Switch遊戲片-超級瑪利歐兄弟 驚奇")</f>
        <v>Switch遊戲片-超級瑪利歐兄弟 驚奇</v>
      </c>
      <c r="E113" s="12" t="str">
        <f ca="1">IFERROR(__xludf.DUMMYFUNCTION("""COMPUTED_VALUE"""),"超級瑪利歐兄弟 驚奇")</f>
        <v>超級瑪利歐兄弟 驚奇</v>
      </c>
      <c r="F113" s="12">
        <f ca="1">IFERROR(__xludf.DUMMYFUNCTION("""COMPUTED_VALUE"""),51091450)</f>
        <v>51091450</v>
      </c>
      <c r="G113" s="12" t="str">
        <f ca="1">IFERROR(__xludf.DUMMYFUNCTION("""COMPUTED_VALUE"""),"IGEM089K")</f>
        <v>IGEM089K</v>
      </c>
      <c r="H113" s="13">
        <f ca="1">IFERROR(__xludf.DUMMYFUNCTION("""COMPUTED_VALUE"""),1550)</f>
        <v>1550</v>
      </c>
      <c r="I113" s="18">
        <f ca="1">IFERROR(__xludf.DUMMYFUNCTION("""COMPUTED_VALUE"""),1550)</f>
        <v>1550</v>
      </c>
      <c r="J113" s="16">
        <f ca="1">IFERROR(__xludf.DUMMYFUNCTION("""COMPUTED_VALUE"""),45597)</f>
        <v>45597</v>
      </c>
      <c r="K113" s="12" t="str">
        <f ca="1">IFERROR(__xludf.DUMMYFUNCTION("""COMPUTED_VALUE"""),"到貨")</f>
        <v>到貨</v>
      </c>
      <c r="L113" s="12" t="str">
        <f ca="1">IFERROR(__xludf.DUMMYFUNCTION("""COMPUTED_VALUE"""),"上架中")</f>
        <v>上架中</v>
      </c>
      <c r="M113" s="12" t="str">
        <f ca="1">IFERROR(__xludf.DUMMYFUNCTION("""COMPUTED_VALUE"""),"2024/3/30重新上架(少量)2024/3/19暫時停售2024/03/01少量到貨 2024/02/20缺貨 2024/2/15 少量5台到貨 2024/2/2缺貨 10/20新機上架")</f>
        <v>2024/3/30重新上架(少量)2024/3/19暫時停售2024/03/01少量到貨 2024/02/20缺貨 2024/2/15 少量5台到貨 2024/2/2缺貨 10/20新機上架</v>
      </c>
      <c r="N113" s="12" t="str">
        <f ca="1">IFERROR(__xludf.DUMMYFUNCTION("""COMPUTED_VALUE"""),"Switch遊戲")</f>
        <v>Switch遊戲</v>
      </c>
      <c r="O113" s="12"/>
      <c r="P113" s="12" t="str">
        <f ca="1">IFERROR(__xludf.DUMMYFUNCTION("""COMPUTED_VALUE"""),"遊戲/配件")</f>
        <v>遊戲/配件</v>
      </c>
      <c r="Q113" s="12"/>
      <c r="R113" s="12" t="str">
        <f ca="1">IFERROR(__xludf.DUMMYFUNCTION("""COMPUTED_VALUE"""),"日本")</f>
        <v>日本</v>
      </c>
      <c r="S113" s="12"/>
      <c r="T113" s="12"/>
      <c r="U113" s="12" t="str">
        <f ca="1">IFERROR(__xludf.DUMMYFUNCTION("""COMPUTED_VALUE"""),"無保固")</f>
        <v>無保固</v>
      </c>
      <c r="V113" s="12"/>
      <c r="W113" s="12"/>
      <c r="X113" s="12"/>
      <c r="Y113" s="12"/>
      <c r="Z113" s="14"/>
      <c r="AA113" s="15" t="str">
        <f ca="1">IFERROR(__xludf.DUMMYFUNCTION("""COMPUTED_VALUE"""),"「超級瑪利歐兄弟」的完全新作《超級瑪利歐兄弟 驚奇》將於Nintendo Switch登場。
對「超級瑪利歐兄弟」系列來說，這是自2012年發售的《New 超級瑪利歐兄弟U》以來，相隔11年才面世的全新作品。瑪利歐將與同伴一起攻破敵人和機關，以終點旗桿為目標全力奔跑。")</f>
        <v>「超級瑪利歐兄弟」的完全新作《超級瑪利歐兄弟 驚奇》將於Nintendo Switch登場。
對「超級瑪利歐兄弟」系列來說，這是自2012年發售的《New 超級瑪利歐兄弟U》以來，相隔11年才面世的全新作品。瑪利歐將與同伴一起攻破敵人和機關，以終點旗桿為目標全力奔跑。</v>
      </c>
    </row>
    <row r="114" spans="1:27" ht="19.5" customHeight="1">
      <c r="A114" s="12" t="str">
        <f ca="1">IFERROR(__xludf.DUMMYFUNCTION("""COMPUTED_VALUE"""),"3C")</f>
        <v>3C</v>
      </c>
      <c r="B114" s="12" t="str">
        <f ca="1">IFERROR(__xludf.DUMMYFUNCTION("""COMPUTED_VALUE"""),"展碁")</f>
        <v>展碁</v>
      </c>
      <c r="C114" s="12" t="str">
        <f ca="1">IFERROR(__xludf.DUMMYFUNCTION("""COMPUTED_VALUE"""),"任天堂")</f>
        <v>任天堂</v>
      </c>
      <c r="D114" s="12" t="str">
        <f ca="1">IFERROR(__xludf.DUMMYFUNCTION("""COMPUTED_VALUE"""),"Switch主機組合-OLED主機(白色)+1遊戲(超級瑪利歐兄弟 驚奇)")</f>
        <v>Switch主機組合-OLED主機(白色)+1遊戲(超級瑪利歐兄弟 驚奇)</v>
      </c>
      <c r="E114" s="12" t="str">
        <f ca="1">IFERROR(__xludf.DUMMYFUNCTION("""COMPUTED_VALUE"""),"HEG-S-KAAAA-TWN+HAC-P-瑪利歐驚奇")</f>
        <v>HEG-S-KAAAA-TWN+HAC-P-瑪利歐驚奇</v>
      </c>
      <c r="F114" s="12">
        <f ca="1">IFERROR(__xludf.DUMMYFUNCTION("""COMPUTED_VALUE"""),51091448)</f>
        <v>51091448</v>
      </c>
      <c r="G114" s="12" t="str">
        <f ca="1">IFERROR(__xludf.DUMMYFUNCTION("""COMPUTED_VALUE"""),"IGEM089I")</f>
        <v>IGEM089I</v>
      </c>
      <c r="H114" s="13">
        <f ca="1">IFERROR(__xludf.DUMMYFUNCTION("""COMPUTED_VALUE"""),12030)</f>
        <v>12030</v>
      </c>
      <c r="I114" s="20">
        <f ca="1">IFERROR(__xludf.DUMMYFUNCTION("""COMPUTED_VALUE"""),12030)</f>
        <v>12030</v>
      </c>
      <c r="J114" s="16">
        <f ca="1">IFERROR(__xludf.DUMMYFUNCTION("""COMPUTED_VALUE"""),45667)</f>
        <v>45667</v>
      </c>
      <c r="K114" s="12" t="str">
        <f ca="1">IFERROR(__xludf.DUMMYFUNCTION("""COMPUTED_VALUE"""),"缺貨")</f>
        <v>缺貨</v>
      </c>
      <c r="L114" s="12" t="str">
        <f ca="1">IFERROR(__xludf.DUMMYFUNCTION("""COMPUTED_VALUE"""),"缺貨")</f>
        <v>缺貨</v>
      </c>
      <c r="M114" s="12" t="str">
        <f ca="1">IFERROR(__xludf.DUMMYFUNCTION("""COMPUTED_VALUE"""),"2024/03/01少量到貨 2024/2/2缺貨 112/11/1降價10/20新機上架/不享第一重滿額商品卡活動")</f>
        <v>2024/03/01少量到貨 2024/2/2缺貨 112/11/1降價10/20新機上架/不享第一重滿額商品卡活動</v>
      </c>
      <c r="N114" s="12" t="str">
        <f ca="1">IFERROR(__xludf.DUMMYFUNCTION("""COMPUTED_VALUE"""),"Switch主機")</f>
        <v>Switch主機</v>
      </c>
      <c r="O114" s="12"/>
      <c r="P114" s="12" t="str">
        <f ca="1">IFERROR(__xludf.DUMMYFUNCTION("""COMPUTED_VALUE"""),"主機組合")</f>
        <v>主機組合</v>
      </c>
      <c r="Q114" s="12"/>
      <c r="R114" s="12" t="str">
        <f ca="1">IFERROR(__xludf.DUMMYFUNCTION("""COMPUTED_VALUE"""),"中國")</f>
        <v>中國</v>
      </c>
      <c r="S114" s="12"/>
      <c r="T114" s="12"/>
      <c r="U114" s="12" t="str">
        <f ca="1">IFERROR(__xludf.DUMMYFUNCTION("""COMPUTED_VALUE"""),"主機1年/遊戲無保固")</f>
        <v>主機1年/遊戲無保固</v>
      </c>
      <c r="V114" s="12"/>
      <c r="W114" s="12"/>
      <c r="X114" s="12"/>
      <c r="Y114" s="12"/>
      <c r="Z114" s="14"/>
      <c r="AA114" s="15"/>
    </row>
    <row r="115" spans="1:27" ht="19.5" customHeight="1">
      <c r="A115" s="12" t="str">
        <f ca="1">IFERROR(__xludf.DUMMYFUNCTION("""COMPUTED_VALUE"""),"3C")</f>
        <v>3C</v>
      </c>
      <c r="B115" s="12" t="str">
        <f ca="1">IFERROR(__xludf.DUMMYFUNCTION("""COMPUTED_VALUE"""),"展碁")</f>
        <v>展碁</v>
      </c>
      <c r="C115" s="12" t="str">
        <f ca="1">IFERROR(__xludf.DUMMYFUNCTION("""COMPUTED_VALUE"""),"任天堂")</f>
        <v>任天堂</v>
      </c>
      <c r="D115" s="12" t="str">
        <f ca="1">IFERROR(__xludf.DUMMYFUNCTION("""COMPUTED_VALUE"""),"Switch主機組合-OLED主機(紅藍)+1遊戲(超級瑪利歐兄弟 驚奇)")</f>
        <v>Switch主機組合-OLED主機(紅藍)+1遊戲(超級瑪利歐兄弟 驚奇)</v>
      </c>
      <c r="E115" s="12" t="str">
        <f ca="1">IFERROR(__xludf.DUMMYFUNCTION("""COMPUTED_VALUE"""),"HEG-S-KABAA-TWN+HAC-P-瑪利歐驚奇")</f>
        <v>HEG-S-KABAA-TWN+HAC-P-瑪利歐驚奇</v>
      </c>
      <c r="F115" s="12">
        <f ca="1">IFERROR(__xludf.DUMMYFUNCTION("""COMPUTED_VALUE"""),51091449)</f>
        <v>51091449</v>
      </c>
      <c r="G115" s="12" t="str">
        <f ca="1">IFERROR(__xludf.DUMMYFUNCTION("""COMPUTED_VALUE"""),"IGEM089J")</f>
        <v>IGEM089J</v>
      </c>
      <c r="H115" s="13">
        <f ca="1">IFERROR(__xludf.DUMMYFUNCTION("""COMPUTED_VALUE"""),12030)</f>
        <v>12030</v>
      </c>
      <c r="I115" s="20">
        <f ca="1">IFERROR(__xludf.DUMMYFUNCTION("""COMPUTED_VALUE"""),12030)</f>
        <v>12030</v>
      </c>
      <c r="J115" s="16">
        <f ca="1">IFERROR(__xludf.DUMMYFUNCTION("""COMPUTED_VALUE"""),45667)</f>
        <v>45667</v>
      </c>
      <c r="K115" s="12" t="str">
        <f ca="1">IFERROR(__xludf.DUMMYFUNCTION("""COMPUTED_VALUE"""),"缺貨")</f>
        <v>缺貨</v>
      </c>
      <c r="L115" s="12" t="str">
        <f ca="1">IFERROR(__xludf.DUMMYFUNCTION("""COMPUTED_VALUE"""),"缺貨")</f>
        <v>缺貨</v>
      </c>
      <c r="M115" s="12" t="str">
        <f ca="1">IFERROR(__xludf.DUMMYFUNCTION("""COMPUTED_VALUE"""),"2024/03/01少量到貨 2024/2/2缺貨 112/11/1降價10/20新機上架/不享第一重滿額商品卡活動")</f>
        <v>2024/03/01少量到貨 2024/2/2缺貨 112/11/1降價10/20新機上架/不享第一重滿額商品卡活動</v>
      </c>
      <c r="N115" s="12" t="str">
        <f ca="1">IFERROR(__xludf.DUMMYFUNCTION("""COMPUTED_VALUE"""),"Switch主機")</f>
        <v>Switch主機</v>
      </c>
      <c r="O115" s="12"/>
      <c r="P115" s="12" t="str">
        <f ca="1">IFERROR(__xludf.DUMMYFUNCTION("""COMPUTED_VALUE"""),"主機組合")</f>
        <v>主機組合</v>
      </c>
      <c r="Q115" s="12"/>
      <c r="R115" s="12" t="str">
        <f ca="1">IFERROR(__xludf.DUMMYFUNCTION("""COMPUTED_VALUE"""),"中國")</f>
        <v>中國</v>
      </c>
      <c r="S115" s="12"/>
      <c r="T115" s="12"/>
      <c r="U115" s="12" t="str">
        <f ca="1">IFERROR(__xludf.DUMMYFUNCTION("""COMPUTED_VALUE"""),"主機1年/遊戲無保固")</f>
        <v>主機1年/遊戲無保固</v>
      </c>
      <c r="V115" s="12"/>
      <c r="W115" s="12"/>
      <c r="X115" s="12"/>
      <c r="Y115" s="12"/>
      <c r="Z115" s="14"/>
      <c r="AA115" s="15"/>
    </row>
    <row r="116" spans="1:27" ht="19.5" customHeight="1">
      <c r="A116" s="12" t="str">
        <f ca="1">IFERROR(__xludf.DUMMYFUNCTION("""COMPUTED_VALUE"""),"3C")</f>
        <v>3C</v>
      </c>
      <c r="B116" s="12" t="str">
        <f ca="1">IFERROR(__xludf.DUMMYFUNCTION("""COMPUTED_VALUE"""),"展碁")</f>
        <v>展碁</v>
      </c>
      <c r="C116" s="12" t="str">
        <f ca="1">IFERROR(__xludf.DUMMYFUNCTION("""COMPUTED_VALUE"""),"任天堂")</f>
        <v>任天堂</v>
      </c>
      <c r="D116" s="12" t="str">
        <f ca="1">IFERROR(__xludf.DUMMYFUNCTION("""COMPUTED_VALUE"""),"Switch遊戲片-瑪利歐 vs. 咚奇剛")</f>
        <v>Switch遊戲片-瑪利歐 vs. 咚奇剛</v>
      </c>
      <c r="E116" s="12" t="str">
        <f ca="1">IFERROR(__xludf.DUMMYFUNCTION("""COMPUTED_VALUE"""),"HAC-P-A97PA-CHT")</f>
        <v>HAC-P-A97PA-CHT</v>
      </c>
      <c r="F116" s="12">
        <f ca="1">IFERROR(__xludf.DUMMYFUNCTION("""COMPUTED_VALUE"""),51091454)</f>
        <v>51091454</v>
      </c>
      <c r="G116" s="12" t="str">
        <f ca="1">IFERROR(__xludf.DUMMYFUNCTION("""COMPUTED_VALUE"""),"IGEM097U")</f>
        <v>IGEM097U</v>
      </c>
      <c r="H116" s="13">
        <f ca="1">IFERROR(__xludf.DUMMYFUNCTION("""COMPUTED_VALUE"""),1290)</f>
        <v>1290</v>
      </c>
      <c r="I116" s="20">
        <f ca="1">IFERROR(__xludf.DUMMYFUNCTION("""COMPUTED_VALUE"""),1290)</f>
        <v>1290</v>
      </c>
      <c r="J116" s="16">
        <f ca="1">IFERROR(__xludf.DUMMYFUNCTION("""COMPUTED_VALUE"""),45343)</f>
        <v>45343</v>
      </c>
      <c r="K116" s="12" t="str">
        <f ca="1">IFERROR(__xludf.DUMMYFUNCTION("""COMPUTED_VALUE"""),"新機上架")</f>
        <v>新機上架</v>
      </c>
      <c r="L116" s="12" t="str">
        <f ca="1">IFERROR(__xludf.DUMMYFUNCTION("""COMPUTED_VALUE"""),"上架中")</f>
        <v>上架中</v>
      </c>
      <c r="M116" s="12" t="str">
        <f ca="1">IFERROR(__xludf.DUMMYFUNCTION("""COMPUTED_VALUE"""),"限量7片, 2024/03/01 暫時下架")</f>
        <v>限量7片, 2024/03/01 暫時下架</v>
      </c>
      <c r="N116" s="12" t="str">
        <f ca="1">IFERROR(__xludf.DUMMYFUNCTION("""COMPUTED_VALUE"""),"Switch遊戲")</f>
        <v>Switch遊戲</v>
      </c>
      <c r="O116" s="12"/>
      <c r="P116" s="12" t="str">
        <f ca="1">IFERROR(__xludf.DUMMYFUNCTION("""COMPUTED_VALUE"""),"遊戲/配件")</f>
        <v>遊戲/配件</v>
      </c>
      <c r="Q116" s="12" t="str">
        <f ca="1">IFERROR(__xludf.DUMMYFUNCTION("""COMPUTED_VALUE"""),"13.9x102x239mm")</f>
        <v>13.9x102x239mm</v>
      </c>
      <c r="R116" s="12" t="str">
        <f ca="1">IFERROR(__xludf.DUMMYFUNCTION("""COMPUTED_VALUE"""),"日本")</f>
        <v>日本</v>
      </c>
      <c r="S116" s="12"/>
      <c r="T116" s="12"/>
      <c r="U116" s="12" t="str">
        <f ca="1">IFERROR(__xludf.DUMMYFUNCTION("""COMPUTED_VALUE"""),"無保固")</f>
        <v>無保固</v>
      </c>
      <c r="V116" s="12"/>
      <c r="W116" s="12"/>
      <c r="X116" s="12"/>
      <c r="Y116" s="12"/>
      <c r="Z116" s="14"/>
      <c r="AA116" s="15"/>
    </row>
    <row r="117" spans="1:27" ht="19.5" customHeight="1">
      <c r="A117" s="12" t="str">
        <f ca="1">IFERROR(__xludf.DUMMYFUNCTION("""COMPUTED_VALUE"""),"3C")</f>
        <v>3C</v>
      </c>
      <c r="B117" s="12" t="str">
        <f ca="1">IFERROR(__xludf.DUMMYFUNCTION("""COMPUTED_VALUE"""),"展碁")</f>
        <v>展碁</v>
      </c>
      <c r="C117" s="12" t="str">
        <f ca="1">IFERROR(__xludf.DUMMYFUNCTION("""COMPUTED_VALUE"""),"任天堂")</f>
        <v>任天堂</v>
      </c>
      <c r="D117" s="12" t="str">
        <f ca="1">IFERROR(__xludf.DUMMYFUNCTION("""COMPUTED_VALUE"""),"Switch遊戲片-路易吉洋樓2 HD")</f>
        <v>Switch遊戲片-路易吉洋樓2 HD</v>
      </c>
      <c r="E117" s="12" t="str">
        <f ca="1">IFERROR(__xludf.DUMMYFUNCTION("""COMPUTED_VALUE"""),"HAC-P-BANRA-CHT")</f>
        <v>HAC-P-BANRA-CHT</v>
      </c>
      <c r="F117" s="12">
        <f ca="1">IFERROR(__xludf.DUMMYFUNCTION("""COMPUTED_VALUE"""),51091481)</f>
        <v>51091481</v>
      </c>
      <c r="G117" s="12" t="str">
        <f ca="1">IFERROR(__xludf.DUMMYFUNCTION("""COMPUTED_VALUE"""),"IGEM103S")</f>
        <v>IGEM103S</v>
      </c>
      <c r="H117" s="13">
        <f ca="1">IFERROR(__xludf.DUMMYFUNCTION("""COMPUTED_VALUE"""),1450)</f>
        <v>1450</v>
      </c>
      <c r="I117" s="20">
        <f ca="1">IFERROR(__xludf.DUMMYFUNCTION("""COMPUTED_VALUE"""),1450)</f>
        <v>1450</v>
      </c>
      <c r="J117" s="16">
        <f ca="1">IFERROR(__xludf.DUMMYFUNCTION("""COMPUTED_VALUE"""),45474)</f>
        <v>45474</v>
      </c>
      <c r="K117" s="12" t="str">
        <f ca="1">IFERROR(__xludf.DUMMYFUNCTION("""COMPUTED_VALUE"""),"新機上架")</f>
        <v>新機上架</v>
      </c>
      <c r="L117" s="12" t="str">
        <f ca="1">IFERROR(__xludf.DUMMYFUNCTION("""COMPUTED_VALUE"""),"上架中")</f>
        <v>上架中</v>
      </c>
      <c r="M117" s="12" t="str">
        <f ca="1">IFERROR(__xludf.DUMMYFUNCTION("""COMPUTED_VALUE"""),"2024/7/1新機上架")</f>
        <v>2024/7/1新機上架</v>
      </c>
      <c r="N117" s="12" t="str">
        <f ca="1">IFERROR(__xludf.DUMMYFUNCTION("""COMPUTED_VALUE"""),"Switch遊戲")</f>
        <v>Switch遊戲</v>
      </c>
      <c r="O117" s="12"/>
      <c r="P117" s="12" t="str">
        <f ca="1">IFERROR(__xludf.DUMMYFUNCTION("""COMPUTED_VALUE"""),"遊戲/配件")</f>
        <v>遊戲/配件</v>
      </c>
      <c r="Q117" s="12" t="str">
        <f ca="1">IFERROR(__xludf.DUMMYFUNCTION("""COMPUTED_VALUE"""),"高13.9*寬102*長239mm")</f>
        <v>高13.9*寬102*長239mm</v>
      </c>
      <c r="R117" s="12" t="str">
        <f ca="1">IFERROR(__xludf.DUMMYFUNCTION("""COMPUTED_VALUE"""),"日本")</f>
        <v>日本</v>
      </c>
      <c r="S117" s="12"/>
      <c r="T117" s="12"/>
      <c r="U117" s="12" t="str">
        <f ca="1">IFERROR(__xludf.DUMMYFUNCTION("""COMPUTED_VALUE"""),"無保固")</f>
        <v>無保固</v>
      </c>
      <c r="V117" s="12"/>
      <c r="W117" s="12"/>
      <c r="X117" s="12"/>
      <c r="Y117" s="12"/>
      <c r="Z117" s="14"/>
      <c r="AA117" s="15" t="str">
        <f ca="1">IFERROR(__xludf.DUMMYFUNCTION("""COMPUTED_VALUE"""),"以性格膽小的路易吉為主題，讓玩家一邊探索解謎一邊擊退各種妖魔鬼怪的公寓探索型動作冒險遊戲")</f>
        <v>以性格膽小的路易吉為主題，讓玩家一邊探索解謎一邊擊退各種妖魔鬼怪的公寓探索型動作冒險遊戲</v>
      </c>
    </row>
    <row r="118" spans="1:27" ht="19.5" customHeight="1">
      <c r="A118" s="12" t="str">
        <f ca="1">IFERROR(__xludf.DUMMYFUNCTION("""COMPUTED_VALUE"""),"3C")</f>
        <v>3C</v>
      </c>
      <c r="B118" s="12" t="str">
        <f ca="1">IFERROR(__xludf.DUMMYFUNCTION("""COMPUTED_VALUE"""),"展碁")</f>
        <v>展碁</v>
      </c>
      <c r="C118" s="12" t="str">
        <f ca="1">IFERROR(__xludf.DUMMYFUNCTION("""COMPUTED_VALUE"""),"任天堂")</f>
        <v>任天堂</v>
      </c>
      <c r="D118" s="12" t="str">
        <f ca="1">IFERROR(__xludf.DUMMYFUNCTION("""COMPUTED_VALUE"""),"Switch遊戲片-超級瑪利歐派對 空前盛會")</f>
        <v>Switch遊戲片-超級瑪利歐派對 空前盛會</v>
      </c>
      <c r="E118" s="12" t="str">
        <f ca="1">IFERROR(__xludf.DUMMYFUNCTION("""COMPUTED_VALUE"""),"超級瑪利歐派對 空前盛會")</f>
        <v>超級瑪利歐派對 空前盛會</v>
      </c>
      <c r="F118" s="12">
        <f ca="1">IFERROR(__xludf.DUMMYFUNCTION("""COMPUTED_VALUE"""),51091489)</f>
        <v>51091489</v>
      </c>
      <c r="G118" s="12" t="str">
        <f ca="1">IFERROR(__xludf.DUMMYFUNCTION("""COMPUTED_VALUE"""),"IGEM112L")</f>
        <v>IGEM112L</v>
      </c>
      <c r="H118" s="13">
        <f ca="1">IFERROR(__xludf.DUMMYFUNCTION("""COMPUTED_VALUE"""),1590)</f>
        <v>1590</v>
      </c>
      <c r="I118" s="20">
        <f ca="1">IFERROR(__xludf.DUMMYFUNCTION("""COMPUTED_VALUE"""),1590)</f>
        <v>1590</v>
      </c>
      <c r="J118" s="16">
        <f ca="1">IFERROR(__xludf.DUMMYFUNCTION("""COMPUTED_VALUE"""),45587)</f>
        <v>45587</v>
      </c>
      <c r="K118" s="12" t="str">
        <f ca="1">IFERROR(__xludf.DUMMYFUNCTION("""COMPUTED_VALUE"""),"新機上架")</f>
        <v>新機上架</v>
      </c>
      <c r="L118" s="12" t="str">
        <f ca="1">IFERROR(__xludf.DUMMYFUNCTION("""COMPUTED_VALUE"""),"上架中")</f>
        <v>上架中</v>
      </c>
      <c r="M118" s="12" t="str">
        <f ca="1">IFERROR(__xludf.DUMMYFUNCTION("""COMPUTED_VALUE"""),"2024/10/22新機上架")</f>
        <v>2024/10/22新機上架</v>
      </c>
      <c r="N118" s="12" t="str">
        <f ca="1">IFERROR(__xludf.DUMMYFUNCTION("""COMPUTED_VALUE"""),"Switch遊戲")</f>
        <v>Switch遊戲</v>
      </c>
      <c r="O118" s="12"/>
      <c r="P118" s="12" t="str">
        <f ca="1">IFERROR(__xludf.DUMMYFUNCTION("""COMPUTED_VALUE"""),"遊戲/配件")</f>
        <v>遊戲/配件</v>
      </c>
      <c r="Q118" s="12" t="str">
        <f ca="1">IFERROR(__xludf.DUMMYFUNCTION("""COMPUTED_VALUE"""),"高13.9*寬102*長239*mm")</f>
        <v>高13.9*寬102*長239*mm</v>
      </c>
      <c r="R118" s="12" t="str">
        <f ca="1">IFERROR(__xludf.DUMMYFUNCTION("""COMPUTED_VALUE"""),"日本")</f>
        <v>日本</v>
      </c>
      <c r="S118" s="12"/>
      <c r="T118" s="12"/>
      <c r="U118" s="12" t="str">
        <f ca="1">IFERROR(__xludf.DUMMYFUNCTION("""COMPUTED_VALUE"""),"無保固")</f>
        <v>無保固</v>
      </c>
      <c r="V118" s="12"/>
      <c r="W118" s="12"/>
      <c r="X118" s="12"/>
      <c r="Y118" s="12"/>
      <c r="Z118" s="14"/>
      <c r="AA118" s="15" t="str">
        <f ca="1">IFERROR(__xludf.DUMMYFUNCTION("""COMPUTED_VALUE"""),"*全新的五個桌遊地圖，還會有兩個重製桌遊地圖*小遊戲除了動作、競賽、益智對戰等各式各樣的類別，還有使用揮動、傾斜Joy-Con等各種操作方法的項目，將有超過110種玩法收錄其中。")</f>
        <v>*全新的五個桌遊地圖，還會有兩個重製桌遊地圖*小遊戲除了動作、競賽、益智對戰等各式各樣的類別，還有使用揮動、傾斜Joy-Con等各種操作方法的項目，將有超過110種玩法收錄其中。</v>
      </c>
    </row>
    <row r="119" spans="1:27" ht="19.5" customHeight="1">
      <c r="A119" s="12" t="str">
        <f ca="1">IFERROR(__xludf.DUMMYFUNCTION("""COMPUTED_VALUE"""),"生活家電")</f>
        <v>生活家電</v>
      </c>
      <c r="B119" s="12" t="str">
        <f ca="1">IFERROR(__xludf.DUMMYFUNCTION("""COMPUTED_VALUE"""),"旺德")</f>
        <v>旺德</v>
      </c>
      <c r="C119" s="12" t="str">
        <f ca="1">IFERROR(__xludf.DUMMYFUNCTION("""COMPUTED_VALUE"""),"THOMSON")</f>
        <v>THOMSON</v>
      </c>
      <c r="D119" s="12" t="str">
        <f ca="1">IFERROR(__xludf.DUMMYFUNCTION("""COMPUTED_VALUE"""),"THOMSON多功能四季烘被機TM-SAW08DQ")</f>
        <v>THOMSON多功能四季烘被機TM-SAW08DQ</v>
      </c>
      <c r="E119" s="12" t="str">
        <f ca="1">IFERROR(__xludf.DUMMYFUNCTION("""COMPUTED_VALUE"""),"TM-SAW08DQ")</f>
        <v>TM-SAW08DQ</v>
      </c>
      <c r="F119" s="12">
        <f ca="1">IFERROR(__xludf.DUMMYFUNCTION("""COMPUTED_VALUE"""),51092004)</f>
        <v>51092004</v>
      </c>
      <c r="G119" s="12" t="str">
        <f ca="1">IFERROR(__xludf.DUMMYFUNCTION("""COMPUTED_VALUE"""),"IGEM00FJ")</f>
        <v>IGEM00FJ</v>
      </c>
      <c r="H119" s="12">
        <f ca="1">IFERROR(__xludf.DUMMYFUNCTION("""COMPUTED_VALUE"""),2980)</f>
        <v>2980</v>
      </c>
      <c r="I119" s="14">
        <f ca="1">IFERROR(__xludf.DUMMYFUNCTION("""COMPUTED_VALUE"""),1680)</f>
        <v>1680</v>
      </c>
      <c r="J119" s="16">
        <f ca="1">IFERROR(__xludf.DUMMYFUNCTION("""COMPUTED_VALUE"""),45701)</f>
        <v>45701</v>
      </c>
      <c r="K119" s="12" t="str">
        <f ca="1">IFERROR(__xludf.DUMMYFUNCTION("""COMPUTED_VALUE"""),"短促")</f>
        <v>短促</v>
      </c>
      <c r="L119" s="12" t="str">
        <f ca="1">IFERROR(__xludf.DUMMYFUNCTION("""COMPUTED_VALUE"""),"上架中")</f>
        <v>上架中</v>
      </c>
      <c r="M119" s="12" t="str">
        <f ca="1">IFERROR(__xludf.DUMMYFUNCTION("""COMPUTED_VALUE"""),"2025/2/13短促，2018/4/2上架銷售")</f>
        <v>2025/2/13短促，2018/4/2上架銷售</v>
      </c>
      <c r="N119" s="12" t="str">
        <f ca="1">IFERROR(__xludf.DUMMYFUNCTION("""COMPUTED_VALUE"""),"烘被/烘鞋機")</f>
        <v>烘被/烘鞋機</v>
      </c>
      <c r="O119" s="12" t="str">
        <f ca="1">IFERROR(__xludf.DUMMYFUNCTION("""COMPUTED_VALUE"""),"白")</f>
        <v>白</v>
      </c>
      <c r="P119" s="12" t="str">
        <f ca="1">IFERROR(__xludf.DUMMYFUNCTION("""COMPUTED_VALUE"""),"N/A")</f>
        <v>N/A</v>
      </c>
      <c r="Q119" s="12" t="str">
        <f ca="1">IFERROR(__xludf.DUMMYFUNCTION("""COMPUTED_VALUE"""),"(mm)310X160X260")</f>
        <v>(mm)310X160X260</v>
      </c>
      <c r="R119" s="12" t="str">
        <f ca="1">IFERROR(__xludf.DUMMYFUNCTION("""COMPUTED_VALUE"""),"中國")</f>
        <v>中國</v>
      </c>
      <c r="S119" s="12"/>
      <c r="T119" s="12"/>
      <c r="U119" s="12" t="str">
        <f ca="1">IFERROR(__xludf.DUMMYFUNCTION("""COMPUTED_VALUE"""),"1年")</f>
        <v>1年</v>
      </c>
      <c r="V119" s="12"/>
      <c r="W119" s="12"/>
      <c r="X119" s="12"/>
      <c r="Y119" s="12"/>
      <c r="Z119" s="14"/>
      <c r="AA119" s="15" t="str">
        <f ca="1">IFERROR(__xludf.DUMMYFUNCTION("""COMPUTED_VALUE"""),"*烘被/烘鞋/烘衣/暖風/除濕五機一體*外殼採用防火材質*360度立體出風*冷熱雙模式設計")</f>
        <v>*烘被/烘鞋/烘衣/暖風/除濕五機一體*外殼採用防火材質*360度立體出風*冷熱雙模式設計</v>
      </c>
    </row>
    <row r="120" spans="1:27" ht="19.5" customHeight="1">
      <c r="A120" s="12" t="str">
        <f ca="1">IFERROR(__xludf.DUMMYFUNCTION("""COMPUTED_VALUE"""),"生活家電")</f>
        <v>生活家電</v>
      </c>
      <c r="B120" s="12" t="str">
        <f ca="1">IFERROR(__xludf.DUMMYFUNCTION("""COMPUTED_VALUE"""),"旺德")</f>
        <v>旺德</v>
      </c>
      <c r="C120" s="12" t="str">
        <f ca="1">IFERROR(__xludf.DUMMYFUNCTION("""COMPUTED_VALUE"""),"THOMSON")</f>
        <v>THOMSON</v>
      </c>
      <c r="D120" s="12" t="str">
        <f ca="1">IFERROR(__xludf.DUMMYFUNCTION("""COMPUTED_VALUE"""),"THOMSON紫外線抗敏除塵蟎吸塵器TM-SAV28M")</f>
        <v>THOMSON紫外線抗敏除塵蟎吸塵器TM-SAV28M</v>
      </c>
      <c r="E120" s="12" t="str">
        <f ca="1">IFERROR(__xludf.DUMMYFUNCTION("""COMPUTED_VALUE"""),"TM-SAV28M")</f>
        <v>TM-SAV28M</v>
      </c>
      <c r="F120" s="12">
        <f ca="1">IFERROR(__xludf.DUMMYFUNCTION("""COMPUTED_VALUE"""),51092005)</f>
        <v>51092005</v>
      </c>
      <c r="G120" s="12" t="str">
        <f ca="1">IFERROR(__xludf.DUMMYFUNCTION("""COMPUTED_VALUE"""),"IGEM00FK")</f>
        <v>IGEM00FK</v>
      </c>
      <c r="H120" s="12">
        <f ca="1">IFERROR(__xludf.DUMMYFUNCTION("""COMPUTED_VALUE"""),2490)</f>
        <v>2490</v>
      </c>
      <c r="I120" s="14">
        <f ca="1">IFERROR(__xludf.DUMMYFUNCTION("""COMPUTED_VALUE"""),1400)</f>
        <v>1400</v>
      </c>
      <c r="J120" s="16">
        <f ca="1">IFERROR(__xludf.DUMMYFUNCTION("""COMPUTED_VALUE"""),45695)</f>
        <v>45695</v>
      </c>
      <c r="K120" s="12" t="str">
        <f ca="1">IFERROR(__xludf.DUMMYFUNCTION("""COMPUTED_VALUE"""),"到貨")</f>
        <v>到貨</v>
      </c>
      <c r="L120" s="12" t="str">
        <f ca="1">IFERROR(__xludf.DUMMYFUNCTION("""COMPUTED_VALUE"""),"上架中")</f>
        <v>上架中</v>
      </c>
      <c r="M120" s="12" t="str">
        <f ca="1">IFERROR(__xludf.DUMMYFUNCTION("""COMPUTED_VALUE"""),"2025/2/7到貨，11/27缺貨，10/25到貨，7/4缺貨，2024/2/1回價2024/1/1短促2020/8/3到貨上架")</f>
        <v>2025/2/7到貨，11/27缺貨，10/25到貨，7/4缺貨，2024/2/1回價2024/1/1短促2020/8/3到貨上架</v>
      </c>
      <c r="N120" s="12" t="str">
        <f ca="1">IFERROR(__xludf.DUMMYFUNCTION("""COMPUTED_VALUE"""),"吸塵器")</f>
        <v>吸塵器</v>
      </c>
      <c r="O120" s="12" t="str">
        <f ca="1">IFERROR(__xludf.DUMMYFUNCTION("""COMPUTED_VALUE"""),"白")</f>
        <v>白</v>
      </c>
      <c r="P120" s="12" t="str">
        <f ca="1">IFERROR(__xludf.DUMMYFUNCTION("""COMPUTED_VALUE"""),"集塵容量0.3L")</f>
        <v>集塵容量0.3L</v>
      </c>
      <c r="Q120" s="12" t="str">
        <f ca="1">IFERROR(__xludf.DUMMYFUNCTION("""COMPUTED_VALUE"""),"(mm)325X260X120")</f>
        <v>(mm)325X260X120</v>
      </c>
      <c r="R120" s="12" t="str">
        <f ca="1">IFERROR(__xludf.DUMMYFUNCTION("""COMPUTED_VALUE"""),"中國")</f>
        <v>中國</v>
      </c>
      <c r="S120" s="12"/>
      <c r="T120" s="12"/>
      <c r="U120" s="12" t="str">
        <f ca="1">IFERROR(__xludf.DUMMYFUNCTION("""COMPUTED_VALUE"""),"1年")</f>
        <v>1年</v>
      </c>
      <c r="V120" s="12"/>
      <c r="W120" s="12"/>
      <c r="X120" s="12"/>
      <c r="Y120" s="12"/>
      <c r="Z120" s="14"/>
      <c r="AA120" s="15" t="str">
        <f ca="1">IFERROR(__xludf.DUMMYFUNCTION("""COMPUTED_VALUE"""),"*殺菌、除蟎、淨化三合一*300W強力吸塵馬達*每分鐘5000下高速震動*醫療級濾網")</f>
        <v>*殺菌、除蟎、淨化三合一*300W強力吸塵馬達*每分鐘5000下高速震動*醫療級濾網</v>
      </c>
    </row>
    <row r="121" spans="1:27" ht="19.5" customHeight="1">
      <c r="A121" s="12" t="str">
        <f ca="1">IFERROR(__xludf.DUMMYFUNCTION("""COMPUTED_VALUE"""),"生活家電")</f>
        <v>生活家電</v>
      </c>
      <c r="B121" s="12" t="str">
        <f ca="1">IFERROR(__xludf.DUMMYFUNCTION("""COMPUTED_VALUE"""),"旺德")</f>
        <v>旺德</v>
      </c>
      <c r="C121" s="12" t="str">
        <f ca="1">IFERROR(__xludf.DUMMYFUNCTION("""COMPUTED_VALUE"""),"SABA")</f>
        <v>SABA</v>
      </c>
      <c r="D121" s="12" t="str">
        <f ca="1">IFERROR(__xludf.DUMMYFUNCTION("""COMPUTED_VALUE"""),"SABA 3L即熱式觸控濾淨開飲機SA-HQ05")</f>
        <v>SABA 3L即熱式觸控濾淨開飲機SA-HQ05</v>
      </c>
      <c r="E121" s="12" t="str">
        <f ca="1">IFERROR(__xludf.DUMMYFUNCTION("""COMPUTED_VALUE"""),"SA-HQ05")</f>
        <v>SA-HQ05</v>
      </c>
      <c r="F121" s="12">
        <f ca="1">IFERROR(__xludf.DUMMYFUNCTION("""COMPUTED_VALUE"""),51092095)</f>
        <v>51092095</v>
      </c>
      <c r="G121" s="12" t="str">
        <f ca="1">IFERROR(__xludf.DUMMYFUNCTION("""COMPUTED_VALUE"""),"IGEM0846")</f>
        <v>IGEM0846</v>
      </c>
      <c r="H121" s="13">
        <f ca="1">IFERROR(__xludf.DUMMYFUNCTION("""COMPUTED_VALUE"""),4690)</f>
        <v>4690</v>
      </c>
      <c r="I121" s="18">
        <f ca="1">IFERROR(__xludf.DUMMYFUNCTION("""COMPUTED_VALUE"""),3690)</f>
        <v>3690</v>
      </c>
      <c r="J121" s="16">
        <f ca="1">IFERROR(__xludf.DUMMYFUNCTION("""COMPUTED_VALUE"""),45608)</f>
        <v>45608</v>
      </c>
      <c r="K121" s="12" t="str">
        <f ca="1">IFERROR(__xludf.DUMMYFUNCTION("""COMPUTED_VALUE"""),"缺貨")</f>
        <v>缺貨</v>
      </c>
      <c r="L121" s="12" t="str">
        <f ca="1">IFERROR(__xludf.DUMMYFUNCTION("""COMPUTED_VALUE"""),"缺貨")</f>
        <v>缺貨</v>
      </c>
      <c r="M121" s="12" t="str">
        <f ca="1">IFERROR(__xludf.DUMMYFUNCTION("""COMPUTED_VALUE"""),"11/12缺貨，2024/11/1回價，2024/10/1短促，5/29新機上架")</f>
        <v>11/12缺貨，2024/11/1回價，2024/10/1短促，5/29新機上架</v>
      </c>
      <c r="N121" s="12" t="str">
        <f ca="1">IFERROR(__xludf.DUMMYFUNCTION("""COMPUTED_VALUE"""),"開飲機")</f>
        <v>開飲機</v>
      </c>
      <c r="O121" s="12" t="str">
        <f ca="1">IFERROR(__xludf.DUMMYFUNCTION("""COMPUTED_VALUE"""),"白")</f>
        <v>白</v>
      </c>
      <c r="P121" s="12"/>
      <c r="Q121" s="12" t="str">
        <f ca="1">IFERROR(__xludf.DUMMYFUNCTION("""COMPUTED_VALUE"""),"151*265*318(mm)")</f>
        <v>151*265*318(mm)</v>
      </c>
      <c r="R121" s="12" t="str">
        <f ca="1">IFERROR(__xludf.DUMMYFUNCTION("""COMPUTED_VALUE"""),"中國")</f>
        <v>中國</v>
      </c>
      <c r="S121" s="12"/>
      <c r="T121" s="12"/>
      <c r="U121" s="12" t="str">
        <f ca="1">IFERROR(__xludf.DUMMYFUNCTION("""COMPUTED_VALUE"""),"1年")</f>
        <v>1年</v>
      </c>
      <c r="V121" s="12"/>
      <c r="W121" s="12"/>
      <c r="X121" s="12"/>
      <c r="Y121" s="12"/>
      <c r="Z121" s="14"/>
      <c r="AA121" s="15" t="str">
        <f ca="1">IFERROR(__xludf.DUMMYFUNCTION("""COMPUTED_VALUE"""),"*免安裝，免接水線。插電裝水後即可使用*使用全效型濾心，4層過濾更安心*觸控式LCD控制面版, 直覺式設計, 操作簡單明瞭*7段溫度控制，各類飲品快速沖泡。")</f>
        <v>*免安裝，免接水線。插電裝水後即可使用*使用全效型濾心，4層過濾更安心*觸控式LCD控制面版, 直覺式設計, 操作簡單明瞭*7段溫度控制，各類飲品快速沖泡。</v>
      </c>
    </row>
    <row r="122" spans="1:27" ht="19.5" customHeight="1">
      <c r="A122" s="12" t="str">
        <f ca="1">IFERROR(__xludf.DUMMYFUNCTION("""COMPUTED_VALUE"""),"生活家電")</f>
        <v>生活家電</v>
      </c>
      <c r="B122" s="12" t="str">
        <f ca="1">IFERROR(__xludf.DUMMYFUNCTION("""COMPUTED_VALUE"""),"旺德")</f>
        <v>旺德</v>
      </c>
      <c r="C122" s="12" t="str">
        <f ca="1">IFERROR(__xludf.DUMMYFUNCTION("""COMPUTED_VALUE"""),"THOMSON")</f>
        <v>THOMSON</v>
      </c>
      <c r="D122" s="12" t="str">
        <f ca="1">IFERROR(__xludf.DUMMYFUNCTION("""COMPUTED_VALUE"""),"THOMSON多功能摺疊加熱/衝浪足浴桶(粉)TM-BM06S")</f>
        <v>THOMSON多功能摺疊加熱/衝浪足浴桶(粉)TM-BM06S</v>
      </c>
      <c r="E122" s="12" t="str">
        <f ca="1">IFERROR(__xludf.DUMMYFUNCTION("""COMPUTED_VALUE"""),"TM-BM06S")</f>
        <v>TM-BM06S</v>
      </c>
      <c r="F122" s="12">
        <f ca="1">IFERROR(__xludf.DUMMYFUNCTION("""COMPUTED_VALUE"""),51092108)</f>
        <v>51092108</v>
      </c>
      <c r="G122" s="12" t="str">
        <f ca="1">IFERROR(__xludf.DUMMYFUNCTION("""COMPUTED_VALUE"""),"IGEM0946")</f>
        <v>IGEM0946</v>
      </c>
      <c r="H122" s="13">
        <f ca="1">IFERROR(__xludf.DUMMYFUNCTION("""COMPUTED_VALUE"""),1290)</f>
        <v>1290</v>
      </c>
      <c r="I122" s="18">
        <f ca="1">IFERROR(__xludf.DUMMYFUNCTION("""COMPUTED_VALUE"""),990)</f>
        <v>990</v>
      </c>
      <c r="J122" s="16">
        <f ca="1">IFERROR(__xludf.DUMMYFUNCTION("""COMPUTED_VALUE"""),45258)</f>
        <v>45258</v>
      </c>
      <c r="K122" s="12" t="str">
        <f ca="1">IFERROR(__xludf.DUMMYFUNCTION("""COMPUTED_VALUE"""),"新機上架")</f>
        <v>新機上架</v>
      </c>
      <c r="L122" s="12" t="str">
        <f ca="1">IFERROR(__xludf.DUMMYFUNCTION("""COMPUTED_VALUE"""),"上架中")</f>
        <v>上架中</v>
      </c>
      <c r="M122" s="12" t="str">
        <f ca="1">IFERROR(__xludf.DUMMYFUNCTION("""COMPUTED_VALUE"""),"2023/11/28新機上架")</f>
        <v>2023/11/28新機上架</v>
      </c>
      <c r="N122" s="12" t="str">
        <f ca="1">IFERROR(__xludf.DUMMYFUNCTION("""COMPUTED_VALUE"""),"舒壓按摩")</f>
        <v>舒壓按摩</v>
      </c>
      <c r="O122" s="12" t="str">
        <f ca="1">IFERROR(__xludf.DUMMYFUNCTION("""COMPUTED_VALUE"""),"粉")</f>
        <v>粉</v>
      </c>
      <c r="P122" s="12"/>
      <c r="Q122" s="12" t="str">
        <f ca="1">IFERROR(__xludf.DUMMYFUNCTION("""COMPUTED_VALUE"""),"360X320X240(mm)
摺疊360X320X130(mm)")</f>
        <v>360X320X240(mm)
摺疊360X320X130(mm)</v>
      </c>
      <c r="R122" s="12" t="str">
        <f ca="1">IFERROR(__xludf.DUMMYFUNCTION("""COMPUTED_VALUE"""),"中國")</f>
        <v>中國</v>
      </c>
      <c r="S122" s="12"/>
      <c r="T122" s="12"/>
      <c r="U122" s="12" t="str">
        <f ca="1">IFERROR(__xludf.DUMMYFUNCTION("""COMPUTED_VALUE"""),"1年")</f>
        <v>1年</v>
      </c>
      <c r="V122" s="12"/>
      <c r="W122" s="12"/>
      <c r="X122" s="12"/>
      <c r="Y122" s="12"/>
      <c r="Z122" s="14"/>
      <c r="AA122" s="15" t="str">
        <f ca="1">IFERROR(__xludf.DUMMYFUNCTION("""COMPUTED_VALUE"""),"*智能恆溫加熱*衝浪設計，有效促進血液循環*桶底按摩滾輪 可剌激腳部穴位*PTC 加熱裝置和水電分離系統*操作方便 : 一鍵啟動按鈕*支撐力強 不易軟倒*摺疊收納好方便 *底部收線柱有效收納電源線*底部掛鉤孔，方便懸掛收納")</f>
        <v>*智能恆溫加熱*衝浪設計，有效促進血液循環*桶底按摩滾輪 可剌激腳部穴位*PTC 加熱裝置和水電分離系統*操作方便 : 一鍵啟動按鈕*支撐力強 不易軟倒*摺疊收納好方便 *底部收線柱有效收納電源線*底部掛鉤孔，方便懸掛收納</v>
      </c>
    </row>
    <row r="123" spans="1:27" ht="19.5" customHeight="1">
      <c r="A123" s="12" t="str">
        <f ca="1">IFERROR(__xludf.DUMMYFUNCTION("""COMPUTED_VALUE"""),"生活家電")</f>
        <v>生活家電</v>
      </c>
      <c r="B123" s="12" t="str">
        <f ca="1">IFERROR(__xludf.DUMMYFUNCTION("""COMPUTED_VALUE"""),"旺德")</f>
        <v>旺德</v>
      </c>
      <c r="C123" s="12" t="str">
        <f ca="1">IFERROR(__xludf.DUMMYFUNCTION("""COMPUTED_VALUE"""),"THOMSON")</f>
        <v>THOMSON</v>
      </c>
      <c r="D123" s="12" t="str">
        <f ca="1">IFERROR(__xludf.DUMMYFUNCTION("""COMPUTED_VALUE"""),"THOMSON多功能摺疊加熱/衝浪足浴桶(白)TM-BM07S")</f>
        <v>THOMSON多功能摺疊加熱/衝浪足浴桶(白)TM-BM07S</v>
      </c>
      <c r="E123" s="12" t="str">
        <f ca="1">IFERROR(__xludf.DUMMYFUNCTION("""COMPUTED_VALUE"""),"TM-BM07S")</f>
        <v>TM-BM07S</v>
      </c>
      <c r="F123" s="12">
        <f ca="1">IFERROR(__xludf.DUMMYFUNCTION("""COMPUTED_VALUE"""),51092109)</f>
        <v>51092109</v>
      </c>
      <c r="G123" s="12" t="str">
        <f ca="1">IFERROR(__xludf.DUMMYFUNCTION("""COMPUTED_VALUE"""),"IGEM0947")</f>
        <v>IGEM0947</v>
      </c>
      <c r="H123" s="13">
        <f ca="1">IFERROR(__xludf.DUMMYFUNCTION("""COMPUTED_VALUE"""),1290)</f>
        <v>1290</v>
      </c>
      <c r="I123" s="18">
        <f ca="1">IFERROR(__xludf.DUMMYFUNCTION("""COMPUTED_VALUE"""),990)</f>
        <v>990</v>
      </c>
      <c r="J123" s="16">
        <f ca="1">IFERROR(__xludf.DUMMYFUNCTION("""COMPUTED_VALUE"""),45666)</f>
        <v>45666</v>
      </c>
      <c r="K123" s="12" t="str">
        <f ca="1">IFERROR(__xludf.DUMMYFUNCTION("""COMPUTED_VALUE"""),"到貨")</f>
        <v>到貨</v>
      </c>
      <c r="L123" s="12" t="str">
        <f ca="1">IFERROR(__xludf.DUMMYFUNCTION("""COMPUTED_VALUE"""),"上架中")</f>
        <v>上架中</v>
      </c>
      <c r="M123" s="12" t="str">
        <f ca="1">IFERROR(__xludf.DUMMYFUNCTION("""COMPUTED_VALUE"""),"1/9到貨，2025/1/1缺貨，2023/11/30改專案，因與TM-BM06S雷同先上一款。2023/11/28新機上架")</f>
        <v>1/9到貨，2025/1/1缺貨，2023/11/30改專案，因與TM-BM06S雷同先上一款。2023/11/28新機上架</v>
      </c>
      <c r="N123" s="12" t="str">
        <f ca="1">IFERROR(__xludf.DUMMYFUNCTION("""COMPUTED_VALUE"""),"舒壓按摩")</f>
        <v>舒壓按摩</v>
      </c>
      <c r="O123" s="12" t="str">
        <f ca="1">IFERROR(__xludf.DUMMYFUNCTION("""COMPUTED_VALUE"""),"白")</f>
        <v>白</v>
      </c>
      <c r="P123" s="12"/>
      <c r="Q123" s="12" t="str">
        <f ca="1">IFERROR(__xludf.DUMMYFUNCTION("""COMPUTED_VALUE"""),"360X320X240(mm)
摺疊360X320X130(mm)")</f>
        <v>360X320X240(mm)
摺疊360X320X130(mm)</v>
      </c>
      <c r="R123" s="12" t="str">
        <f ca="1">IFERROR(__xludf.DUMMYFUNCTION("""COMPUTED_VALUE"""),"中國")</f>
        <v>中國</v>
      </c>
      <c r="S123" s="12"/>
      <c r="T123" s="12"/>
      <c r="U123" s="12" t="str">
        <f ca="1">IFERROR(__xludf.DUMMYFUNCTION("""COMPUTED_VALUE"""),"1年")</f>
        <v>1年</v>
      </c>
      <c r="V123" s="12"/>
      <c r="W123" s="12"/>
      <c r="X123" s="12"/>
      <c r="Y123" s="12"/>
      <c r="Z123" s="14"/>
      <c r="AA123" s="15" t="str">
        <f ca="1">IFERROR(__xludf.DUMMYFUNCTION("""COMPUTED_VALUE"""),"*智能恆溫加熱*衝浪設計，有效促進血液循環*桶底按摩滾輪 可剌激腳部穴位*PTC 加熱裝置和水電分離系統*操作方便 : 一鍵啟動按鈕*支撐力強 不易軟倒*摺疊收納好方便 *底部收線柱有效收納電源線*底部掛鉤孔，方便懸掛收納")</f>
        <v>*智能恆溫加熱*衝浪設計，有效促進血液循環*桶底按摩滾輪 可剌激腳部穴位*PTC 加熱裝置和水電分離系統*操作方便 : 一鍵啟動按鈕*支撐力強 不易軟倒*摺疊收納好方便 *底部收線柱有效收納電源線*底部掛鉤孔，方便懸掛收納</v>
      </c>
    </row>
    <row r="124" spans="1:27" ht="19.5" customHeight="1">
      <c r="A124" s="12" t="str">
        <f ca="1">IFERROR(__xludf.DUMMYFUNCTION("""COMPUTED_VALUE"""),"生活家電")</f>
        <v>生活家電</v>
      </c>
      <c r="B124" s="12" t="str">
        <f ca="1">IFERROR(__xludf.DUMMYFUNCTION("""COMPUTED_VALUE"""),"旺德")</f>
        <v>旺德</v>
      </c>
      <c r="C124" s="12" t="str">
        <f ca="1">IFERROR(__xludf.DUMMYFUNCTION("""COMPUTED_VALUE"""),"BLAUPUNKT")</f>
        <v>BLAUPUNKT</v>
      </c>
      <c r="D124" s="12" t="str">
        <f ca="1">IFERROR(__xludf.DUMMYFUNCTION("""COMPUTED_VALUE"""),"BLAUPUNKT_智能冷熱眼部按摩器(珍珠白)_BPB-M08EU")</f>
        <v>BLAUPUNKT_智能冷熱眼部按摩器(珍珠白)_BPB-M08EU</v>
      </c>
      <c r="E124" s="12" t="str">
        <f ca="1">IFERROR(__xludf.DUMMYFUNCTION("""COMPUTED_VALUE"""),"BPB-M08EU")</f>
        <v>BPB-M08EU</v>
      </c>
      <c r="F124" s="12">
        <f ca="1">IFERROR(__xludf.DUMMYFUNCTION("""COMPUTED_VALUE"""),51092057)</f>
        <v>51092057</v>
      </c>
      <c r="G124" s="12" t="str">
        <f ca="1">IFERROR(__xludf.DUMMYFUNCTION("""COMPUTED_VALUE"""),"IGEM0326")</f>
        <v>IGEM0326</v>
      </c>
      <c r="H124" s="12">
        <f ca="1">IFERROR(__xludf.DUMMYFUNCTION("""COMPUTED_VALUE"""),4990)</f>
        <v>4990</v>
      </c>
      <c r="I124" s="14">
        <f ca="1">IFERROR(__xludf.DUMMYFUNCTION("""COMPUTED_VALUE"""),2490)</f>
        <v>2490</v>
      </c>
      <c r="J124" s="21">
        <f ca="1">IFERROR(__xludf.DUMMYFUNCTION("""COMPUTED_VALUE"""),45695)</f>
        <v>45695</v>
      </c>
      <c r="K124" s="12" t="str">
        <f ca="1">IFERROR(__xludf.DUMMYFUNCTION("""COMPUTED_VALUE"""),"缺貨")</f>
        <v>缺貨</v>
      </c>
      <c r="L124" s="12" t="str">
        <f ca="1">IFERROR(__xludf.DUMMYFUNCTION("""COMPUTED_VALUE"""),"缺貨")</f>
        <v>缺貨</v>
      </c>
      <c r="M124" s="12" t="str">
        <f ca="1">IFERROR(__xludf.DUMMYFUNCTION("""COMPUTED_VALUE"""),"2025/2/7缺貨，10/1短促，2024/1/19到貨8/21缺貨3/13到貨2/3缺貨，2021/4/1新機上架")</f>
        <v>2025/2/7缺貨，10/1短促，2024/1/19到貨8/21缺貨3/13到貨2/3缺貨，2021/4/1新機上架</v>
      </c>
      <c r="N124" s="12" t="str">
        <f ca="1">IFERROR(__xludf.DUMMYFUNCTION("""COMPUTED_VALUE"""),"舒壓按摩")</f>
        <v>舒壓按摩</v>
      </c>
      <c r="O124" s="12" t="str">
        <f ca="1">IFERROR(__xludf.DUMMYFUNCTION("""COMPUTED_VALUE"""),"珍珠白")</f>
        <v>珍珠白</v>
      </c>
      <c r="P124" s="12"/>
      <c r="Q124" s="12" t="str">
        <f ca="1">IFERROR(__xludf.DUMMYFUNCTION("""COMPUTED_VALUE"""),"單品 80*210*115mm")</f>
        <v>單品 80*210*115mm</v>
      </c>
      <c r="R124" s="12" t="str">
        <f ca="1">IFERROR(__xludf.DUMMYFUNCTION("""COMPUTED_VALUE"""),"中國")</f>
        <v>中國</v>
      </c>
      <c r="S124" s="12"/>
      <c r="T124" s="12"/>
      <c r="U124" s="12" t="str">
        <f ca="1">IFERROR(__xludf.DUMMYFUNCTION("""COMPUTED_VALUE"""),"1年")</f>
        <v>1年</v>
      </c>
      <c r="V124" s="12"/>
      <c r="W124" s="12"/>
      <c r="X124" s="12"/>
      <c r="Y124" s="12"/>
      <c r="Z124" s="14"/>
      <c r="AA124" s="15" t="str">
        <f ca="1">IFERROR(__xludf.DUMMYFUNCTION("""COMPUTED_VALUE"""),"*獨家專利內凹式伸縮眼窩墊*3秒疾速享受冷、熱、冷熱循環按摩*4種工作模式：動感(氣壓)溫感(熱敷)冰感(冷敷)自動(冷敷熱敷循環)*三種氣壓模式：智慧氣壓、炫動氣壓、氣壓關閉。*仿真人3D雙層氣袋氣壓按摩。
")</f>
        <v xml:space="preserve">*獨家專利內凹式伸縮眼窩墊*3秒疾速享受冷、熱、冷熱循環按摩*4種工作模式：動感(氣壓)溫感(熱敷)冰感(冷敷)自動(冷敷熱敷循環)*三種氣壓模式：智慧氣壓、炫動氣壓、氣壓關閉。*仿真人3D雙層氣袋氣壓按摩。
</v>
      </c>
    </row>
    <row r="125" spans="1:27" ht="19.5" customHeight="1">
      <c r="A125" s="12" t="str">
        <f ca="1">IFERROR(__xludf.DUMMYFUNCTION("""COMPUTED_VALUE"""),"居家生活用品")</f>
        <v>居家生活用品</v>
      </c>
      <c r="B125" s="12" t="str">
        <f ca="1">IFERROR(__xludf.DUMMYFUNCTION("""COMPUTED_VALUE"""),"旺德")</f>
        <v>旺德</v>
      </c>
      <c r="C125" s="12" t="str">
        <f ca="1">IFERROR(__xludf.DUMMYFUNCTION("""COMPUTED_VALUE"""),"BLAUPUNKT")</f>
        <v>BLAUPUNKT</v>
      </c>
      <c r="D125" s="12" t="str">
        <f ca="1">IFERROR(__xludf.DUMMYFUNCTION("""COMPUTED_VALUE"""),"居家_(落櫻粉)藍寶UVC消毒沖牙機BPH-CY01-TW ")</f>
        <v xml:space="preserve">居家_(落櫻粉)藍寶UVC消毒沖牙機BPH-CY01-TW </v>
      </c>
      <c r="E125" s="12" t="str">
        <f ca="1">IFERROR(__xludf.DUMMYFUNCTION("""COMPUTED_VALUE"""),"BPH-CY01-TW (落櫻粉)")</f>
        <v>BPH-CY01-TW (落櫻粉)</v>
      </c>
      <c r="F125" s="12">
        <f ca="1">IFERROR(__xludf.DUMMYFUNCTION("""COMPUTED_VALUE"""),51057203)</f>
        <v>51057203</v>
      </c>
      <c r="G125" s="12" t="str">
        <f ca="1">IFERROR(__xludf.DUMMYFUNCTION("""COMPUTED_VALUE"""),"IGEM0804")</f>
        <v>IGEM0804</v>
      </c>
      <c r="H125" s="13">
        <f ca="1">IFERROR(__xludf.DUMMYFUNCTION("""COMPUTED_VALUE"""),2990)</f>
        <v>2990</v>
      </c>
      <c r="I125" s="14">
        <f ca="1">IFERROR(__xludf.DUMMYFUNCTION("""COMPUTED_VALUE"""),2190)</f>
        <v>2190</v>
      </c>
      <c r="J125" s="16">
        <f ca="1">IFERROR(__xludf.DUMMYFUNCTION("""COMPUTED_VALUE"""),45017)</f>
        <v>45017</v>
      </c>
      <c r="K125" s="12" t="str">
        <f ca="1">IFERROR(__xludf.DUMMYFUNCTION("""COMPUTED_VALUE"""),"新機上架")</f>
        <v>新機上架</v>
      </c>
      <c r="L125" s="12" t="str">
        <f ca="1">IFERROR(__xludf.DUMMYFUNCTION("""COMPUTED_VALUE"""),"上架中")</f>
        <v>上架中</v>
      </c>
      <c r="M125" s="12"/>
      <c r="N125" s="12" t="str">
        <f ca="1">IFERROR(__xludf.DUMMYFUNCTION("""COMPUTED_VALUE"""),"電動牙刷/沖牙機")</f>
        <v>電動牙刷/沖牙機</v>
      </c>
      <c r="O125" s="12" t="str">
        <f ca="1">IFERROR(__xludf.DUMMYFUNCTION("""COMPUTED_VALUE"""),"落櫻粉")</f>
        <v>落櫻粉</v>
      </c>
      <c r="P125" s="12" t="str">
        <f ca="1">IFERROR(__xludf.DUMMYFUNCTION("""COMPUTED_VALUE"""),"額定消耗電功率：5W
 額定輸入電壓/電流：5V⎓1A
 噪音等級：30cm≦72dB
 水箱容量：170ml
 水壓頻率：1400次/分鐘
 充電時間：2小時
 防水等級：IPX7
 充電接口：磁吸式")</f>
        <v>額定消耗電功率：5W
 額定輸入電壓/電流：5V⎓1A
 噪音等級：30cm≦72dB
 水箱容量：170ml
 水壓頻率：1400次/分鐘
 充電時間：2小時
 防水等級：IPX7
 充電接口：磁吸式</v>
      </c>
      <c r="Q125" s="12" t="str">
        <f ca="1">IFERROR(__xludf.DUMMYFUNCTION("""COMPUTED_VALUE"""),"150x60x47mm")</f>
        <v>150x60x47mm</v>
      </c>
      <c r="R125" s="12" t="str">
        <f ca="1">IFERROR(__xludf.DUMMYFUNCTION("""COMPUTED_VALUE"""),"中國")</f>
        <v>中國</v>
      </c>
      <c r="S125" s="12"/>
      <c r="T125" s="12"/>
      <c r="U125" s="12" t="str">
        <f ca="1">IFERROR(__xludf.DUMMYFUNCTION("""COMPUTED_VALUE"""),"1年")</f>
        <v>1年</v>
      </c>
      <c r="V125" s="12"/>
      <c r="W125" s="12"/>
      <c r="X125" s="12"/>
      <c r="Y125" s="12"/>
      <c r="Z125" s="14"/>
      <c r="AA125" s="15" t="str">
        <f ca="1">IFERROR(__xludf.DUMMYFUNCTION("""COMPUTED_VALUE"""),"*首款紫外線消毒功能沖牙機*UV-C燈有效消毒*護齦四段功能切換*DIY模式 8檔水壓 自由選擇*2分鐘定時消毒功能")</f>
        <v>*首款紫外線消毒功能沖牙機*UV-C燈有效消毒*護齦四段功能切換*DIY模式 8檔水壓 自由選擇*2分鐘定時消毒功能</v>
      </c>
    </row>
    <row r="126" spans="1:27" ht="19.5" customHeight="1">
      <c r="A126" s="12" t="str">
        <f ca="1">IFERROR(__xludf.DUMMYFUNCTION("""COMPUTED_VALUE"""),"居家生活用品")</f>
        <v>居家生活用品</v>
      </c>
      <c r="B126" s="12" t="str">
        <f ca="1">IFERROR(__xludf.DUMMYFUNCTION("""COMPUTED_VALUE"""),"旺德")</f>
        <v>旺德</v>
      </c>
      <c r="C126" s="12" t="str">
        <f ca="1">IFERROR(__xludf.DUMMYFUNCTION("""COMPUTED_VALUE"""),"BLAUPUNKT")</f>
        <v>BLAUPUNKT</v>
      </c>
      <c r="D126" s="12" t="str">
        <f ca="1">IFERROR(__xludf.DUMMYFUNCTION("""COMPUTED_VALUE"""),"居家_(粟米白)藍寶UVC消毒沖牙機BPH-CY01-TW")</f>
        <v>居家_(粟米白)藍寶UVC消毒沖牙機BPH-CY01-TW</v>
      </c>
      <c r="E126" s="12" t="str">
        <f ca="1">IFERROR(__xludf.DUMMYFUNCTION("""COMPUTED_VALUE"""),"BPH-CY01-TW (栗米白)")</f>
        <v>BPH-CY01-TW (栗米白)</v>
      </c>
      <c r="F126" s="12">
        <f ca="1">IFERROR(__xludf.DUMMYFUNCTION("""COMPUTED_VALUE"""),51057204)</f>
        <v>51057204</v>
      </c>
      <c r="G126" s="12" t="str">
        <f ca="1">IFERROR(__xludf.DUMMYFUNCTION("""COMPUTED_VALUE"""),"IGEM0805")</f>
        <v>IGEM0805</v>
      </c>
      <c r="H126" s="13">
        <f ca="1">IFERROR(__xludf.DUMMYFUNCTION("""COMPUTED_VALUE"""),2990)</f>
        <v>2990</v>
      </c>
      <c r="I126" s="14">
        <f ca="1">IFERROR(__xludf.DUMMYFUNCTION("""COMPUTED_VALUE"""),2190)</f>
        <v>2190</v>
      </c>
      <c r="J126" s="16">
        <f ca="1">IFERROR(__xludf.DUMMYFUNCTION("""COMPUTED_VALUE"""),45017)</f>
        <v>45017</v>
      </c>
      <c r="K126" s="12" t="str">
        <f ca="1">IFERROR(__xludf.DUMMYFUNCTION("""COMPUTED_VALUE"""),"新機上架")</f>
        <v>新機上架</v>
      </c>
      <c r="L126" s="12" t="str">
        <f ca="1">IFERROR(__xludf.DUMMYFUNCTION("""COMPUTED_VALUE"""),"上架中")</f>
        <v>上架中</v>
      </c>
      <c r="M126" s="12"/>
      <c r="N126" s="12" t="str">
        <f ca="1">IFERROR(__xludf.DUMMYFUNCTION("""COMPUTED_VALUE"""),"電動牙刷/沖牙機")</f>
        <v>電動牙刷/沖牙機</v>
      </c>
      <c r="O126" s="12" t="str">
        <f ca="1">IFERROR(__xludf.DUMMYFUNCTION("""COMPUTED_VALUE"""),"粟米白")</f>
        <v>粟米白</v>
      </c>
      <c r="P126" s="12" t="str">
        <f ca="1">IFERROR(__xludf.DUMMYFUNCTION("""COMPUTED_VALUE"""),"額定消耗電功率：5W
 額定輸入電壓/電流：5V⎓1A
 噪音等級：30cm≦72dB
 水箱容量：170ml
 水壓頻率：1400次/分鐘
 充電時間：2小時
 防水等級：IPX7
 充電接口：磁吸式")</f>
        <v>額定消耗電功率：5W
 額定輸入電壓/電流：5V⎓1A
 噪音等級：30cm≦72dB
 水箱容量：170ml
 水壓頻率：1400次/分鐘
 充電時間：2小時
 防水等級：IPX7
 充電接口：磁吸式</v>
      </c>
      <c r="Q126" s="12" t="str">
        <f ca="1">IFERROR(__xludf.DUMMYFUNCTION("""COMPUTED_VALUE"""),"150x60x47mm")</f>
        <v>150x60x47mm</v>
      </c>
      <c r="R126" s="12" t="str">
        <f ca="1">IFERROR(__xludf.DUMMYFUNCTION("""COMPUTED_VALUE"""),"中國")</f>
        <v>中國</v>
      </c>
      <c r="S126" s="12"/>
      <c r="T126" s="12"/>
      <c r="U126" s="12" t="str">
        <f ca="1">IFERROR(__xludf.DUMMYFUNCTION("""COMPUTED_VALUE"""),"1年")</f>
        <v>1年</v>
      </c>
      <c r="V126" s="12"/>
      <c r="W126" s="12"/>
      <c r="X126" s="12"/>
      <c r="Y126" s="12"/>
      <c r="Z126" s="14"/>
      <c r="AA126" s="15" t="str">
        <f ca="1">IFERROR(__xludf.DUMMYFUNCTION("""COMPUTED_VALUE"""),"*首款紫外線消毒功能沖牙機*UV-C燈有效消毒*護齦四段功能切換*DIY模式 8檔水壓 自由選擇*2分鐘定時消毒功能")</f>
        <v>*首款紫外線消毒功能沖牙機*UV-C燈有效消毒*護齦四段功能切換*DIY模式 8檔水壓 自由選擇*2分鐘定時消毒功能</v>
      </c>
    </row>
    <row r="127" spans="1:27" ht="19.5" customHeight="1">
      <c r="A127" s="12" t="str">
        <f ca="1">IFERROR(__xludf.DUMMYFUNCTION("""COMPUTED_VALUE"""),"居家生活用品")</f>
        <v>居家生活用品</v>
      </c>
      <c r="B127" s="12" t="str">
        <f ca="1">IFERROR(__xludf.DUMMYFUNCTION("""COMPUTED_VALUE"""),"旺德")</f>
        <v>旺德</v>
      </c>
      <c r="C127" s="12" t="str">
        <f ca="1">IFERROR(__xludf.DUMMYFUNCTION("""COMPUTED_VALUE"""),"Line Friends")</f>
        <v>Line Friends</v>
      </c>
      <c r="D127" s="12" t="str">
        <f ca="1">IFERROR(__xludf.DUMMYFUNCTION("""COMPUTED_VALUE"""),"居家_brown熊大小夜燈+滅蚊燈LH-G03L ")</f>
        <v xml:space="preserve">居家_brown熊大小夜燈+滅蚊燈LH-G03L </v>
      </c>
      <c r="E127" s="12" t="str">
        <f ca="1">IFERROR(__xludf.DUMMYFUNCTION("""COMPUTED_VALUE"""),"LH-G03L (熊大)")</f>
        <v>LH-G03L (熊大)</v>
      </c>
      <c r="F127" s="12">
        <f ca="1">IFERROR(__xludf.DUMMYFUNCTION("""COMPUTED_VALUE"""),51057205)</f>
        <v>51057205</v>
      </c>
      <c r="G127" s="12" t="str">
        <f ca="1">IFERROR(__xludf.DUMMYFUNCTION("""COMPUTED_VALUE"""),"IGEM0806")</f>
        <v>IGEM0806</v>
      </c>
      <c r="H127" s="13">
        <f ca="1">IFERROR(__xludf.DUMMYFUNCTION("""COMPUTED_VALUE"""),1290)</f>
        <v>1290</v>
      </c>
      <c r="I127" s="14">
        <f ca="1">IFERROR(__xludf.DUMMYFUNCTION("""COMPUTED_VALUE"""),1090)</f>
        <v>1090</v>
      </c>
      <c r="J127" s="16">
        <f ca="1">IFERROR(__xludf.DUMMYFUNCTION("""COMPUTED_VALUE"""),45394)</f>
        <v>45394</v>
      </c>
      <c r="K127" s="12" t="str">
        <f ca="1">IFERROR(__xludf.DUMMYFUNCTION("""COMPUTED_VALUE"""),"缺貨")</f>
        <v>缺貨</v>
      </c>
      <c r="L127" s="12" t="str">
        <f ca="1">IFERROR(__xludf.DUMMYFUNCTION("""COMPUTED_VALUE"""),"缺貨")</f>
        <v>缺貨</v>
      </c>
      <c r="M127" s="12" t="str">
        <f ca="1">IFERROR(__xludf.DUMMYFUNCTION("""COMPUTED_VALUE"""),"2024/4/12缺貨")</f>
        <v>2024/4/12缺貨</v>
      </c>
      <c r="N127" s="12" t="str">
        <f ca="1">IFERROR(__xludf.DUMMYFUNCTION("""COMPUTED_VALUE"""),"檯燈/燈具/燈飾")</f>
        <v>檯燈/燈具/燈飾</v>
      </c>
      <c r="O127" s="12" t="str">
        <f ca="1">IFERROR(__xludf.DUMMYFUNCTION("""COMPUTED_VALUE"""),"咖啡")</f>
        <v>咖啡</v>
      </c>
      <c r="P127" s="12" t="str">
        <f ca="1">IFERROR(__xludf.DUMMYFUNCTION("""COMPUTED_VALUE"""),"充電輸入： 5V⎓1A 電池容量：2000mAh 7.4Wh
 充電輸入： 5V⎓2A ( 邊充邊工作 &gt; 驅蚊模式)
 輸入口：TYPE-C 總額定消耗電功率：5W 
 充電時間： 4小時
 使用時間：1.小夜燈模式：第一檔：50小時，第二檔：20小時，第三檔：10小時
 2.滅蚊燈模式：2.5小時
 3.驅蚊模式：1小時（可搭配市售驅蚊片使用）")</f>
        <v>充電輸入： 5V⎓1A 電池容量：2000mAh 7.4Wh
 充電輸入： 5V⎓2A ( 邊充邊工作 &gt; 驅蚊模式)
 輸入口：TYPE-C 總額定消耗電功率：5W 
 充電時間： 4小時
 使用時間：1.小夜燈模式：第一檔：50小時，第二檔：20小時，第三檔：10小時
 2.滅蚊燈模式：2.5小時
 3.驅蚊模式：1小時（可搭配市售驅蚊片使用）</v>
      </c>
      <c r="Q127" s="12" t="str">
        <f ca="1">IFERROR(__xludf.DUMMYFUNCTION("""COMPUTED_VALUE"""),"135x135x100mm")</f>
        <v>135x135x100mm</v>
      </c>
      <c r="R127" s="12" t="str">
        <f ca="1">IFERROR(__xludf.DUMMYFUNCTION("""COMPUTED_VALUE"""),"中國")</f>
        <v>中國</v>
      </c>
      <c r="S127" s="12"/>
      <c r="T127" s="12"/>
      <c r="U127" s="12" t="str">
        <f ca="1">IFERROR(__xludf.DUMMYFUNCTION("""COMPUTED_VALUE"""),"1年")</f>
        <v>1年</v>
      </c>
      <c r="V127" s="12"/>
      <c r="W127" s="12"/>
      <c r="X127" s="12"/>
      <c r="Y127" s="12"/>
      <c r="Z127" s="14"/>
      <c r="AA127" s="15" t="str">
        <f ca="1">IFERROR(__xludf.DUMMYFUNCTION("""COMPUTED_VALUE"""),"*一機三用 滅蚊燈/夜燈/紙片型電蚊器*保護開關設計 自動斷電安全使用*內置UV燈 滅蚊加倍*可加蚊香片使用(需自行購買)")</f>
        <v>*一機三用 滅蚊燈/夜燈/紙片型電蚊器*保護開關設計 自動斷電安全使用*內置UV燈 滅蚊加倍*可加蚊香片使用(需自行購買)</v>
      </c>
    </row>
    <row r="128" spans="1:27" ht="19.5" customHeight="1">
      <c r="A128" s="12" t="str">
        <f ca="1">IFERROR(__xludf.DUMMYFUNCTION("""COMPUTED_VALUE"""),"居家生活用品")</f>
        <v>居家生活用品</v>
      </c>
      <c r="B128" s="12" t="str">
        <f ca="1">IFERROR(__xludf.DUMMYFUNCTION("""COMPUTED_VALUE"""),"旺德")</f>
        <v>旺德</v>
      </c>
      <c r="C128" s="12" t="str">
        <f ca="1">IFERROR(__xludf.DUMMYFUNCTION("""COMPUTED_VALUE"""),"Line Friends")</f>
        <v>Line Friends</v>
      </c>
      <c r="D128" s="12" t="str">
        <f ca="1">IFERROR(__xludf.DUMMYFUNCTION("""COMPUTED_VALUE"""),"居家_cony兔兔小夜燈+滅蚊燈LH-G03L ")</f>
        <v xml:space="preserve">居家_cony兔兔小夜燈+滅蚊燈LH-G03L </v>
      </c>
      <c r="E128" s="12" t="str">
        <f ca="1">IFERROR(__xludf.DUMMYFUNCTION("""COMPUTED_VALUE"""),"LH-G03L (兔兔)")</f>
        <v>LH-G03L (兔兔)</v>
      </c>
      <c r="F128" s="12">
        <f ca="1">IFERROR(__xludf.DUMMYFUNCTION("""COMPUTED_VALUE"""),51057206)</f>
        <v>51057206</v>
      </c>
      <c r="G128" s="12" t="str">
        <f ca="1">IFERROR(__xludf.DUMMYFUNCTION("""COMPUTED_VALUE"""),"IGEM0807")</f>
        <v>IGEM0807</v>
      </c>
      <c r="H128" s="13">
        <f ca="1">IFERROR(__xludf.DUMMYFUNCTION("""COMPUTED_VALUE"""),1290)</f>
        <v>1290</v>
      </c>
      <c r="I128" s="14">
        <f ca="1">IFERROR(__xludf.DUMMYFUNCTION("""COMPUTED_VALUE"""),990)</f>
        <v>990</v>
      </c>
      <c r="J128" s="16">
        <f ca="1">IFERROR(__xludf.DUMMYFUNCTION("""COMPUTED_VALUE"""),45394)</f>
        <v>45394</v>
      </c>
      <c r="K128" s="12" t="str">
        <f ca="1">IFERROR(__xludf.DUMMYFUNCTION("""COMPUTED_VALUE"""),"缺貨")</f>
        <v>缺貨</v>
      </c>
      <c r="L128" s="12" t="str">
        <f ca="1">IFERROR(__xludf.DUMMYFUNCTION("""COMPUTED_VALUE"""),"上架中")</f>
        <v>上架中</v>
      </c>
      <c r="M128" s="12"/>
      <c r="N128" s="12" t="str">
        <f ca="1">IFERROR(__xludf.DUMMYFUNCTION("""COMPUTED_VALUE"""),"檯燈/燈具/燈飾")</f>
        <v>檯燈/燈具/燈飾</v>
      </c>
      <c r="O128" s="12" t="str">
        <f ca="1">IFERROR(__xludf.DUMMYFUNCTION("""COMPUTED_VALUE"""),"粉紅")</f>
        <v>粉紅</v>
      </c>
      <c r="P128" s="12" t="str">
        <f ca="1">IFERROR(__xludf.DUMMYFUNCTION("""COMPUTED_VALUE"""),"充電輸入： 5V⎓1A 電池容量：2000mAh 7.4Wh
 充電輸入： 5V⎓2A ( 邊充邊工作 &gt; 驅蚊模式)
 輸入口：TYPE-C 總額定消耗電功率：5W 
 充電時間： 4小時
 使用時間：1.小夜燈模式：第一檔：50小時，第二檔：20小時，第三檔：10小時
 2.滅蚊燈模式：2.5小時
 3.驅蚊模式：1小時（可搭配市售驅蚊片使用）")</f>
        <v>充電輸入： 5V⎓1A 電池容量：2000mAh 7.4Wh
 充電輸入： 5V⎓2A ( 邊充邊工作 &gt; 驅蚊模式)
 輸入口：TYPE-C 總額定消耗電功率：5W 
 充電時間： 4小時
 使用時間：1.小夜燈模式：第一檔：50小時，第二檔：20小時，第三檔：10小時
 2.滅蚊燈模式：2.5小時
 3.驅蚊模式：1小時（可搭配市售驅蚊片使用）</v>
      </c>
      <c r="Q128" s="12" t="str">
        <f ca="1">IFERROR(__xludf.DUMMYFUNCTION("""COMPUTED_VALUE"""),"135x135x100mm")</f>
        <v>135x135x100mm</v>
      </c>
      <c r="R128" s="12" t="str">
        <f ca="1">IFERROR(__xludf.DUMMYFUNCTION("""COMPUTED_VALUE"""),"中國")</f>
        <v>中國</v>
      </c>
      <c r="S128" s="12"/>
      <c r="T128" s="12"/>
      <c r="U128" s="12" t="str">
        <f ca="1">IFERROR(__xludf.DUMMYFUNCTION("""COMPUTED_VALUE"""),"1年")</f>
        <v>1年</v>
      </c>
      <c r="V128" s="12"/>
      <c r="W128" s="12"/>
      <c r="X128" s="12"/>
      <c r="Y128" s="12"/>
      <c r="Z128" s="14"/>
      <c r="AA128" s="15" t="str">
        <f ca="1">IFERROR(__xludf.DUMMYFUNCTION("""COMPUTED_VALUE"""),"*一機三用 滅蚊燈/夜燈/紙片型電蚊器*保護開關設計 自動斷電安全使用*內置UV燈 滅蚊加倍*可加蚊香片使用(需自行購買)")</f>
        <v>*一機三用 滅蚊燈/夜燈/紙片型電蚊器*保護開關設計 自動斷電安全使用*內置UV燈 滅蚊加倍*可加蚊香片使用(需自行購買)</v>
      </c>
    </row>
    <row r="129" spans="1:27" ht="19.5" customHeight="1">
      <c r="A129" s="12" t="str">
        <f ca="1">IFERROR(__xludf.DUMMYFUNCTION("""COMPUTED_VALUE"""),"居家生活用品")</f>
        <v>居家生活用品</v>
      </c>
      <c r="B129" s="12" t="str">
        <f ca="1">IFERROR(__xludf.DUMMYFUNCTION("""COMPUTED_VALUE"""),"旺德")</f>
        <v>旺德</v>
      </c>
      <c r="C129" s="12" t="str">
        <f ca="1">IFERROR(__xludf.DUMMYFUNCTION("""COMPUTED_VALUE"""),"Line Friends")</f>
        <v>Line Friends</v>
      </c>
      <c r="D129" s="12" t="str">
        <f ca="1">IFERROR(__xludf.DUMMYFUNCTION("""COMPUTED_VALUE"""),"居家_sally莎莉小夜燈+滅蚊燈LH-G03L ")</f>
        <v xml:space="preserve">居家_sally莎莉小夜燈+滅蚊燈LH-G03L </v>
      </c>
      <c r="E129" s="12" t="str">
        <f ca="1">IFERROR(__xludf.DUMMYFUNCTION("""COMPUTED_VALUE"""),"LH-G03L (莎莉)")</f>
        <v>LH-G03L (莎莉)</v>
      </c>
      <c r="F129" s="12">
        <f ca="1">IFERROR(__xludf.DUMMYFUNCTION("""COMPUTED_VALUE"""),51057207)</f>
        <v>51057207</v>
      </c>
      <c r="G129" s="12" t="str">
        <f ca="1">IFERROR(__xludf.DUMMYFUNCTION("""COMPUTED_VALUE"""),"IGEM0808")</f>
        <v>IGEM0808</v>
      </c>
      <c r="H129" s="13">
        <f ca="1">IFERROR(__xludf.DUMMYFUNCTION("""COMPUTED_VALUE"""),1290)</f>
        <v>1290</v>
      </c>
      <c r="I129" s="14">
        <f ca="1">IFERROR(__xludf.DUMMYFUNCTION("""COMPUTED_VALUE"""),990)</f>
        <v>990</v>
      </c>
      <c r="J129" s="16">
        <f ca="1">IFERROR(__xludf.DUMMYFUNCTION("""COMPUTED_VALUE"""),45017)</f>
        <v>45017</v>
      </c>
      <c r="K129" s="12" t="str">
        <f ca="1">IFERROR(__xludf.DUMMYFUNCTION("""COMPUTED_VALUE"""),"新機上架")</f>
        <v>新機上架</v>
      </c>
      <c r="L129" s="12" t="str">
        <f ca="1">IFERROR(__xludf.DUMMYFUNCTION("""COMPUTED_VALUE"""),"上架中")</f>
        <v>上架中</v>
      </c>
      <c r="M129" s="12"/>
      <c r="N129" s="12" t="str">
        <f ca="1">IFERROR(__xludf.DUMMYFUNCTION("""COMPUTED_VALUE"""),"檯燈/燈具/燈飾")</f>
        <v>檯燈/燈具/燈飾</v>
      </c>
      <c r="O129" s="12" t="str">
        <f ca="1">IFERROR(__xludf.DUMMYFUNCTION("""COMPUTED_VALUE"""),"黃")</f>
        <v>黃</v>
      </c>
      <c r="P129" s="12" t="str">
        <f ca="1">IFERROR(__xludf.DUMMYFUNCTION("""COMPUTED_VALUE"""),"充電輸入： 5V⎓1A 電池容量：2000mAh 7.4Wh
 充電輸入： 5V⎓2A ( 邊充邊工作 &gt; 驅蚊模式)
 輸入口：TYPE-C 總額定消耗電功率：5W 
 充電時間： 4小時
 使用時間：1.小夜燈模式：第一檔：50小時，第二檔：20小時，第三檔：10小時
 2.滅蚊燈模式：2.5小時
 3.驅蚊模式：1小時（可搭配市售驅蚊片使用）")</f>
        <v>充電輸入： 5V⎓1A 電池容量：2000mAh 7.4Wh
 充電輸入： 5V⎓2A ( 邊充邊工作 &gt; 驅蚊模式)
 輸入口：TYPE-C 總額定消耗電功率：5W 
 充電時間： 4小時
 使用時間：1.小夜燈模式：第一檔：50小時，第二檔：20小時，第三檔：10小時
 2.滅蚊燈模式：2.5小時
 3.驅蚊模式：1小時（可搭配市售驅蚊片使用）</v>
      </c>
      <c r="Q129" s="12" t="str">
        <f ca="1">IFERROR(__xludf.DUMMYFUNCTION("""COMPUTED_VALUE"""),"135x135x100mm")</f>
        <v>135x135x100mm</v>
      </c>
      <c r="R129" s="12" t="str">
        <f ca="1">IFERROR(__xludf.DUMMYFUNCTION("""COMPUTED_VALUE"""),"中國")</f>
        <v>中國</v>
      </c>
      <c r="S129" s="12"/>
      <c r="T129" s="12"/>
      <c r="U129" s="12" t="str">
        <f ca="1">IFERROR(__xludf.DUMMYFUNCTION("""COMPUTED_VALUE"""),"1年")</f>
        <v>1年</v>
      </c>
      <c r="V129" s="12"/>
      <c r="W129" s="12"/>
      <c r="X129" s="12"/>
      <c r="Y129" s="12"/>
      <c r="Z129" s="14"/>
      <c r="AA129" s="15" t="str">
        <f ca="1">IFERROR(__xludf.DUMMYFUNCTION("""COMPUTED_VALUE"""),"*一機三用 滅蚊燈/夜燈/紙片型電蚊器*保護開關設計 自動斷電安全使用*內置UV燈 滅蚊加倍*可加蚊香片使用(需自行購買)")</f>
        <v>*一機三用 滅蚊燈/夜燈/紙片型電蚊器*保護開關設計 自動斷電安全使用*內置UV燈 滅蚊加倍*可加蚊香片使用(需自行購買)</v>
      </c>
    </row>
    <row r="130" spans="1:27" ht="19.5" customHeight="1">
      <c r="A130" s="12" t="str">
        <f ca="1">IFERROR(__xludf.DUMMYFUNCTION("""COMPUTED_VALUE"""),"居家生活用品")</f>
        <v>居家生活用品</v>
      </c>
      <c r="B130" s="12" t="str">
        <f ca="1">IFERROR(__xludf.DUMMYFUNCTION("""COMPUTED_VALUE"""),"旺德")</f>
        <v>旺德</v>
      </c>
      <c r="C130" s="12" t="str">
        <f ca="1">IFERROR(__xludf.DUMMYFUNCTION("""COMPUTED_VALUE"""),"BLAUPUNKT")</f>
        <v>BLAUPUNKT</v>
      </c>
      <c r="D130" s="12" t="str">
        <f ca="1">IFERROR(__xludf.DUMMYFUNCTION("""COMPUTED_VALUE"""),"居家_(白)BLAUPUNKT USB充電式無線舒壓按摩棒")</f>
        <v>居家_(白)BLAUPUNKT USB充電式無線舒壓按摩棒</v>
      </c>
      <c r="E130" s="12" t="str">
        <f ca="1">IFERROR(__xludf.DUMMYFUNCTION("""COMPUTED_VALUE"""),"BPB-M02H")</f>
        <v>BPB-M02H</v>
      </c>
      <c r="F130" s="12">
        <f ca="1">IFERROR(__xludf.DUMMYFUNCTION("""COMPUTED_VALUE"""),51073008)</f>
        <v>51073008</v>
      </c>
      <c r="G130" s="12" t="str">
        <f ca="1">IFERROR(__xludf.DUMMYFUNCTION("""COMPUTED_VALUE"""),"IGEM093M")</f>
        <v>IGEM093M</v>
      </c>
      <c r="H130" s="13">
        <f ca="1">IFERROR(__xludf.DUMMYFUNCTION("""COMPUTED_VALUE"""),1990)</f>
        <v>1990</v>
      </c>
      <c r="I130" s="18">
        <f ca="1">IFERROR(__xludf.DUMMYFUNCTION("""COMPUTED_VALUE"""),1190)</f>
        <v>1190</v>
      </c>
      <c r="J130" s="16">
        <f ca="1">IFERROR(__xludf.DUMMYFUNCTION("""COMPUTED_VALUE"""),45288)</f>
        <v>45288</v>
      </c>
      <c r="K130" s="12" t="str">
        <f ca="1">IFERROR(__xludf.DUMMYFUNCTION("""COMPUTED_VALUE"""),"新機上架")</f>
        <v>新機上架</v>
      </c>
      <c r="L130" s="12" t="str">
        <f ca="1">IFERROR(__xludf.DUMMYFUNCTION("""COMPUTED_VALUE"""),"上架中")</f>
        <v>上架中</v>
      </c>
      <c r="M130" s="12"/>
      <c r="N130" s="12" t="str">
        <f ca="1">IFERROR(__xludf.DUMMYFUNCTION("""COMPUTED_VALUE"""),"舒壓按摩")</f>
        <v>舒壓按摩</v>
      </c>
      <c r="O130" s="12" t="str">
        <f ca="1">IFERROR(__xludf.DUMMYFUNCTION("""COMPUTED_VALUE"""),"優雅白")</f>
        <v>優雅白</v>
      </c>
      <c r="P130" s="12" t="str">
        <f ca="1">IFERROR(__xludf.DUMMYFUNCTION("""COMPUTED_VALUE"""),"使用電源:   5V 1A(USB); 3.7V 鋰電池2200mAh
輸入功率：5W
充電時間：約3-4小時 (充滿電後可持續工作約1-2小時)")</f>
        <v>使用電源:   5V 1A(USB); 3.7V 鋰電池2200mAh
輸入功率：5W
充電時間：約3-4小時 (充滿電後可持續工作約1-2小時)</v>
      </c>
      <c r="Q130" s="12"/>
      <c r="R130" s="12" t="str">
        <f ca="1">IFERROR(__xludf.DUMMYFUNCTION("""COMPUTED_VALUE"""),"中國")</f>
        <v>中國</v>
      </c>
      <c r="S130" s="12"/>
      <c r="T130" s="12"/>
      <c r="U130" s="12" t="str">
        <f ca="1">IFERROR(__xludf.DUMMYFUNCTION("""COMPUTED_VALUE"""),"1年")</f>
        <v>1年</v>
      </c>
      <c r="V130" s="12"/>
      <c r="W130" s="12"/>
      <c r="X130" s="12"/>
      <c r="Y130" s="12"/>
      <c r="Z130" s="14"/>
      <c r="AA130" s="15" t="str">
        <f ca="1">IFERROR(__xludf.DUMMYFUNCTION("""COMPUTED_VALUE"""),"*防水設計 - IPX 7級*五種振動模式 中/高/超高頻/漸進式/波浪式*採用LED指示燈，蜂鳴器提示*具備智慧振動模式記憶功能和按鍵鎖功能*內設15分鐘的定時自動關機功能*360克極輕體 使用不費力")</f>
        <v>*防水設計 - IPX 7級*五種振動模式 中/高/超高頻/漸進式/波浪式*採用LED指示燈，蜂鳴器提示*具備智慧振動模式記憶功能和按鍵鎖功能*內設15分鐘的定時自動關機功能*360克極輕體 使用不費力</v>
      </c>
    </row>
    <row r="131" spans="1:27" ht="19.5" customHeight="1">
      <c r="A131" s="12" t="str">
        <f ca="1">IFERROR(__xludf.DUMMYFUNCTION("""COMPUTED_VALUE"""),"生活家電")</f>
        <v>生活家電</v>
      </c>
      <c r="B131" s="12" t="str">
        <f ca="1">IFERROR(__xludf.DUMMYFUNCTION("""COMPUTED_VALUE"""),"旺德")</f>
        <v>旺德</v>
      </c>
      <c r="C131" s="12" t="str">
        <f ca="1">IFERROR(__xludf.DUMMYFUNCTION("""COMPUTED_VALUE"""),"WONDER")</f>
        <v>WONDER</v>
      </c>
      <c r="D131" s="12" t="str">
        <f ca="1">IFERROR(__xludf.DUMMYFUNCTION("""COMPUTED_VALUE"""),"WONDER_USB無線DC涼風扇_WH-FU28")</f>
        <v>WONDER_USB無線DC涼風扇_WH-FU28</v>
      </c>
      <c r="E131" s="12" t="str">
        <f ca="1">IFERROR(__xludf.DUMMYFUNCTION("""COMPUTED_VALUE"""),"WH-FU28")</f>
        <v>WH-FU28</v>
      </c>
      <c r="F131" s="12">
        <f ca="1">IFERROR(__xludf.DUMMYFUNCTION("""COMPUTED_VALUE"""),51092058)</f>
        <v>51092058</v>
      </c>
      <c r="G131" s="12" t="str">
        <f ca="1">IFERROR(__xludf.DUMMYFUNCTION("""COMPUTED_VALUE"""),"IGEM034F")</f>
        <v>IGEM034F</v>
      </c>
      <c r="H131" s="12">
        <f ca="1">IFERROR(__xludf.DUMMYFUNCTION("""COMPUTED_VALUE"""),899)</f>
        <v>899</v>
      </c>
      <c r="I131" s="14">
        <f ca="1">IFERROR(__xludf.DUMMYFUNCTION("""COMPUTED_VALUE"""),599)</f>
        <v>599</v>
      </c>
      <c r="J131" s="16">
        <f ca="1">IFERROR(__xludf.DUMMYFUNCTION("""COMPUTED_VALUE"""),45139)</f>
        <v>45139</v>
      </c>
      <c r="K131" s="12" t="str">
        <f ca="1">IFERROR(__xludf.DUMMYFUNCTION("""COMPUTED_VALUE"""),"永久降價")</f>
        <v>永久降價</v>
      </c>
      <c r="L131" s="12" t="str">
        <f ca="1">IFERROR(__xludf.DUMMYFUNCTION("""COMPUTED_VALUE"""),"上架中")</f>
        <v>上架中</v>
      </c>
      <c r="M131" s="12" t="str">
        <f ca="1">IFERROR(__xludf.DUMMYFUNCTION("""COMPUTED_VALUE"""),"8/1降價2021/6/1新機上架")</f>
        <v>8/1降價2021/6/1新機上架</v>
      </c>
      <c r="N131" s="12" t="str">
        <f ca="1">IFERROR(__xludf.DUMMYFUNCTION("""COMPUTED_VALUE"""),"風扇")</f>
        <v>風扇</v>
      </c>
      <c r="O131" s="12" t="str">
        <f ca="1">IFERROR(__xludf.DUMMYFUNCTION("""COMPUTED_VALUE"""),"白")</f>
        <v>白</v>
      </c>
      <c r="P131" s="12"/>
      <c r="Q131" s="12" t="str">
        <f ca="1">IFERROR(__xludf.DUMMYFUNCTION("""COMPUTED_VALUE"""),"單品尺寸 340X220X65mm")</f>
        <v>單品尺寸 340X220X65mm</v>
      </c>
      <c r="R131" s="12" t="str">
        <f ca="1">IFERROR(__xludf.DUMMYFUNCTION("""COMPUTED_VALUE"""),"中國")</f>
        <v>中國</v>
      </c>
      <c r="S131" s="12"/>
      <c r="T131" s="12"/>
      <c r="U131" s="12" t="str">
        <f ca="1">IFERROR(__xludf.DUMMYFUNCTION("""COMPUTED_VALUE"""),"1年")</f>
        <v>1年</v>
      </c>
      <c r="V131" s="12"/>
      <c r="W131" s="12"/>
      <c r="X131" s="12"/>
      <c r="Y131" s="12"/>
      <c r="Z131" s="14"/>
      <c r="AA131" s="15" t="str">
        <f ca="1">IFERROR(__xludf.DUMMYFUNCTION("""COMPUTED_VALUE"""),"*ABS材質*三段風速可調整*提把設計，方便移動*兩段LED燈，可做照明使用*電池持久續航，USB充電*前網可拆卸清洗設計*可邊充邊用")</f>
        <v>*ABS材質*三段風速可調整*提把設計，方便移動*兩段LED燈，可做照明使用*電池持久續航，USB充電*前網可拆卸清洗設計*可邊充邊用</v>
      </c>
    </row>
    <row r="132" spans="1:27" ht="19.5" customHeight="1">
      <c r="A132" s="12" t="str">
        <f ca="1">IFERROR(__xludf.DUMMYFUNCTION("""COMPUTED_VALUE"""),"生活家電")</f>
        <v>生活家電</v>
      </c>
      <c r="B132" s="12" t="str">
        <f ca="1">IFERROR(__xludf.DUMMYFUNCTION("""COMPUTED_VALUE"""),"旺德")</f>
        <v>旺德</v>
      </c>
      <c r="C132" s="12" t="str">
        <f ca="1">IFERROR(__xludf.DUMMYFUNCTION("""COMPUTED_VALUE"""),"THOMSON")</f>
        <v>THOMSON</v>
      </c>
      <c r="D132" s="12" t="str">
        <f ca="1">IFERROR(__xludf.DUMMYFUNCTION("""COMPUTED_VALUE"""),"THOMSON方形盒子對流式電暖器TM-SAW24F")</f>
        <v>THOMSON方形盒子對流式電暖器TM-SAW24F</v>
      </c>
      <c r="E132" s="12" t="str">
        <f ca="1">IFERROR(__xludf.DUMMYFUNCTION("""COMPUTED_VALUE"""),"TM-SAW24F")</f>
        <v>TM-SAW24F</v>
      </c>
      <c r="F132" s="12">
        <f ca="1">IFERROR(__xludf.DUMMYFUNCTION("""COMPUTED_VALUE"""),51092067)</f>
        <v>51092067</v>
      </c>
      <c r="G132" s="12" t="str">
        <f ca="1">IFERROR(__xludf.DUMMYFUNCTION("""COMPUTED_VALUE"""),"IGEM047V")</f>
        <v>IGEM047V</v>
      </c>
      <c r="H132" s="12">
        <f ca="1">IFERROR(__xludf.DUMMYFUNCTION("""COMPUTED_VALUE"""),1490)</f>
        <v>1490</v>
      </c>
      <c r="I132" s="14">
        <f ca="1">IFERROR(__xludf.DUMMYFUNCTION("""COMPUTED_VALUE"""),1290)</f>
        <v>1290</v>
      </c>
      <c r="J132" s="16">
        <f ca="1">IFERROR(__xludf.DUMMYFUNCTION("""COMPUTED_VALUE"""),45674)</f>
        <v>45674</v>
      </c>
      <c r="K132" s="12" t="str">
        <f ca="1">IFERROR(__xludf.DUMMYFUNCTION("""COMPUTED_VALUE"""),"到貨")</f>
        <v>到貨</v>
      </c>
      <c r="L132" s="13" t="str">
        <f ca="1">IFERROR(__xludf.DUMMYFUNCTION("""COMPUTED_VALUE"""),"上架中")</f>
        <v>上架中</v>
      </c>
      <c r="M132" s="12" t="str">
        <f ca="1">IFERROR(__xludf.DUMMYFUNCTION("""COMPUTED_VALUE"""),"2025/1/17到貨，2024/2/1缺貨2024/1/1回價2023/12/1短促")</f>
        <v>2025/1/17到貨，2024/2/1缺貨2024/1/1回價2023/12/1短促</v>
      </c>
      <c r="N132" s="12" t="str">
        <f ca="1">IFERROR(__xludf.DUMMYFUNCTION("""COMPUTED_VALUE"""),"電暖器")</f>
        <v>電暖器</v>
      </c>
      <c r="O132" s="12"/>
      <c r="P132" s="12"/>
      <c r="Q132" s="12" t="str">
        <f ca="1">IFERROR(__xludf.DUMMYFUNCTION("""COMPUTED_VALUE"""),"單品尺寸：315x510x200 mm")</f>
        <v>單品尺寸：315x510x200 mm</v>
      </c>
      <c r="R132" s="12" t="str">
        <f ca="1">IFERROR(__xludf.DUMMYFUNCTION("""COMPUTED_VALUE"""),"中國")</f>
        <v>中國</v>
      </c>
      <c r="S132" s="12"/>
      <c r="T132" s="12"/>
      <c r="U132" s="12" t="str">
        <f ca="1">IFERROR(__xludf.DUMMYFUNCTION("""COMPUTED_VALUE"""),"1年")</f>
        <v>1年</v>
      </c>
      <c r="V132" s="12"/>
      <c r="W132" s="12"/>
      <c r="X132" s="12"/>
      <c r="Y132" s="12"/>
      <c r="Z132" s="14"/>
      <c r="AA132" s="15" t="str">
        <f ca="1">IFERROR(__xludf.DUMMYFUNCTION("""COMPUTED_VALUE"""),"*兩段火力調節，溫暖舒適隨意調節*無段式控溫，自由調整所需溫度*過熱保護裝置與溫度異常安全保護裝置*輕巧薄，方便移動使用*無燈光無噪音，全家適用")</f>
        <v>*兩段火力調節，溫暖舒適隨意調節*無段式控溫，自由調整所需溫度*過熱保護裝置與溫度異常安全保護裝置*輕巧薄，方便移動使用*無燈光無噪音，全家適用</v>
      </c>
    </row>
    <row r="133" spans="1:27" ht="19.5" customHeight="1">
      <c r="A133" s="12" t="str">
        <f ca="1">IFERROR(__xludf.DUMMYFUNCTION("""COMPUTED_VALUE"""),"生活家電")</f>
        <v>生活家電</v>
      </c>
      <c r="B133" s="12" t="str">
        <f ca="1">IFERROR(__xludf.DUMMYFUNCTION("""COMPUTED_VALUE"""),"旺德")</f>
        <v>旺德</v>
      </c>
      <c r="C133" s="12" t="str">
        <f ca="1">IFERROR(__xludf.DUMMYFUNCTION("""COMPUTED_VALUE"""),"WONDER")</f>
        <v>WONDER</v>
      </c>
      <c r="D133" s="12" t="str">
        <f ca="1">IFERROR(__xludf.DUMMYFUNCTION("""COMPUTED_VALUE"""),"旺德陶瓷電暖器WH-W13F")</f>
        <v>旺德陶瓷電暖器WH-W13F</v>
      </c>
      <c r="E133" s="12" t="str">
        <f ca="1">IFERROR(__xludf.DUMMYFUNCTION("""COMPUTED_VALUE"""),"WH-W13F")</f>
        <v>WH-W13F</v>
      </c>
      <c r="F133" s="12">
        <f ca="1">IFERROR(__xludf.DUMMYFUNCTION("""COMPUTED_VALUE"""),51092068)</f>
        <v>51092068</v>
      </c>
      <c r="G133" s="12" t="str">
        <f ca="1">IFERROR(__xludf.DUMMYFUNCTION("""COMPUTED_VALUE"""),"IGEM047W")</f>
        <v>IGEM047W</v>
      </c>
      <c r="H133" s="12">
        <f ca="1">IFERROR(__xludf.DUMMYFUNCTION("""COMPUTED_VALUE"""),799)</f>
        <v>799</v>
      </c>
      <c r="I133" s="14">
        <f ca="1">IFERROR(__xludf.DUMMYFUNCTION("""COMPUTED_VALUE"""),688)</f>
        <v>688</v>
      </c>
      <c r="J133" s="16">
        <f ca="1">IFERROR(__xludf.DUMMYFUNCTION("""COMPUTED_VALUE"""),45695)</f>
        <v>45695</v>
      </c>
      <c r="K133" s="12" t="str">
        <f ca="1">IFERROR(__xludf.DUMMYFUNCTION("""COMPUTED_VALUE"""),"缺貨")</f>
        <v>缺貨</v>
      </c>
      <c r="L133" s="13" t="str">
        <f ca="1">IFERROR(__xludf.DUMMYFUNCTION("""COMPUTED_VALUE"""),"缺貨")</f>
        <v>缺貨</v>
      </c>
      <c r="M133" s="12" t="str">
        <f ca="1">IFERROR(__xludf.DUMMYFUNCTION("""COMPUTED_VALUE"""),"2025/2/7缺貨，2024/2/1回價2024/1/1短促2021/12/23少量到貨")</f>
        <v>2025/2/7缺貨，2024/2/1回價2024/1/1短促2021/12/23少量到貨</v>
      </c>
      <c r="N133" s="12" t="str">
        <f ca="1">IFERROR(__xludf.DUMMYFUNCTION("""COMPUTED_VALUE"""),"電暖器")</f>
        <v>電暖器</v>
      </c>
      <c r="O133" s="12"/>
      <c r="P133" s="12"/>
      <c r="Q133" s="12" t="str">
        <f ca="1">IFERROR(__xludf.DUMMYFUNCTION("""COMPUTED_VALUE"""),"單品尺寸：145X184X85 mm")</f>
        <v>單品尺寸：145X184X85 mm</v>
      </c>
      <c r="R133" s="12" t="str">
        <f ca="1">IFERROR(__xludf.DUMMYFUNCTION("""COMPUTED_VALUE"""),"中國")</f>
        <v>中國</v>
      </c>
      <c r="S133" s="12"/>
      <c r="T133" s="12"/>
      <c r="U133" s="12" t="str">
        <f ca="1">IFERROR(__xludf.DUMMYFUNCTION("""COMPUTED_VALUE"""),"1年")</f>
        <v>1年</v>
      </c>
      <c r="V133" s="12"/>
      <c r="W133" s="12"/>
      <c r="X133" s="12"/>
      <c r="Y133" s="12"/>
      <c r="Z133" s="14"/>
      <c r="AA133" s="15" t="str">
        <f ca="1">IFERROR(__xludf.DUMMYFUNCTION("""COMPUTED_VALUE"""),"*PTC發熱體安全不耗氧*雙重安全保護裝置*可調整旋轉角度135゜角度調整*主體採用防火阻燃材質*防滑墊保護止滑*小巧體積、不佔空間*進風口濾網、過濾灰塵潔淨空氣")</f>
        <v>*PTC發熱體安全不耗氧*雙重安全保護裝置*可調整旋轉角度135゜角度調整*主體採用防火阻燃材質*防滑墊保護止滑*小巧體積、不佔空間*進風口濾網、過濾灰塵潔淨空氣</v>
      </c>
    </row>
    <row r="134" spans="1:27" ht="19.5" customHeight="1">
      <c r="A134" s="12" t="str">
        <f ca="1">IFERROR(__xludf.DUMMYFUNCTION("""COMPUTED_VALUE"""),"生活家電")</f>
        <v>生活家電</v>
      </c>
      <c r="B134" s="12" t="str">
        <f ca="1">IFERROR(__xludf.DUMMYFUNCTION("""COMPUTED_VALUE"""),"旺德")</f>
        <v>旺德</v>
      </c>
      <c r="C134" s="12" t="str">
        <f ca="1">IFERROR(__xludf.DUMMYFUNCTION("""COMPUTED_VALUE"""),"WONDER")</f>
        <v>WONDER</v>
      </c>
      <c r="D134" s="12" t="str">
        <f ca="1">IFERROR(__xludf.DUMMYFUNCTION("""COMPUTED_VALUE"""),"WONDER_可機洗發熱保暖披肩_WH-W29BU")</f>
        <v>WONDER_可機洗發熱保暖披肩_WH-W29BU</v>
      </c>
      <c r="E134" s="12" t="str">
        <f ca="1">IFERROR(__xludf.DUMMYFUNCTION("""COMPUTED_VALUE"""),"WH-W29BU")</f>
        <v>WH-W29BU</v>
      </c>
      <c r="F134" s="12">
        <f ca="1">IFERROR(__xludf.DUMMYFUNCTION("""COMPUTED_VALUE"""),51092073)</f>
        <v>51092073</v>
      </c>
      <c r="G134" s="12" t="str">
        <f ca="1">IFERROR(__xludf.DUMMYFUNCTION("""COMPUTED_VALUE"""),"IGEM050J")</f>
        <v>IGEM050J</v>
      </c>
      <c r="H134" s="12">
        <f ca="1">IFERROR(__xludf.DUMMYFUNCTION("""COMPUTED_VALUE"""),1790)</f>
        <v>1790</v>
      </c>
      <c r="I134" s="14">
        <f ca="1">IFERROR(__xludf.DUMMYFUNCTION("""COMPUTED_VALUE"""),1390)</f>
        <v>1390</v>
      </c>
      <c r="J134" s="16">
        <f ca="1">IFERROR(__xludf.DUMMYFUNCTION("""COMPUTED_VALUE"""),45603)</f>
        <v>45603</v>
      </c>
      <c r="K134" s="12" t="str">
        <f ca="1">IFERROR(__xludf.DUMMYFUNCTION("""COMPUTED_VALUE"""),"短促")</f>
        <v>短促</v>
      </c>
      <c r="L134" s="12" t="str">
        <f ca="1">IFERROR(__xludf.DUMMYFUNCTION("""COMPUTED_VALUE"""),"上架中")</f>
        <v>上架中</v>
      </c>
      <c r="M134" s="12" t="str">
        <f ca="1">IFERROR(__xludf.DUMMYFUNCTION("""COMPUTED_VALUE"""),"2024/11/7短促，2021/12/1新機上架")</f>
        <v>2024/11/7短促，2021/12/1新機上架</v>
      </c>
      <c r="N134" s="12" t="str">
        <f ca="1">IFERROR(__xludf.DUMMYFUNCTION("""COMPUTED_VALUE"""),"電暖器")</f>
        <v>電暖器</v>
      </c>
      <c r="O134" s="12"/>
      <c r="P134" s="12"/>
      <c r="Q134" s="12" t="str">
        <f ca="1">IFERROR(__xludf.DUMMYFUNCTION("""COMPUTED_VALUE"""),"單品尺寸：6X1600X700 mm")</f>
        <v>單品尺寸：6X1600X700 mm</v>
      </c>
      <c r="R134" s="12" t="str">
        <f ca="1">IFERROR(__xludf.DUMMYFUNCTION("""COMPUTED_VALUE"""),"中國")</f>
        <v>中國</v>
      </c>
      <c r="S134" s="12"/>
      <c r="T134" s="12"/>
      <c r="U134" s="12" t="str">
        <f ca="1">IFERROR(__xludf.DUMMYFUNCTION("""COMPUTED_VALUE"""),"1年")</f>
        <v>1年</v>
      </c>
      <c r="V134" s="12"/>
      <c r="W134" s="12"/>
      <c r="X134" s="12"/>
      <c r="Y134" s="12"/>
      <c r="Z134" s="14"/>
      <c r="AA134" s="15" t="str">
        <f ca="1">IFERROR(__xludf.DUMMYFUNCTION("""COMPUTED_VALUE"""),"*精選珊瑚絨，柔軟舒適*碳纖維發熱，使用無電線異物感無輻射*8區調溫，溫度可依需求選擇*紅色檔60℃（±5℃），白色檔50℃（±5℃），藍色檔40℃（±5℃）*USB供電，使用更方便")</f>
        <v>*精選珊瑚絨，柔軟舒適*碳纖維發熱，使用無電線異物感無輻射*8區調溫，溫度可依需求選擇*紅色檔60℃（±5℃），白色檔50℃（±5℃），藍色檔40℃（±5℃）*USB供電，使用更方便</v>
      </c>
    </row>
    <row r="135" spans="1:27" ht="19.5" customHeight="1">
      <c r="A135" s="12" t="str">
        <f ca="1">IFERROR(__xludf.DUMMYFUNCTION("""COMPUTED_VALUE"""),"生活家電")</f>
        <v>生活家電</v>
      </c>
      <c r="B135" s="12" t="str">
        <f ca="1">IFERROR(__xludf.DUMMYFUNCTION("""COMPUTED_VALUE"""),"大同")</f>
        <v>大同</v>
      </c>
      <c r="C135" s="12" t="str">
        <f ca="1">IFERROR(__xludf.DUMMYFUNCTION("""COMPUTED_VALUE"""),"PANASONIC")</f>
        <v>PANASONIC</v>
      </c>
      <c r="D135" s="12" t="str">
        <f ca="1">IFERROR(__xludf.DUMMYFUNCTION("""COMPUTED_VALUE"""),"Panasonic無線吸拖吸塵機(綠)MC-A13G")</f>
        <v>Panasonic無線吸拖吸塵機(綠)MC-A13G</v>
      </c>
      <c r="E135" s="12" t="str">
        <f ca="1">IFERROR(__xludf.DUMMYFUNCTION("""COMPUTED_VALUE"""),"MC-A13G")</f>
        <v>MC-A13G</v>
      </c>
      <c r="F135" s="12">
        <f ca="1">IFERROR(__xludf.DUMMYFUNCTION("""COMPUTED_VALUE"""),51089435)</f>
        <v>51089435</v>
      </c>
      <c r="G135" s="12" t="str">
        <f ca="1">IFERROR(__xludf.DUMMYFUNCTION("""COMPUTED_VALUE"""),"IGEM071O")</f>
        <v>IGEM071O</v>
      </c>
      <c r="H135" s="13">
        <f ca="1">IFERROR(__xludf.DUMMYFUNCTION("""COMPUTED_VALUE"""),7990)</f>
        <v>7990</v>
      </c>
      <c r="I135" s="14">
        <f ca="1">IFERROR(__xludf.DUMMYFUNCTION("""COMPUTED_VALUE"""),6990)</f>
        <v>6990</v>
      </c>
      <c r="J135" s="16">
        <f ca="1">IFERROR(__xludf.DUMMYFUNCTION("""COMPUTED_VALUE"""),45323)</f>
        <v>45323</v>
      </c>
      <c r="K135" s="12" t="str">
        <f ca="1">IFERROR(__xludf.DUMMYFUNCTION("""COMPUTED_VALUE"""),"短促")</f>
        <v>短促</v>
      </c>
      <c r="L135" s="12" t="str">
        <f ca="1">IFERROR(__xludf.DUMMYFUNCTION("""COMPUTED_VALUE"""),"上架中")</f>
        <v>上架中</v>
      </c>
      <c r="M135" s="12" t="str">
        <f ca="1">IFERROR(__xludf.DUMMYFUNCTION("""COMPUTED_VALUE"""),"2/1短促，2023/1/18短促，2022/11/1新機上架")</f>
        <v>2/1短促，2023/1/18短促，2022/11/1新機上架</v>
      </c>
      <c r="N135" s="12" t="str">
        <f ca="1">IFERROR(__xludf.DUMMYFUNCTION("""COMPUTED_VALUE"""),"吸塵器")</f>
        <v>吸塵器</v>
      </c>
      <c r="O135" s="12" t="str">
        <f ca="1">IFERROR(__xludf.DUMMYFUNCTION("""COMPUTED_VALUE"""),"綠")</f>
        <v>綠</v>
      </c>
      <c r="P135" s="12" t="str">
        <f ca="1">IFERROR(__xludf.DUMMYFUNCTION("""COMPUTED_VALUE"""),"重量2.2kg(含配件)、110V")</f>
        <v>重量2.2kg(含配件)、110V</v>
      </c>
      <c r="Q135" s="12" t="str">
        <f ca="1">IFERROR(__xludf.DUMMYFUNCTION("""COMPUTED_VALUE"""),"高1181*寬250*深157mm")</f>
        <v>高1181*寬250*深157mm</v>
      </c>
      <c r="R135" s="12" t="str">
        <f ca="1">IFERROR(__xludf.DUMMYFUNCTION("""COMPUTED_VALUE"""),"中國")</f>
        <v>中國</v>
      </c>
      <c r="S135" s="12"/>
      <c r="T135" s="12"/>
      <c r="U135" s="12" t="str">
        <f ca="1">IFERROR(__xludf.DUMMYFUNCTION("""COMPUTED_VALUE"""),"1年")</f>
        <v>1年</v>
      </c>
      <c r="V135" s="12"/>
      <c r="W135" s="12"/>
      <c r="X135" s="12"/>
      <c r="Y135" s="12"/>
      <c r="Z135" s="14"/>
      <c r="AA135" s="15" t="str">
        <f ca="1">IFERROR(__xludf.DUMMYFUNCTION("""COMPUTED_VALUE"""),"*可拆式水箱，輕鬆卸除*大直徑滾筒設計，毛髮不易纏結*輕量機身、強勁瞬吸")</f>
        <v>*可拆式水箱，輕鬆卸除*大直徑滾筒設計，毛髮不易纏結*輕量機身、強勁瞬吸</v>
      </c>
    </row>
    <row r="136" spans="1:27" ht="19.5" customHeight="1">
      <c r="A136" s="12" t="str">
        <f ca="1">IFERROR(__xludf.DUMMYFUNCTION("""COMPUTED_VALUE"""),"生活家電")</f>
        <v>生活家電</v>
      </c>
      <c r="B136" s="12" t="str">
        <f ca="1">IFERROR(__xludf.DUMMYFUNCTION("""COMPUTED_VALUE"""),"大同")</f>
        <v>大同</v>
      </c>
      <c r="C136" s="12" t="str">
        <f ca="1">IFERROR(__xludf.DUMMYFUNCTION("""COMPUTED_VALUE"""),"PANASONIC")</f>
        <v>PANASONIC</v>
      </c>
      <c r="D136" s="12" t="str">
        <f ca="1">IFERROR(__xludf.DUMMYFUNCTION("""COMPUTED_VALUE"""),"Panasonic 無線蒸氣電熨斗(粉金)NI-WL70")</f>
        <v>Panasonic 無線蒸氣電熨斗(粉金)NI-WL70</v>
      </c>
      <c r="E136" s="12" t="str">
        <f ca="1">IFERROR(__xludf.DUMMYFUNCTION("""COMPUTED_VALUE"""),"NI-WL70")</f>
        <v>NI-WL70</v>
      </c>
      <c r="F136" s="12">
        <f ca="1">IFERROR(__xludf.DUMMYFUNCTION("""COMPUTED_VALUE"""),51012211)</f>
        <v>51012211</v>
      </c>
      <c r="G136" s="12" t="str">
        <f ca="1">IFERROR(__xludf.DUMMYFUNCTION("""COMPUTED_VALUE"""),"IGEM072S")</f>
        <v>IGEM072S</v>
      </c>
      <c r="H136" s="13">
        <f ca="1">IFERROR(__xludf.DUMMYFUNCTION("""COMPUTED_VALUE"""),3490)</f>
        <v>3490</v>
      </c>
      <c r="I136" s="14">
        <f ca="1">IFERROR(__xludf.DUMMYFUNCTION("""COMPUTED_VALUE"""),3180)</f>
        <v>3180</v>
      </c>
      <c r="J136" s="16">
        <f ca="1">IFERROR(__xludf.DUMMYFUNCTION("""COMPUTED_VALUE"""),44986)</f>
        <v>44986</v>
      </c>
      <c r="K136" s="12" t="str">
        <f ca="1">IFERROR(__xludf.DUMMYFUNCTION("""COMPUTED_VALUE"""),"短促")</f>
        <v>短促</v>
      </c>
      <c r="L136" s="12" t="str">
        <f ca="1">IFERROR(__xludf.DUMMYFUNCTION("""COMPUTED_VALUE"""),"上架中")</f>
        <v>上架中</v>
      </c>
      <c r="M136" s="12" t="str">
        <f ca="1">IFERROR(__xludf.DUMMYFUNCTION("""COMPUTED_VALUE"""),"3/1短促，1/13到貨，1/7缺貨，2023/1/1回價，2022/12/1 新機上架+短促")</f>
        <v>3/1短促，1/13到貨，1/7缺貨，2023/1/1回價，2022/12/1 新機上架+短促</v>
      </c>
      <c r="N136" s="12" t="str">
        <f ca="1">IFERROR(__xludf.DUMMYFUNCTION("""COMPUTED_VALUE"""),"熨斗/掛燙機")</f>
        <v>熨斗/掛燙機</v>
      </c>
      <c r="O136" s="12" t="str">
        <f ca="1">IFERROR(__xludf.DUMMYFUNCTION("""COMPUTED_VALUE"""),"粉金")</f>
        <v>粉金</v>
      </c>
      <c r="P136" s="12"/>
      <c r="Q136" s="12" t="str">
        <f ca="1">IFERROR(__xludf.DUMMYFUNCTION("""COMPUTED_VALUE"""),"高130x寛110x深226mm、水箱160ML")</f>
        <v>高130x寛110x深226mm、水箱160ML</v>
      </c>
      <c r="R136" s="12" t="str">
        <f ca="1">IFERROR(__xludf.DUMMYFUNCTION("""COMPUTED_VALUE"""),"中國")</f>
        <v>中國</v>
      </c>
      <c r="S136" s="12"/>
      <c r="T136" s="12"/>
      <c r="U136" s="22" t="str">
        <f ca="1">IFERROR(__xludf.DUMMYFUNCTION("""COMPUTED_VALUE"""),"1年")</f>
        <v>1年</v>
      </c>
      <c r="V136" s="12"/>
      <c r="W136" s="12"/>
      <c r="X136" s="12"/>
      <c r="Y136" s="12"/>
      <c r="Z136" s="14"/>
      <c r="AA136" s="15" t="str">
        <f ca="1">IFERROR(__xludf.DUMMYFUNCTION("""COMPUTED_VALUE"""),"*360° Quick陶瓷塗層底板*強力噴射蒸氣量 : 53g/min*精準尖點設計*霧狀噴水*垂直整燙*防滴漏設計*自動斷電裝置*可拆式水箱*水箱容量 : 160ml")</f>
        <v>*360° Quick陶瓷塗層底板*強力噴射蒸氣量 : 53g/min*精準尖點設計*霧狀噴水*垂直整燙*防滴漏設計*自動斷電裝置*可拆式水箱*水箱容量 : 160ml</v>
      </c>
    </row>
    <row r="137" spans="1:27" ht="19.5" customHeight="1">
      <c r="A137" s="12" t="str">
        <f ca="1">IFERROR(__xludf.DUMMYFUNCTION("""COMPUTED_VALUE"""),"生活家電")</f>
        <v>生活家電</v>
      </c>
      <c r="B137" s="12" t="str">
        <f ca="1">IFERROR(__xludf.DUMMYFUNCTION("""COMPUTED_VALUE"""),"大同")</f>
        <v>大同</v>
      </c>
      <c r="C137" s="12" t="str">
        <f ca="1">IFERROR(__xludf.DUMMYFUNCTION("""COMPUTED_VALUE"""),"PANASONIC")</f>
        <v>PANASONIC</v>
      </c>
      <c r="D137" s="12" t="str">
        <f ca="1">IFERROR(__xludf.DUMMYFUNCTION("""COMPUTED_VALUE"""),"PanasonicNanoe吹風機EH-NA55-PN")</f>
        <v>PanasonicNanoe吹風機EH-NA55-PN</v>
      </c>
      <c r="E137" s="12" t="str">
        <f ca="1">IFERROR(__xludf.DUMMYFUNCTION("""COMPUTED_VALUE"""),"EH-NA55-PN")</f>
        <v>EH-NA55-PN</v>
      </c>
      <c r="F137" s="12">
        <f ca="1">IFERROR(__xludf.DUMMYFUNCTION("""COMPUTED_VALUE"""),51089253)</f>
        <v>51089253</v>
      </c>
      <c r="G137" s="12" t="str">
        <f ca="1">IFERROR(__xludf.DUMMYFUNCTION("""COMPUTED_VALUE"""),"IGEM01IN")</f>
        <v>IGEM01IN</v>
      </c>
      <c r="H137" s="12">
        <f ca="1">IFERROR(__xludf.DUMMYFUNCTION("""COMPUTED_VALUE"""),3290)</f>
        <v>3290</v>
      </c>
      <c r="I137" s="14">
        <f ca="1">IFERROR(__xludf.DUMMYFUNCTION("""COMPUTED_VALUE"""),2990)</f>
        <v>2990</v>
      </c>
      <c r="J137" s="16">
        <f ca="1">IFERROR(__xludf.DUMMYFUNCTION("""COMPUTED_VALUE"""),45562)</f>
        <v>45562</v>
      </c>
      <c r="K137" s="12" t="str">
        <f ca="1">IFERROR(__xludf.DUMMYFUNCTION("""COMPUTED_VALUE"""),"永久降價")</f>
        <v>永久降價</v>
      </c>
      <c r="L137" s="12" t="str">
        <f ca="1">IFERROR(__xludf.DUMMYFUNCTION("""COMPUTED_VALUE"""),"上架中")</f>
        <v>上架中</v>
      </c>
      <c r="M137" s="12" t="str">
        <f ca="1">IFERROR(__xludf.DUMMYFUNCTION("""COMPUTED_VALUE"""),"2024/9/27調降，2019/12/1新機上架")</f>
        <v>2024/9/27調降，2019/12/1新機上架</v>
      </c>
      <c r="N137" s="12" t="str">
        <f ca="1">IFERROR(__xludf.DUMMYFUNCTION("""COMPUTED_VALUE"""),"吹風機/造型整髮器")</f>
        <v>吹風機/造型整髮器</v>
      </c>
      <c r="O137" s="12" t="str">
        <f ca="1">IFERROR(__xludf.DUMMYFUNCTION("""COMPUTED_VALUE"""),"粉金")</f>
        <v>粉金</v>
      </c>
      <c r="P137" s="12"/>
      <c r="Q137" s="12" t="str">
        <f ca="1">IFERROR(__xludf.DUMMYFUNCTION("""COMPUTED_VALUE"""),"高210*寬80*深192mm")</f>
        <v>高210*寬80*深192mm</v>
      </c>
      <c r="R137" s="12" t="str">
        <f ca="1">IFERROR(__xludf.DUMMYFUNCTION("""COMPUTED_VALUE"""),"泰國")</f>
        <v>泰國</v>
      </c>
      <c r="S137" s="12"/>
      <c r="T137" s="12"/>
      <c r="U137" s="12" t="str">
        <f ca="1">IFERROR(__xludf.DUMMYFUNCTION("""COMPUTED_VALUE"""),"1年")</f>
        <v>1年</v>
      </c>
      <c r="V137" s="12"/>
      <c r="W137" s="12"/>
      <c r="X137" s="12"/>
      <c r="Y137" s="12"/>
      <c r="Z137" s="14"/>
      <c r="AA137" s="15" t="str">
        <f ca="1">IFERROR(__xludf.DUMMYFUNCTION("""COMPUTED_VALUE"""),"*雙電壓設計、海外國內兩用*Nanoe奈米水離子使頭髮保濕有光澤*靜電抑制機能、透過排除靜電離子讓頭髮吸附更多Nanoe*2段風量/3段溫度*小巧機身摺疊好攜帶")</f>
        <v>*雙電壓設計、海外國內兩用*Nanoe奈米水離子使頭髮保濕有光澤*靜電抑制機能、透過排除靜電離子讓頭髮吸附更多Nanoe*2段風量/3段溫度*小巧機身摺疊好攜帶</v>
      </c>
    </row>
    <row r="138" spans="1:27" ht="19.5" customHeight="1">
      <c r="A138" s="12" t="str">
        <f ca="1">IFERROR(__xludf.DUMMYFUNCTION("""COMPUTED_VALUE"""),"生活家電")</f>
        <v>生活家電</v>
      </c>
      <c r="B138" s="12" t="str">
        <f ca="1">IFERROR(__xludf.DUMMYFUNCTION("""COMPUTED_VALUE"""),"可易")</f>
        <v>可易</v>
      </c>
      <c r="C138" s="12" t="str">
        <f ca="1">IFERROR(__xludf.DUMMYFUNCTION("""COMPUTED_VALUE"""),"KOIZUMI小泉成器")</f>
        <v>KOIZUMI小泉成器</v>
      </c>
      <c r="D138" s="12" t="str">
        <f ca="1">IFERROR(__xludf.DUMMYFUNCTION("""COMPUTED_VALUE"""),"KOIZUMI小泉成器_音波磁氣美髮梳-負離子升級版(紅)_KBE-2400/TP")</f>
        <v>KOIZUMI小泉成器_音波磁氣美髮梳-負離子升級版(紅)_KBE-2400/TP</v>
      </c>
      <c r="E138" s="12" t="str">
        <f ca="1">IFERROR(__xludf.DUMMYFUNCTION("""COMPUTED_VALUE"""),"KBE-2400/TP")</f>
        <v>KBE-2400/TP</v>
      </c>
      <c r="F138" s="12">
        <f ca="1">IFERROR(__xludf.DUMMYFUNCTION("""COMPUTED_VALUE"""),51075023)</f>
        <v>51075023</v>
      </c>
      <c r="G138" s="12" t="str">
        <f ca="1">IFERROR(__xludf.DUMMYFUNCTION("""COMPUTED_VALUE"""),"IGEM01T3")</f>
        <v>IGEM01T3</v>
      </c>
      <c r="H138" s="12">
        <f ca="1">IFERROR(__xludf.DUMMYFUNCTION("""COMPUTED_VALUE"""),3690)</f>
        <v>3690</v>
      </c>
      <c r="I138" s="14">
        <f ca="1">IFERROR(__xludf.DUMMYFUNCTION("""COMPUTED_VALUE"""),1990)</f>
        <v>1990</v>
      </c>
      <c r="J138" s="21">
        <f ca="1">IFERROR(__xludf.DUMMYFUNCTION("""COMPUTED_VALUE"""),45588)</f>
        <v>45588</v>
      </c>
      <c r="K138" s="12" t="str">
        <f ca="1">IFERROR(__xludf.DUMMYFUNCTION("""COMPUTED_VALUE"""),"缺貨")</f>
        <v>缺貨</v>
      </c>
      <c r="L138" s="12" t="str">
        <f ca="1">IFERROR(__xludf.DUMMYFUNCTION("""COMPUTED_VALUE"""),"缺貨")</f>
        <v>缺貨</v>
      </c>
      <c r="M138" s="12" t="str">
        <f ca="1">IFERROR(__xludf.DUMMYFUNCTION("""COMPUTED_VALUE"""),"2024/10/23缺貨，2021/4/1~4/30短促，2020/6/12新機上架")</f>
        <v>2024/10/23缺貨，2021/4/1~4/30短促，2020/6/12新機上架</v>
      </c>
      <c r="N138" s="12" t="str">
        <f ca="1">IFERROR(__xludf.DUMMYFUNCTION("""COMPUTED_VALUE"""),"吹風機/造型整髮器")</f>
        <v>吹風機/造型整髮器</v>
      </c>
      <c r="O138" s="12" t="str">
        <f ca="1">IFERROR(__xludf.DUMMYFUNCTION("""COMPUTED_VALUE"""),"紅")</f>
        <v>紅</v>
      </c>
      <c r="P138" s="12"/>
      <c r="Q138" s="12" t="str">
        <f ca="1">IFERROR(__xludf.DUMMYFUNCTION("""COMPUTED_VALUE"""),"高55、寬86、長253mm")</f>
        <v>高55、寬86、長253mm</v>
      </c>
      <c r="R138" s="12" t="str">
        <f ca="1">IFERROR(__xludf.DUMMYFUNCTION("""COMPUTED_VALUE"""),"中國")</f>
        <v>中國</v>
      </c>
      <c r="S138" s="12"/>
      <c r="T138" s="12"/>
      <c r="U138" s="12" t="str">
        <f ca="1">IFERROR(__xludf.DUMMYFUNCTION("""COMPUTED_VALUE"""),"1年")</f>
        <v>1年</v>
      </c>
      <c r="V138" s="12" t="str">
        <f ca="1">IFERROR(__xludf.DUMMYFUNCTION("""COMPUTED_VALUE"""),"1年")</f>
        <v>1年</v>
      </c>
      <c r="W138" s="12"/>
      <c r="X138" s="12"/>
      <c r="Y138" s="12"/>
      <c r="Z138" s="14"/>
      <c r="AA138" s="15" t="str">
        <f ca="1">IFERROR(__xludf.DUMMYFUNCTION("""COMPUTED_VALUE"""),"*負離子升級款*梳齒面積大*靜電抑制*超音波震動*空氣穴設計*梳齒磁力吸附*負離子補水")</f>
        <v>*負離子升級款*梳齒面積大*靜電抑制*超音波震動*空氣穴設計*梳齒磁力吸附*負離子補水</v>
      </c>
    </row>
    <row r="139" spans="1:27" ht="19.5" customHeight="1">
      <c r="A139" s="12" t="str">
        <f ca="1">IFERROR(__xludf.DUMMYFUNCTION("""COMPUTED_VALUE"""),"生活家電")</f>
        <v>生活家電</v>
      </c>
      <c r="B139" s="12" t="str">
        <f ca="1">IFERROR(__xludf.DUMMYFUNCTION("""COMPUTED_VALUE"""),"可易")</f>
        <v>可易</v>
      </c>
      <c r="C139" s="12" t="str">
        <f ca="1">IFERROR(__xludf.DUMMYFUNCTION("""COMPUTED_VALUE"""),"KOIZUMI小泉成器")</f>
        <v>KOIZUMI小泉成器</v>
      </c>
      <c r="D139" s="12" t="str">
        <f ca="1">IFERROR(__xludf.DUMMYFUNCTION("""COMPUTED_VALUE"""),"KOIZUMI小泉成器_大風量負離子吹風機_KHD-9600")</f>
        <v>KOIZUMI小泉成器_大風量負離子吹風機_KHD-9600</v>
      </c>
      <c r="E139" s="12" t="str">
        <f ca="1">IFERROR(__xludf.DUMMYFUNCTION("""COMPUTED_VALUE"""),"KHD-9600")</f>
        <v>KHD-9600</v>
      </c>
      <c r="F139" s="12">
        <f ca="1">IFERROR(__xludf.DUMMYFUNCTION("""COMPUTED_VALUE"""),51075028)</f>
        <v>51075028</v>
      </c>
      <c r="G139" s="12" t="str">
        <f ca="1">IFERROR(__xludf.DUMMYFUNCTION("""COMPUTED_VALUE"""),"IGEM021X")</f>
        <v>IGEM021X</v>
      </c>
      <c r="H139" s="12">
        <f ca="1">IFERROR(__xludf.DUMMYFUNCTION("""COMPUTED_VALUE"""),1990)</f>
        <v>1990</v>
      </c>
      <c r="I139" s="14">
        <f ca="1">IFERROR(__xludf.DUMMYFUNCTION("""COMPUTED_VALUE"""),990)</f>
        <v>990</v>
      </c>
      <c r="J139" s="12"/>
      <c r="K139" s="12"/>
      <c r="L139" s="12" t="str">
        <f ca="1">IFERROR(__xludf.DUMMYFUNCTION("""COMPUTED_VALUE"""),"上架中")</f>
        <v>上架中</v>
      </c>
      <c r="M139" s="12" t="str">
        <f ca="1">IFERROR(__xludf.DUMMYFUNCTION("""COMPUTED_VALUE"""),"2020/10/1新機上架")</f>
        <v>2020/10/1新機上架</v>
      </c>
      <c r="N139" s="12" t="str">
        <f ca="1">IFERROR(__xludf.DUMMYFUNCTION("""COMPUTED_VALUE"""),"吹風機/造型整髮器")</f>
        <v>吹風機/造型整髮器</v>
      </c>
      <c r="O139" s="12" t="str">
        <f ca="1">IFERROR(__xludf.DUMMYFUNCTION("""COMPUTED_VALUE"""),"紫粉色")</f>
        <v>紫粉色</v>
      </c>
      <c r="P139" s="12"/>
      <c r="Q139" s="12" t="str">
        <f ca="1">IFERROR(__xludf.DUMMYFUNCTION("""COMPUTED_VALUE"""),"高196x寬178x深80mm")</f>
        <v>高196x寬178x深80mm</v>
      </c>
      <c r="R139" s="12" t="str">
        <f ca="1">IFERROR(__xludf.DUMMYFUNCTION("""COMPUTED_VALUE"""),"中國")</f>
        <v>中國</v>
      </c>
      <c r="S139" s="12"/>
      <c r="T139" s="12"/>
      <c r="U139" s="12" t="str">
        <f ca="1">IFERROR(__xludf.DUMMYFUNCTION("""COMPUTED_VALUE"""),"1年")</f>
        <v>1年</v>
      </c>
      <c r="V139" s="12" t="str">
        <f ca="1">IFERROR(__xludf.DUMMYFUNCTION("""COMPUTED_VALUE"""),"1年")</f>
        <v>1年</v>
      </c>
      <c r="W139" s="12"/>
      <c r="X139" s="12"/>
      <c r="Y139" s="12"/>
      <c r="Z139" s="14"/>
      <c r="AA139" s="15" t="str">
        <f ca="1">IFERROR(__xludf.DUMMYFUNCTION("""COMPUTED_VALUE"""),"*KOIZUMI技術，易攜、便利、大風量。*三種風力模式，「熱風高速」、「熱風低速」、「低溫高速」想要吹乾或造型，隨心所欲。*「折疊式機身」，收納好方便，旅遊也輕鬆帶著走!""")</f>
        <v>*KOIZUMI技術，易攜、便利、大風量。*三種風力模式，「熱風高速」、「熱風低速」、「低溫高速」想要吹乾或造型，隨心所欲。*「折疊式機身」，收納好方便，旅遊也輕鬆帶著走!"</v>
      </c>
    </row>
    <row r="140" spans="1:27" ht="19.5" customHeight="1">
      <c r="A140" s="12" t="str">
        <f ca="1">IFERROR(__xludf.DUMMYFUNCTION("""COMPUTED_VALUE"""),"生活家電")</f>
        <v>生活家電</v>
      </c>
      <c r="B140" s="12" t="str">
        <f ca="1">IFERROR(__xludf.DUMMYFUNCTION("""COMPUTED_VALUE"""),"可易")</f>
        <v>可易</v>
      </c>
      <c r="C140" s="12" t="str">
        <f ca="1">IFERROR(__xludf.DUMMYFUNCTION("""COMPUTED_VALUE"""),"KOIZUMI小泉成器")</f>
        <v>KOIZUMI小泉成器</v>
      </c>
      <c r="D140" s="12" t="str">
        <f ca="1">IFERROR(__xludf.DUMMYFUNCTION("""COMPUTED_VALUE"""),"KOIZUMI小泉成器_暴風級負離子吹風機_KHD-G895")</f>
        <v>KOIZUMI小泉成器_暴風級負離子吹風機_KHD-G895</v>
      </c>
      <c r="E140" s="12" t="str">
        <f ca="1">IFERROR(__xludf.DUMMYFUNCTION("""COMPUTED_VALUE"""),"KHD-G895")</f>
        <v>KHD-G895</v>
      </c>
      <c r="F140" s="12">
        <f ca="1">IFERROR(__xludf.DUMMYFUNCTION("""COMPUTED_VALUE"""),51075080)</f>
        <v>51075080</v>
      </c>
      <c r="G140" s="12" t="str">
        <f ca="1">IFERROR(__xludf.DUMMYFUNCTION("""COMPUTED_VALUE"""),"IGEM0861")</f>
        <v>IGEM0861</v>
      </c>
      <c r="H140" s="13">
        <f ca="1">IFERROR(__xludf.DUMMYFUNCTION("""COMPUTED_VALUE"""),3990)</f>
        <v>3990</v>
      </c>
      <c r="I140" s="14">
        <f ca="1">IFERROR(__xludf.DUMMYFUNCTION("""COMPUTED_VALUE"""),3199)</f>
        <v>3199</v>
      </c>
      <c r="J140" s="16">
        <f ca="1">IFERROR(__xludf.DUMMYFUNCTION("""COMPUTED_VALUE"""),45422)</f>
        <v>45422</v>
      </c>
      <c r="K140" s="12" t="str">
        <f ca="1">IFERROR(__xludf.DUMMYFUNCTION("""COMPUTED_VALUE"""),"短促")</f>
        <v>短促</v>
      </c>
      <c r="L140" s="12" t="str">
        <f ca="1">IFERROR(__xludf.DUMMYFUNCTION("""COMPUTED_VALUE"""),"上架中")</f>
        <v>上架中</v>
      </c>
      <c r="M140" s="12" t="str">
        <f ca="1">IFERROR(__xludf.DUMMYFUNCTION("""COMPUTED_VALUE"""),"2024/5/10短促")</f>
        <v>2024/5/10短促</v>
      </c>
      <c r="N140" s="12" t="str">
        <f ca="1">IFERROR(__xludf.DUMMYFUNCTION("""COMPUTED_VALUE"""),"吹風機/造型整髮器")</f>
        <v>吹風機/造型整髮器</v>
      </c>
      <c r="O140" s="12" t="str">
        <f ca="1">IFERROR(__xludf.DUMMYFUNCTION("""COMPUTED_VALUE"""),"藍")</f>
        <v>藍</v>
      </c>
      <c r="P140" s="12"/>
      <c r="Q140" s="12" t="str">
        <f ca="1">IFERROR(__xludf.DUMMYFUNCTION("""COMPUTED_VALUE"""),"高253x寬95x長280mm")</f>
        <v>高253x寬95x長280mm</v>
      </c>
      <c r="R140" s="12" t="str">
        <f ca="1">IFERROR(__xludf.DUMMYFUNCTION("""COMPUTED_VALUE"""),"中國")</f>
        <v>中國</v>
      </c>
      <c r="S140" s="12"/>
      <c r="T140" s="12"/>
      <c r="U140" s="12" t="str">
        <f ca="1">IFERROR(__xludf.DUMMYFUNCTION("""COMPUTED_VALUE"""),"1年")</f>
        <v>1年</v>
      </c>
      <c r="V140" s="12"/>
      <c r="W140" s="12"/>
      <c r="X140" s="12"/>
      <c r="Y140" s="12"/>
      <c r="Z140" s="14"/>
      <c r="AA140" s="15" t="str">
        <f ca="1">IFERROR(__xludf.DUMMYFUNCTION("""COMPUTED_VALUE"""),"*大液晶螢幕*2.4㎥/分 大風量*頭皮護理模式*4 段風速切換*5 處負離子出風*獨家清潔模式，機身不卡毛絮*獨家風嘴設計*冷熱風自動切換")</f>
        <v>*大液晶螢幕*2.4㎥/分 大風量*頭皮護理模式*4 段風速切換*5 處負離子出風*獨家清潔模式，機身不卡毛絮*獨家風嘴設計*冷熱風自動切換</v>
      </c>
    </row>
    <row r="141" spans="1:27" ht="19.5" customHeight="1">
      <c r="A141" s="12" t="str">
        <f ca="1">IFERROR(__xludf.DUMMYFUNCTION("""COMPUTED_VALUE"""),"生活家電")</f>
        <v>生活家電</v>
      </c>
      <c r="B141" s="12" t="str">
        <f ca="1">IFERROR(__xludf.DUMMYFUNCTION("""COMPUTED_VALUE"""),"可易")</f>
        <v>可易</v>
      </c>
      <c r="C141" s="12" t="str">
        <f ca="1">IFERROR(__xludf.DUMMYFUNCTION("""COMPUTED_VALUE"""),"KOIZUMI小泉成器")</f>
        <v>KOIZUMI小泉成器</v>
      </c>
      <c r="D141" s="12" t="str">
        <f ca="1">IFERROR(__xludf.DUMMYFUNCTION("""COMPUTED_VALUE"""),"日本KOIZUMI 10吋復古電風扇 (藍白款)KLF-G035-AE")</f>
        <v>日本KOIZUMI 10吋復古電風扇 (藍白款)KLF-G035-AE</v>
      </c>
      <c r="E141" s="12" t="str">
        <f ca="1">IFERROR(__xludf.DUMMYFUNCTION("""COMPUTED_VALUE"""),"KLF-G035-AE")</f>
        <v>KLF-G035-AE</v>
      </c>
      <c r="F141" s="12">
        <f ca="1">IFERROR(__xludf.DUMMYFUNCTION("""COMPUTED_VALUE"""),51075092)</f>
        <v>51075092</v>
      </c>
      <c r="G141" s="12" t="str">
        <f ca="1">IFERROR(__xludf.DUMMYFUNCTION("""COMPUTED_VALUE"""),"IGEM1054")</f>
        <v>IGEM1054</v>
      </c>
      <c r="H141" s="13">
        <f ca="1">IFERROR(__xludf.DUMMYFUNCTION("""COMPUTED_VALUE"""),5990)</f>
        <v>5990</v>
      </c>
      <c r="I141" s="14">
        <f ca="1">IFERROR(__xludf.DUMMYFUNCTION("""COMPUTED_VALUE"""),2290)</f>
        <v>2290</v>
      </c>
      <c r="J141" s="16">
        <f ca="1">IFERROR(__xludf.DUMMYFUNCTION("""COMPUTED_VALUE"""),45497)</f>
        <v>45497</v>
      </c>
      <c r="K141" s="12" t="str">
        <f ca="1">IFERROR(__xludf.DUMMYFUNCTION("""COMPUTED_VALUE"""),"新機上架")</f>
        <v>新機上架</v>
      </c>
      <c r="L141" s="12" t="str">
        <f ca="1">IFERROR(__xludf.DUMMYFUNCTION("""COMPUTED_VALUE"""),"上架中")</f>
        <v>上架中</v>
      </c>
      <c r="M141" s="12" t="str">
        <f ca="1">IFERROR(__xludf.DUMMYFUNCTION("""COMPUTED_VALUE"""),"2024/7/24新機上市")</f>
        <v>2024/7/24新機上市</v>
      </c>
      <c r="N141" s="12" t="str">
        <f ca="1">IFERROR(__xludf.DUMMYFUNCTION("""COMPUTED_VALUE"""),"風扇")</f>
        <v>風扇</v>
      </c>
      <c r="O141" s="12" t="str">
        <f ca="1">IFERROR(__xludf.DUMMYFUNCTION("""COMPUTED_VALUE"""),"藍白色")</f>
        <v>藍白色</v>
      </c>
      <c r="P141" s="12" t="str">
        <f ca="1">IFERROR(__xludf.DUMMYFUNCTION("""COMPUTED_VALUE"""),"*扇葉尺寸：10吋
*風量段數：三段(強/中/弱)
*額定電源：AC110V / 60Hz
*額定功率：33W±3W
*電線長度：1.8m
*尺寸：25.2*21.2*41.2cm
*材質：
- 馬達前殼/後殼/腳台/扇葉:PP 塑膠
- 按鍵:ABS樹脂材質
- 前網/後網:SGCC(鍍鋅鋼板)/鐵線
- 旋鈕:ABS樹脂材質
*重量：2.1kg
*產地：日本設計/中國製造          
*BSMI許可字號:R3B770")</f>
        <v>*扇葉尺寸：10吋
*風量段數：三段(強/中/弱)
*額定電源：AC110V / 60Hz
*額定功率：33W±3W
*電線長度：1.8m
*尺寸：25.2*21.2*41.2cm
*材質：
- 馬達前殼/後殼/腳台/扇葉:PP 塑膠
- 按鍵:ABS樹脂材質
- 前網/後網:SGCC(鍍鋅鋼板)/鐵線
- 旋鈕:ABS樹脂材質
*重量：2.1kg
*產地：日本設計/中國製造          
*BSMI許可字號:R3B770</v>
      </c>
      <c r="Q141" s="12" t="str">
        <f ca="1">IFERROR(__xludf.DUMMYFUNCTION("""COMPUTED_VALUE"""),"252*212*412mm")</f>
        <v>252*212*412mm</v>
      </c>
      <c r="R141" s="12" t="str">
        <f ca="1">IFERROR(__xludf.DUMMYFUNCTION("""COMPUTED_VALUE"""),"中國")</f>
        <v>中國</v>
      </c>
      <c r="S141" s="12" t="str">
        <f ca="1">IFERROR(__xludf.DUMMYFUNCTION("""COMPUTED_VALUE"""),"無")</f>
        <v>無</v>
      </c>
      <c r="T141" s="12" t="str">
        <f ca="1">IFERROR(__xludf.DUMMYFUNCTION("""COMPUTED_VALUE"""),"無")</f>
        <v>無</v>
      </c>
      <c r="U141" s="12" t="str">
        <f ca="1">IFERROR(__xludf.DUMMYFUNCTION("""COMPUTED_VALUE"""),"馬達 2 年保固")</f>
        <v>馬達 2 年保固</v>
      </c>
      <c r="V141" s="12" t="str">
        <f ca="1">IFERROR(__xludf.DUMMYFUNCTION("""COMPUTED_VALUE"""),"馬達 2 年保固")</f>
        <v>馬達 2 年保固</v>
      </c>
      <c r="W141" s="12"/>
      <c r="X141" s="12"/>
      <c r="Y141" s="12"/>
      <c r="Z141" s="14"/>
      <c r="AA141" s="15" t="str">
        <f ca="1">IFERROR(__xludf.DUMMYFUNCTION("""COMPUTED_VALUE"""),"*昭和經典配色，百搭好看*復古按鍵，操作直覺*三段風量，暖冷自知*定時旋鈕，聰明省電*配件可拆，清潔方便*馬達2年保固最安心
")</f>
        <v xml:space="preserve">*昭和經典配色，百搭好看*復古按鍵，操作直覺*三段風量，暖冷自知*定時旋鈕，聰明省電*配件可拆，清潔方便*馬達2年保固最安心
</v>
      </c>
    </row>
    <row r="142" spans="1:27" ht="19.5" customHeight="1">
      <c r="A142" s="12" t="str">
        <f ca="1">IFERROR(__xludf.DUMMYFUNCTION("""COMPUTED_VALUE"""),"生活家電")</f>
        <v>生活家電</v>
      </c>
      <c r="B142" s="12" t="str">
        <f ca="1">IFERROR(__xludf.DUMMYFUNCTION("""COMPUTED_VALUE"""),"可易")</f>
        <v>可易</v>
      </c>
      <c r="C142" s="12" t="str">
        <f ca="1">IFERROR(__xludf.DUMMYFUNCTION("""COMPUTED_VALUE"""),"KOIZUMI小泉成器")</f>
        <v>KOIZUMI小泉成器</v>
      </c>
      <c r="D142" s="12" t="str">
        <f ca="1">IFERROR(__xludf.DUMMYFUNCTION("""COMPUTED_VALUE"""),"日本KOIZUMI 10吋復古電風扇 (綠白款)KLF-G035-GE")</f>
        <v>日本KOIZUMI 10吋復古電風扇 (綠白款)KLF-G035-GE</v>
      </c>
      <c r="E142" s="12" t="str">
        <f ca="1">IFERROR(__xludf.DUMMYFUNCTION("""COMPUTED_VALUE"""),"KLF-G035-GE")</f>
        <v>KLF-G035-GE</v>
      </c>
      <c r="F142" s="12">
        <f ca="1">IFERROR(__xludf.DUMMYFUNCTION("""COMPUTED_VALUE"""),51075093)</f>
        <v>51075093</v>
      </c>
      <c r="G142" s="12" t="str">
        <f ca="1">IFERROR(__xludf.DUMMYFUNCTION("""COMPUTED_VALUE"""),"IGEM1055")</f>
        <v>IGEM1055</v>
      </c>
      <c r="H142" s="13">
        <f ca="1">IFERROR(__xludf.DUMMYFUNCTION("""COMPUTED_VALUE"""),5990)</f>
        <v>5990</v>
      </c>
      <c r="I142" s="14">
        <f ca="1">IFERROR(__xludf.DUMMYFUNCTION("""COMPUTED_VALUE"""),2290)</f>
        <v>2290</v>
      </c>
      <c r="J142" s="16">
        <f ca="1">IFERROR(__xludf.DUMMYFUNCTION("""COMPUTED_VALUE"""),45497)</f>
        <v>45497</v>
      </c>
      <c r="K142" s="12" t="str">
        <f ca="1">IFERROR(__xludf.DUMMYFUNCTION("""COMPUTED_VALUE"""),"新機上架")</f>
        <v>新機上架</v>
      </c>
      <c r="L142" s="12" t="str">
        <f ca="1">IFERROR(__xludf.DUMMYFUNCTION("""COMPUTED_VALUE"""),"上架中")</f>
        <v>上架中</v>
      </c>
      <c r="M142" s="12" t="str">
        <f ca="1">IFERROR(__xludf.DUMMYFUNCTION("""COMPUTED_VALUE"""),"2024/7/24新機上市")</f>
        <v>2024/7/24新機上市</v>
      </c>
      <c r="N142" s="12" t="str">
        <f ca="1">IFERROR(__xludf.DUMMYFUNCTION("""COMPUTED_VALUE"""),"風扇")</f>
        <v>風扇</v>
      </c>
      <c r="O142" s="12" t="str">
        <f ca="1">IFERROR(__xludf.DUMMYFUNCTION("""COMPUTED_VALUE"""),"綠白色")</f>
        <v>綠白色</v>
      </c>
      <c r="P142" s="12" t="str">
        <f ca="1">IFERROR(__xludf.DUMMYFUNCTION("""COMPUTED_VALUE"""),"*尺寸：25.2*21.2*41.2cm
*材質：
- 馬達前殼/後殼/腳台/扇葉:PP 塑膠
- 按鍵:ABS樹脂材質
- 前網/後網:SGCC(鍍鋅鋼板)/鐵線
- 旋鈕:ABS樹脂材質
*重量：2.1kg
*產地：日本設計/中國製造              
*BSMI許可字號:R3B770")</f>
        <v>*尺寸：25.2*21.2*41.2cm
*材質：
- 馬達前殼/後殼/腳台/扇葉:PP 塑膠
- 按鍵:ABS樹脂材質
- 前網/後網:SGCC(鍍鋅鋼板)/鐵線
- 旋鈕:ABS樹脂材質
*重量：2.1kg
*產地：日本設計/中國製造              
*BSMI許可字號:R3B770</v>
      </c>
      <c r="Q142" s="12" t="str">
        <f ca="1">IFERROR(__xludf.DUMMYFUNCTION("""COMPUTED_VALUE"""),"252*212*412mm")</f>
        <v>252*212*412mm</v>
      </c>
      <c r="R142" s="12" t="str">
        <f ca="1">IFERROR(__xludf.DUMMYFUNCTION("""COMPUTED_VALUE"""),"中國")</f>
        <v>中國</v>
      </c>
      <c r="S142" s="12" t="str">
        <f ca="1">IFERROR(__xludf.DUMMYFUNCTION("""COMPUTED_VALUE"""),"無")</f>
        <v>無</v>
      </c>
      <c r="T142" s="12" t="str">
        <f ca="1">IFERROR(__xludf.DUMMYFUNCTION("""COMPUTED_VALUE"""),"無")</f>
        <v>無</v>
      </c>
      <c r="U142" s="12" t="str">
        <f ca="1">IFERROR(__xludf.DUMMYFUNCTION("""COMPUTED_VALUE"""),"馬達 2 年保固")</f>
        <v>馬達 2 年保固</v>
      </c>
      <c r="V142" s="12" t="str">
        <f ca="1">IFERROR(__xludf.DUMMYFUNCTION("""COMPUTED_VALUE"""),"馬達 2 年保固")</f>
        <v>馬達 2 年保固</v>
      </c>
      <c r="W142" s="12"/>
      <c r="X142" s="12"/>
      <c r="Y142" s="12"/>
      <c r="Z142" s="14"/>
      <c r="AA142" s="15" t="str">
        <f ca="1">IFERROR(__xludf.DUMMYFUNCTION("""COMPUTED_VALUE"""),"*昭和經典配色，百搭好看*復古按鍵，操作直覺*三段風量，暖冷自知*定時旋鈕，聰明省電*配件可拆，清潔方便*馬達2年保固最安心
")</f>
        <v xml:space="preserve">*昭和經典配色，百搭好看*復古按鍵，操作直覺*三段風量，暖冷自知*定時旋鈕，聰明省電*配件可拆，清潔方便*馬達2年保固最安心
</v>
      </c>
    </row>
    <row r="143" spans="1:27" ht="19.5" customHeight="1">
      <c r="A143" s="12" t="str">
        <f ca="1">IFERROR(__xludf.DUMMYFUNCTION("""COMPUTED_VALUE"""),"生活家電")</f>
        <v>生活家電</v>
      </c>
      <c r="B143" s="12" t="str">
        <f ca="1">IFERROR(__xludf.DUMMYFUNCTION("""COMPUTED_VALUE"""),"可易")</f>
        <v>可易</v>
      </c>
      <c r="C143" s="12" t="str">
        <f ca="1">IFERROR(__xludf.DUMMYFUNCTION("""COMPUTED_VALUE"""),"KOIZUMI小泉成器")</f>
        <v>KOIZUMI小泉成器</v>
      </c>
      <c r="D143" s="12" t="str">
        <f ca="1">IFERROR(__xludf.DUMMYFUNCTION("""COMPUTED_VALUE"""),"日本KOIZUMI 12吋復古電風扇 (藍白款)KLF-G285")</f>
        <v>日本KOIZUMI 12吋復古電風扇 (藍白款)KLF-G285</v>
      </c>
      <c r="E143" s="12" t="str">
        <f ca="1">IFERROR(__xludf.DUMMYFUNCTION("""COMPUTED_VALUE"""),"KLF-G285")</f>
        <v>KLF-G285</v>
      </c>
      <c r="F143" s="12">
        <f ca="1">IFERROR(__xludf.DUMMYFUNCTION("""COMPUTED_VALUE"""),51075094)</f>
        <v>51075094</v>
      </c>
      <c r="G143" s="12" t="str">
        <f ca="1">IFERROR(__xludf.DUMMYFUNCTION("""COMPUTED_VALUE"""),"IGEM1056")</f>
        <v>IGEM1056</v>
      </c>
      <c r="H143" s="13">
        <f ca="1">IFERROR(__xludf.DUMMYFUNCTION("""COMPUTED_VALUE"""),7999)</f>
        <v>7999</v>
      </c>
      <c r="I143" s="14">
        <f ca="1">IFERROR(__xludf.DUMMYFUNCTION("""COMPUTED_VALUE"""),3290)</f>
        <v>3290</v>
      </c>
      <c r="J143" s="16">
        <f ca="1">IFERROR(__xludf.DUMMYFUNCTION("""COMPUTED_VALUE"""),45497)</f>
        <v>45497</v>
      </c>
      <c r="K143" s="12" t="str">
        <f ca="1">IFERROR(__xludf.DUMMYFUNCTION("""COMPUTED_VALUE"""),"新機上架")</f>
        <v>新機上架</v>
      </c>
      <c r="L143" s="12" t="str">
        <f ca="1">IFERROR(__xludf.DUMMYFUNCTION("""COMPUTED_VALUE"""),"上架中")</f>
        <v>上架中</v>
      </c>
      <c r="M143" s="12" t="str">
        <f ca="1">IFERROR(__xludf.DUMMYFUNCTION("""COMPUTED_VALUE"""),"2024/7/24新機上市")</f>
        <v>2024/7/24新機上市</v>
      </c>
      <c r="N143" s="12" t="str">
        <f ca="1">IFERROR(__xludf.DUMMYFUNCTION("""COMPUTED_VALUE"""),"風扇")</f>
        <v>風扇</v>
      </c>
      <c r="O143" s="12" t="str">
        <f ca="1">IFERROR(__xludf.DUMMYFUNCTION("""COMPUTED_VALUE"""),"藍白色")</f>
        <v>藍白色</v>
      </c>
      <c r="P143" s="12" t="str">
        <f ca="1">IFERROR(__xludf.DUMMYFUNCTION("""COMPUTED_VALUE"""),"*扇葉尺寸：12吋
*風量段數：三段(強/中/弱)
*額定電源：AC110V / 60Hz
*額定功率：32W
*電線長度：1.6m
*尺寸：35*25*85.4cm
材質：
- 馬達前殼/後殼/腳台/扇葉:PP 塑膠
- 按鍵:ABS樹脂材質
- 前網/後網:SGCC(鍍鋅鋼板)/鐵線
- 旋鈕:ABS樹脂材質
*重量：3.7kg
*產地：日本設計/中國製造")</f>
        <v>*扇葉尺寸：12吋
*風量段數：三段(強/中/弱)
*額定電源：AC110V / 60Hz
*額定功率：32W
*電線長度：1.6m
*尺寸：35*25*85.4cm
材質：
- 馬達前殼/後殼/腳台/扇葉:PP 塑膠
- 按鍵:ABS樹脂材質
- 前網/後網:SGCC(鍍鋅鋼板)/鐵線
- 旋鈕:ABS樹脂材質
*重量：3.7kg
*產地：日本設計/中國製造</v>
      </c>
      <c r="Q143" s="12" t="str">
        <f ca="1">IFERROR(__xludf.DUMMYFUNCTION("""COMPUTED_VALUE"""),"350*250*854mm
高度可做調整，可調整高度約70-85cm")</f>
        <v>350*250*854mm
高度可做調整，可調整高度約70-85cm</v>
      </c>
      <c r="R143" s="12" t="str">
        <f ca="1">IFERROR(__xludf.DUMMYFUNCTION("""COMPUTED_VALUE"""),"中國")</f>
        <v>中國</v>
      </c>
      <c r="S143" s="12" t="str">
        <f ca="1">IFERROR(__xludf.DUMMYFUNCTION("""COMPUTED_VALUE"""),"無")</f>
        <v>無</v>
      </c>
      <c r="T143" s="12" t="str">
        <f ca="1">IFERROR(__xludf.DUMMYFUNCTION("""COMPUTED_VALUE"""),"無")</f>
        <v>無</v>
      </c>
      <c r="U143" s="12" t="str">
        <f ca="1">IFERROR(__xludf.DUMMYFUNCTION("""COMPUTED_VALUE"""),"馬達 2 年保固")</f>
        <v>馬達 2 年保固</v>
      </c>
      <c r="V143" s="12" t="str">
        <f ca="1">IFERROR(__xludf.DUMMYFUNCTION("""COMPUTED_VALUE"""),"馬達 2 年保固")</f>
        <v>馬達 2 年保固</v>
      </c>
      <c r="W143" s="12"/>
      <c r="X143" s="12"/>
      <c r="Y143" s="12"/>
      <c r="Z143" s="14"/>
      <c r="AA143" s="15" t="str">
        <f ca="1">IFERROR(__xludf.DUMMYFUNCTION("""COMPUTED_VALUE"""),"*昭和經典配色，百搭好看*復古按鍵，操作直覺*三段風量，暖冷自知*定時旋鈕，聰明省電*配件可拆，清潔方便*馬達2年保固最安心
")</f>
        <v xml:space="preserve">*昭和經典配色，百搭好看*復古按鍵，操作直覺*三段風量，暖冷自知*定時旋鈕，聰明省電*配件可拆，清潔方便*馬達2年保固最安心
</v>
      </c>
    </row>
    <row r="144" spans="1:27" ht="19.5" customHeight="1">
      <c r="A144" s="12" t="str">
        <f ca="1">IFERROR(__xludf.DUMMYFUNCTION("""COMPUTED_VALUE"""),"生活家電")</f>
        <v>生活家電</v>
      </c>
      <c r="B144" s="12" t="str">
        <f ca="1">IFERROR(__xludf.DUMMYFUNCTION("""COMPUTED_VALUE"""),"可易")</f>
        <v>可易</v>
      </c>
      <c r="C144" s="12" t="str">
        <f ca="1">IFERROR(__xludf.DUMMYFUNCTION("""COMPUTED_VALUE"""),"IRIS")</f>
        <v>IRIS</v>
      </c>
      <c r="D144" s="12" t="str">
        <f ca="1">IFERROR(__xludf.DUMMYFUNCTION("""COMPUTED_VALUE"""),"IRIS_大拍4.0-雙氣旋偵測除蟎清淨機HEPA13銀離子限定版_IC-FAC3")</f>
        <v>IRIS_大拍4.0-雙氣旋偵測除蟎清淨機HEPA13銀離子限定版_IC-FAC3</v>
      </c>
      <c r="E144" s="12" t="str">
        <f ca="1">IFERROR(__xludf.DUMMYFUNCTION("""COMPUTED_VALUE"""),"IC-FAC3")</f>
        <v>IC-FAC3</v>
      </c>
      <c r="F144" s="12">
        <f ca="1">IFERROR(__xludf.DUMMYFUNCTION("""COMPUTED_VALUE"""),51075026)</f>
        <v>51075026</v>
      </c>
      <c r="G144" s="12" t="str">
        <f ca="1">IFERROR(__xludf.DUMMYFUNCTION("""COMPUTED_VALUE"""),"IGEM021V")</f>
        <v>IGEM021V</v>
      </c>
      <c r="H144" s="12">
        <f ca="1">IFERROR(__xludf.DUMMYFUNCTION("""COMPUTED_VALUE"""),4590)</f>
        <v>4590</v>
      </c>
      <c r="I144" s="14">
        <f ca="1">IFERROR(__xludf.DUMMYFUNCTION("""COMPUTED_VALUE"""),2690)</f>
        <v>2690</v>
      </c>
      <c r="J144" s="16">
        <f ca="1">IFERROR(__xludf.DUMMYFUNCTION("""COMPUTED_VALUE"""),45695)</f>
        <v>45695</v>
      </c>
      <c r="K144" s="12" t="str">
        <f ca="1">IFERROR(__xludf.DUMMYFUNCTION("""COMPUTED_VALUE"""),"缺貨")</f>
        <v>缺貨</v>
      </c>
      <c r="L144" s="12" t="str">
        <f ca="1">IFERROR(__xludf.DUMMYFUNCTION("""COMPUTED_VALUE"""),"缺貨")</f>
        <v>缺貨</v>
      </c>
      <c r="M144" s="12" t="str">
        <f ca="1">IFERROR(__xludf.DUMMYFUNCTION("""COMPUTED_VALUE"""),"2025/2/7缺貨，3/13到貨，1/23缺貨，12/21到貨，12/5缺貨，10/18到貨，8/4缺貨，7/1短促，6/16短促，2021/8/1短促")</f>
        <v>2025/2/7缺貨，3/13到貨，1/23缺貨，12/21到貨，12/5缺貨，10/18到貨，8/4缺貨，7/1短促，6/16短促，2021/8/1短促</v>
      </c>
      <c r="N144" s="12" t="str">
        <f ca="1">IFERROR(__xludf.DUMMYFUNCTION("""COMPUTED_VALUE"""),"除蹣機")</f>
        <v>除蹣機</v>
      </c>
      <c r="O144" s="12" t="str">
        <f ca="1">IFERROR(__xludf.DUMMYFUNCTION("""COMPUTED_VALUE"""),"白色+金屬粉")</f>
        <v>白色+金屬粉</v>
      </c>
      <c r="P144" s="12"/>
      <c r="Q144" s="12" t="str">
        <f ca="1">IFERROR(__xludf.DUMMYFUNCTION("""COMPUTED_VALUE"""),"高212*寬459*長250mm")</f>
        <v>高212*寬459*長250mm</v>
      </c>
      <c r="R144" s="12" t="str">
        <f ca="1">IFERROR(__xludf.DUMMYFUNCTION("""COMPUTED_VALUE"""),"中國")</f>
        <v>中國</v>
      </c>
      <c r="S144" s="12"/>
      <c r="T144" s="12"/>
      <c r="U144" s="12" t="str">
        <f ca="1">IFERROR(__xludf.DUMMYFUNCTION("""COMPUTED_VALUE"""),"1年")</f>
        <v>1年</v>
      </c>
      <c r="V144" s="12" t="str">
        <f ca="1">IFERROR(__xludf.DUMMYFUNCTION("""COMPUTED_VALUE"""),"1年")</f>
        <v>1年</v>
      </c>
      <c r="W144" s="12"/>
      <c r="X144" s="12"/>
      <c r="Y144" s="12"/>
      <c r="Z144" s="14"/>
      <c r="AA144" s="15" t="str">
        <f ca="1">IFERROR(__xludf.DUMMYFUNCTION("""COMPUTED_VALUE"""),"*智能塵蹣感應器，可根據燈號判斷潔淨程度。*超輕量設計，僅1.6KG，操作輕鬆。*市場最寬拍打神器20cm，每分鐘""7000""次震動。*配備銀離子濾網，抗菌除臭。")</f>
        <v>*智能塵蹣感應器，可根據燈號判斷潔淨程度。*超輕量設計，僅1.6KG，操作輕鬆。*市場最寬拍打神器20cm，每分鐘"7000"次震動。*配備銀離子濾網，抗菌除臭。</v>
      </c>
    </row>
    <row r="145" spans="1:27" ht="19.5" customHeight="1">
      <c r="A145" s="12" t="str">
        <f ca="1">IFERROR(__xludf.DUMMYFUNCTION("""COMPUTED_VALUE"""),"生活家電")</f>
        <v>生活家電</v>
      </c>
      <c r="B145" s="12" t="str">
        <f ca="1">IFERROR(__xludf.DUMMYFUNCTION("""COMPUTED_VALUE"""),"可易")</f>
        <v>可易</v>
      </c>
      <c r="C145" s="12" t="str">
        <f ca="1">IFERROR(__xludf.DUMMYFUNCTION("""COMPUTED_VALUE"""),"IRIS")</f>
        <v>IRIS</v>
      </c>
      <c r="D145" s="12" t="str">
        <f ca="1">IFERROR(__xludf.DUMMYFUNCTION("""COMPUTED_VALUE"""),"IRIS_大拍5.0-雙氣旋偵測除蟎清淨機HEPA13銀離子限定版(粉)_IC-FAC4")</f>
        <v>IRIS_大拍5.0-雙氣旋偵測除蟎清淨機HEPA13銀離子限定版(粉)_IC-FAC4</v>
      </c>
      <c r="E145" s="12" t="str">
        <f ca="1">IFERROR(__xludf.DUMMYFUNCTION("""COMPUTED_VALUE"""),"IC-FAC4")</f>
        <v>IC-FAC4</v>
      </c>
      <c r="F145" s="12">
        <f ca="1">IFERROR(__xludf.DUMMYFUNCTION("""COMPUTED_VALUE"""),51075027)</f>
        <v>51075027</v>
      </c>
      <c r="G145" s="12" t="str">
        <f ca="1">IFERROR(__xludf.DUMMYFUNCTION("""COMPUTED_VALUE"""),"IGEM021W")</f>
        <v>IGEM021W</v>
      </c>
      <c r="H145" s="12">
        <f ca="1">IFERROR(__xludf.DUMMYFUNCTION("""COMPUTED_VALUE"""),4990)</f>
        <v>4990</v>
      </c>
      <c r="I145" s="14">
        <f ca="1">IFERROR(__xludf.DUMMYFUNCTION("""COMPUTED_VALUE"""),3690)</f>
        <v>3690</v>
      </c>
      <c r="J145" s="16">
        <f ca="1">IFERROR(__xludf.DUMMYFUNCTION("""COMPUTED_VALUE"""),45471)</f>
        <v>45471</v>
      </c>
      <c r="K145" s="12" t="str">
        <f ca="1">IFERROR(__xludf.DUMMYFUNCTION("""COMPUTED_VALUE"""),"到貨")</f>
        <v>到貨</v>
      </c>
      <c r="L145" s="12" t="str">
        <f ca="1">IFERROR(__xludf.DUMMYFUNCTION("""COMPUTED_VALUE"""),"上架中")</f>
        <v>上架中</v>
      </c>
      <c r="M145" s="12" t="str">
        <f ca="1">IFERROR(__xludf.DUMMYFUNCTION("""COMPUTED_VALUE"""),"6/28到貨，3/18缺貨，11/14到貨，10/23缺貨，8/11上架")</f>
        <v>6/28到貨，3/18缺貨，11/14到貨，10/23缺貨，8/11上架</v>
      </c>
      <c r="N145" s="12" t="str">
        <f ca="1">IFERROR(__xludf.DUMMYFUNCTION("""COMPUTED_VALUE"""),"除蹣機")</f>
        <v>除蹣機</v>
      </c>
      <c r="O145" s="12" t="str">
        <f ca="1">IFERROR(__xludf.DUMMYFUNCTION("""COMPUTED_VALUE"""),"白色+玫瑰金")</f>
        <v>白色+玫瑰金</v>
      </c>
      <c r="P145" s="12"/>
      <c r="Q145" s="12" t="str">
        <f ca="1">IFERROR(__xludf.DUMMYFUNCTION("""COMPUTED_VALUE"""),"高420*寬167*長300mm")</f>
        <v>高420*寬167*長300mm</v>
      </c>
      <c r="R145" s="12" t="str">
        <f ca="1">IFERROR(__xludf.DUMMYFUNCTION("""COMPUTED_VALUE"""),"中國")</f>
        <v>中國</v>
      </c>
      <c r="S145" s="12"/>
      <c r="T145" s="12"/>
      <c r="U145" s="12" t="str">
        <f ca="1">IFERROR(__xludf.DUMMYFUNCTION("""COMPUTED_VALUE"""),"1年")</f>
        <v>1年</v>
      </c>
      <c r="V145" s="12" t="str">
        <f ca="1">IFERROR(__xludf.DUMMYFUNCTION("""COMPUTED_VALUE"""),"1年")</f>
        <v>1年</v>
      </c>
      <c r="W145" s="12"/>
      <c r="X145" s="12"/>
      <c r="Y145" s="12"/>
      <c r="Z145" s="14"/>
      <c r="AA145" s="15" t="str">
        <f ca="1">IFERROR(__xludf.DUMMYFUNCTION("""COMPUTED_VALUE"""),"*智能塵蹣感應器，可根據燈號判斷潔淨程度。*搭載高速強力旋轉刷頭*市場最寬拍打神器30cm，拍打次數大幅提升每分鐘14000次震動。*簡易操作按鈕*主機內已裝入集塵盒*1、大顆粒過濾袋*1、FAC4專用HEPA13濾網*1另外贈送:大顆粒過濾袋24入")</f>
        <v>*智能塵蹣感應器，可根據燈號判斷潔淨程度。*搭載高速強力旋轉刷頭*市場最寬拍打神器30cm，拍打次數大幅提升每分鐘14000次震動。*簡易操作按鈕*主機內已裝入集塵盒*1、大顆粒過濾袋*1、FAC4專用HEPA13濾網*1另外贈送:大顆粒過濾袋24入</v>
      </c>
    </row>
    <row r="146" spans="1:27" ht="19.5" customHeight="1">
      <c r="A146" s="12" t="str">
        <f ca="1">IFERROR(__xludf.DUMMYFUNCTION("""COMPUTED_VALUE"""),"生活家電")</f>
        <v>生活家電</v>
      </c>
      <c r="B146" s="12" t="str">
        <f ca="1">IFERROR(__xludf.DUMMYFUNCTION("""COMPUTED_VALUE"""),"大同")</f>
        <v>大同</v>
      </c>
      <c r="C146" s="12" t="str">
        <f ca="1">IFERROR(__xludf.DUMMYFUNCTION("""COMPUTED_VALUE"""),"PANASONIC")</f>
        <v>PANASONIC</v>
      </c>
      <c r="D146" s="12" t="str">
        <f ca="1">IFERROR(__xludf.DUMMYFUNCTION("""COMPUTED_VALUE"""),"PANASONIC日本製三枚刃電動刮鬍刀(黑)ES-LT2B-K")</f>
        <v>PANASONIC日本製三枚刃電動刮鬍刀(黑)ES-LT2B-K</v>
      </c>
      <c r="E146" s="12" t="str">
        <f ca="1">IFERROR(__xludf.DUMMYFUNCTION("""COMPUTED_VALUE"""),"ES-LT2B-K")</f>
        <v>ES-LT2B-K</v>
      </c>
      <c r="F146" s="12">
        <f ca="1">IFERROR(__xludf.DUMMYFUNCTION("""COMPUTED_VALUE"""),51081340)</f>
        <v>51081340</v>
      </c>
      <c r="G146" s="12" t="str">
        <f ca="1">IFERROR(__xludf.DUMMYFUNCTION("""COMPUTED_VALUE"""),"IGEM0863")</f>
        <v>IGEM0863</v>
      </c>
      <c r="H146" s="13">
        <f ca="1">IFERROR(__xludf.DUMMYFUNCTION("""COMPUTED_VALUE"""),3988)</f>
        <v>3988</v>
      </c>
      <c r="I146" s="14">
        <f ca="1">IFERROR(__xludf.DUMMYFUNCTION("""COMPUTED_VALUE"""),3288)</f>
        <v>3288</v>
      </c>
      <c r="J146" s="16">
        <f ca="1">IFERROR(__xludf.DUMMYFUNCTION("""COMPUTED_VALUE"""),45627)</f>
        <v>45627</v>
      </c>
      <c r="K146" s="12" t="str">
        <f ca="1">IFERROR(__xludf.DUMMYFUNCTION("""COMPUTED_VALUE"""),"短促")</f>
        <v>短促</v>
      </c>
      <c r="L146" s="12" t="str">
        <f ca="1">IFERROR(__xludf.DUMMYFUNCTION("""COMPUTED_VALUE"""),"上架中")</f>
        <v>上架中</v>
      </c>
      <c r="M146" s="12" t="str">
        <f ca="1">IFERROR(__xludf.DUMMYFUNCTION("""COMPUTED_VALUE"""),"12/1短促，9/1回價，2024/8/1短促，7/13新機上架")</f>
        <v>12/1短促，9/1回價，2024/8/1短促，7/13新機上架</v>
      </c>
      <c r="N146" s="12" t="str">
        <f ca="1">IFERROR(__xludf.DUMMYFUNCTION("""COMPUTED_VALUE"""),"電動刮鬍刀")</f>
        <v>電動刮鬍刀</v>
      </c>
      <c r="O146" s="12" t="str">
        <f ca="1">IFERROR(__xludf.DUMMYFUNCTION("""COMPUTED_VALUE"""),"黑")</f>
        <v>黑</v>
      </c>
      <c r="P146" s="12"/>
      <c r="Q146" s="12" t="str">
        <f ca="1">IFERROR(__xludf.DUMMYFUNCTION("""COMPUTED_VALUE"""),"高155x寛640x500mm")</f>
        <v>高155x寛640x500mm</v>
      </c>
      <c r="R146" s="12" t="str">
        <f ca="1">IFERROR(__xludf.DUMMYFUNCTION("""COMPUTED_VALUE"""),"日本")</f>
        <v>日本</v>
      </c>
      <c r="S146" s="12" t="str">
        <f ca="1">IFERROR(__xludf.DUMMYFUNCTION("""COMPUTED_VALUE"""),"V")</f>
        <v>V</v>
      </c>
      <c r="T146" s="12"/>
      <c r="U146" s="12" t="str">
        <f ca="1">IFERROR(__xludf.DUMMYFUNCTION("""COMPUTED_VALUE"""),"1年")</f>
        <v>1年</v>
      </c>
      <c r="V146" s="12"/>
      <c r="W146" s="12"/>
      <c r="X146" s="12"/>
      <c r="Y146" s="12"/>
      <c r="Z146" s="14"/>
      <c r="AA146" s="15" t="str">
        <f ca="1">IFERROR(__xludf.DUMMYFUNCTION("""COMPUTED_VALUE"""),"*3個外葉片*自動清潔功能*身體圓形洗滌*洗澡剃須支撐*充電時間1小時*估計使用時間（每充電）42分鐘")</f>
        <v>*3個外葉片*自動清潔功能*身體圓形洗滌*洗澡剃須支撐*充電時間1小時*估計使用時間（每充電）42分鐘</v>
      </c>
    </row>
    <row r="147" spans="1:27" ht="19.5" customHeight="1">
      <c r="A147" s="12" t="str">
        <f ca="1">IFERROR(__xludf.DUMMYFUNCTION("""COMPUTED_VALUE"""),"生活家電")</f>
        <v>生活家電</v>
      </c>
      <c r="B147" s="12" t="str">
        <f ca="1">IFERROR(__xludf.DUMMYFUNCTION("""COMPUTED_VALUE"""),"順發")</f>
        <v>順發</v>
      </c>
      <c r="C147" s="12" t="str">
        <f ca="1">IFERROR(__xludf.DUMMYFUNCTION("""COMPUTED_VALUE"""),"ORAL-B")</f>
        <v>ORAL-B</v>
      </c>
      <c r="D147" s="12" t="str">
        <f ca="1">IFERROR(__xludf.DUMMYFUNCTION("""COMPUTED_VALUE"""),"ORAL-B_3D電動牙刷PRO3_798083")</f>
        <v>ORAL-B_3D電動牙刷PRO3_798083</v>
      </c>
      <c r="E147" s="12" t="str">
        <f ca="1">IFERROR(__xludf.DUMMYFUNCTION("""COMPUTED_VALUE"""),"PRO3")</f>
        <v>PRO3</v>
      </c>
      <c r="F147" s="12">
        <f ca="1">IFERROR(__xludf.DUMMYFUNCTION("""COMPUTED_VALUE"""),51095880)</f>
        <v>51095880</v>
      </c>
      <c r="G147" s="12" t="str">
        <f ca="1">IFERROR(__xludf.DUMMYFUNCTION("""COMPUTED_VALUE"""),"IGEM114I")</f>
        <v>IGEM114I</v>
      </c>
      <c r="H147" s="12">
        <f ca="1">IFERROR(__xludf.DUMMYFUNCTION("""COMPUTED_VALUE"""),4799)</f>
        <v>4799</v>
      </c>
      <c r="I147" s="14">
        <f ca="1">IFERROR(__xludf.DUMMYFUNCTION("""COMPUTED_VALUE"""),2490)</f>
        <v>2490</v>
      </c>
      <c r="J147" s="16">
        <f ca="1">IFERROR(__xludf.DUMMYFUNCTION("""COMPUTED_VALUE"""),45617)</f>
        <v>45617</v>
      </c>
      <c r="K147" s="12" t="str">
        <f ca="1">IFERROR(__xludf.DUMMYFUNCTION("""COMPUTED_VALUE"""),"新機上架")</f>
        <v>新機上架</v>
      </c>
      <c r="L147" s="12" t="str">
        <f ca="1">IFERROR(__xludf.DUMMYFUNCTION("""COMPUTED_VALUE"""),"上架中")</f>
        <v>上架中</v>
      </c>
      <c r="M147" s="12" t="str">
        <f ca="1">IFERROR(__xludf.DUMMYFUNCTION("""COMPUTED_VALUE"""),"2024/11/21新機上架")</f>
        <v>2024/11/21新機上架</v>
      </c>
      <c r="N147" s="12" t="str">
        <f ca="1">IFERROR(__xludf.DUMMYFUNCTION("""COMPUTED_VALUE"""),"電動牙刷/沖牙機")</f>
        <v>電動牙刷/沖牙機</v>
      </c>
      <c r="O147" s="12" t="str">
        <f ca="1">IFERROR(__xludf.DUMMYFUNCTION("""COMPUTED_VALUE"""),"經典藍")</f>
        <v>經典藍</v>
      </c>
      <c r="P147" s="12" t="str">
        <f ca="1">IFERROR(__xludf.DUMMYFUNCTION("""COMPUTED_VALUE"""),"內容物：
1. 牙刷主體
2. 充電座 
3. 超細毛護齦刷頭+顏色環
4. 說明書與保證書
●專案組合：EB20-8 彈性杯型刷頭 (8入)")</f>
        <v>內容物：
1. 牙刷主體
2. 充電座 
3. 超細毛護齦刷頭+顏色環
4. 說明書與保證書
●專案組合：EB20-8 彈性杯型刷頭 (8入)</v>
      </c>
      <c r="Q147" s="12" t="str">
        <f ca="1">IFERROR(__xludf.DUMMYFUNCTION("""COMPUTED_VALUE"""),"商品尺寸： H 240  W55 L125 mm
彩盒尺寸： H 258  W263 L368 mm
商品毛重：0.374kg")</f>
        <v>商品尺寸： H 240  W55 L125 mm
彩盒尺寸： H 258  W263 L368 mm
商品毛重：0.374kg</v>
      </c>
      <c r="R147" s="12" t="str">
        <f ca="1">IFERROR(__xludf.DUMMYFUNCTION("""COMPUTED_VALUE"""),"德國")</f>
        <v>德國</v>
      </c>
      <c r="S147" s="12"/>
      <c r="T147" s="12"/>
      <c r="U147" s="12" t="str">
        <f ca="1">IFERROR(__xludf.DUMMYFUNCTION("""COMPUTED_VALUE"""),"２年")</f>
        <v>２年</v>
      </c>
      <c r="V147" s="12"/>
      <c r="W147" s="12" t="str">
        <f ca="1">IFERROR(__xludf.DUMMYFUNCTION("""COMPUTED_VALUE"""),"隨貨送Oral-b刷頭(8入裝)
")</f>
        <v xml:space="preserve">隨貨送Oral-b刷頭(8入裝)
</v>
      </c>
      <c r="X147" s="12"/>
      <c r="Y147" s="12"/>
      <c r="Z147" s="14"/>
      <c r="AA147" s="15" t="str">
        <f ca="1">IFERROR(__xludf.DUMMYFUNCTION("""COMPUTED_VALUE"""),"*全球牙醫第一推薦牙刷品牌*獨特3D立體旋轉潔牙科技*日常清潔、敏感呵護，兩種潔牙模式*壓力控制器與360°壓力感應燈提醒，避免施力過重*2分鐘智慧計時器，每30秒提示完整清潔口腔四個區域。")</f>
        <v>*全球牙醫第一推薦牙刷品牌*獨特3D立體旋轉潔牙科技*日常清潔、敏感呵護，兩種潔牙模式*壓力控制器與360°壓力感應燈提醒，避免施力過重*2分鐘智慧計時器，每30秒提示完整清潔口腔四個區域。</v>
      </c>
    </row>
    <row r="148" spans="1:27" ht="19.5" customHeight="1">
      <c r="A148" s="12" t="str">
        <f ca="1">IFERROR(__xludf.DUMMYFUNCTION("""COMPUTED_VALUE"""),"生活家電")</f>
        <v>生活家電</v>
      </c>
      <c r="B148" s="12" t="str">
        <f ca="1">IFERROR(__xludf.DUMMYFUNCTION("""COMPUTED_VALUE"""),"順發")</f>
        <v>順發</v>
      </c>
      <c r="C148" s="12" t="str">
        <f ca="1">IFERROR(__xludf.DUMMYFUNCTION("""COMPUTED_VALUE"""),"嘉儀")</f>
        <v>嘉儀</v>
      </c>
      <c r="D148" s="12" t="str">
        <f ca="1">IFERROR(__xludf.DUMMYFUNCTION("""COMPUTED_VALUE"""),"嘉儀_陶瓷電暖器_779482_KEP-696")</f>
        <v>嘉儀_陶瓷電暖器_779482_KEP-696</v>
      </c>
      <c r="E148" s="12" t="str">
        <f ca="1">IFERROR(__xludf.DUMMYFUNCTION("""COMPUTED_VALUE"""),"KEP-696")</f>
        <v>KEP-696</v>
      </c>
      <c r="F148" s="12">
        <f ca="1">IFERROR(__xludf.DUMMYFUNCTION("""COMPUTED_VALUE"""),51095299)</f>
        <v>51095299</v>
      </c>
      <c r="G148" s="12" t="str">
        <f ca="1">IFERROR(__xludf.DUMMYFUNCTION("""COMPUTED_VALUE"""),"IGEM023D")</f>
        <v>IGEM023D</v>
      </c>
      <c r="H148" s="12">
        <f ca="1">IFERROR(__xludf.DUMMYFUNCTION("""COMPUTED_VALUE"""),3600)</f>
        <v>3600</v>
      </c>
      <c r="I148" s="14">
        <f ca="1">IFERROR(__xludf.DUMMYFUNCTION("""COMPUTED_VALUE"""),2880)</f>
        <v>2880</v>
      </c>
      <c r="J148" s="16">
        <f ca="1">IFERROR(__xludf.DUMMYFUNCTION("""COMPUTED_VALUE"""),45666)</f>
        <v>45666</v>
      </c>
      <c r="K148" s="12" t="str">
        <f ca="1">IFERROR(__xludf.DUMMYFUNCTION("""COMPUTED_VALUE"""),"上架中")</f>
        <v>上架中</v>
      </c>
      <c r="L148" s="12" t="str">
        <f ca="1">IFERROR(__xludf.DUMMYFUNCTION("""COMPUTED_VALUE"""),"上架中")</f>
        <v>上架中</v>
      </c>
      <c r="M148" s="12" t="str">
        <f ca="1">IFERROR(__xludf.DUMMYFUNCTION("""COMPUTED_VALUE"""),"1/9上架，2025/1/1缺貨，10/7季節性商品上架，4/8停售，2024/1/1回價，11/2到貨上架，季節性商品，4/12停售")</f>
        <v>1/9上架，2025/1/1缺貨，10/7季節性商品上架，4/8停售，2024/1/1回價，11/2到貨上架，季節性商品，4/12停售</v>
      </c>
      <c r="N148" s="12" t="str">
        <f ca="1">IFERROR(__xludf.DUMMYFUNCTION("""COMPUTED_VALUE"""),"電暖器")</f>
        <v>電暖器</v>
      </c>
      <c r="O148" s="12" t="str">
        <f ca="1">IFERROR(__xludf.DUMMYFUNCTION("""COMPUTED_VALUE"""),"黑")</f>
        <v>黑</v>
      </c>
      <c r="P148" s="12" t="str">
        <f ca="1">IFERROR(__xludf.DUMMYFUNCTION("""COMPUTED_VALUE"""),"電壓：110V/60Hz")</f>
        <v>電壓：110V/60Hz</v>
      </c>
      <c r="Q148" s="12" t="str">
        <f ca="1">IFERROR(__xludf.DUMMYFUNCTION("""COMPUTED_VALUE"""),"210x210x630mm")</f>
        <v>210x210x630mm</v>
      </c>
      <c r="R148" s="12" t="str">
        <f ca="1">IFERROR(__xludf.DUMMYFUNCTION("""COMPUTED_VALUE"""),"中國")</f>
        <v>中國</v>
      </c>
      <c r="S148" s="12"/>
      <c r="T148" s="12"/>
      <c r="U148" s="12" t="str">
        <f ca="1">IFERROR(__xludf.DUMMYFUNCTION("""COMPUTED_VALUE"""),"1年")</f>
        <v>1年</v>
      </c>
      <c r="V148" s="12"/>
      <c r="W148" s="12"/>
      <c r="X148" s="12"/>
      <c r="Y148" s="12"/>
      <c r="Z148" s="14"/>
      <c r="AA148" s="15" t="str">
        <f ca="1">IFERROR(__xludf.DUMMYFUNCTION("""COMPUTED_VALUE"""),"*PTC陶瓷發熱體。*LCD顯示屏+微電腦觸控按鍵*3檔選擇冷風/溫風(700W)/熱風(1300W)*電子溫度調控*7.5小時定時*過熱保護斷電安全裝置*防塵濾網*電源指示燈*擺頭功能*防傾倒開關")</f>
        <v>*PTC陶瓷發熱體。*LCD顯示屏+微電腦觸控按鍵*3檔選擇冷風/溫風(700W)/熱風(1300W)*電子溫度調控*7.5小時定時*過熱保護斷電安全裝置*防塵濾網*電源指示燈*擺頭功能*防傾倒開關</v>
      </c>
    </row>
    <row r="149" spans="1:27" ht="19.5" customHeight="1">
      <c r="A149" s="12" t="str">
        <f ca="1">IFERROR(__xludf.DUMMYFUNCTION("""COMPUTED_VALUE"""),"生活家電")</f>
        <v>生活家電</v>
      </c>
      <c r="B149" s="12" t="str">
        <f ca="1">IFERROR(__xludf.DUMMYFUNCTION("""COMPUTED_VALUE"""),"順發")</f>
        <v>順發</v>
      </c>
      <c r="C149" s="12" t="str">
        <f ca="1">IFERROR(__xludf.DUMMYFUNCTION("""COMPUTED_VALUE"""),"嘉儀")</f>
        <v>嘉儀</v>
      </c>
      <c r="D149" s="12" t="str">
        <f ca="1">IFERROR(__xludf.DUMMYFUNCTION("""COMPUTED_VALUE"""),"HELLER德國製10葉片電子式恆溫電暖器(豪華)_779481_KED510TL ")</f>
        <v xml:space="preserve">HELLER德國製10葉片電子式恆溫電暖器(豪華)_779481_KED510TL </v>
      </c>
      <c r="E149" s="12" t="str">
        <f ca="1">IFERROR(__xludf.DUMMYFUNCTION("""COMPUTED_VALUE"""),"KED510TL豪華型")</f>
        <v>KED510TL豪華型</v>
      </c>
      <c r="F149" s="12">
        <f ca="1">IFERROR(__xludf.DUMMYFUNCTION("""COMPUTED_VALUE"""),51095753)</f>
        <v>51095753</v>
      </c>
      <c r="G149" s="12" t="str">
        <f ca="1">IFERROR(__xludf.DUMMYFUNCTION("""COMPUTED_VALUE"""),"IGEM023D")</f>
        <v>IGEM023D</v>
      </c>
      <c r="H149" s="13">
        <f ca="1">IFERROR(__xludf.DUMMYFUNCTION("""COMPUTED_VALUE"""),9900)</f>
        <v>9900</v>
      </c>
      <c r="I149" s="14">
        <f ca="1">IFERROR(__xludf.DUMMYFUNCTION("""COMPUTED_VALUE"""),7920)</f>
        <v>7920</v>
      </c>
      <c r="J149" s="16">
        <f ca="1">IFERROR(__xludf.DUMMYFUNCTION("""COMPUTED_VALUE"""),45666)</f>
        <v>45666</v>
      </c>
      <c r="K149" s="12" t="str">
        <f ca="1">IFERROR(__xludf.DUMMYFUNCTION("""COMPUTED_VALUE"""),"上架中")</f>
        <v>上架中</v>
      </c>
      <c r="L149" s="12" t="str">
        <f ca="1">IFERROR(__xludf.DUMMYFUNCTION("""COMPUTED_VALUE"""),"上架中")</f>
        <v>上架中</v>
      </c>
      <c r="M149" s="12" t="str">
        <f ca="1">IFERROR(__xludf.DUMMYFUNCTION("""COMPUTED_VALUE"""),"1/9上架，2025/1/1缺貨，10/7季節性商品上架，4/8停售，2024/1/1回價，11/2到貨上架，季節性商品，4/12停售")</f>
        <v>1/9上架，2025/1/1缺貨，10/7季節性商品上架，4/8停售，2024/1/1回價，11/2到貨上架，季節性商品，4/12停售</v>
      </c>
      <c r="N149" s="12" t="str">
        <f ca="1">IFERROR(__xludf.DUMMYFUNCTION("""COMPUTED_VALUE"""),"電暖器")</f>
        <v>電暖器</v>
      </c>
      <c r="O149" s="12" t="str">
        <f ca="1">IFERROR(__xludf.DUMMYFUNCTION("""COMPUTED_VALUE"""),"白色")</f>
        <v>白色</v>
      </c>
      <c r="P149" s="12" t="str">
        <f ca="1">IFERROR(__xludf.DUMMYFUNCTION("""COMPUTED_VALUE"""),"電壓：110V / 60Hz")</f>
        <v>電壓：110V / 60Hz</v>
      </c>
      <c r="Q149" s="12" t="str">
        <f ca="1">IFERROR(__xludf.DUMMYFUNCTION("""COMPUTED_VALUE"""),"570x 170x 610mm")</f>
        <v>570x 170x 610mm</v>
      </c>
      <c r="R149" s="12" t="str">
        <f ca="1">IFERROR(__xludf.DUMMYFUNCTION("""COMPUTED_VALUE"""),"德國")</f>
        <v>德國</v>
      </c>
      <c r="S149" s="12"/>
      <c r="T149" s="12"/>
      <c r="U149" s="12" t="str">
        <f ca="1">IFERROR(__xludf.DUMMYFUNCTION("""COMPUTED_VALUE"""),"2年")</f>
        <v>2年</v>
      </c>
      <c r="V149" s="12"/>
      <c r="W149" s="12"/>
      <c r="X149" s="12"/>
      <c r="Y149" s="12"/>
      <c r="Z149" s="14"/>
      <c r="AA149" s="15" t="str">
        <f ca="1">IFERROR(__xludf.DUMMYFUNCTION("""COMPUTED_VALUE"""),"*全新大型電子顯示面板*全新智慧型恆溫裝置*電子恆溫感應器*電子式12小時預約開關機*獨家底部散熱*TURBO快熱送循環風扇*衣架組*附搖控器")</f>
        <v>*全新大型電子顯示面板*全新智慧型恆溫裝置*電子恆溫感應器*電子式12小時預約開關機*獨家底部散熱*TURBO快熱送循環風扇*衣架組*附搖控器</v>
      </c>
    </row>
    <row r="150" spans="1:27" ht="19.5" customHeight="1">
      <c r="A150" s="12" t="str">
        <f ca="1">IFERROR(__xludf.DUMMYFUNCTION("""COMPUTED_VALUE"""),"生活家電")</f>
        <v>生活家電</v>
      </c>
      <c r="B150" s="12" t="str">
        <f ca="1">IFERROR(__xludf.DUMMYFUNCTION("""COMPUTED_VALUE"""),"順發")</f>
        <v>順發</v>
      </c>
      <c r="C150" s="12" t="str">
        <f ca="1">IFERROR(__xludf.DUMMYFUNCTION("""COMPUTED_VALUE"""),"嘉儀")</f>
        <v>嘉儀</v>
      </c>
      <c r="D150" s="12" t="str">
        <f ca="1">IFERROR(__xludf.DUMMYFUNCTION("""COMPUTED_VALUE"""),"HELLER德國製12葉片電子式恆溫電暖器(豪華)_779030_KED512TL ")</f>
        <v xml:space="preserve">HELLER德國製12葉片電子式恆溫電暖器(豪華)_779030_KED512TL </v>
      </c>
      <c r="E150" s="12" t="str">
        <f ca="1">IFERROR(__xludf.DUMMYFUNCTION("""COMPUTED_VALUE"""),"KED512TL豪華型")</f>
        <v>KED512TL豪華型</v>
      </c>
      <c r="F150" s="12">
        <f ca="1">IFERROR(__xludf.DUMMYFUNCTION("""COMPUTED_VALUE"""),51095754)</f>
        <v>51095754</v>
      </c>
      <c r="G150" s="12" t="str">
        <f ca="1">IFERROR(__xludf.DUMMYFUNCTION("""COMPUTED_VALUE"""),"IGEM023D")</f>
        <v>IGEM023D</v>
      </c>
      <c r="H150" s="13">
        <f ca="1">IFERROR(__xludf.DUMMYFUNCTION("""COMPUTED_VALUE"""),11000)</f>
        <v>11000</v>
      </c>
      <c r="I150" s="14">
        <f ca="1">IFERROR(__xludf.DUMMYFUNCTION("""COMPUTED_VALUE"""),8800)</f>
        <v>8800</v>
      </c>
      <c r="J150" s="16">
        <f ca="1">IFERROR(__xludf.DUMMYFUNCTION("""COMPUTED_VALUE"""),45666)</f>
        <v>45666</v>
      </c>
      <c r="K150" s="12" t="str">
        <f ca="1">IFERROR(__xludf.DUMMYFUNCTION("""COMPUTED_VALUE"""),"上架中")</f>
        <v>上架中</v>
      </c>
      <c r="L150" s="12" t="str">
        <f ca="1">IFERROR(__xludf.DUMMYFUNCTION("""COMPUTED_VALUE"""),"上架中")</f>
        <v>上架中</v>
      </c>
      <c r="M150" s="12" t="str">
        <f ca="1">IFERROR(__xludf.DUMMYFUNCTION("""COMPUTED_VALUE"""),"1/9上架，2025/1/1缺貨，10/7季節性商品上架，4/8停售，2024/1/1回價，11/2到貨上架，季節性商品，4/12停售")</f>
        <v>1/9上架，2025/1/1缺貨，10/7季節性商品上架，4/8停售，2024/1/1回價，11/2到貨上架，季節性商品，4/12停售</v>
      </c>
      <c r="N150" s="12" t="str">
        <f ca="1">IFERROR(__xludf.DUMMYFUNCTION("""COMPUTED_VALUE"""),"電暖器")</f>
        <v>電暖器</v>
      </c>
      <c r="O150" s="12" t="str">
        <f ca="1">IFERROR(__xludf.DUMMYFUNCTION("""COMPUTED_VALUE"""),"白色")</f>
        <v>白色</v>
      </c>
      <c r="P150" s="12" t="str">
        <f ca="1">IFERROR(__xludf.DUMMYFUNCTION("""COMPUTED_VALUE"""),"電壓：110V / 60Hz")</f>
        <v>電壓：110V / 60Hz</v>
      </c>
      <c r="Q150" s="12" t="str">
        <f ca="1">IFERROR(__xludf.DUMMYFUNCTION("""COMPUTED_VALUE"""),"660x 170x 610mm")</f>
        <v>660x 170x 610mm</v>
      </c>
      <c r="R150" s="12" t="str">
        <f ca="1">IFERROR(__xludf.DUMMYFUNCTION("""COMPUTED_VALUE"""),"德國")</f>
        <v>德國</v>
      </c>
      <c r="S150" s="12"/>
      <c r="T150" s="12"/>
      <c r="U150" s="12" t="str">
        <f ca="1">IFERROR(__xludf.DUMMYFUNCTION("""COMPUTED_VALUE"""),"2年")</f>
        <v>2年</v>
      </c>
      <c r="V150" s="12"/>
      <c r="W150" s="12"/>
      <c r="X150" s="12"/>
      <c r="Y150" s="12"/>
      <c r="Z150" s="14"/>
      <c r="AA150" s="15" t="str">
        <f ca="1">IFERROR(__xludf.DUMMYFUNCTION("""COMPUTED_VALUE"""),"*全新大型電子顯示面板*全新智慧型恆溫裝置*電子恆溫感應器*電子式12小時預約開關機*獨家底部散熱*TURBO快熱送循環風扇*衣架組*附搖控器")</f>
        <v>*全新大型電子顯示面板*全新智慧型恆溫裝置*電子恆溫感應器*電子式12小時預約開關機*獨家底部散熱*TURBO快熱送循環風扇*衣架組*附搖控器</v>
      </c>
    </row>
    <row r="151" spans="1:27" ht="19.5" customHeight="1">
      <c r="A151" s="12" t="str">
        <f ca="1">IFERROR(__xludf.DUMMYFUNCTION("""COMPUTED_VALUE"""),"生活家電")</f>
        <v>生活家電</v>
      </c>
      <c r="B151" s="12" t="str">
        <f ca="1">IFERROR(__xludf.DUMMYFUNCTION("""COMPUTED_VALUE"""),"順發")</f>
        <v>順發</v>
      </c>
      <c r="C151" s="12" t="str">
        <f ca="1">IFERROR(__xludf.DUMMYFUNCTION("""COMPUTED_VALUE"""),"NORTHERN")</f>
        <v>NORTHERN</v>
      </c>
      <c r="D151" s="12" t="str">
        <f ca="1">IFERROR(__xludf.DUMMYFUNCTION("""COMPUTED_VALUE"""),"NORTHERN北方 葉片式恆溫電暖爐(11葉片)CJ2-11_779324")</f>
        <v>NORTHERN北方 葉片式恆溫電暖爐(11葉片)CJ2-11_779324</v>
      </c>
      <c r="E151" s="12" t="str">
        <f ca="1">IFERROR(__xludf.DUMMYFUNCTION("""COMPUTED_VALUE"""),"CJ2-11")</f>
        <v>CJ2-11</v>
      </c>
      <c r="F151" s="12">
        <f ca="1">IFERROR(__xludf.DUMMYFUNCTION("""COMPUTED_VALUE"""),51095877)</f>
        <v>51095877</v>
      </c>
      <c r="G151" s="12" t="str">
        <f ca="1">IFERROR(__xludf.DUMMYFUNCTION("""COMPUTED_VALUE"""),"IGEM113C")</f>
        <v>IGEM113C</v>
      </c>
      <c r="H151" s="13">
        <f ca="1">IFERROR(__xludf.DUMMYFUNCTION("""COMPUTED_VALUE"""),6050)</f>
        <v>6050</v>
      </c>
      <c r="I151" s="14">
        <f ca="1">IFERROR(__xludf.DUMMYFUNCTION("""COMPUTED_VALUE"""),4480)</f>
        <v>4480</v>
      </c>
      <c r="J151" s="16">
        <f ca="1">IFERROR(__xludf.DUMMYFUNCTION("""COMPUTED_VALUE"""),45604)</f>
        <v>45604</v>
      </c>
      <c r="K151" s="12" t="str">
        <f ca="1">IFERROR(__xludf.DUMMYFUNCTION("""COMPUTED_VALUE"""),"新機上架")</f>
        <v>新機上架</v>
      </c>
      <c r="L151" s="12" t="str">
        <f ca="1">IFERROR(__xludf.DUMMYFUNCTION("""COMPUTED_VALUE"""),"上架中")</f>
        <v>上架中</v>
      </c>
      <c r="M151" s="12" t="str">
        <f ca="1">IFERROR(__xludf.DUMMYFUNCTION("""COMPUTED_VALUE"""),"2024/11/8新機上架")</f>
        <v>2024/11/8新機上架</v>
      </c>
      <c r="N151" s="12" t="str">
        <f ca="1">IFERROR(__xludf.DUMMYFUNCTION("""COMPUTED_VALUE"""),"電暖器")</f>
        <v>電暖器</v>
      </c>
      <c r="O151" s="12" t="str">
        <f ca="1">IFERROR(__xludf.DUMMYFUNCTION("""COMPUTED_VALUE"""),"米色")</f>
        <v>米色</v>
      </c>
      <c r="P151" s="12" t="str">
        <f ca="1">IFERROR(__xludf.DUMMYFUNCTION("""COMPUTED_VALUE"""),"11片")</f>
        <v>11片</v>
      </c>
      <c r="Q151" s="12" t="str">
        <f ca="1">IFERROR(__xludf.DUMMYFUNCTION("""COMPUTED_VALUE"""),"約520×250×640 mm(整機)
約520×250×71mcm(含衣架)")</f>
        <v>約520×250×640 mm(整機)
約520×250×71mcm(含衣架)</v>
      </c>
      <c r="R151" s="12" t="str">
        <f ca="1">IFERROR(__xludf.DUMMYFUNCTION("""COMPUTED_VALUE"""),"中國")</f>
        <v>中國</v>
      </c>
      <c r="S151" s="12"/>
      <c r="T151" s="12"/>
      <c r="U151" s="12" t="str">
        <f ca="1">IFERROR(__xludf.DUMMYFUNCTION("""COMPUTED_VALUE"""),"1年")</f>
        <v>1年</v>
      </c>
      <c r="V151" s="12"/>
      <c r="W151" s="12"/>
      <c r="X151" s="12"/>
      <c r="Y151" s="12"/>
      <c r="Z151" s="14"/>
      <c r="AA151" s="15" t="str">
        <f ca="1">IFERROR(__xludf.DUMMYFUNCTION("""COMPUTED_VALUE"""),"*11葉片3段式散熱*恆溫省電裝置*傾倒自動斷電安全設計*異常高溫自動斷電安全設計*便利式電線收納架*腳輪設計移動方便*採用0.6mm厚度鋼板：堅固耐用，保溫效果長，節能省電*葉片寬度16cm/高度60cm：表面積越大，暖房速度越快*每葉片使用6條對流管，11葉片共66條：對流數量越多，暖房速度更快*恆溫、舒適、無噪音*密閉式加熱管不耗氧、不乾燥*永遠不須更換或添加熱油*適合長時間及睡眠時使用*均勻提升整體室內溫度*附贈衣物烘乾架組可協助烘乾衣服、鞋襪")</f>
        <v>*11葉片3段式散熱*恆溫省電裝置*傾倒自動斷電安全設計*異常高溫自動斷電安全設計*便利式電線收納架*腳輪設計移動方便*採用0.6mm厚度鋼板：堅固耐用，保溫效果長，節能省電*葉片寬度16cm/高度60cm：表面積越大，暖房速度越快*每葉片使用6條對流管，11葉片共66條：對流數量越多，暖房速度更快*恆溫、舒適、無噪音*密閉式加熱管不耗氧、不乾燥*永遠不須更換或添加熱油*適合長時間及睡眠時使用*均勻提升整體室內溫度*附贈衣物烘乾架組可協助烘乾衣服、鞋襪</v>
      </c>
    </row>
    <row r="152" spans="1:27" ht="19.5" customHeight="1">
      <c r="A152" s="12" t="str">
        <f ca="1">IFERROR(__xludf.DUMMYFUNCTION("""COMPUTED_VALUE"""),"生活家電")</f>
        <v>生活家電</v>
      </c>
      <c r="B152" s="12" t="str">
        <f ca="1">IFERROR(__xludf.DUMMYFUNCTION("""COMPUTED_VALUE"""),"順發")</f>
        <v>順發</v>
      </c>
      <c r="C152" s="12" t="str">
        <f ca="1">IFERROR(__xludf.DUMMYFUNCTION("""COMPUTED_VALUE"""),"NORTHERN")</f>
        <v>NORTHERN</v>
      </c>
      <c r="D152" s="12" t="str">
        <f ca="1">IFERROR(__xludf.DUMMYFUNCTION("""COMPUTED_VALUE"""),"NORTHERN北方 雙人石墨烯健康電熱毛毯NR-361G_779339")</f>
        <v>NORTHERN北方 雙人石墨烯健康電熱毛毯NR-361G_779339</v>
      </c>
      <c r="E152" s="12" t="str">
        <f ca="1">IFERROR(__xludf.DUMMYFUNCTION("""COMPUTED_VALUE"""),"NR-361G")</f>
        <v>NR-361G</v>
      </c>
      <c r="F152" s="12">
        <f ca="1">IFERROR(__xludf.DUMMYFUNCTION("""COMPUTED_VALUE"""),51095878)</f>
        <v>51095878</v>
      </c>
      <c r="G152" s="12" t="str">
        <f ca="1">IFERROR(__xludf.DUMMYFUNCTION("""COMPUTED_VALUE"""),"IGEM113D")</f>
        <v>IGEM113D</v>
      </c>
      <c r="H152" s="13">
        <f ca="1">IFERROR(__xludf.DUMMYFUNCTION("""COMPUTED_VALUE"""),2980)</f>
        <v>2980</v>
      </c>
      <c r="I152" s="14">
        <f ca="1">IFERROR(__xludf.DUMMYFUNCTION("""COMPUTED_VALUE"""),1490)</f>
        <v>1490</v>
      </c>
      <c r="J152" s="16">
        <f ca="1">IFERROR(__xludf.DUMMYFUNCTION("""COMPUTED_VALUE"""),45604)</f>
        <v>45604</v>
      </c>
      <c r="K152" s="12" t="str">
        <f ca="1">IFERROR(__xludf.DUMMYFUNCTION("""COMPUTED_VALUE"""),"新機上架")</f>
        <v>新機上架</v>
      </c>
      <c r="L152" s="12" t="str">
        <f ca="1">IFERROR(__xludf.DUMMYFUNCTION("""COMPUTED_VALUE"""),"上架中")</f>
        <v>上架中</v>
      </c>
      <c r="M152" s="12" t="str">
        <f ca="1">IFERROR(__xludf.DUMMYFUNCTION("""COMPUTED_VALUE"""),"2024/11/8新機上架")</f>
        <v>2024/11/8新機上架</v>
      </c>
      <c r="N152" s="12" t="str">
        <f ca="1">IFERROR(__xludf.DUMMYFUNCTION("""COMPUTED_VALUE"""),"電熱毯")</f>
        <v>電熱毯</v>
      </c>
      <c r="O152" s="12" t="str">
        <f ca="1">IFERROR(__xludf.DUMMYFUNCTION("""COMPUTED_VALUE"""),"粉嫩紅")</f>
        <v>粉嫩紅</v>
      </c>
      <c r="P152" s="12" t="str">
        <f ca="1">IFERROR(__xludf.DUMMYFUNCTION("""COMPUTED_VALUE"""),"雙人")</f>
        <v>雙人</v>
      </c>
      <c r="Q152" s="12" t="str">
        <f ca="1">IFERROR(__xludf.DUMMYFUNCTION("""COMPUTED_VALUE"""),"1300x1600mm ±20mm")</f>
        <v>1300x1600mm ±20mm</v>
      </c>
      <c r="R152" s="12" t="str">
        <f ca="1">IFERROR(__xludf.DUMMYFUNCTION("""COMPUTED_VALUE"""),"中國")</f>
        <v>中國</v>
      </c>
      <c r="S152" s="12"/>
      <c r="T152" s="12"/>
      <c r="U152" s="12" t="str">
        <f ca="1">IFERROR(__xludf.DUMMYFUNCTION("""COMPUTED_VALUE"""),"1年")</f>
        <v>1年</v>
      </c>
      <c r="V152" s="12"/>
      <c r="W152" s="12"/>
      <c r="X152" s="12"/>
      <c r="Y152" s="12"/>
      <c r="Z152" s="14"/>
      <c r="AA152" s="15" t="str">
        <f ca="1">IFERROR(__xludf.DUMMYFUNCTION("""COMPUTED_VALUE"""),"*8小時自動斷電*可設定1-8小時自動斷電*過熱安全自動斷電保護*五段式溫度調整 恆溫省電*低電磁波*通過國家安全標準檢驗*通過中華民國CNS檢驗合格*添加石墨烯，快速升溫保暖*可除螨，具有除螨效果，健康衛生*微電腦控溫*舒適睡眠設計*多段溫度調節*床墊式*顏色：粉嫩紅　*面料材質：高級絨布、100%聚酯纖維*不可機洗、扭擰")</f>
        <v>*8小時自動斷電*可設定1-8小時自動斷電*過熱安全自動斷電保護*五段式溫度調整 恆溫省電*低電磁波*通過國家安全標準檢驗*通過中華民國CNS檢驗合格*添加石墨烯，快速升溫保暖*可除螨，具有除螨效果，健康衛生*微電腦控溫*舒適睡眠設計*多段溫度調節*床墊式*顏色：粉嫩紅　*面料材質：高級絨布、100%聚酯纖維*不可機洗、扭擰</v>
      </c>
    </row>
    <row r="153" spans="1:27" ht="19.5" customHeight="1">
      <c r="A153" s="12" t="str">
        <f ca="1">IFERROR(__xludf.DUMMYFUNCTION("""COMPUTED_VALUE"""),"生活家電")</f>
        <v>生活家電</v>
      </c>
      <c r="B153" s="12" t="str">
        <f ca="1">IFERROR(__xludf.DUMMYFUNCTION("""COMPUTED_VALUE"""),"順發")</f>
        <v>順發</v>
      </c>
      <c r="C153" s="12" t="str">
        <f ca="1">IFERROR(__xludf.DUMMYFUNCTION("""COMPUTED_VALUE"""),"NORTHERN")</f>
        <v>NORTHERN</v>
      </c>
      <c r="D153" s="12" t="str">
        <f ca="1">IFERROR(__xludf.DUMMYFUNCTION("""COMPUTED_VALUE"""),"NORTHERN北方 14吋碳晶電暖器NR14800S_779338")</f>
        <v>NORTHERN北方 14吋碳晶電暖器NR14800S_779338</v>
      </c>
      <c r="E153" s="12" t="str">
        <f ca="1">IFERROR(__xludf.DUMMYFUNCTION("""COMPUTED_VALUE"""),"NR14800S")</f>
        <v>NR14800S</v>
      </c>
      <c r="F153" s="12">
        <f ca="1">IFERROR(__xludf.DUMMYFUNCTION("""COMPUTED_VALUE"""),51095913)</f>
        <v>51095913</v>
      </c>
      <c r="G153" s="12" t="str">
        <f ca="1">IFERROR(__xludf.DUMMYFUNCTION("""COMPUTED_VALUE"""),"IGEM116W")</f>
        <v>IGEM116W</v>
      </c>
      <c r="H153" s="13">
        <f ca="1">IFERROR(__xludf.DUMMYFUNCTION("""COMPUTED_VALUE"""),2290)</f>
        <v>2290</v>
      </c>
      <c r="I153" s="14">
        <f ca="1">IFERROR(__xludf.DUMMYFUNCTION("""COMPUTED_VALUE"""),1980)</f>
        <v>1980</v>
      </c>
      <c r="J153" s="16">
        <f ca="1">IFERROR(__xludf.DUMMYFUNCTION("""COMPUTED_VALUE"""),45658)</f>
        <v>45658</v>
      </c>
      <c r="K153" s="12" t="str">
        <f ca="1">IFERROR(__xludf.DUMMYFUNCTION("""COMPUTED_VALUE"""),"新機上架")</f>
        <v>新機上架</v>
      </c>
      <c r="L153" s="12" t="str">
        <f ca="1">IFERROR(__xludf.DUMMYFUNCTION("""COMPUTED_VALUE"""),"上架中")</f>
        <v>上架中</v>
      </c>
      <c r="M153" s="12" t="str">
        <f ca="1">IFERROR(__xludf.DUMMYFUNCTION("""COMPUTED_VALUE"""),"2025/1/1新機上架")</f>
        <v>2025/1/1新機上架</v>
      </c>
      <c r="N153" s="12" t="str">
        <f ca="1">IFERROR(__xludf.DUMMYFUNCTION("""COMPUTED_VALUE"""),"電暖器")</f>
        <v>電暖器</v>
      </c>
      <c r="O153" s="12" t="str">
        <f ca="1">IFERROR(__xludf.DUMMYFUNCTION("""COMPUTED_VALUE"""),"白金色")</f>
        <v>白金色</v>
      </c>
      <c r="P153" s="12" t="str">
        <f ca="1">IFERROR(__xludf.DUMMYFUNCTION("""COMPUTED_VALUE"""),"14吋")</f>
        <v>14吋</v>
      </c>
      <c r="Q153" s="12" t="str">
        <f ca="1">IFERROR(__xludf.DUMMYFUNCTION("""COMPUTED_VALUE"""),"高570*寬460*深280mm(420mm大扇面)")</f>
        <v>高570*寬460*深280mm(420mm大扇面)</v>
      </c>
      <c r="R153" s="12" t="str">
        <f ca="1">IFERROR(__xludf.DUMMYFUNCTION("""COMPUTED_VALUE"""),"中國")</f>
        <v>中國</v>
      </c>
      <c r="S153" s="12"/>
      <c r="T153" s="12"/>
      <c r="U153" s="12" t="str">
        <f ca="1">IFERROR(__xludf.DUMMYFUNCTION("""COMPUTED_VALUE"""),"1年")</f>
        <v>1年</v>
      </c>
      <c r="V153" s="12"/>
      <c r="W153" s="12"/>
      <c r="X153" s="12"/>
      <c r="Y153" s="12"/>
      <c r="Z153" s="14"/>
      <c r="AA153" s="15" t="str">
        <f ca="1">IFERROR(__xludf.DUMMYFUNCTION("""COMPUTED_VALUE"""),"*2種電熱選擇 (高溫800W/低溫400W)*擺頭+電熱模式*3小時定時關機及連續設定
*植絨安全防燙網罩*可調整俯仰角度約90度*傾倒/超溫 雙重自動斷電安全設計*遠紅外線碳晶盤，3秒速熱*安全設計*簡單操作(旋鈕設計，輕鬆調節溫度)。*無噪音污染*晶狀蜂巢式反射板*採VO防火阻燃材質，安全取暖。")</f>
        <v>*2種電熱選擇 (高溫800W/低溫400W)*擺頭+電熱模式*3小時定時關機及連續設定
*植絨安全防燙網罩*可調整俯仰角度約90度*傾倒/超溫 雙重自動斷電安全設計*遠紅外線碳晶盤，3秒速熱*安全設計*簡單操作(旋鈕設計，輕鬆調節溫度)。*無噪音污染*晶狀蜂巢式反射板*採VO防火阻燃材質，安全取暖。</v>
      </c>
    </row>
    <row r="154" spans="1:27" ht="19.5" customHeight="1">
      <c r="A154" s="12" t="str">
        <f ca="1">IFERROR(__xludf.DUMMYFUNCTION("""COMPUTED_VALUE"""),"生活家電")</f>
        <v>生活家電</v>
      </c>
      <c r="B154" s="12" t="str">
        <f ca="1">IFERROR(__xludf.DUMMYFUNCTION("""COMPUTED_VALUE"""),"順發")</f>
        <v>順發</v>
      </c>
      <c r="C154" s="12" t="str">
        <f ca="1">IFERROR(__xludf.DUMMYFUNCTION("""COMPUTED_VALUE"""),"HITACHI")</f>
        <v>HITACHI</v>
      </c>
      <c r="D154" s="12" t="str">
        <f ca="1">IFERROR(__xludf.DUMMYFUNCTION("""COMPUTED_VALUE"""),"HITACHI_日立直立/手持吸塵器日製(香檳金)_770397_PVXL300KTN")</f>
        <v>HITACHI_日立直立/手持吸塵器日製(香檳金)_770397_PVXL300KTN</v>
      </c>
      <c r="E154" s="12" t="str">
        <f ca="1">IFERROR(__xludf.DUMMYFUNCTION("""COMPUTED_VALUE"""),"PVXL300KTN")</f>
        <v>PVXL300KTN</v>
      </c>
      <c r="F154" s="12">
        <f ca="1">IFERROR(__xludf.DUMMYFUNCTION("""COMPUTED_VALUE"""),51095781)</f>
        <v>51095781</v>
      </c>
      <c r="G154" s="12" t="str">
        <f ca="1">IFERROR(__xludf.DUMMYFUNCTION("""COMPUTED_VALUE"""),"IGEM099Z")</f>
        <v>IGEM099Z</v>
      </c>
      <c r="H154" s="13">
        <f ca="1">IFERROR(__xludf.DUMMYFUNCTION("""COMPUTED_VALUE"""),13400)</f>
        <v>13400</v>
      </c>
      <c r="I154" s="14">
        <f ca="1">IFERROR(__xludf.DUMMYFUNCTION("""COMPUTED_VALUE"""),12328)</f>
        <v>12328</v>
      </c>
      <c r="J154" s="16">
        <f ca="1">IFERROR(__xludf.DUMMYFUNCTION("""COMPUTED_VALUE"""),45390)</f>
        <v>45390</v>
      </c>
      <c r="K154" s="12" t="str">
        <f ca="1">IFERROR(__xludf.DUMMYFUNCTION("""COMPUTED_VALUE"""),"新機上架")</f>
        <v>新機上架</v>
      </c>
      <c r="L154" s="12" t="str">
        <f ca="1">IFERROR(__xludf.DUMMYFUNCTION("""COMPUTED_VALUE"""),"上架中")</f>
        <v>上架中</v>
      </c>
      <c r="M154" s="12" t="str">
        <f ca="1">IFERROR(__xludf.DUMMYFUNCTION("""COMPUTED_VALUE"""),"2024/4/8新機上架")</f>
        <v>2024/4/8新機上架</v>
      </c>
      <c r="N154" s="12" t="str">
        <f ca="1">IFERROR(__xludf.DUMMYFUNCTION("""COMPUTED_VALUE"""),"吸塵器")</f>
        <v>吸塵器</v>
      </c>
      <c r="O154" s="12" t="str">
        <f ca="1">IFERROR(__xludf.DUMMYFUNCTION("""COMPUTED_VALUE"""),"香檳金")</f>
        <v>香檳金</v>
      </c>
      <c r="P154" s="12" t="str">
        <f ca="1">IFERROR(__xludf.DUMMYFUNCTION("""COMPUTED_VALUE"""),"◎ 尺寸(L×W×H)
含延伸管及刷頭：205mm x 230mm x 994mm
手持：321mm x 90mm x 172mm
◎ 重量
含延伸管及刷頭：1.1kg
手持：1.1kg
◎ 充電時間：2小時
◎ 配件：動力刷頭,延伸管,AC變壓器,收納架,動力刷頭,延伸管,AC變壓器,收納架,手持毛刷,集塵盒撥塵毛刷")</f>
        <v>◎ 尺寸(L×W×H)
含延伸管及刷頭：205mm x 230mm x 994mm
手持：321mm x 90mm x 172mm
◎ 重量
含延伸管及刷頭：1.1kg
手持：1.1kg
◎ 充電時間：2小時
◎ 配件：動力刷頭,延伸管,AC變壓器,收納架,動力刷頭,延伸管,AC變壓器,收納架,手持毛刷,集塵盒撥塵毛刷</v>
      </c>
      <c r="Q154" s="12" t="str">
        <f ca="1">IFERROR(__xludf.DUMMYFUNCTION("""COMPUTED_VALUE"""),"含延伸管及刷頭：994*230*205mm
手持：172*90*321mm")</f>
        <v>含延伸管及刷頭：994*230*205mm
手持：172*90*321mm</v>
      </c>
      <c r="R154" s="12" t="str">
        <f ca="1">IFERROR(__xludf.DUMMYFUNCTION("""COMPUTED_VALUE"""),"日本")</f>
        <v>日本</v>
      </c>
      <c r="S154" s="12"/>
      <c r="T154" s="12"/>
      <c r="U154" s="12" t="str">
        <f ca="1">IFERROR(__xludf.DUMMYFUNCTION("""COMPUTED_VALUE"""),"1年")</f>
        <v>1年</v>
      </c>
      <c r="V154" s="12"/>
      <c r="W154" s="12"/>
      <c r="X154" s="12" t="str">
        <f ca="1">IFERROR(__xludf.DUMMYFUNCTION("""COMPUTED_VALUE"""),"(114/1/1~2/28)隨貨送獨家送易百拉密封罐3入組(市價890)
")</f>
        <v xml:space="preserve">(114/1/1~2/28)隨貨送獨家送易百拉密封罐3入組(市價890)
</v>
      </c>
      <c r="Y154" s="12"/>
      <c r="Z154" s="14"/>
      <c r="AA154" s="15" t="str">
        <f ca="1">IFERROR(__xludf.DUMMYFUNCTION("""COMPUTED_VALUE"""),"*日立直立式吸塵器重量1.1kg*可全方位轉動(全貼地吸塵)*充電時間約2小時*新設計電動自走吸頭搭載LED白光加綠光*一鍵操作的拆卸按鈕*輕鬆推拉、徹底吸除地板及牆邊的垃圾髒汙*單手提著握把即可拆卸延長管*不必拆卸就能傾倒垃圾的集塵盒")</f>
        <v>*日立直立式吸塵器重量1.1kg*可全方位轉動(全貼地吸塵)*充電時間約2小時*新設計電動自走吸頭搭載LED白光加綠光*一鍵操作的拆卸按鈕*輕鬆推拉、徹底吸除地板及牆邊的垃圾髒汙*單手提著握把即可拆卸延長管*不必拆卸就能傾倒垃圾的集塵盒</v>
      </c>
    </row>
    <row r="155" spans="1:27" ht="19.5" customHeight="1">
      <c r="A155" s="12" t="str">
        <f ca="1">IFERROR(__xludf.DUMMYFUNCTION("""COMPUTED_VALUE"""),"除濕機")</f>
        <v>除濕機</v>
      </c>
      <c r="B155" s="12" t="str">
        <f ca="1">IFERROR(__xludf.DUMMYFUNCTION("""COMPUTED_VALUE"""),"順發")</f>
        <v>順發</v>
      </c>
      <c r="C155" s="12" t="str">
        <f ca="1">IFERROR(__xludf.DUMMYFUNCTION("""COMPUTED_VALUE"""),"IRIS")</f>
        <v>IRIS</v>
      </c>
      <c r="D155" s="12" t="str">
        <f ca="1">IFERROR(__xludf.DUMMYFUNCTION("""COMPUTED_VALUE"""),"IRIS6吋氣流循環扇_PCF-HD15")</f>
        <v>IRIS6吋氣流循環扇_PCF-HD15</v>
      </c>
      <c r="E155" s="12" t="str">
        <f ca="1">IFERROR(__xludf.DUMMYFUNCTION("""COMPUTED_VALUE"""),"PCF-HD15")</f>
        <v>PCF-HD15</v>
      </c>
      <c r="F155" s="12">
        <f ca="1">IFERROR(__xludf.DUMMYFUNCTION("""COMPUTED_VALUE"""),51095131)</f>
        <v>51095131</v>
      </c>
      <c r="G155" s="12" t="str">
        <f ca="1">IFERROR(__xludf.DUMMYFUNCTION("""COMPUTED_VALUE"""),"IGEM015K")</f>
        <v>IGEM015K</v>
      </c>
      <c r="H155" s="12">
        <f ca="1">IFERROR(__xludf.DUMMYFUNCTION("""COMPUTED_VALUE"""),990)</f>
        <v>990</v>
      </c>
      <c r="I155" s="14">
        <f ca="1">IFERROR(__xludf.DUMMYFUNCTION("""COMPUTED_VALUE"""),890)</f>
        <v>890</v>
      </c>
      <c r="J155" s="12"/>
      <c r="K155" s="12"/>
      <c r="L155" s="12" t="str">
        <f ca="1">IFERROR(__xludf.DUMMYFUNCTION("""COMPUTED_VALUE"""),"上架中")</f>
        <v>上架中</v>
      </c>
      <c r="M155" s="12" t="str">
        <f ca="1">IFERROR(__xludf.DUMMYFUNCTION("""COMPUTED_VALUE"""),"2021/3/8到貨")</f>
        <v>2021/3/8到貨</v>
      </c>
      <c r="N155" s="12" t="str">
        <f ca="1">IFERROR(__xludf.DUMMYFUNCTION("""COMPUTED_VALUE"""),"循環扇")</f>
        <v>循環扇</v>
      </c>
      <c r="O155" s="12" t="str">
        <f ca="1">IFERROR(__xludf.DUMMYFUNCTION("""COMPUTED_VALUE"""),"白")</f>
        <v>白</v>
      </c>
      <c r="P155" s="12" t="str">
        <f ca="1">IFERROR(__xludf.DUMMYFUNCTION("""COMPUTED_VALUE"""),"6吋")</f>
        <v>6吋</v>
      </c>
      <c r="Q155" s="12" t="str">
        <f ca="1">IFERROR(__xludf.DUMMYFUNCTION("""COMPUTED_VALUE"""),"241x175x266mm")</f>
        <v>241x175x266mm</v>
      </c>
      <c r="R155" s="12" t="str">
        <f ca="1">IFERROR(__xludf.DUMMYFUNCTION("""COMPUTED_VALUE"""),"中國")</f>
        <v>中國</v>
      </c>
      <c r="S155" s="12"/>
      <c r="T155" s="12"/>
      <c r="U155" s="22" t="str">
        <f ca="1">IFERROR(__xludf.DUMMYFUNCTION("""COMPUTED_VALUE"""),"1年")</f>
        <v>1年</v>
      </c>
      <c r="V155" s="12"/>
      <c r="W155" s="12"/>
      <c r="X155" s="12"/>
      <c r="Y155" s="12"/>
      <c r="Z155" s="14"/>
      <c r="AA155" s="15" t="str">
        <f ca="1">IFERROR(__xludf.DUMMYFUNCTION("""COMPUTED_VALUE"""),"*三段風速調節，自由選擇所需風量*6階段上下出風角度90度調整*可減少冷暖氣開機運轉時間*靜音循環最低達35分貝")</f>
        <v>*三段風速調節，自由選擇所需風量*6階段上下出風角度90度調整*可減少冷暖氣開機運轉時間*靜音循環最低達35分貝</v>
      </c>
    </row>
    <row r="156" spans="1:27" ht="19.5" customHeight="1">
      <c r="A156" s="12" t="str">
        <f ca="1">IFERROR(__xludf.DUMMYFUNCTION("""COMPUTED_VALUE"""),"生活家電")</f>
        <v>生活家電</v>
      </c>
      <c r="B156" s="12" t="str">
        <f ca="1">IFERROR(__xludf.DUMMYFUNCTION("""COMPUTED_VALUE"""),"可易")</f>
        <v>可易</v>
      </c>
      <c r="C156" s="12" t="str">
        <f ca="1">IFERROR(__xludf.DUMMYFUNCTION("""COMPUTED_VALUE"""),"IRIS")</f>
        <v>IRIS</v>
      </c>
      <c r="D156" s="12" t="str">
        <f ca="1">IFERROR(__xludf.DUMMYFUNCTION("""COMPUTED_VALUE"""),"IRIS_輕鬆掃偵測灰塵無線吸塵器(金)_IC-SLDCP6")</f>
        <v>IRIS_輕鬆掃偵測灰塵無線吸塵器(金)_IC-SLDCP6</v>
      </c>
      <c r="E156" s="12" t="str">
        <f ca="1">IFERROR(__xludf.DUMMYFUNCTION("""COMPUTED_VALUE"""),"IC-SLDCP6")</f>
        <v>IC-SLDCP6</v>
      </c>
      <c r="F156" s="12">
        <f ca="1">IFERROR(__xludf.DUMMYFUNCTION("""COMPUTED_VALUE"""),51075044)</f>
        <v>51075044</v>
      </c>
      <c r="G156" s="12" t="str">
        <f ca="1">IFERROR(__xludf.DUMMYFUNCTION("""COMPUTED_VALUE"""),"IGEM0327")</f>
        <v>IGEM0327</v>
      </c>
      <c r="H156" s="12">
        <f ca="1">IFERROR(__xludf.DUMMYFUNCTION("""COMPUTED_VALUE"""),7990)</f>
        <v>7990</v>
      </c>
      <c r="I156" s="14">
        <f ca="1">IFERROR(__xludf.DUMMYFUNCTION("""COMPUTED_VALUE"""),4990)</f>
        <v>4990</v>
      </c>
      <c r="J156" s="21">
        <f ca="1">IFERROR(__xludf.DUMMYFUNCTION("""COMPUTED_VALUE"""),45658)</f>
        <v>45658</v>
      </c>
      <c r="K156" s="12" t="str">
        <f ca="1">IFERROR(__xludf.DUMMYFUNCTION("""COMPUTED_VALUE"""),"缺貨")</f>
        <v>缺貨</v>
      </c>
      <c r="L156" s="12" t="str">
        <f ca="1">IFERROR(__xludf.DUMMYFUNCTION("""COMPUTED_VALUE"""),"缺貨")</f>
        <v>缺貨</v>
      </c>
      <c r="M156" s="12" t="str">
        <f ca="1">IFERROR(__xludf.DUMMYFUNCTION("""COMPUTED_VALUE"""),"2025/1/1缺貨，10/23停售，2024/9/6缺貨，2021/2/1新機上架")</f>
        <v>2025/1/1缺貨，10/23停售，2024/9/6缺貨，2021/2/1新機上架</v>
      </c>
      <c r="N156" s="12" t="str">
        <f ca="1">IFERROR(__xludf.DUMMYFUNCTION("""COMPUTED_VALUE"""),"吸塵器")</f>
        <v>吸塵器</v>
      </c>
      <c r="O156" s="12" t="str">
        <f ca="1">IFERROR(__xludf.DUMMYFUNCTION("""COMPUTED_VALUE"""),"金")</f>
        <v>金</v>
      </c>
      <c r="P156" s="12"/>
      <c r="Q156" s="12" t="str">
        <f ca="1">IFERROR(__xludf.DUMMYFUNCTION("""COMPUTED_VALUE"""),"尺寸(mm)：高1150*寬175*長236")</f>
        <v>尺寸(mm)：高1150*寬175*長236</v>
      </c>
      <c r="R156" s="12" t="str">
        <f ca="1">IFERROR(__xludf.DUMMYFUNCTION("""COMPUTED_VALUE"""),"中國")</f>
        <v>中國</v>
      </c>
      <c r="S156" s="12"/>
      <c r="T156" s="12"/>
      <c r="U156" s="12" t="str">
        <f ca="1">IFERROR(__xludf.DUMMYFUNCTION("""COMPUTED_VALUE"""),"1年")</f>
        <v>1年</v>
      </c>
      <c r="V156" s="12" t="str">
        <f ca="1">IFERROR(__xludf.DUMMYFUNCTION("""COMPUTED_VALUE"""),"1年")</f>
        <v>1年</v>
      </c>
      <c r="W156" s="12"/>
      <c r="X156" s="12"/>
      <c r="Y156" s="12"/>
      <c r="Z156" s="14"/>
      <c r="AA156" s="15" t="str">
        <f ca="1">IFERROR(__xludf.DUMMYFUNCTION("""COMPUTED_VALUE"""),"*日本極輕量智能推進吸塵器*新一代電動吸頭*極輕量1.6KG*.搭載「灰塵多寡」感應裝置")</f>
        <v>*日本極輕量智能推進吸塵器*新一代電動吸頭*極輕量1.6KG*.搭載「灰塵多寡」感應裝置</v>
      </c>
    </row>
    <row r="157" spans="1:27" ht="19.5" customHeight="1">
      <c r="A157" s="12" t="str">
        <f ca="1">IFERROR(__xludf.DUMMYFUNCTION("""COMPUTED_VALUE"""),"生活家電")</f>
        <v>生活家電</v>
      </c>
      <c r="B157" s="12" t="str">
        <f ca="1">IFERROR(__xludf.DUMMYFUNCTION("""COMPUTED_VALUE"""),"可易")</f>
        <v>可易</v>
      </c>
      <c r="C157" s="12" t="str">
        <f ca="1">IFERROR(__xludf.DUMMYFUNCTION("""COMPUTED_VALUE"""),"雲米")</f>
        <v>雲米</v>
      </c>
      <c r="D157" s="12" t="str">
        <f ca="1">IFERROR(__xludf.DUMMYFUNCTION("""COMPUTED_VALUE"""),"雲米強效殺菌集塵掃拖機器人S9UV")</f>
        <v>雲米強效殺菌集塵掃拖機器人S9UV</v>
      </c>
      <c r="E157" s="12" t="str">
        <f ca="1">IFERROR(__xludf.DUMMYFUNCTION("""COMPUTED_VALUE"""),"S9UV")</f>
        <v>S9UV</v>
      </c>
      <c r="F157" s="12">
        <f ca="1">IFERROR(__xludf.DUMMYFUNCTION("""COMPUTED_VALUE"""),51075099)</f>
        <v>51075099</v>
      </c>
      <c r="G157" s="12" t="str">
        <f ca="1">IFERROR(__xludf.DUMMYFUNCTION("""COMPUTED_VALUE"""),"IGEM119R")</f>
        <v>IGEM119R</v>
      </c>
      <c r="H157" s="13">
        <f ca="1">IFERROR(__xludf.DUMMYFUNCTION("""COMPUTED_VALUE"""),12990)</f>
        <v>12990</v>
      </c>
      <c r="I157" s="14">
        <f ca="1">IFERROR(__xludf.DUMMYFUNCTION("""COMPUTED_VALUE"""),8990)</f>
        <v>8990</v>
      </c>
      <c r="J157" s="16">
        <f ca="1">IFERROR(__xludf.DUMMYFUNCTION("""COMPUTED_VALUE"""),45680)</f>
        <v>45680</v>
      </c>
      <c r="K157" s="12" t="str">
        <f ca="1">IFERROR(__xludf.DUMMYFUNCTION("""COMPUTED_VALUE"""),"新機上架")</f>
        <v>新機上架</v>
      </c>
      <c r="L157" s="12" t="str">
        <f ca="1">IFERROR(__xludf.DUMMYFUNCTION("""COMPUTED_VALUE"""),"上架中")</f>
        <v>上架中</v>
      </c>
      <c r="M157" s="12" t="str">
        <f ca="1">IFERROR(__xludf.DUMMYFUNCTION("""COMPUTED_VALUE"""),"2025/1/23新機上架")</f>
        <v>2025/1/23新機上架</v>
      </c>
      <c r="N157" s="12" t="str">
        <f ca="1">IFERROR(__xludf.DUMMYFUNCTION("""COMPUTED_VALUE"""),"掃地機器人")</f>
        <v>掃地機器人</v>
      </c>
      <c r="O157" s="12" t="str">
        <f ca="1">IFERROR(__xludf.DUMMYFUNCTION("""COMPUTED_VALUE"""),"米白色")</f>
        <v>米白色</v>
      </c>
      <c r="P157" s="12" t="str">
        <f ca="1">IFERROR(__xludf.DUMMYFUNCTION("""COMPUTED_VALUE"""),"主機
型號: Viomi雲米S9UV智能掃拖機器人
產品尺寸: 350mm*98mm
定額功率：50W
定額電壓：14.4V
電池容量：5200mAh
產地：中國製造
保固：1年
集塵座
產品型號:V-ADD26C/V-ADD26D
定額功率:950W
定額輸入:110V~60Hz
定額頻率:50/60Hz
外型尺寸:356*250*193mm
產地：中國製造
保固：1年")</f>
        <v>主機
型號: Viomi雲米S9UV智能掃拖機器人
產品尺寸: 350mm*98mm
定額功率：50W
定額電壓：14.4V
電池容量：5200mAh
產地：中國製造
保固：1年
集塵座
產品型號:V-ADD26C/V-ADD26D
定額功率:950W
定額輸入:110V~60Hz
定額頻率:50/60Hz
外型尺寸:356*250*193mm
產地：中國製造
保固：1年</v>
      </c>
      <c r="Q157" s="12" t="str">
        <f ca="1">IFERROR(__xludf.DUMMYFUNCTION("""COMPUTED_VALUE"""),"主機 ： 350mm*98mm
 集塵座 ：356*250*193mm")</f>
        <v>主機 ： 350mm*98mm
 集塵座 ：356*250*193mm</v>
      </c>
      <c r="R157" s="12" t="str">
        <f ca="1">IFERROR(__xludf.DUMMYFUNCTION("""COMPUTED_VALUE"""),"中國")</f>
        <v>中國</v>
      </c>
      <c r="S157" s="12"/>
      <c r="T157" s="12"/>
      <c r="U157" s="12" t="str">
        <f ca="1">IFERROR(__xludf.DUMMYFUNCTION("""COMPUTED_VALUE"""),"馬達 1 年保固")</f>
        <v>馬達 1 年保固</v>
      </c>
      <c r="V157" s="12"/>
      <c r="W157" s="12"/>
      <c r="X157" s="12"/>
      <c r="Y157" s="12"/>
      <c r="Z157" s="14"/>
      <c r="AA157" s="15" t="str">
        <f ca="1">IFERROR(__xludf.DUMMYFUNCTION("""COMPUTED_VALUE"""),"*UV燈物理殺菌高達99%以上*通過國際權威SGS認證檢測**自動集塵座2.0系統，風道更短不堵塞*250ML大容量恆壓電控水箱*LDS2.0雷射掃描規劃與建構地圖*2800PA強勁吸力*5200mAh電池高續航，清掃範圍更大*一次性集塵袋，用完即丟避免二次接觸*聚塵單邊刷，不怕灰塵亂飛")</f>
        <v>*UV燈物理殺菌高達99%以上*通過國際權威SGS認證檢測**自動集塵座2.0系統，風道更短不堵塞*250ML大容量恆壓電控水箱*LDS2.0雷射掃描規劃與建構地圖*2800PA強勁吸力*5200mAh電池高續航，清掃範圍更大*一次性集塵袋，用完即丟避免二次接觸*聚塵單邊刷，不怕灰塵亂飛</v>
      </c>
    </row>
    <row r="158" spans="1:27" ht="19.5" customHeight="1">
      <c r="A158" s="12" t="str">
        <f ca="1">IFERROR(__xludf.DUMMYFUNCTION("""COMPUTED_VALUE"""),"生活家電")</f>
        <v>生活家電</v>
      </c>
      <c r="B158" s="12" t="str">
        <f ca="1">IFERROR(__xludf.DUMMYFUNCTION("""COMPUTED_VALUE"""),"順發")</f>
        <v>順發</v>
      </c>
      <c r="C158" s="12" t="str">
        <f ca="1">IFERROR(__xludf.DUMMYFUNCTION("""COMPUTED_VALUE"""),"TESCOM")</f>
        <v>TESCOM</v>
      </c>
      <c r="D158" s="12" t="str">
        <f ca="1">IFERROR(__xludf.DUMMYFUNCTION("""COMPUTED_VALUE"""),"TESCOM防靜電大風量吹風機(白)_TID2200TW")</f>
        <v>TESCOM防靜電大風量吹風機(白)_TID2200TW</v>
      </c>
      <c r="E158" s="12" t="str">
        <f ca="1">IFERROR(__xludf.DUMMYFUNCTION("""COMPUTED_VALUE"""),"TID2200TWWH")</f>
        <v>TID2200TWWH</v>
      </c>
      <c r="F158" s="12">
        <f ca="1">IFERROR(__xludf.DUMMYFUNCTION("""COMPUTED_VALUE"""),51095090)</f>
        <v>51095090</v>
      </c>
      <c r="G158" s="12" t="str">
        <f ca="1">IFERROR(__xludf.DUMMYFUNCTION("""COMPUTED_VALUE"""),"IGEM00WM")</f>
        <v>IGEM00WM</v>
      </c>
      <c r="H158" s="12">
        <f ca="1">IFERROR(__xludf.DUMMYFUNCTION("""COMPUTED_VALUE"""),1990)</f>
        <v>1990</v>
      </c>
      <c r="I158" s="14">
        <f ca="1">IFERROR(__xludf.DUMMYFUNCTION("""COMPUTED_VALUE"""),1049)</f>
        <v>1049</v>
      </c>
      <c r="J158" s="16">
        <f ca="1">IFERROR(__xludf.DUMMYFUNCTION("""COMPUTED_VALUE"""),44986)</f>
        <v>44986</v>
      </c>
      <c r="K158" s="12" t="str">
        <f ca="1">IFERROR(__xludf.DUMMYFUNCTION("""COMPUTED_VALUE"""),"回價")</f>
        <v>回價</v>
      </c>
      <c r="L158" s="12" t="str">
        <f ca="1">IFERROR(__xludf.DUMMYFUNCTION("""COMPUTED_VALUE"""),"上架中")</f>
        <v>上架中</v>
      </c>
      <c r="M158" s="12" t="str">
        <f ca="1">IFERROR(__xludf.DUMMYFUNCTION("""COMPUTED_VALUE"""),"3/1回價，2019/2/15新機上架")</f>
        <v>3/1回價，2019/2/15新機上架</v>
      </c>
      <c r="N158" s="12" t="str">
        <f ca="1">IFERROR(__xludf.DUMMYFUNCTION("""COMPUTED_VALUE"""),"吹風機/造型整髮器")</f>
        <v>吹風機/造型整髮器</v>
      </c>
      <c r="O158" s="12" t="str">
        <f ca="1">IFERROR(__xludf.DUMMYFUNCTION("""COMPUTED_VALUE"""),"白")</f>
        <v>白</v>
      </c>
      <c r="P158" s="12" t="str">
        <f ca="1">IFERROR(__xludf.DUMMYFUNCTION("""COMPUTED_VALUE"""),"1500W")</f>
        <v>1500W</v>
      </c>
      <c r="Q158" s="12" t="str">
        <f ca="1">IFERROR(__xludf.DUMMYFUNCTION("""COMPUTED_VALUE"""),"高90*寬194*長283")</f>
        <v>高90*寬194*長283</v>
      </c>
      <c r="R158" s="12" t="str">
        <f ca="1">IFERROR(__xludf.DUMMYFUNCTION("""COMPUTED_VALUE"""),"中國")</f>
        <v>中國</v>
      </c>
      <c r="S158" s="12"/>
      <c r="T158" s="12"/>
      <c r="U158" s="12" t="str">
        <f ca="1">IFERROR(__xludf.DUMMYFUNCTION("""COMPUTED_VALUE"""),"1年")</f>
        <v>1年</v>
      </c>
      <c r="V158" s="12" t="str">
        <f ca="1">IFERROR(__xludf.DUMMYFUNCTION("""COMPUTED_VALUE"""),"官網登錄延長三個月保固")</f>
        <v>官網登錄延長三個月保固</v>
      </c>
      <c r="W158" s="12"/>
      <c r="X158" s="12"/>
      <c r="Y158" s="12"/>
      <c r="Z158" s="14"/>
      <c r="AA158" s="15" t="str">
        <f ca="1">IFERROR(__xludf.DUMMYFUNCTION("""COMPUTED_VALUE"""),"*速乾!颱風級風量2.0Ｍ³/分*抑制靜電有效對抗毛躁髮質*修護離子強效保濕修護髮尾*雙氣流風罩設計造型輕鬆吹​")</f>
        <v>*速乾!颱風級風量2.0Ｍ³/分*抑制靜電有效對抗毛躁髮質*修護離子強效保濕修護髮尾*雙氣流風罩設計造型輕鬆吹​</v>
      </c>
    </row>
    <row r="159" spans="1:27" ht="19.5" customHeight="1">
      <c r="A159" s="12" t="str">
        <f ca="1">IFERROR(__xludf.DUMMYFUNCTION("""COMPUTED_VALUE"""),"生活家電")</f>
        <v>生活家電</v>
      </c>
      <c r="B159" s="12" t="str">
        <f ca="1">IFERROR(__xludf.DUMMYFUNCTION("""COMPUTED_VALUE"""),"順發")</f>
        <v>順發</v>
      </c>
      <c r="C159" s="12" t="str">
        <f ca="1">IFERROR(__xludf.DUMMYFUNCTION("""COMPUTED_VALUE"""),"HITACHI")</f>
        <v>HITACHI</v>
      </c>
      <c r="D159" s="12" t="str">
        <f ca="1">IFERROR(__xludf.DUMMYFUNCTION("""COMPUTED_VALUE"""),"日立PVXH920JTN直立/手持吸塵器日製(香檳金")</f>
        <v>日立PVXH920JTN直立/手持吸塵器日製(香檳金</v>
      </c>
      <c r="E159" s="12" t="str">
        <f ca="1">IFERROR(__xludf.DUMMYFUNCTION("""COMPUTED_VALUE"""),"PVXH920JTN")</f>
        <v>PVXH920JTN</v>
      </c>
      <c r="F159" s="12">
        <f ca="1">IFERROR(__xludf.DUMMYFUNCTION("""COMPUTED_VALUE"""),51095493)</f>
        <v>51095493</v>
      </c>
      <c r="G159" s="12" t="str">
        <f ca="1">IFERROR(__xludf.DUMMYFUNCTION("""COMPUTED_VALUE"""),"IGEM0593")</f>
        <v>IGEM0593</v>
      </c>
      <c r="H159" s="12">
        <f ca="1">IFERROR(__xludf.DUMMYFUNCTION("""COMPUTED_VALUE"""),18490)</f>
        <v>18490</v>
      </c>
      <c r="I159" s="14">
        <f ca="1">IFERROR(__xludf.DUMMYFUNCTION("""COMPUTED_VALUE"""),16288)</f>
        <v>16288</v>
      </c>
      <c r="J159" s="16">
        <f ca="1">IFERROR(__xludf.DUMMYFUNCTION("""COMPUTED_VALUE"""),45108)</f>
        <v>45108</v>
      </c>
      <c r="K159" s="12" t="str">
        <f ca="1">IFERROR(__xludf.DUMMYFUNCTION("""COMPUTED_VALUE"""),"短促")</f>
        <v>短促</v>
      </c>
      <c r="L159" s="12" t="str">
        <f ca="1">IFERROR(__xludf.DUMMYFUNCTION("""COMPUTED_VALUE"""),"上架中")</f>
        <v>上架中</v>
      </c>
      <c r="M159" s="12" t="str">
        <f ca="1">IFERROR(__xludf.DUMMYFUNCTION("""COMPUTED_VALUE"""),"7/1短促，2023/5/1回價，3/1回價，2021/4/1新機上架")</f>
        <v>7/1短促，2023/5/1回價，3/1回價，2021/4/1新機上架</v>
      </c>
      <c r="N159" s="12" t="str">
        <f ca="1">IFERROR(__xludf.DUMMYFUNCTION("""COMPUTED_VALUE"""),"吸塵器")</f>
        <v>吸塵器</v>
      </c>
      <c r="O159" s="12" t="str">
        <f ca="1">IFERROR(__xludf.DUMMYFUNCTION("""COMPUTED_VALUE"""),"香檳金")</f>
        <v>香檳金</v>
      </c>
      <c r="P159" s="12" t="str">
        <f ca="1">IFERROR(__xludf.DUMMYFUNCTION("""COMPUTED_VALUE"""),"電壓:110V
包裝附件
紙箱/二合一細縫吸頭/補塵吸頭毛刷/手持毛刷/迷你電動毛刷吸頭/輕細集塵軟管")</f>
        <v>電壓:110V
包裝附件
紙箱/二合一細縫吸頭/補塵吸頭毛刷/手持毛刷/迷你電動毛刷吸頭/輕細集塵軟管</v>
      </c>
      <c r="Q159" s="12" t="str">
        <f ca="1">IFERROR(__xludf.DUMMYFUNCTION("""COMPUTED_VALUE"""),"1024*225*230")</f>
        <v>1024*225*230</v>
      </c>
      <c r="R159" s="12" t="str">
        <f ca="1">IFERROR(__xludf.DUMMYFUNCTION("""COMPUTED_VALUE"""),"日本")</f>
        <v>日本</v>
      </c>
      <c r="S159" s="12"/>
      <c r="T159" s="12"/>
      <c r="U159" s="12" t="str">
        <f ca="1">IFERROR(__xludf.DUMMYFUNCTION("""COMPUTED_VALUE"""),"1年")</f>
        <v>1年</v>
      </c>
      <c r="V159" s="12"/>
      <c r="W159" s="12"/>
      <c r="X159" s="12" t="str">
        <f ca="1">IFERROR(__xludf.DUMMYFUNCTION("""COMPUTED_VALUE"""),"(114/1/1~2/28)隨貨送獨家送易百拉密封罐3入組(市價890)
")</f>
        <v xml:space="preserve">(114/1/1~2/28)隨貨送獨家送易百拉密封罐3入組(市價890)
</v>
      </c>
      <c r="Y159" s="12"/>
      <c r="Z159" s="14"/>
      <c r="AA159" s="15" t="str">
        <f ca="1">IFERROR(__xludf.DUMMYFUNCTION("""COMPUTED_VALUE"""),"*全方位智慧探照電動吸頭(全貼地吸塵)*吸塵器清潔超EASY不二次汙染*整體重量1.7KG輕量手感吸力升級更有感*全新無纏結毛刷(可除菌)*集塵盒毛髮不易糾結*集塵盒一鍵垃圾彈出*全新[自動]模式*自動偵測地面材質調整吸力強度*豐富配件一次擁有
")</f>
        <v xml:space="preserve">*全方位智慧探照電動吸頭(全貼地吸塵)*吸塵器清潔超EASY不二次汙染*整體重量1.7KG輕量手感吸力升級更有感*全新無纏結毛刷(可除菌)*集塵盒毛髮不易糾結*集塵盒一鍵垃圾彈出*全新[自動]模式*自動偵測地面材質調整吸力強度*豐富配件一次擁有
</v>
      </c>
    </row>
    <row r="160" spans="1:27" ht="19.5" customHeight="1">
      <c r="A160" s="12" t="str">
        <f ca="1">IFERROR(__xludf.DUMMYFUNCTION("""COMPUTED_VALUE"""),"生活家電")</f>
        <v>生活家電</v>
      </c>
      <c r="B160" s="12" t="str">
        <f ca="1">IFERROR(__xludf.DUMMYFUNCTION("""COMPUTED_VALUE"""),"順發")</f>
        <v>順發</v>
      </c>
      <c r="C160" s="12" t="str">
        <f ca="1">IFERROR(__xludf.DUMMYFUNCTION("""COMPUTED_VALUE"""),"BRAUN")</f>
        <v>BRAUN</v>
      </c>
      <c r="D160" s="12" t="str">
        <f ca="1">IFERROR(__xludf.DUMMYFUNCTION("""COMPUTED_VALUE"""),"德國百靈3020s-B新三鋒系列電鬍刀(黑)_3020s-B")</f>
        <v>德國百靈3020s-B新三鋒系列電鬍刀(黑)_3020s-B</v>
      </c>
      <c r="E160" s="12" t="str">
        <f ca="1">IFERROR(__xludf.DUMMYFUNCTION("""COMPUTED_VALUE"""),"3020s-B")</f>
        <v>3020s-B</v>
      </c>
      <c r="F160" s="12">
        <f ca="1">IFERROR(__xludf.DUMMYFUNCTION("""COMPUTED_VALUE"""),51095249)</f>
        <v>51095249</v>
      </c>
      <c r="G160" s="12" t="str">
        <f ca="1">IFERROR(__xludf.DUMMYFUNCTION("""COMPUTED_VALUE"""),"IGEM01TK")</f>
        <v>IGEM01TK</v>
      </c>
      <c r="H160" s="12">
        <f ca="1">IFERROR(__xludf.DUMMYFUNCTION("""COMPUTED_VALUE"""),3788)</f>
        <v>3788</v>
      </c>
      <c r="I160" s="14">
        <f ca="1">IFERROR(__xludf.DUMMYFUNCTION("""COMPUTED_VALUE"""),2880)</f>
        <v>2880</v>
      </c>
      <c r="J160" s="12"/>
      <c r="K160" s="12"/>
      <c r="L160" s="12" t="str">
        <f ca="1">IFERROR(__xludf.DUMMYFUNCTION("""COMPUTED_VALUE"""),"上架中")</f>
        <v>上架中</v>
      </c>
      <c r="M160" s="12"/>
      <c r="N160" s="12" t="str">
        <f ca="1">IFERROR(__xludf.DUMMYFUNCTION("""COMPUTED_VALUE"""),"電動刮鬍刀")</f>
        <v>電動刮鬍刀</v>
      </c>
      <c r="O160" s="12" t="str">
        <f ca="1">IFERROR(__xludf.DUMMYFUNCTION("""COMPUTED_VALUE"""),"黑色")</f>
        <v>黑色</v>
      </c>
      <c r="P160" s="12" t="str">
        <f ca="1">IFERROR(__xludf.DUMMYFUNCTION("""COMPUTED_VALUE"""),"100-240V/50-60Hz國際電壓")</f>
        <v>100-240V/50-60Hz國際電壓</v>
      </c>
      <c r="Q160" s="12" t="str">
        <f ca="1">IFERROR(__xludf.DUMMYFUNCTION("""COMPUTED_VALUE"""),"222(H)x57(W)x155(L)")</f>
        <v>222(H)x57(W)x155(L)</v>
      </c>
      <c r="R160" s="12" t="str">
        <f ca="1">IFERROR(__xludf.DUMMYFUNCTION("""COMPUTED_VALUE"""),"中國")</f>
        <v>中國</v>
      </c>
      <c r="S160" s="12"/>
      <c r="T160" s="12"/>
      <c r="U160" s="12" t="str">
        <f ca="1">IFERROR(__xludf.DUMMYFUNCTION("""COMPUTED_VALUE"""),"2年")</f>
        <v>2年</v>
      </c>
      <c r="V160" s="12"/>
      <c r="W160" s="12" t="str">
        <f ca="1">IFERROR(__xludf.DUMMYFUNCTION("""COMPUTED_VALUE"""),"隨貨送歐樂B D12N電動牙刷(市價1190)
")</f>
        <v xml:space="preserve">隨貨送歐樂B D12N電動牙刷(市價1190)
</v>
      </c>
      <c r="X160" s="12"/>
      <c r="Y160" s="12"/>
      <c r="Z160" s="14"/>
      <c r="AA160" s="15" t="str">
        <f ca="1">IFERROR(__xludf.DUMMYFUNCTION("""COMPUTED_VALUE"""),"*精密齒梳技術，溫和梳理，高效修剪*獨立浮動三刀頭，有效剃除新生鬍鬚*全新六角型刀網，大幅提升刮鬍效率*更換零件指示燈，使用約18個月提醒*全機防水設計*充插兩用，1小時快充*附鬢角刀")</f>
        <v>*精密齒梳技術，溫和梳理，高效修剪*獨立浮動三刀頭，有效剃除新生鬍鬚*全新六角型刀網，大幅提升刮鬍效率*更換零件指示燈，使用約18個月提醒*全機防水設計*充插兩用，1小時快充*附鬢角刀</v>
      </c>
    </row>
    <row r="161" spans="1:27" ht="19.5" customHeight="1">
      <c r="A161" s="12" t="str">
        <f ca="1">IFERROR(__xludf.DUMMYFUNCTION("""COMPUTED_VALUE"""),"生活家電")</f>
        <v>生活家電</v>
      </c>
      <c r="B161" s="12" t="str">
        <f ca="1">IFERROR(__xludf.DUMMYFUNCTION("""COMPUTED_VALUE"""),"順發")</f>
        <v>順發</v>
      </c>
      <c r="C161" s="12" t="str">
        <f ca="1">IFERROR(__xludf.DUMMYFUNCTION("""COMPUTED_VALUE"""),"BRAUN")</f>
        <v>BRAUN</v>
      </c>
      <c r="D161" s="12" t="str">
        <f ca="1">IFERROR(__xludf.DUMMYFUNCTION("""COMPUTED_VALUE"""),"BRAUN_德國百靈歐樂B手持高效活氧沖牙機_798080_MDH20")</f>
        <v>BRAUN_德國百靈歐樂B手持高效活氧沖牙機_798080_MDH20</v>
      </c>
      <c r="E161" s="12" t="str">
        <f ca="1">IFERROR(__xludf.DUMMYFUNCTION("""COMPUTED_VALUE"""),"MDH20")</f>
        <v>MDH20</v>
      </c>
      <c r="F161" s="12">
        <f ca="1">IFERROR(__xludf.DUMMYFUNCTION("""COMPUTED_VALUE"""),51095562)</f>
        <v>51095562</v>
      </c>
      <c r="G161" s="12" t="str">
        <f ca="1">IFERROR(__xludf.DUMMYFUNCTION("""COMPUTED_VALUE"""),"IGEM064S")</f>
        <v>IGEM064S</v>
      </c>
      <c r="H161" s="12">
        <f ca="1">IFERROR(__xludf.DUMMYFUNCTION("""COMPUTED_VALUE"""),3290)</f>
        <v>3290</v>
      </c>
      <c r="I161" s="14">
        <f ca="1">IFERROR(__xludf.DUMMYFUNCTION("""COMPUTED_VALUE"""),2790)</f>
        <v>2790</v>
      </c>
      <c r="J161" s="16">
        <f ca="1">IFERROR(__xludf.DUMMYFUNCTION("""COMPUTED_VALUE"""),44896)</f>
        <v>44896</v>
      </c>
      <c r="K161" s="12" t="str">
        <f ca="1">IFERROR(__xludf.DUMMYFUNCTION("""COMPUTED_VALUE"""),"新機上架")</f>
        <v>新機上架</v>
      </c>
      <c r="L161" s="12" t="str">
        <f ca="1">IFERROR(__xludf.DUMMYFUNCTION("""COMPUTED_VALUE"""),"上架中")</f>
        <v>上架中</v>
      </c>
      <c r="M161" s="12" t="str">
        <f ca="1">IFERROR(__xludf.DUMMYFUNCTION("""COMPUTED_VALUE"""),"2021/12/1新機上架")</f>
        <v>2021/12/1新機上架</v>
      </c>
      <c r="N161" s="12" t="str">
        <f ca="1">IFERROR(__xludf.DUMMYFUNCTION("""COMPUTED_VALUE"""),"電動牙刷/沖牙機")</f>
        <v>電動牙刷/沖牙機</v>
      </c>
      <c r="O161" s="12" t="str">
        <f ca="1">IFERROR(__xludf.DUMMYFUNCTION("""COMPUTED_VALUE"""),"白")</f>
        <v>白</v>
      </c>
      <c r="P161" s="12"/>
      <c r="Q161" s="12" t="str">
        <f ca="1">IFERROR(__xludf.DUMMYFUNCTION("""COMPUTED_VALUE"""),"253(H)*68(W)*161(L)")</f>
        <v>253(H)*68(W)*161(L)</v>
      </c>
      <c r="R161" s="12" t="str">
        <f ca="1">IFERROR(__xludf.DUMMYFUNCTION("""COMPUTED_VALUE"""),"中國")</f>
        <v>中國</v>
      </c>
      <c r="S161" s="12"/>
      <c r="T161" s="12"/>
      <c r="U161" s="12" t="str">
        <f ca="1">IFERROR(__xludf.DUMMYFUNCTION("""COMPUTED_VALUE"""),"1年")</f>
        <v>1年</v>
      </c>
      <c r="V161" s="12"/>
      <c r="W161" s="12" t="str">
        <f ca="1">IFERROR(__xludf.DUMMYFUNCTION("""COMPUTED_VALUE"""),"隨貨送ORAL-B 盥洗收納包")</f>
        <v>隨貨送ORAL-B 盥洗收納包</v>
      </c>
      <c r="X161" s="12"/>
      <c r="Y161" s="12"/>
      <c r="Z161" s="14"/>
      <c r="AA161" s="15" t="str">
        <f ca="1">IFERROR(__xludf.DUMMYFUNCTION("""COMPUTED_VALUE"""),"*溫和清潔口腔首選*高效活氧(OxyJet)微分子氣泡科技*2種按壓出水模式*螺旋式水柱噴射設計*3種段速，操作方便")</f>
        <v>*溫和清潔口腔首選*高效活氧(OxyJet)微分子氣泡科技*2種按壓出水模式*螺旋式水柱噴射設計*3種段速，操作方便</v>
      </c>
    </row>
    <row r="162" spans="1:27" ht="19.5" customHeight="1">
      <c r="A162" s="12" t="str">
        <f ca="1">IFERROR(__xludf.DUMMYFUNCTION("""COMPUTED_VALUE"""),"生活家電")</f>
        <v>生活家電</v>
      </c>
      <c r="B162" s="12" t="str">
        <f ca="1">IFERROR(__xludf.DUMMYFUNCTION("""COMPUTED_VALUE"""),"順發")</f>
        <v>順發</v>
      </c>
      <c r="C162" s="12" t="str">
        <f ca="1">IFERROR(__xludf.DUMMYFUNCTION("""COMPUTED_VALUE"""),"BRAUN")</f>
        <v>BRAUN</v>
      </c>
      <c r="D162" s="12" t="str">
        <f ca="1">IFERROR(__xludf.DUMMYFUNCTION("""COMPUTED_VALUE"""),"德國百靈BRAUN 7系列PRO 智能靈動電動刮鬍刀72-C7650cc(德國製造)_790725")</f>
        <v>德國百靈BRAUN 7系列PRO 智能靈動電動刮鬍刀72-C7650cc(德國製造)_790725</v>
      </c>
      <c r="E162" s="12" t="str">
        <f ca="1">IFERROR(__xludf.DUMMYFUNCTION("""COMPUTED_VALUE"""),"72-C7650cc")</f>
        <v>72-C7650cc</v>
      </c>
      <c r="F162" s="12">
        <f ca="1">IFERROR(__xludf.DUMMYFUNCTION("""COMPUTED_VALUE"""),51095808)</f>
        <v>51095808</v>
      </c>
      <c r="G162" s="12" t="str">
        <f ca="1">IFERROR(__xludf.DUMMYFUNCTION("""COMPUTED_VALUE"""),"IGEM103W")</f>
        <v>IGEM103W</v>
      </c>
      <c r="H162" s="13">
        <f ca="1">IFERROR(__xludf.DUMMYFUNCTION("""COMPUTED_VALUE"""),19800)</f>
        <v>19800</v>
      </c>
      <c r="I162" s="14">
        <f ca="1">IFERROR(__xludf.DUMMYFUNCTION("""COMPUTED_VALUE"""),13888)</f>
        <v>13888</v>
      </c>
      <c r="J162" s="16">
        <f ca="1">IFERROR(__xludf.DUMMYFUNCTION("""COMPUTED_VALUE"""),45474)</f>
        <v>45474</v>
      </c>
      <c r="K162" s="12" t="str">
        <f ca="1">IFERROR(__xludf.DUMMYFUNCTION("""COMPUTED_VALUE"""),"新機上架")</f>
        <v>新機上架</v>
      </c>
      <c r="L162" s="12" t="str">
        <f ca="1">IFERROR(__xludf.DUMMYFUNCTION("""COMPUTED_VALUE"""),"上架中")</f>
        <v>上架中</v>
      </c>
      <c r="M162" s="12" t="str">
        <f ca="1">IFERROR(__xludf.DUMMYFUNCTION("""COMPUTED_VALUE"""),"2024/7/1新機上架")</f>
        <v>2024/7/1新機上架</v>
      </c>
      <c r="N162" s="12" t="str">
        <f ca="1">IFERROR(__xludf.DUMMYFUNCTION("""COMPUTED_VALUE"""),"電動刮鬍刀")</f>
        <v>電動刮鬍刀</v>
      </c>
      <c r="O162" s="12" t="str">
        <f ca="1">IFERROR(__xludf.DUMMYFUNCTION("""COMPUTED_VALUE"""),"黑")</f>
        <v>黑</v>
      </c>
      <c r="P162" s="12" t="str">
        <f ca="1">IFERROR(__xludf.DUMMYFUNCTION("""COMPUTED_VALUE"""),"電壓電流：100-240V/50-60Hz 世界電壓        
消耗電力：7W        
充電時間：1小時        
無線操作時間：50分鐘         
配件: 73S (Cassette)        
電池種類: 鋰離子電池
商品淨重(g)：818
商品毛重(g)：1084")</f>
        <v>電壓電流：100-240V/50-60Hz 世界電壓        
消耗電力：7W        
充電時間：1小時        
無線操作時間：50分鐘         
配件: 73S (Cassette)        
電池種類: 鋰離子電池
商品淨重(g)：818
商品毛重(g)：1084</v>
      </c>
      <c r="Q162" s="12" t="str">
        <f ca="1">IFERROR(__xludf.DUMMYFUNCTION("""COMPUTED_VALUE"""),"商品尺寸(mm)：
157(H)x157(W)x25.2(D)
包裝尺寸(mm)：
282(H)x174(W)x493(D)")</f>
        <v>商品尺寸(mm)：
157(H)x157(W)x25.2(D)
包裝尺寸(mm)：
282(H)x174(W)x493(D)</v>
      </c>
      <c r="R162" s="12" t="str">
        <f ca="1">IFERROR(__xludf.DUMMYFUNCTION("""COMPUTED_VALUE"""),"德國")</f>
        <v>德國</v>
      </c>
      <c r="S162" s="12"/>
      <c r="T162" s="12"/>
      <c r="U162" s="12" t="str">
        <f ca="1">IFERROR(__xludf.DUMMYFUNCTION("""COMPUTED_VALUE"""),"2年")</f>
        <v>2年</v>
      </c>
      <c r="V162" s="12"/>
      <c r="W162" s="12" t="str">
        <f ca="1">IFERROR(__xludf.DUMMYFUNCTION("""COMPUTED_VALUE"""),"隨貨送Medisana冷熱按摩槍RG223")</f>
        <v>隨貨送Medisana冷熱按摩槍RG223</v>
      </c>
      <c r="X162" s="12"/>
      <c r="Y162" s="12"/>
      <c r="Z162" s="14"/>
      <c r="AA162" s="15" t="str">
        <f ca="1">IFERROR(__xludf.DUMMYFUNCTION("""COMPUTED_VALUE"""),"*每分鐘24,000次 馬達轉速*每秒130次移動- 獨家 ActiveLift™智能梳專利技術*全新OptiFoil™刀網：刀網薄如髮絲，頑固鬍鬚都能貼面刮淨。*三段式刮鬍系統*精準舒滑刀片*智慧全自動清潔系統(Clean &amp; Renew™) *全機身防水設計*LED 顯示螢幕 *乾溼兩用*充電使用*快充功能*Smart Plug
")</f>
        <v xml:space="preserve">*每分鐘24,000次 馬達轉速*每秒130次移動- 獨家 ActiveLift™智能梳專利技術*全新OptiFoil™刀網：刀網薄如髮絲，頑固鬍鬚都能貼面刮淨。*三段式刮鬍系統*精準舒滑刀片*智慧全自動清潔系統(Clean &amp; Renew™) *全機身防水設計*LED 顯示螢幕 *乾溼兩用*充電使用*快充功能*Smart Plug
</v>
      </c>
    </row>
    <row r="163" spans="1:27" ht="19.5" customHeight="1">
      <c r="A163" s="12" t="str">
        <f ca="1">IFERROR(__xludf.DUMMYFUNCTION("""COMPUTED_VALUE"""),"生活家電")</f>
        <v>生活家電</v>
      </c>
      <c r="B163" s="12" t="str">
        <f ca="1">IFERROR(__xludf.DUMMYFUNCTION("""COMPUTED_VALUE"""),"順發")</f>
        <v>順發</v>
      </c>
      <c r="C163" s="12" t="str">
        <f ca="1">IFERROR(__xludf.DUMMYFUNCTION("""COMPUTED_VALUE"""),"BRAUN")</f>
        <v>BRAUN</v>
      </c>
      <c r="D163" s="12" t="str">
        <f ca="1">IFERROR(__xludf.DUMMYFUNCTION("""COMPUTED_VALUE"""),"德國百靈BRAUN 5系列免拆快洗電鬍刀 52-M7500cc_790724")</f>
        <v>德國百靈BRAUN 5系列免拆快洗電鬍刀 52-M7500cc_790724</v>
      </c>
      <c r="E163" s="12" t="str">
        <f ca="1">IFERROR(__xludf.DUMMYFUNCTION("""COMPUTED_VALUE"""),"52-M7500cc")</f>
        <v>52-M7500cc</v>
      </c>
      <c r="F163" s="12">
        <f ca="1">IFERROR(__xludf.DUMMYFUNCTION("""COMPUTED_VALUE"""),51095809)</f>
        <v>51095809</v>
      </c>
      <c r="G163" s="12" t="str">
        <f ca="1">IFERROR(__xludf.DUMMYFUNCTION("""COMPUTED_VALUE"""),"IGEM103X")</f>
        <v>IGEM103X</v>
      </c>
      <c r="H163" s="13">
        <f ca="1">IFERROR(__xludf.DUMMYFUNCTION("""COMPUTED_VALUE"""),7888)</f>
        <v>7888</v>
      </c>
      <c r="I163" s="14">
        <f ca="1">IFERROR(__xludf.DUMMYFUNCTION("""COMPUTED_VALUE"""),5888)</f>
        <v>5888</v>
      </c>
      <c r="J163" s="16">
        <f ca="1">IFERROR(__xludf.DUMMYFUNCTION("""COMPUTED_VALUE"""),45566)</f>
        <v>45566</v>
      </c>
      <c r="K163" s="12" t="str">
        <f ca="1">IFERROR(__xludf.DUMMYFUNCTION("""COMPUTED_VALUE"""),"短促")</f>
        <v>短促</v>
      </c>
      <c r="L163" s="12" t="str">
        <f ca="1">IFERROR(__xludf.DUMMYFUNCTION("""COMPUTED_VALUE"""),"上架中")</f>
        <v>上架中</v>
      </c>
      <c r="M163" s="12" t="str">
        <f ca="1">IFERROR(__xludf.DUMMYFUNCTION("""COMPUTED_VALUE"""),"10/1短促，2024/7/1新機上架")</f>
        <v>10/1短促，2024/7/1新機上架</v>
      </c>
      <c r="N163" s="12" t="str">
        <f ca="1">IFERROR(__xludf.DUMMYFUNCTION("""COMPUTED_VALUE"""),"電動刮鬍刀")</f>
        <v>電動刮鬍刀</v>
      </c>
      <c r="O163" s="12" t="str">
        <f ca="1">IFERROR(__xludf.DUMMYFUNCTION("""COMPUTED_VALUE"""),"黑")</f>
        <v>黑</v>
      </c>
      <c r="P163" s="12" t="str">
        <f ca="1">IFERROR(__xludf.DUMMYFUNCTION("""COMPUTED_VALUE"""),"電壓電流：100-240V/50-60Hz 世界電壓        
消耗電力：7W        
充電時間：1小時        
無線操作時間：50分鐘         
配件：54B (Cassette)        
電池種類：鋰離子電池        
商品淨重(g)：833
商品毛重(g)：1096")</f>
        <v>電壓電流：100-240V/50-60Hz 世界電壓        
消耗電力：7W        
充電時間：1小時        
無線操作時間：50分鐘         
配件：54B (Cassette)        
電池種類：鋰離子電池        
商品淨重(g)：833
商品毛重(g)：1096</v>
      </c>
      <c r="Q163" s="12" t="str">
        <f ca="1">IFERROR(__xludf.DUMMYFUNCTION("""COMPUTED_VALUE"""),"商品尺寸(mm)：167(H)x63(W)x48(D)
包裝尺寸(mm)：157(H)x157(W)x252(D)")</f>
        <v>商品尺寸(mm)：167(H)x63(W)x48(D)
包裝尺寸(mm)：157(H)x157(W)x252(D)</v>
      </c>
      <c r="R163" s="12" t="str">
        <f ca="1">IFERROR(__xludf.DUMMYFUNCTION("""COMPUTED_VALUE"""),"中國")</f>
        <v>中國</v>
      </c>
      <c r="S163" s="12"/>
      <c r="T163" s="12"/>
      <c r="U163" s="12" t="str">
        <f ca="1">IFERROR(__xludf.DUMMYFUNCTION("""COMPUTED_VALUE"""),"2年")</f>
        <v>2年</v>
      </c>
      <c r="V163" s="12"/>
      <c r="W163" s="12"/>
      <c r="X163" s="12"/>
      <c r="Y163" s="12"/>
      <c r="Z163" s="14"/>
      <c r="AA163" s="15" t="str">
        <f ca="1">IFERROR(__xludf.DUMMYFUNCTION("""COMPUTED_VALUE"""),"*全新多檔變速系統：提供更適合使用習慣的刮鬍方式* 新升級！含有三個獨立刮鬍元件的德國製造刀頭刀網 *德國精工 58微米刀網* 899種精巧排佈網孔 (刀網)*獨家設計:單向沖洗閥，免拆好洗科技*AutoSense自動感應技術：簡單省力，無須用力按壓*超大刮鬍面積：高速刮鬍，效率驚豔*全新流線型設計: 人性化設計，升級便利體驗*全新採用: 強韌玻璃纖維材質*每分鐘1,572,500次交叉修剪次數*精準舒滑刀片* 乾溼兩用* 全機身防水設計* LED 顯示螢幕 *充電使用*快充功能* Smart Plug
")</f>
        <v xml:space="preserve">*全新多檔變速系統：提供更適合使用習慣的刮鬍方式* 新升級！含有三個獨立刮鬍元件的德國製造刀頭刀網 *德國精工 58微米刀網* 899種精巧排佈網孔 (刀網)*獨家設計:單向沖洗閥，免拆好洗科技*AutoSense自動感應技術：簡單省力，無須用力按壓*超大刮鬍面積：高速刮鬍，效率驚豔*全新流線型設計: 人性化設計，升級便利體驗*全新採用: 強韌玻璃纖維材質*每分鐘1,572,500次交叉修剪次數*精準舒滑刀片* 乾溼兩用* 全機身防水設計* LED 顯示螢幕 *充電使用*快充功能* Smart Plug
</v>
      </c>
    </row>
    <row r="164" spans="1:27" ht="19.5" customHeight="1">
      <c r="A164" s="12" t="str">
        <f ca="1">IFERROR(__xludf.DUMMYFUNCTION("""COMPUTED_VALUE"""),"生活家電")</f>
        <v>生活家電</v>
      </c>
      <c r="B164" s="12" t="str">
        <f ca="1">IFERROR(__xludf.DUMMYFUNCTION("""COMPUTED_VALUE"""),"順發")</f>
        <v>順發</v>
      </c>
      <c r="C164" s="12" t="str">
        <f ca="1">IFERROR(__xludf.DUMMYFUNCTION("""COMPUTED_VALUE"""),"PHILIPS")</f>
        <v>PHILIPS</v>
      </c>
      <c r="D164" s="12" t="str">
        <f ca="1">IFERROR(__xludf.DUMMYFUNCTION("""COMPUTED_VALUE"""),"飛利浦電鬍刀牙刷超值組S2306+HX2421_790365")</f>
        <v>飛利浦電鬍刀牙刷超值組S2306+HX2421_790365</v>
      </c>
      <c r="E164" s="12" t="str">
        <f ca="1">IFERROR(__xludf.DUMMYFUNCTION("""COMPUTED_VALUE"""),"S2306+HX2421")</f>
        <v>S2306+HX2421</v>
      </c>
      <c r="F164" s="12">
        <f ca="1">IFERROR(__xludf.DUMMYFUNCTION("""COMPUTED_VALUE"""),51095668)</f>
        <v>51095668</v>
      </c>
      <c r="G164" s="12" t="str">
        <f ca="1">IFERROR(__xludf.DUMMYFUNCTION("""COMPUTED_VALUE"""),"IGEM085H")</f>
        <v>IGEM085H</v>
      </c>
      <c r="H164" s="13">
        <f ca="1">IFERROR(__xludf.DUMMYFUNCTION("""COMPUTED_VALUE"""),3288)</f>
        <v>3288</v>
      </c>
      <c r="I164" s="14">
        <f ca="1">IFERROR(__xludf.DUMMYFUNCTION("""COMPUTED_VALUE"""),2888)</f>
        <v>2888</v>
      </c>
      <c r="J164" s="16">
        <f ca="1">IFERROR(__xludf.DUMMYFUNCTION("""COMPUTED_VALUE"""),45108)</f>
        <v>45108</v>
      </c>
      <c r="K164" s="12" t="str">
        <f ca="1">IFERROR(__xludf.DUMMYFUNCTION("""COMPUTED_VALUE"""),"新機上架")</f>
        <v>新機上架</v>
      </c>
      <c r="L164" s="12" t="str">
        <f ca="1">IFERROR(__xludf.DUMMYFUNCTION("""COMPUTED_VALUE"""),"上架中")</f>
        <v>上架中</v>
      </c>
      <c r="M164" s="12" t="str">
        <f ca="1">IFERROR(__xludf.DUMMYFUNCTION("""COMPUTED_VALUE"""),"2023/7/1新機上架")</f>
        <v>2023/7/1新機上架</v>
      </c>
      <c r="N164" s="12" t="str">
        <f ca="1">IFERROR(__xludf.DUMMYFUNCTION("""COMPUTED_VALUE"""),"電動刮鬍刀")</f>
        <v>電動刮鬍刀</v>
      </c>
      <c r="O164" s="12" t="str">
        <f ca="1">IFERROR(__xludf.DUMMYFUNCTION("""COMPUTED_VALUE"""),"刮鬍刀:金屬銀灰
音波牙刷:黑")</f>
        <v>刮鬍刀:金屬銀灰
音波牙刷:黑</v>
      </c>
      <c r="P164" s="12" t="str">
        <f ca="1">IFERROR(__xludf.DUMMYFUNCTION("""COMPUTED_VALUE"""),"功率:刮鬍時長40分鐘
usb充電，1小時充滿")</f>
        <v>功率:刮鬍時長40分鐘
usb充電，1小時充滿</v>
      </c>
      <c r="Q164" s="12" t="str">
        <f ca="1">IFERROR(__xludf.DUMMYFUNCTION("""COMPUTED_VALUE"""),"64*120*186 mm")</f>
        <v>64*120*186 mm</v>
      </c>
      <c r="R164" s="12" t="str">
        <f ca="1">IFERROR(__xludf.DUMMYFUNCTION("""COMPUTED_VALUE"""),"中國")</f>
        <v>中國</v>
      </c>
      <c r="S164" s="12"/>
      <c r="T164" s="12"/>
      <c r="U164" s="12" t="str">
        <f ca="1">IFERROR(__xludf.DUMMYFUNCTION("""COMPUTED_VALUE"""),"非耗材品全球兩年")</f>
        <v>非耗材品全球兩年</v>
      </c>
      <c r="V164" s="12" t="str">
        <f ca="1">IFERROR(__xludf.DUMMYFUNCTION("""COMPUTED_VALUE"""),"非耗材品全球兩年")</f>
        <v>非耗材品全球兩年</v>
      </c>
      <c r="W164" s="12" t="str">
        <f ca="1">IFERROR(__xludf.DUMMYFUNCTION("""COMPUTED_VALUE"""),"隨貨送HX2421電動牙刷 (包裝內含)")</f>
        <v>隨貨送HX2421電動牙刷 (包裝內含)</v>
      </c>
      <c r="X164" s="12"/>
      <c r="Y164" s="12"/>
      <c r="Z164" s="14"/>
      <c r="AA164" s="15" t="str">
        <f ca="1">IFERROR(__xludf.DUMMYFUNCTION("""COMPUTED_VALUE"""),"*低摩擦塗層設計，有效減少肌膚摩擦* 4D立體彈性貼面刀頭* 自動磨利科技，每次刮鬍即磨刀，俐落無頓感* 刀頭來自荷蘭製造* 機身IPX7級防水，乾濕兩用；方便全機清潔* 電競外型、酷炫流行* 1小時充滿電 ，充滿電持久續航40 min* USB充電，隨處可充")</f>
        <v>*低摩擦塗層設計，有效減少肌膚摩擦* 4D立體彈性貼面刀頭* 自動磨利科技，每次刮鬍即磨刀，俐落無頓感* 刀頭來自荷蘭製造* 機身IPX7級防水，乾濕兩用；方便全機清潔* 電競外型、酷炫流行* 1小時充滿電 ，充滿電持久續航40 min* USB充電，隨處可充</v>
      </c>
    </row>
    <row r="165" spans="1:27" ht="19.5" customHeight="1">
      <c r="A165" s="12" t="str">
        <f ca="1">IFERROR(__xludf.DUMMYFUNCTION("""COMPUTED_VALUE"""),"生活家電")</f>
        <v>生活家電</v>
      </c>
      <c r="B165" s="12" t="str">
        <f ca="1">IFERROR(__xludf.DUMMYFUNCTION("""COMPUTED_VALUE"""),"順發")</f>
        <v>順發</v>
      </c>
      <c r="C165" s="12" t="str">
        <f ca="1">IFERROR(__xludf.DUMMYFUNCTION("""COMPUTED_VALUE"""),"PHILIPS")</f>
        <v>PHILIPS</v>
      </c>
      <c r="D165" s="12" t="str">
        <f ca="1">IFERROR(__xludf.DUMMYFUNCTION("""COMPUTED_VALUE"""),"Philips 智能油燈葉片式取暖機 AHR3124NYS_779550")</f>
        <v>Philips 智能油燈葉片式取暖機 AHR3124NYS_779550</v>
      </c>
      <c r="E165" s="12" t="str">
        <f ca="1">IFERROR(__xludf.DUMMYFUNCTION("""COMPUTED_VALUE"""),"AHR3124NYS")</f>
        <v>AHR3124NYS</v>
      </c>
      <c r="F165" s="12">
        <f ca="1">IFERROR(__xludf.DUMMYFUNCTION("""COMPUTED_VALUE"""),51095872)</f>
        <v>51095872</v>
      </c>
      <c r="G165" s="12" t="str">
        <f ca="1">IFERROR(__xludf.DUMMYFUNCTION("""COMPUTED_VALUE"""),"IGEM112N")</f>
        <v>IGEM112N</v>
      </c>
      <c r="H165" s="13">
        <f ca="1">IFERROR(__xludf.DUMMYFUNCTION("""COMPUTED_VALUE"""),6990)</f>
        <v>6990</v>
      </c>
      <c r="I165" s="14">
        <f ca="1">IFERROR(__xludf.DUMMYFUNCTION("""COMPUTED_VALUE"""),6490)</f>
        <v>6490</v>
      </c>
      <c r="J165" s="16">
        <f ca="1">IFERROR(__xludf.DUMMYFUNCTION("""COMPUTED_VALUE"""),45597)</f>
        <v>45597</v>
      </c>
      <c r="K165" s="12" t="str">
        <f ca="1">IFERROR(__xludf.DUMMYFUNCTION("""COMPUTED_VALUE"""),"新機上架")</f>
        <v>新機上架</v>
      </c>
      <c r="L165" s="12" t="str">
        <f ca="1">IFERROR(__xludf.DUMMYFUNCTION("""COMPUTED_VALUE"""),"上架中")</f>
        <v>上架中</v>
      </c>
      <c r="M165" s="12" t="str">
        <f ca="1">IFERROR(__xludf.DUMMYFUNCTION("""COMPUTED_VALUE"""),"2024/11/1新機上架")</f>
        <v>2024/11/1新機上架</v>
      </c>
      <c r="N165" s="12" t="str">
        <f ca="1">IFERROR(__xludf.DUMMYFUNCTION("""COMPUTED_VALUE"""),"電暖器")</f>
        <v>電暖器</v>
      </c>
      <c r="O165" s="12" t="str">
        <f ca="1">IFERROR(__xludf.DUMMYFUNCTION("""COMPUTED_VALUE"""),"藍/膚色")</f>
        <v>藍/膚色</v>
      </c>
      <c r="P165" s="12" t="str">
        <f ca="1">IFERROR(__xludf.DUMMYFUNCTION("""COMPUTED_VALUE"""),"葉片式")</f>
        <v>葉片式</v>
      </c>
      <c r="Q165" s="12" t="str">
        <f ca="1">IFERROR(__xludf.DUMMYFUNCTION("""COMPUTED_VALUE"""),"596高x268寬x680深mm")</f>
        <v>596高x268寬x680深mm</v>
      </c>
      <c r="R165" s="12" t="str">
        <f ca="1">IFERROR(__xludf.DUMMYFUNCTION("""COMPUTED_VALUE"""),"中國")</f>
        <v>中國</v>
      </c>
      <c r="S165" s="12"/>
      <c r="T165" s="12"/>
      <c r="U165" s="12" t="str">
        <f ca="1">IFERROR(__xludf.DUMMYFUNCTION("""COMPUTED_VALUE"""),"2年")</f>
        <v>2年</v>
      </c>
      <c r="V165" s="12"/>
      <c r="W165" s="12"/>
      <c r="X165" s="12"/>
      <c r="Y165" s="12"/>
      <c r="Z165" s="14"/>
      <c r="AA165" s="15" t="str">
        <f ca="1">IFERROR(__xludf.DUMMYFUNCTION("""COMPUTED_VALUE"""),"*13片新式折邊寬頁片體，雙向散熱，熱效提升30%*新式溫控晶片，智能溫控，精準恆溫*提把也是烘衣架， 陰雨天也不愁*一體式腳輪省心心省力*遠程遙控無距取暖*24 小時定時，自由設置*靈敏觸摸屏面板， 液晶屏顯*觸控開關，觸得到的暖意*童鎖設計防意外誤觸*頂部加濕盒設計，蒸發式加濕，溫潤每個角落*使用面積：3-11 坪*發熱方式-葉片式")</f>
        <v>*13片新式折邊寬頁片體，雙向散熱，熱效提升30%*新式溫控晶片，智能溫控，精準恆溫*提把也是烘衣架， 陰雨天也不愁*一體式腳輪省心心省力*遠程遙控無距取暖*24 小時定時，自由設置*靈敏觸摸屏面板， 液晶屏顯*觸控開關，觸得到的暖意*童鎖設計防意外誤觸*頂部加濕盒設計，蒸發式加濕，溫潤每個角落*使用面積：3-11 坪*發熱方式-葉片式</v>
      </c>
    </row>
    <row r="166" spans="1:27" ht="19.5" customHeight="1">
      <c r="A166" s="12" t="str">
        <f ca="1">IFERROR(__xludf.DUMMYFUNCTION("""COMPUTED_VALUE"""),"生活家電")</f>
        <v>生活家電</v>
      </c>
      <c r="B166" s="12" t="str">
        <f ca="1">IFERROR(__xludf.DUMMYFUNCTION("""COMPUTED_VALUE"""),"順發")</f>
        <v>順發</v>
      </c>
      <c r="C166" s="12" t="str">
        <f ca="1">IFERROR(__xludf.DUMMYFUNCTION("""COMPUTED_VALUE"""),"PHILIPS")</f>
        <v>PHILIPS</v>
      </c>
      <c r="D166" s="12" t="str">
        <f ca="1">IFERROR(__xludf.DUMMYFUNCTION("""COMPUTED_VALUE"""),"Philips 水潤護色負離子吹風機 BHD399/91(夢幻湖水綠)_789400")</f>
        <v>Philips 水潤護色負離子吹風機 BHD399/91(夢幻湖水綠)_789400</v>
      </c>
      <c r="E166" s="12" t="str">
        <f ca="1">IFERROR(__xludf.DUMMYFUNCTION("""COMPUTED_VALUE"""),"BHD399/91")</f>
        <v>BHD399/91</v>
      </c>
      <c r="F166" s="12">
        <f ca="1">IFERROR(__xludf.DUMMYFUNCTION("""COMPUTED_VALUE"""),51095881)</f>
        <v>51095881</v>
      </c>
      <c r="G166" s="12" t="str">
        <f ca="1">IFERROR(__xludf.DUMMYFUNCTION("""COMPUTED_VALUE"""),"IGEM114J")</f>
        <v>IGEM114J</v>
      </c>
      <c r="H166" s="12">
        <f ca="1">IFERROR(__xludf.DUMMYFUNCTION("""COMPUTED_VALUE"""),2588)</f>
        <v>2588</v>
      </c>
      <c r="I166" s="14">
        <f ca="1">IFERROR(__xludf.DUMMYFUNCTION("""COMPUTED_VALUE"""),2099)</f>
        <v>2099</v>
      </c>
      <c r="J166" s="16">
        <f ca="1">IFERROR(__xludf.DUMMYFUNCTION("""COMPUTED_VALUE"""),45695)</f>
        <v>45695</v>
      </c>
      <c r="K166" s="12" t="str">
        <f ca="1">IFERROR(__xludf.DUMMYFUNCTION("""COMPUTED_VALUE"""),"缺貨")</f>
        <v>缺貨</v>
      </c>
      <c r="L166" s="12" t="str">
        <f ca="1">IFERROR(__xludf.DUMMYFUNCTION("""COMPUTED_VALUE"""),"缺貨")</f>
        <v>缺貨</v>
      </c>
      <c r="M166" s="12" t="str">
        <f ca="1">IFERROR(__xludf.DUMMYFUNCTION("""COMPUTED_VALUE"""),"2/7缺貨，2025/1/1新機上架")</f>
        <v>2/7缺貨，2025/1/1新機上架</v>
      </c>
      <c r="N166" s="12" t="str">
        <f ca="1">IFERROR(__xludf.DUMMYFUNCTION("""COMPUTED_VALUE"""),"吹風機/造型整髮器")</f>
        <v>吹風機/造型整髮器</v>
      </c>
      <c r="O166" s="12" t="str">
        <f ca="1">IFERROR(__xludf.DUMMYFUNCTION("""COMPUTED_VALUE"""),"夢幻湖水綠")</f>
        <v>夢幻湖水綠</v>
      </c>
      <c r="P166" s="12" t="str">
        <f ca="1">IFERROR(__xludf.DUMMYFUNCTION("""COMPUTED_VALUE"""),"電壓:110V
額定功率:1500W")</f>
        <v>電壓:110V
額定功率:1500W</v>
      </c>
      <c r="Q166" s="12" t="str">
        <f ca="1">IFERROR(__xludf.DUMMYFUNCTION("""COMPUTED_VALUE"""),"高255*寬150 *長80mm")</f>
        <v>高255*寬150 *長80mm</v>
      </c>
      <c r="R166" s="12" t="str">
        <f ca="1">IFERROR(__xludf.DUMMYFUNCTION("""COMPUTED_VALUE"""),"中國")</f>
        <v>中國</v>
      </c>
      <c r="S166" s="12"/>
      <c r="T166" s="12"/>
      <c r="U166" s="12" t="str">
        <f ca="1">IFERROR(__xludf.DUMMYFUNCTION("""COMPUTED_VALUE"""),"2年")</f>
        <v>2年</v>
      </c>
      <c r="V166" s="12"/>
      <c r="W166" s="12"/>
      <c r="X166" s="12"/>
      <c r="Y166" s="12" t="str">
        <f ca="1">IFERROR(__xludf.DUMMYFUNCTION("""COMPUTED_VALUE"""),"Y-50S3")</f>
        <v>Y-50S3</v>
      </c>
      <c r="Z166" s="14"/>
      <c r="AA166" s="15" t="str">
        <f ca="1">IFERROR(__xludf.DUMMYFUNCTION("""COMPUTED_VALUE"""),"*配備雙負離子系統，加倍呵護*1500W 吹風機讓您快速健康地吹乾頭髮*礦物負離子吹風機可減輕紫外線對頭髮滑順度的影響*多達 5000 萬個負離子**讓秀髮閃亮不毛躁*護色效果與自然乾燥一樣好*3 段式加熱與風速設定*冷風設定")</f>
        <v>*配備雙負離子系統，加倍呵護*1500W 吹風機讓您快速健康地吹乾頭髮*礦物負離子吹風機可減輕紫外線對頭髮滑順度的影響*多達 5000 萬個負離子**讓秀髮閃亮不毛躁*護色效果與自然乾燥一樣好*3 段式加熱與風速設定*冷風設定</v>
      </c>
    </row>
    <row r="167" spans="1:27" ht="19.5" customHeight="1">
      <c r="A167" s="12" t="str">
        <f ca="1">IFERROR(__xludf.DUMMYFUNCTION("""COMPUTED_VALUE"""),"空氣清淨機")</f>
        <v>空氣清淨機</v>
      </c>
      <c r="B167" s="12" t="str">
        <f ca="1">IFERROR(__xludf.DUMMYFUNCTION("""COMPUTED_VALUE"""),"順發")</f>
        <v>順發</v>
      </c>
      <c r="C167" s="12" t="str">
        <f ca="1">IFERROR(__xludf.DUMMYFUNCTION("""COMPUTED_VALUE"""),"Honeywell")</f>
        <v>Honeywell</v>
      </c>
      <c r="D167" s="12" t="str">
        <f ca="1">IFERROR(__xludf.DUMMYFUNCTION("""COMPUTED_VALUE"""),"Honeywell 10-20坪 淨味空氣清淨機_HPA5250WTWV1")</f>
        <v>Honeywell 10-20坪 淨味空氣清淨機_HPA5250WTWV1</v>
      </c>
      <c r="E167" s="12" t="str">
        <f ca="1">IFERROR(__xludf.DUMMYFUNCTION("""COMPUTED_VALUE"""),"HPA5250WTWV1")</f>
        <v>HPA5250WTWV1</v>
      </c>
      <c r="F167" s="12">
        <f ca="1">IFERROR(__xludf.DUMMYFUNCTION("""COMPUTED_VALUE"""),51008155)</f>
        <v>51008155</v>
      </c>
      <c r="G167" s="12" t="str">
        <f ca="1">IFERROR(__xludf.DUMMYFUNCTION("""COMPUTED_VALUE"""),"IGEM069S")</f>
        <v>IGEM069S</v>
      </c>
      <c r="H167" s="13">
        <f ca="1">IFERROR(__xludf.DUMMYFUNCTION("""COMPUTED_VALUE"""),9990)</f>
        <v>9990</v>
      </c>
      <c r="I167" s="18">
        <f ca="1">IFERROR(__xludf.DUMMYFUNCTION("""COMPUTED_VALUE"""),8990)</f>
        <v>8990</v>
      </c>
      <c r="J167" s="16">
        <f ca="1">IFERROR(__xludf.DUMMYFUNCTION("""COMPUTED_VALUE"""),45047)</f>
        <v>45047</v>
      </c>
      <c r="K167" s="12" t="str">
        <f ca="1">IFERROR(__xludf.DUMMYFUNCTION("""COMPUTED_VALUE"""),"短促")</f>
        <v>短促</v>
      </c>
      <c r="L167" s="12" t="str">
        <f ca="1">IFERROR(__xludf.DUMMYFUNCTION("""COMPUTED_VALUE"""),"上架中")</f>
        <v>上架中</v>
      </c>
      <c r="M167" s="12" t="str">
        <f ca="1">IFERROR(__xludf.DUMMYFUNCTION("""COMPUTED_VALUE"""),"5/1短促，3/1回價")</f>
        <v>5/1短促，3/1回價</v>
      </c>
      <c r="N167" s="12" t="str">
        <f ca="1">IFERROR(__xludf.DUMMYFUNCTION("""COMPUTED_VALUE"""),"空氣清淨機")</f>
        <v>空氣清淨機</v>
      </c>
      <c r="O167" s="12" t="str">
        <f ca="1">IFERROR(__xludf.DUMMYFUNCTION("""COMPUTED_VALUE"""),"白")</f>
        <v>白</v>
      </c>
      <c r="P167" s="12" t="str">
        <f ca="1">IFERROR(__xludf.DUMMYFUNCTION("""COMPUTED_VALUE"""),"10-20坪")</f>
        <v>10-20坪</v>
      </c>
      <c r="Q167" s="12" t="str">
        <f ca="1">IFERROR(__xludf.DUMMYFUNCTION("""COMPUTED_VALUE"""),"482(H)x255(W)x454(L)mm")</f>
        <v>482(H)x255(W)x454(L)mm</v>
      </c>
      <c r="R167" s="12" t="str">
        <f ca="1">IFERROR(__xludf.DUMMYFUNCTION("""COMPUTED_VALUE"""),"中國")</f>
        <v>中國</v>
      </c>
      <c r="S167" s="12" t="str">
        <f ca="1">IFERROR(__xludf.DUMMYFUNCTION("""COMPUTED_VALUE"""),"V")</f>
        <v>V</v>
      </c>
      <c r="T167" s="12"/>
      <c r="U167" s="12" t="str">
        <f ca="1">IFERROR(__xludf.DUMMYFUNCTION("""COMPUTED_VALUE"""),"1年")</f>
        <v>1年</v>
      </c>
      <c r="V167" s="12" t="str">
        <f ca="1">IFERROR(__xludf.DUMMYFUNCTION("""COMPUTED_VALUE"""),"5年")</f>
        <v>5年</v>
      </c>
      <c r="W167" s="12"/>
      <c r="X167" s="12" t="str">
        <f ca="1">IFERROR(__xludf.DUMMYFUNCTION("""COMPUTED_VALUE"""),"隨貨送Honeywell 清淨機 HRF-APP1AP CZ濾網")</f>
        <v>隨貨送Honeywell 清淨機 HRF-APP1AP CZ濾網</v>
      </c>
      <c r="Y167" s="12"/>
      <c r="Z167" s="14"/>
      <c r="AA167" s="15" t="str">
        <f ca="1">IFERROR(__xludf.DUMMYFUNCTION("""COMPUTED_VALUE"""),"醫師最推薦   美國過敏專科醫生No.1推薦3重過濾，H13醫療等級HEPA濾網，有效阻隔病菌與過敏原。強效淨味濾網 -")</f>
        <v>醫師最推薦   美國過敏專科醫生No.1推薦3重過濾，H13醫療等級HEPA濾網，有效阻隔病菌與過敏原。強效淨味濾網 -</v>
      </c>
    </row>
    <row r="168" spans="1:27" ht="19.5" customHeight="1">
      <c r="A168" s="12" t="str">
        <f ca="1">IFERROR(__xludf.DUMMYFUNCTION("""COMPUTED_VALUE"""),"空氣清淨機")</f>
        <v>空氣清淨機</v>
      </c>
      <c r="B168" s="12" t="str">
        <f ca="1">IFERROR(__xludf.DUMMYFUNCTION("""COMPUTED_VALUE"""),"順發")</f>
        <v>順發</v>
      </c>
      <c r="C168" s="12" t="str">
        <f ca="1">IFERROR(__xludf.DUMMYFUNCTION("""COMPUTED_VALUE"""),"Honeywell")</f>
        <v>Honeywell</v>
      </c>
      <c r="D168" s="12" t="str">
        <f ca="1">IFERROR(__xludf.DUMMYFUNCTION("""COMPUTED_VALUE"""),"Honeywell 14-28坪 淨味空氣清淨機_HPA5350WTWV1")</f>
        <v>Honeywell 14-28坪 淨味空氣清淨機_HPA5350WTWV1</v>
      </c>
      <c r="E168" s="12" t="str">
        <f ca="1">IFERROR(__xludf.DUMMYFUNCTION("""COMPUTED_VALUE"""),"HPA5350WTWV1")</f>
        <v>HPA5350WTWV1</v>
      </c>
      <c r="F168" s="12">
        <f ca="1">IFERROR(__xludf.DUMMYFUNCTION("""COMPUTED_VALUE"""),51008156)</f>
        <v>51008156</v>
      </c>
      <c r="G168" s="12" t="str">
        <f ca="1">IFERROR(__xludf.DUMMYFUNCTION("""COMPUTED_VALUE"""),"IGEM069T")</f>
        <v>IGEM069T</v>
      </c>
      <c r="H168" s="13">
        <f ca="1">IFERROR(__xludf.DUMMYFUNCTION("""COMPUTED_VALUE"""),12990)</f>
        <v>12990</v>
      </c>
      <c r="I168" s="18">
        <f ca="1">IFERROR(__xludf.DUMMYFUNCTION("""COMPUTED_VALUE"""),10990)</f>
        <v>10990</v>
      </c>
      <c r="J168" s="16">
        <f ca="1">IFERROR(__xludf.DUMMYFUNCTION("""COMPUTED_VALUE"""),45047)</f>
        <v>45047</v>
      </c>
      <c r="K168" s="12" t="str">
        <f ca="1">IFERROR(__xludf.DUMMYFUNCTION("""COMPUTED_VALUE"""),"短促")</f>
        <v>短促</v>
      </c>
      <c r="L168" s="12" t="str">
        <f ca="1">IFERROR(__xludf.DUMMYFUNCTION("""COMPUTED_VALUE"""),"上架中")</f>
        <v>上架中</v>
      </c>
      <c r="M168" s="12" t="str">
        <f ca="1">IFERROR(__xludf.DUMMYFUNCTION("""COMPUTED_VALUE"""),"5/1短促，3/1回價")</f>
        <v>5/1短促，3/1回價</v>
      </c>
      <c r="N168" s="12" t="str">
        <f ca="1">IFERROR(__xludf.DUMMYFUNCTION("""COMPUTED_VALUE"""),"空氣清淨機")</f>
        <v>空氣清淨機</v>
      </c>
      <c r="O168" s="12" t="str">
        <f ca="1">IFERROR(__xludf.DUMMYFUNCTION("""COMPUTED_VALUE"""),"白")</f>
        <v>白</v>
      </c>
      <c r="P168" s="12" t="str">
        <f ca="1">IFERROR(__xludf.DUMMYFUNCTION("""COMPUTED_VALUE"""),"14-28坪")</f>
        <v>14-28坪</v>
      </c>
      <c r="Q168" s="12" t="str">
        <f ca="1">IFERROR(__xludf.DUMMYFUNCTION("""COMPUTED_VALUE"""),"566(H)*274(W)*486(L)mm")</f>
        <v>566(H)*274(W)*486(L)mm</v>
      </c>
      <c r="R168" s="12" t="str">
        <f ca="1">IFERROR(__xludf.DUMMYFUNCTION("""COMPUTED_VALUE"""),"中國")</f>
        <v>中國</v>
      </c>
      <c r="S168" s="12" t="str">
        <f ca="1">IFERROR(__xludf.DUMMYFUNCTION("""COMPUTED_VALUE"""),"V")</f>
        <v>V</v>
      </c>
      <c r="T168" s="12"/>
      <c r="U168" s="12" t="str">
        <f ca="1">IFERROR(__xludf.DUMMYFUNCTION("""COMPUTED_VALUE"""),"1年")</f>
        <v>1年</v>
      </c>
      <c r="V168" s="12" t="str">
        <f ca="1">IFERROR(__xludf.DUMMYFUNCTION("""COMPUTED_VALUE"""),"5年")</f>
        <v>5年</v>
      </c>
      <c r="W168" s="12"/>
      <c r="X168" s="12" t="str">
        <f ca="1">IFERROR(__xludf.DUMMYFUNCTION("""COMPUTED_VALUE"""),"隨貨送Honeywell 清淨機 HRF-APP1AP CZ濾網")</f>
        <v>隨貨送Honeywell 清淨機 HRF-APP1AP CZ濾網</v>
      </c>
      <c r="Y168" s="12"/>
      <c r="Z168" s="14"/>
      <c r="AA168" s="15" t="str">
        <f ca="1">IFERROR(__xludf.DUMMYFUNCTION("""COMPUTED_VALUE"""),"3重過濾，H13醫療等級HEPA濾網，有效阻隔病菌與過敏原。強效淨味濾網 - 四款針對常見居家異味的顆粒活性碳濾網")</f>
        <v>3重過濾，H13醫療等級HEPA濾網，有效阻隔病菌與過敏原。強效淨味濾網 - 四款針對常見居家異味的顆粒活性碳濾網</v>
      </c>
    </row>
    <row r="169" spans="1:27" ht="19.5" customHeight="1">
      <c r="A169" s="12" t="str">
        <f ca="1">IFERROR(__xludf.DUMMYFUNCTION("""COMPUTED_VALUE"""),"生活家電")</f>
        <v>生活家電</v>
      </c>
      <c r="B169" s="12" t="str">
        <f ca="1">IFERROR(__xludf.DUMMYFUNCTION("""COMPUTED_VALUE"""),"城欣")</f>
        <v>城欣</v>
      </c>
      <c r="C169" s="12" t="str">
        <f ca="1">IFERROR(__xludf.DUMMYFUNCTION("""COMPUTED_VALUE"""),"輝葉")</f>
        <v>輝葉</v>
      </c>
      <c r="D169" s="12" t="str">
        <f ca="1">IFERROR(__xludf.DUMMYFUNCTION("""COMPUTED_VALUE"""),"輝葉新一代4D溫熱手感按摩墊HY-633")</f>
        <v>輝葉新一代4D溫熱手感按摩墊HY-633</v>
      </c>
      <c r="E169" s="12" t="str">
        <f ca="1">IFERROR(__xludf.DUMMYFUNCTION("""COMPUTED_VALUE"""),"HY-633")</f>
        <v>HY-633</v>
      </c>
      <c r="F169" s="12">
        <f ca="1">IFERROR(__xludf.DUMMYFUNCTION("""COMPUTED_VALUE"""),51090001)</f>
        <v>51090001</v>
      </c>
      <c r="G169" s="12" t="str">
        <f ca="1">IFERROR(__xludf.DUMMYFUNCTION("""COMPUTED_VALUE"""),"IGEM00PP")</f>
        <v>IGEM00PP</v>
      </c>
      <c r="H169" s="12">
        <f ca="1">IFERROR(__xludf.DUMMYFUNCTION("""COMPUTED_VALUE"""),6980)</f>
        <v>6980</v>
      </c>
      <c r="I169" s="14">
        <f ca="1">IFERROR(__xludf.DUMMYFUNCTION("""COMPUTED_VALUE"""),4980)</f>
        <v>4980</v>
      </c>
      <c r="J169" s="16">
        <f ca="1">IFERROR(__xludf.DUMMYFUNCTION("""COMPUTED_VALUE"""),45536)</f>
        <v>45536</v>
      </c>
      <c r="K169" s="12" t="str">
        <f ca="1">IFERROR(__xludf.DUMMYFUNCTION("""COMPUTED_VALUE"""),"回價")</f>
        <v>回價</v>
      </c>
      <c r="L169" s="12" t="str">
        <f ca="1">IFERROR(__xludf.DUMMYFUNCTION("""COMPUTED_VALUE"""),"上架中")</f>
        <v>上架中</v>
      </c>
      <c r="M169" s="12" t="str">
        <f ca="1">IFERROR(__xludf.DUMMYFUNCTION("""COMPUTED_VALUE"""),"9/1 回價，113/8/8-8/31短促，8/2-8/31短促5/12開始出貨。3/20回價.3/9-3/19短促")</f>
        <v>9/1 回價，113/8/8-8/31短促，8/2-8/31短促5/12開始出貨。3/20回價.3/9-3/19短促</v>
      </c>
      <c r="N169" s="12" t="str">
        <f ca="1">IFERROR(__xludf.DUMMYFUNCTION("""COMPUTED_VALUE"""),"舒壓按摩")</f>
        <v>舒壓按摩</v>
      </c>
      <c r="O169" s="12" t="str">
        <f ca="1">IFERROR(__xludf.DUMMYFUNCTION("""COMPUTED_VALUE"""),"黑")</f>
        <v>黑</v>
      </c>
      <c r="P169" s="12"/>
      <c r="Q169" s="12" t="str">
        <f ca="1">IFERROR(__xludf.DUMMYFUNCTION("""COMPUTED_VALUE"""),"725x410x390mm")</f>
        <v>725x410x390mm</v>
      </c>
      <c r="R169" s="12" t="str">
        <f ca="1">IFERROR(__xludf.DUMMYFUNCTION("""COMPUTED_VALUE"""),"中國")</f>
        <v>中國</v>
      </c>
      <c r="S169" s="12"/>
      <c r="T169" s="12"/>
      <c r="U169" s="12" t="str">
        <f ca="1">IFERROR(__xludf.DUMMYFUNCTION("""COMPUTED_VALUE"""),"1年")</f>
        <v>1年</v>
      </c>
      <c r="V169" s="12"/>
      <c r="W169" s="12"/>
      <c r="X169" s="12"/>
      <c r="Y169" s="12"/>
      <c r="Z169" s="14"/>
      <c r="AA169" s="15" t="str">
        <f ca="1">IFERROR(__xludf.DUMMYFUNCTION("""COMPUTED_VALUE"""),"*背部8顆立體按摩球*溫熱揉捏*肩頸獨立按摩滾輪")</f>
        <v>*背部8顆立體按摩球*溫熱揉捏*肩頸獨立按摩滾輪</v>
      </c>
    </row>
    <row r="170" spans="1:27" ht="19.5" customHeight="1">
      <c r="A170" s="12" t="str">
        <f ca="1">IFERROR(__xludf.DUMMYFUNCTION("""COMPUTED_VALUE"""),"生活家電")</f>
        <v>生活家電</v>
      </c>
      <c r="B170" s="12" t="str">
        <f ca="1">IFERROR(__xludf.DUMMYFUNCTION("""COMPUTED_VALUE"""),"城欣")</f>
        <v>城欣</v>
      </c>
      <c r="C170" s="12" t="str">
        <f ca="1">IFERROR(__xludf.DUMMYFUNCTION("""COMPUTED_VALUE"""),"輝葉")</f>
        <v>輝葉</v>
      </c>
      <c r="D170" s="12" t="str">
        <f ca="1">IFERROR(__xludf.DUMMYFUNCTION("""COMPUTED_VALUE"""),"輝葉自在極意棒HY-10339")</f>
        <v>輝葉自在極意棒HY-10339</v>
      </c>
      <c r="E170" s="12" t="str">
        <f ca="1">IFERROR(__xludf.DUMMYFUNCTION("""COMPUTED_VALUE"""),"HY-10339")</f>
        <v>HY-10339</v>
      </c>
      <c r="F170" s="12">
        <f ca="1">IFERROR(__xludf.DUMMYFUNCTION("""COMPUTED_VALUE"""),51090003)</f>
        <v>51090003</v>
      </c>
      <c r="G170" s="12" t="str">
        <f ca="1">IFERROR(__xludf.DUMMYFUNCTION("""COMPUTED_VALUE"""),"IGEM00PR")</f>
        <v>IGEM00PR</v>
      </c>
      <c r="H170" s="12">
        <f ca="1">IFERROR(__xludf.DUMMYFUNCTION("""COMPUTED_VALUE"""),2280)</f>
        <v>2280</v>
      </c>
      <c r="I170" s="14">
        <f ca="1">IFERROR(__xludf.DUMMYFUNCTION("""COMPUTED_VALUE"""),1680)</f>
        <v>1680</v>
      </c>
      <c r="J170" s="16">
        <f ca="1">IFERROR(__xludf.DUMMYFUNCTION("""COMPUTED_VALUE"""),45419)</f>
        <v>45419</v>
      </c>
      <c r="K170" s="12" t="str">
        <f ca="1">IFERROR(__xludf.DUMMYFUNCTION("""COMPUTED_VALUE"""),"到貨")</f>
        <v>到貨</v>
      </c>
      <c r="L170" s="12" t="str">
        <f ca="1">IFERROR(__xludf.DUMMYFUNCTION("""COMPUTED_VALUE"""),"上架中")</f>
        <v>上架中</v>
      </c>
      <c r="M170" s="12" t="str">
        <f ca="1">IFERROR(__xludf.DUMMYFUNCTION("""COMPUTED_VALUE"""),"2024/5/7重新上架，2019/3/18重新上架，3/1缺貨下架，2018/12/3新機上架,2024/3/5通知缺貨下架")</f>
        <v>2024/5/7重新上架，2019/3/18重新上架，3/1缺貨下架，2018/12/3新機上架,2024/3/5通知缺貨下架</v>
      </c>
      <c r="N170" s="12" t="str">
        <f ca="1">IFERROR(__xludf.DUMMYFUNCTION("""COMPUTED_VALUE"""),"舒壓按摩")</f>
        <v>舒壓按摩</v>
      </c>
      <c r="O170" s="12" t="str">
        <f ca="1">IFERROR(__xludf.DUMMYFUNCTION("""COMPUTED_VALUE"""),"銀")</f>
        <v>銀</v>
      </c>
      <c r="P170" s="12"/>
      <c r="Q170" s="12" t="str">
        <f ca="1">IFERROR(__xludf.DUMMYFUNCTION("""COMPUTED_VALUE"""),"385x122x78mm")</f>
        <v>385x122x78mm</v>
      </c>
      <c r="R170" s="12" t="str">
        <f ca="1">IFERROR(__xludf.DUMMYFUNCTION("""COMPUTED_VALUE"""),"中國")</f>
        <v>中國</v>
      </c>
      <c r="S170" s="12"/>
      <c r="T170" s="12"/>
      <c r="U170" s="12" t="str">
        <f ca="1">IFERROR(__xludf.DUMMYFUNCTION("""COMPUTED_VALUE"""),"1年")</f>
        <v>1年</v>
      </c>
      <c r="V170" s="12"/>
      <c r="W170" s="12"/>
      <c r="X170" s="12"/>
      <c r="Y170" s="12"/>
      <c r="Z170" s="14"/>
      <c r="AA170" s="15" t="str">
        <f ca="1">IFERROR(__xludf.DUMMYFUNCTION("""COMPUTED_VALUE"""),"*無線操作更方便*續航力強可連續使用2小時*五種按摩模式及強度調整*三種可更換式按摩頭*20分鐘自動安全斷電")</f>
        <v>*無線操作更方便*續航力強可連續使用2小時*五種按摩模式及強度調整*三種可更換式按摩頭*20分鐘自動安全斷電</v>
      </c>
    </row>
    <row r="171" spans="1:27" ht="19.5" customHeight="1">
      <c r="A171" s="12" t="str">
        <f ca="1">IFERROR(__xludf.DUMMYFUNCTION("""COMPUTED_VALUE"""),"生活家電")</f>
        <v>生活家電</v>
      </c>
      <c r="B171" s="12" t="str">
        <f ca="1">IFERROR(__xludf.DUMMYFUNCTION("""COMPUTED_VALUE"""),"城欣")</f>
        <v>城欣</v>
      </c>
      <c r="C171" s="12" t="str">
        <f ca="1">IFERROR(__xludf.DUMMYFUNCTION("""COMPUTED_VALUE"""),"輝葉")</f>
        <v>輝葉</v>
      </c>
      <c r="D171" s="12" t="str">
        <f ca="1">IFERROR(__xludf.DUMMYFUNCTION("""COMPUTED_VALUE"""),"輝葉極度深捏3D美腿機HY-702")</f>
        <v>輝葉極度深捏3D美腿機HY-702</v>
      </c>
      <c r="E171" s="12" t="str">
        <f ca="1">IFERROR(__xludf.DUMMYFUNCTION("""COMPUTED_VALUE"""),"HY-702")</f>
        <v>HY-702</v>
      </c>
      <c r="F171" s="12">
        <f ca="1">IFERROR(__xludf.DUMMYFUNCTION("""COMPUTED_VALUE"""),51090007)</f>
        <v>51090007</v>
      </c>
      <c r="G171" s="12" t="str">
        <f ca="1">IFERROR(__xludf.DUMMYFUNCTION("""COMPUTED_VALUE"""),"IGEM00PV")</f>
        <v>IGEM00PV</v>
      </c>
      <c r="H171" s="12">
        <f ca="1">IFERROR(__xludf.DUMMYFUNCTION("""COMPUTED_VALUE"""),10800)</f>
        <v>10800</v>
      </c>
      <c r="I171" s="14">
        <f ca="1">IFERROR(__xludf.DUMMYFUNCTION("""COMPUTED_VALUE"""),6600)</f>
        <v>6600</v>
      </c>
      <c r="J171" s="16">
        <f ca="1">IFERROR(__xludf.DUMMYFUNCTION("""COMPUTED_VALUE"""),45627)</f>
        <v>45627</v>
      </c>
      <c r="K171" s="12" t="str">
        <f ca="1">IFERROR(__xludf.DUMMYFUNCTION("""COMPUTED_VALUE"""),"回價")</f>
        <v>回價</v>
      </c>
      <c r="L171" s="12" t="str">
        <f ca="1">IFERROR(__xludf.DUMMYFUNCTION("""COMPUTED_VALUE"""),"上架中")</f>
        <v>上架中</v>
      </c>
      <c r="M171" s="12" t="str">
        <f ca="1">IFERROR(__xludf.DUMMYFUNCTION("""COMPUTED_VALUE"""),"12/1回價，11/1-11/14短促(預計11/15回價)，9/1 回價，7/1短促，6/1 回價，2024/4/1短促，112/11/1回價2018/12/3新機上架")</f>
        <v>12/1回價，11/1-11/14短促(預計11/15回價)，9/1 回價，7/1短促，6/1 回價，2024/4/1短促，112/11/1回價2018/12/3新機上架</v>
      </c>
      <c r="N171" s="12" t="str">
        <f ca="1">IFERROR(__xludf.DUMMYFUNCTION("""COMPUTED_VALUE"""),"舒壓按摩")</f>
        <v>舒壓按摩</v>
      </c>
      <c r="O171" s="12" t="str">
        <f ca="1">IFERROR(__xludf.DUMMYFUNCTION("""COMPUTED_VALUE"""),"白")</f>
        <v>白</v>
      </c>
      <c r="P171" s="12"/>
      <c r="Q171" s="12" t="str">
        <f ca="1">IFERROR(__xludf.DUMMYFUNCTION("""COMPUTED_VALUE"""),"440x500x450mm")</f>
        <v>440x500x450mm</v>
      </c>
      <c r="R171" s="12" t="str">
        <f ca="1">IFERROR(__xludf.DUMMYFUNCTION("""COMPUTED_VALUE"""),"中國")</f>
        <v>中國</v>
      </c>
      <c r="S171" s="12"/>
      <c r="T171" s="12"/>
      <c r="U171" s="12" t="str">
        <f ca="1">IFERROR(__xludf.DUMMYFUNCTION("""COMPUTED_VALUE"""),"1年")</f>
        <v>1年</v>
      </c>
      <c r="V171" s="12"/>
      <c r="W171" s="12"/>
      <c r="X171" s="12"/>
      <c r="Y171" s="12"/>
      <c r="Z171" s="14"/>
      <c r="AA171" s="15" t="str">
        <f ca="1">IFERROR(__xludf.DUMMYFUNCTION("""COMPUTED_VALUE"""),"*腳底刮痧滾輪*小腿肚指壓按摩*3D氣囊包覆按壓*紅光溫熱舒緩*三種自動模式(美腿/疲勞/輕鬆)*三段式強度調整*安全模式15分鐘自動關機*底部角度可自由調整*腿部布套可拆洗")</f>
        <v>*腳底刮痧滾輪*小腿肚指壓按摩*3D氣囊包覆按壓*紅光溫熱舒緩*三種自動模式(美腿/疲勞/輕鬆)*三段式強度調整*安全模式15分鐘自動關機*底部角度可自由調整*腿部布套可拆洗</v>
      </c>
    </row>
    <row r="172" spans="1:27" ht="19.5" customHeight="1">
      <c r="A172" s="12" t="str">
        <f ca="1">IFERROR(__xludf.DUMMYFUNCTION("""COMPUTED_VALUE"""),"生活家電")</f>
        <v>生活家電</v>
      </c>
      <c r="B172" s="12" t="str">
        <f ca="1">IFERROR(__xludf.DUMMYFUNCTION("""COMPUTED_VALUE"""),"城欣")</f>
        <v>城欣</v>
      </c>
      <c r="C172" s="12" t="str">
        <f ca="1">IFERROR(__xludf.DUMMYFUNCTION("""COMPUTED_VALUE"""),"輝葉")</f>
        <v>輝葉</v>
      </c>
      <c r="D172" s="12" t="str">
        <f ca="1">IFERROR(__xludf.DUMMYFUNCTION("""COMPUTED_VALUE"""),"輝葉透氣摺疊椅HY-CR01")</f>
        <v>輝葉透氣摺疊椅HY-CR01</v>
      </c>
      <c r="E172" s="12" t="str">
        <f ca="1">IFERROR(__xludf.DUMMYFUNCTION("""COMPUTED_VALUE"""),"HY-CR01")</f>
        <v>HY-CR01</v>
      </c>
      <c r="F172" s="12">
        <f ca="1">IFERROR(__xludf.DUMMYFUNCTION("""COMPUTED_VALUE"""),51090016)</f>
        <v>51090016</v>
      </c>
      <c r="G172" s="12" t="str">
        <f ca="1">IFERROR(__xludf.DUMMYFUNCTION("""COMPUTED_VALUE"""),"IGEM00YS")</f>
        <v>IGEM00YS</v>
      </c>
      <c r="H172" s="12">
        <f ca="1">IFERROR(__xludf.DUMMYFUNCTION("""COMPUTED_VALUE"""),3980)</f>
        <v>3980</v>
      </c>
      <c r="I172" s="14">
        <f ca="1">IFERROR(__xludf.DUMMYFUNCTION("""COMPUTED_VALUE"""),2380)</f>
        <v>2380</v>
      </c>
      <c r="J172" s="12"/>
      <c r="K172" s="12"/>
      <c r="L172" s="12" t="str">
        <f ca="1">IFERROR(__xludf.DUMMYFUNCTION("""COMPUTED_VALUE"""),"上架中")</f>
        <v>上架中</v>
      </c>
      <c r="M172" s="12"/>
      <c r="N172" s="12" t="str">
        <f ca="1">IFERROR(__xludf.DUMMYFUNCTION("""COMPUTED_VALUE"""),"舒壓按摩")</f>
        <v>舒壓按摩</v>
      </c>
      <c r="O172" s="12" t="str">
        <f ca="1">IFERROR(__xludf.DUMMYFUNCTION("""COMPUTED_VALUE"""),"黑")</f>
        <v>黑</v>
      </c>
      <c r="P172" s="12"/>
      <c r="Q172" s="12" t="str">
        <f ca="1">IFERROR(__xludf.DUMMYFUNCTION("""COMPUTED_VALUE"""),"650x550x960-1100mm")</f>
        <v>650x550x960-1100mm</v>
      </c>
      <c r="R172" s="12" t="str">
        <f ca="1">IFERROR(__xludf.DUMMYFUNCTION("""COMPUTED_VALUE"""),"中國")</f>
        <v>中國</v>
      </c>
      <c r="S172" s="12"/>
      <c r="T172" s="12"/>
      <c r="U172" s="12" t="str">
        <f ca="1">IFERROR(__xludf.DUMMYFUNCTION("""COMPUTED_VALUE"""),"1年")</f>
        <v>1年</v>
      </c>
      <c r="V172" s="12"/>
      <c r="W172" s="12"/>
      <c r="X172" s="12"/>
      <c r="Y172" s="12"/>
      <c r="Z172" s="14"/>
      <c r="AA172" s="15" t="str">
        <f ca="1">IFERROR(__xludf.DUMMYFUNCTION("""COMPUTED_VALUE"""),"*透氣材質不悶熱*可輕鬆調整角度")</f>
        <v>*透氣材質不悶熱*可輕鬆調整角度</v>
      </c>
    </row>
    <row r="173" spans="1:27" ht="19.5" customHeight="1">
      <c r="A173" s="12" t="str">
        <f ca="1">IFERROR(__xludf.DUMMYFUNCTION("""COMPUTED_VALUE"""),"生活家電")</f>
        <v>生活家電</v>
      </c>
      <c r="B173" s="12" t="str">
        <f ca="1">IFERROR(__xludf.DUMMYFUNCTION("""COMPUTED_VALUE"""),"城欣")</f>
        <v>城欣</v>
      </c>
      <c r="C173" s="12" t="str">
        <f ca="1">IFERROR(__xludf.DUMMYFUNCTION("""COMPUTED_VALUE"""),"輝葉")</f>
        <v>輝葉</v>
      </c>
      <c r="D173" s="12" t="str">
        <f ca="1">IFERROR(__xludf.DUMMYFUNCTION("""COMPUTED_VALUE"""),"輝葉熱感揉震按摩枕HY-1688")</f>
        <v>輝葉熱感揉震按摩枕HY-1688</v>
      </c>
      <c r="E173" s="12" t="str">
        <f ca="1">IFERROR(__xludf.DUMMYFUNCTION("""COMPUTED_VALUE"""),"HY-1688")</f>
        <v>HY-1688</v>
      </c>
      <c r="F173" s="12">
        <f ca="1">IFERROR(__xludf.DUMMYFUNCTION("""COMPUTED_VALUE"""),51090018)</f>
        <v>51090018</v>
      </c>
      <c r="G173" s="12" t="str">
        <f ca="1">IFERROR(__xludf.DUMMYFUNCTION("""COMPUTED_VALUE"""),"IGEM00YU")</f>
        <v>IGEM00YU</v>
      </c>
      <c r="H173" s="12">
        <f ca="1">IFERROR(__xludf.DUMMYFUNCTION("""COMPUTED_VALUE"""),2980)</f>
        <v>2980</v>
      </c>
      <c r="I173" s="14">
        <f ca="1">IFERROR(__xludf.DUMMYFUNCTION("""COMPUTED_VALUE"""),1880)</f>
        <v>1880</v>
      </c>
      <c r="J173" s="12"/>
      <c r="K173" s="12"/>
      <c r="L173" s="12" t="str">
        <f ca="1">IFERROR(__xludf.DUMMYFUNCTION("""COMPUTED_VALUE"""),"上架中")</f>
        <v>上架中</v>
      </c>
      <c r="M173" s="12" t="str">
        <f ca="1">IFERROR(__xludf.DUMMYFUNCTION("""COMPUTED_VALUE"""),"2019/4/1新機上架")</f>
        <v>2019/4/1新機上架</v>
      </c>
      <c r="N173" s="12" t="str">
        <f ca="1">IFERROR(__xludf.DUMMYFUNCTION("""COMPUTED_VALUE"""),"舒壓按摩")</f>
        <v>舒壓按摩</v>
      </c>
      <c r="O173" s="12" t="str">
        <f ca="1">IFERROR(__xludf.DUMMYFUNCTION("""COMPUTED_VALUE"""),"紅")</f>
        <v>紅</v>
      </c>
      <c r="P173" s="12"/>
      <c r="Q173" s="12" t="str">
        <f ca="1">IFERROR(__xludf.DUMMYFUNCTION("""COMPUTED_VALUE"""),"390x230x120mm")</f>
        <v>390x230x120mm</v>
      </c>
      <c r="R173" s="12" t="str">
        <f ca="1">IFERROR(__xludf.DUMMYFUNCTION("""COMPUTED_VALUE"""),"中國")</f>
        <v>中國</v>
      </c>
      <c r="S173" s="12"/>
      <c r="T173" s="12"/>
      <c r="U173" s="12" t="str">
        <f ca="1">IFERROR(__xludf.DUMMYFUNCTION("""COMPUTED_VALUE"""),"1年")</f>
        <v>1年</v>
      </c>
      <c r="V173" s="12"/>
      <c r="W173" s="12"/>
      <c r="X173" s="12"/>
      <c r="Y173" s="12"/>
      <c r="Z173" s="14"/>
      <c r="AA173" s="15" t="str">
        <f ca="1">IFERROR(__xludf.DUMMYFUNCTION("""COMPUTED_VALUE"""),"*揉震同步深入痠痛點*6顆仿真人按摩球*安全斷電設計*新科技透氣網布")</f>
        <v>*揉震同步深入痠痛點*6顆仿真人按摩球*安全斷電設計*新科技透氣網布</v>
      </c>
    </row>
    <row r="174" spans="1:27" ht="19.5" customHeight="1">
      <c r="A174" s="12" t="str">
        <f ca="1">IFERROR(__xludf.DUMMYFUNCTION("""COMPUTED_VALUE"""),"生活家電")</f>
        <v>生活家電</v>
      </c>
      <c r="B174" s="12" t="str">
        <f ca="1">IFERROR(__xludf.DUMMYFUNCTION("""COMPUTED_VALUE"""),"城欣")</f>
        <v>城欣</v>
      </c>
      <c r="C174" s="12" t="str">
        <f ca="1">IFERROR(__xludf.DUMMYFUNCTION("""COMPUTED_VALUE"""),"輝葉")</f>
        <v>輝葉</v>
      </c>
      <c r="D174" s="12" t="str">
        <f ca="1">IFERROR(__xludf.DUMMYFUNCTION("""COMPUTED_VALUE"""),"輝葉Werun小智跑步機(粉色)HY-20602-PK")</f>
        <v>輝葉Werun小智跑步機(粉色)HY-20602-PK</v>
      </c>
      <c r="E174" s="12" t="str">
        <f ca="1">IFERROR(__xludf.DUMMYFUNCTION("""COMPUTED_VALUE"""),"HY-20602-PK")</f>
        <v>HY-20602-PK</v>
      </c>
      <c r="F174" s="12">
        <f ca="1">IFERROR(__xludf.DUMMYFUNCTION("""COMPUTED_VALUE"""),51090024)</f>
        <v>51090024</v>
      </c>
      <c r="G174" s="12" t="str">
        <f ca="1">IFERROR(__xludf.DUMMYFUNCTION("""COMPUTED_VALUE"""),"IGEM00Z0")</f>
        <v>IGEM00Z0</v>
      </c>
      <c r="H174" s="12">
        <f ca="1">IFERROR(__xludf.DUMMYFUNCTION("""COMPUTED_VALUE"""),13800)</f>
        <v>13800</v>
      </c>
      <c r="I174" s="14">
        <f ca="1">IFERROR(__xludf.DUMMYFUNCTION("""COMPUTED_VALUE"""),11900)</f>
        <v>11900</v>
      </c>
      <c r="J174" s="16">
        <f ca="1">IFERROR(__xludf.DUMMYFUNCTION("""COMPUTED_VALUE"""),45383)</f>
        <v>45383</v>
      </c>
      <c r="K174" s="12" t="str">
        <f ca="1">IFERROR(__xludf.DUMMYFUNCTION("""COMPUTED_VALUE"""),"短促")</f>
        <v>短促</v>
      </c>
      <c r="L174" s="12" t="str">
        <f ca="1">IFERROR(__xludf.DUMMYFUNCTION("""COMPUTED_VALUE"""),"上架中")</f>
        <v>上架中</v>
      </c>
      <c r="M174" s="12" t="str">
        <f ca="1">IFERROR(__xludf.DUMMYFUNCTION("""COMPUTED_VALUE"""),"2024/4/1短促，2019/4/1新機上架")</f>
        <v>2024/4/1短促，2019/4/1新機上架</v>
      </c>
      <c r="N174" s="12" t="str">
        <f ca="1">IFERROR(__xludf.DUMMYFUNCTION("""COMPUTED_VALUE"""),"運動器材")</f>
        <v>運動器材</v>
      </c>
      <c r="O174" s="12" t="str">
        <f ca="1">IFERROR(__xludf.DUMMYFUNCTION("""COMPUTED_VALUE"""),"粉")</f>
        <v>粉</v>
      </c>
      <c r="P174" s="12"/>
      <c r="Q174" s="12" t="str">
        <f ca="1">IFERROR(__xludf.DUMMYFUNCTION("""COMPUTED_VALUE"""),"展開尺寸:1440x720x1238mm
摺收尺寸:408x720x1418mm")</f>
        <v>展開尺寸:1440x720x1238mm
摺收尺寸:408x720x1418mm</v>
      </c>
      <c r="R174" s="12" t="str">
        <f ca="1">IFERROR(__xludf.DUMMYFUNCTION("""COMPUTED_VALUE"""),"中國")</f>
        <v>中國</v>
      </c>
      <c r="S174" s="12"/>
      <c r="T174" s="12"/>
      <c r="U174" s="12" t="str">
        <f ca="1">IFERROR(__xludf.DUMMYFUNCTION("""COMPUTED_VALUE"""),"1年")</f>
        <v>1年</v>
      </c>
      <c r="V174" s="12"/>
      <c r="W174" s="12"/>
      <c r="X174" s="12" t="str">
        <f ca="1">IFERROR(__xludf.DUMMYFUNCTION("""COMPUTED_VALUE"""),"(114/1/1-2/28)隨貨送避震墊HY-B02+潤滑油")</f>
        <v>(114/1/1-2/28)隨貨送避震墊HY-B02+潤滑油</v>
      </c>
      <c r="Y174" s="12"/>
      <c r="Z174" s="14"/>
      <c r="AA174" s="15" t="str">
        <f ca="1">IFERROR(__xludf.DUMMYFUNCTION("""COMPUTED_VALUE"""),"*APP智能模式管理*藍芽連結音樂播放*輕鬆收納不占空間*五層超靜音耐磨跑帶*吸震材質降低運動傷害*LED鏡面操控面板")</f>
        <v>*APP智能模式管理*藍芽連結音樂播放*輕鬆收納不占空間*五層超靜音耐磨跑帶*吸震材質降低運動傷害*LED鏡面操控面板</v>
      </c>
    </row>
    <row r="175" spans="1:27" ht="19.5" customHeight="1">
      <c r="A175" s="12" t="str">
        <f ca="1">IFERROR(__xludf.DUMMYFUNCTION("""COMPUTED_VALUE"""),"生活家電")</f>
        <v>生活家電</v>
      </c>
      <c r="B175" s="12" t="str">
        <f ca="1">IFERROR(__xludf.DUMMYFUNCTION("""COMPUTED_VALUE"""),"城欣")</f>
        <v>城欣</v>
      </c>
      <c r="C175" s="12" t="str">
        <f ca="1">IFERROR(__xludf.DUMMYFUNCTION("""COMPUTED_VALUE"""),"輝葉")</f>
        <v>輝葉</v>
      </c>
      <c r="D175" s="12" t="str">
        <f ca="1">IFERROR(__xludf.DUMMYFUNCTION("""COMPUTED_VALUE"""),"輝葉Werun小智跑步機(藍色)HY-20602-BU")</f>
        <v>輝葉Werun小智跑步機(藍色)HY-20602-BU</v>
      </c>
      <c r="E175" s="12" t="str">
        <f ca="1">IFERROR(__xludf.DUMMYFUNCTION("""COMPUTED_VALUE"""),"HY-20602-BU")</f>
        <v>HY-20602-BU</v>
      </c>
      <c r="F175" s="12">
        <f ca="1">IFERROR(__xludf.DUMMYFUNCTION("""COMPUTED_VALUE"""),51090023)</f>
        <v>51090023</v>
      </c>
      <c r="G175" s="12" t="str">
        <f ca="1">IFERROR(__xludf.DUMMYFUNCTION("""COMPUTED_VALUE"""),"IGEM00YZ")</f>
        <v>IGEM00YZ</v>
      </c>
      <c r="H175" s="12">
        <f ca="1">IFERROR(__xludf.DUMMYFUNCTION("""COMPUTED_VALUE"""),13800)</f>
        <v>13800</v>
      </c>
      <c r="I175" s="14">
        <f ca="1">IFERROR(__xludf.DUMMYFUNCTION("""COMPUTED_VALUE"""),11900)</f>
        <v>11900</v>
      </c>
      <c r="J175" s="16">
        <f ca="1">IFERROR(__xludf.DUMMYFUNCTION("""COMPUTED_VALUE"""),45383)</f>
        <v>45383</v>
      </c>
      <c r="K175" s="12" t="str">
        <f ca="1">IFERROR(__xludf.DUMMYFUNCTION("""COMPUTED_VALUE"""),"短促")</f>
        <v>短促</v>
      </c>
      <c r="L175" s="12" t="str">
        <f ca="1">IFERROR(__xludf.DUMMYFUNCTION("""COMPUTED_VALUE"""),"上架中")</f>
        <v>上架中</v>
      </c>
      <c r="M175" s="12" t="str">
        <f ca="1">IFERROR(__xludf.DUMMYFUNCTION("""COMPUTED_VALUE"""),"2024/4/1短促，2019/4/1新機上架")</f>
        <v>2024/4/1短促，2019/4/1新機上架</v>
      </c>
      <c r="N175" s="12" t="str">
        <f ca="1">IFERROR(__xludf.DUMMYFUNCTION("""COMPUTED_VALUE"""),"運動器材")</f>
        <v>運動器材</v>
      </c>
      <c r="O175" s="12" t="str">
        <f ca="1">IFERROR(__xludf.DUMMYFUNCTION("""COMPUTED_VALUE"""),"藍")</f>
        <v>藍</v>
      </c>
      <c r="P175" s="12"/>
      <c r="Q175" s="12" t="str">
        <f ca="1">IFERROR(__xludf.DUMMYFUNCTION("""COMPUTED_VALUE"""),"展開尺寸:1440x720x1238mm
摺收尺寸:408x720x1418mm")</f>
        <v>展開尺寸:1440x720x1238mm
摺收尺寸:408x720x1418mm</v>
      </c>
      <c r="R175" s="12" t="str">
        <f ca="1">IFERROR(__xludf.DUMMYFUNCTION("""COMPUTED_VALUE"""),"中國")</f>
        <v>中國</v>
      </c>
      <c r="S175" s="12"/>
      <c r="T175" s="12"/>
      <c r="U175" s="12" t="str">
        <f ca="1">IFERROR(__xludf.DUMMYFUNCTION("""COMPUTED_VALUE"""),"1年")</f>
        <v>1年</v>
      </c>
      <c r="V175" s="12"/>
      <c r="W175" s="12"/>
      <c r="X175" s="12" t="str">
        <f ca="1">IFERROR(__xludf.DUMMYFUNCTION("""COMPUTED_VALUE"""),"(114/1/1-2/28)隨貨送避震墊HY-B02+潤滑油")</f>
        <v>(114/1/1-2/28)隨貨送避震墊HY-B02+潤滑油</v>
      </c>
      <c r="Y175" s="12"/>
      <c r="Z175" s="14"/>
      <c r="AA175" s="15" t="str">
        <f ca="1">IFERROR(__xludf.DUMMYFUNCTION("""COMPUTED_VALUE"""),"*APP智能模式管理*藍芽連結音樂播放*輕鬆收納不占空間*五層超靜音耐磨跑帶*吸震材質降低運動傷害*LED鏡面操控面板")</f>
        <v>*APP智能模式管理*藍芽連結音樂播放*輕鬆收納不占空間*五層超靜音耐磨跑帶*吸震材質降低運動傷害*LED鏡面操控面板</v>
      </c>
    </row>
    <row r="176" spans="1:27" ht="19.5" customHeight="1">
      <c r="A176" s="12" t="str">
        <f ca="1">IFERROR(__xludf.DUMMYFUNCTION("""COMPUTED_VALUE"""),"生活家電")</f>
        <v>生活家電</v>
      </c>
      <c r="B176" s="12" t="str">
        <f ca="1">IFERROR(__xludf.DUMMYFUNCTION("""COMPUTED_VALUE"""),"城欣")</f>
        <v>城欣</v>
      </c>
      <c r="C176" s="12" t="str">
        <f ca="1">IFERROR(__xludf.DUMMYFUNCTION("""COMPUTED_VALUE"""),"輝葉")</f>
        <v>輝葉</v>
      </c>
      <c r="D176" s="12" t="str">
        <f ca="1">IFERROR(__xludf.DUMMYFUNCTION("""COMPUTED_VALUE"""),"輝葉飛輪伸展健身車HY-20153")</f>
        <v>輝葉飛輪伸展健身車HY-20153</v>
      </c>
      <c r="E176" s="12" t="str">
        <f ca="1">IFERROR(__xludf.DUMMYFUNCTION("""COMPUTED_VALUE"""),"HY-20153")</f>
        <v>HY-20153</v>
      </c>
      <c r="F176" s="12">
        <f ca="1">IFERROR(__xludf.DUMMYFUNCTION("""COMPUTED_VALUE"""),51090032)</f>
        <v>51090032</v>
      </c>
      <c r="G176" s="12" t="str">
        <f ca="1">IFERROR(__xludf.DUMMYFUNCTION("""COMPUTED_VALUE"""),"IGEM01DI")</f>
        <v>IGEM01DI</v>
      </c>
      <c r="H176" s="12">
        <f ca="1">IFERROR(__xludf.DUMMYFUNCTION("""COMPUTED_VALUE"""),10800)</f>
        <v>10800</v>
      </c>
      <c r="I176" s="14">
        <f ca="1">IFERROR(__xludf.DUMMYFUNCTION("""COMPUTED_VALUE"""),5680)</f>
        <v>5680</v>
      </c>
      <c r="J176" s="12"/>
      <c r="K176" s="12"/>
      <c r="L176" s="12" t="str">
        <f ca="1">IFERROR(__xludf.DUMMYFUNCTION("""COMPUTED_VALUE"""),"上架中")</f>
        <v>上架中</v>
      </c>
      <c r="M176" s="12" t="str">
        <f ca="1">IFERROR(__xludf.DUMMYFUNCTION("""COMPUTED_VALUE"""),"2021/8/1-8/31短促，1/13到貨，2019/12/2新機上架")</f>
        <v>2021/8/1-8/31短促，1/13到貨，2019/12/2新機上架</v>
      </c>
      <c r="N176" s="12" t="str">
        <f ca="1">IFERROR(__xludf.DUMMYFUNCTION("""COMPUTED_VALUE"""),"運動器材")</f>
        <v>運動器材</v>
      </c>
      <c r="O176" s="12" t="str">
        <f ca="1">IFERROR(__xludf.DUMMYFUNCTION("""COMPUTED_VALUE"""),"橘")</f>
        <v>橘</v>
      </c>
      <c r="P176" s="12"/>
      <c r="Q176" s="12" t="str">
        <f ca="1">IFERROR(__xludf.DUMMYFUNCTION("""COMPUTED_VALUE"""),"1170x570x1010 mm")</f>
        <v>1170x570x1010 mm</v>
      </c>
      <c r="R176" s="12" t="str">
        <f ca="1">IFERROR(__xludf.DUMMYFUNCTION("""COMPUTED_VALUE"""),"中國")</f>
        <v>中國</v>
      </c>
      <c r="S176" s="12"/>
      <c r="T176" s="12"/>
      <c r="U176" s="12" t="str">
        <f ca="1">IFERROR(__xludf.DUMMYFUNCTION("""COMPUTED_VALUE"""),"1年")</f>
        <v>1年</v>
      </c>
      <c r="V176" s="12"/>
      <c r="W176" s="12"/>
      <c r="X176" s="12"/>
      <c r="Y176" s="12"/>
      <c r="Z176" s="14"/>
      <c r="AA176" s="15" t="str">
        <f ca="1">IFERROR(__xludf.DUMMYFUNCTION("""COMPUTED_VALUE"""),"*單車有氧雕塑訓練*附核心拉力繩，加倍雙校運動*快速折收不占空間*8段阻力調整，坐墊高低調整*有效紀錄時間、距離、速度、卡路里")</f>
        <v>*單車有氧雕塑訓練*附核心拉力繩，加倍雙校運動*快速折收不占空間*8段阻力調整，坐墊高低調整*有效紀錄時間、距離、速度、卡路里</v>
      </c>
    </row>
    <row r="177" spans="1:27" ht="19.5" customHeight="1">
      <c r="A177" s="12" t="str">
        <f ca="1">IFERROR(__xludf.DUMMYFUNCTION("""COMPUTED_VALUE"""),"生活家電")</f>
        <v>生活家電</v>
      </c>
      <c r="B177" s="12" t="str">
        <f ca="1">IFERROR(__xludf.DUMMYFUNCTION("""COMPUTED_VALUE"""),"城欣")</f>
        <v>城欣</v>
      </c>
      <c r="C177" s="12" t="str">
        <f ca="1">IFERROR(__xludf.DUMMYFUNCTION("""COMPUTED_VALUE"""),"輝葉")</f>
        <v>輝葉</v>
      </c>
      <c r="D177" s="12" t="str">
        <f ca="1">IFERROR(__xludf.DUMMYFUNCTION("""COMPUTED_VALUE"""),"輝葉鋁合金新平板跑步機_HY-20607")</f>
        <v>輝葉鋁合金新平板跑步機_HY-20607</v>
      </c>
      <c r="E177" s="12" t="str">
        <f ca="1">IFERROR(__xludf.DUMMYFUNCTION("""COMPUTED_VALUE"""),"HY-20607")</f>
        <v>HY-20607</v>
      </c>
      <c r="F177" s="12">
        <f ca="1">IFERROR(__xludf.DUMMYFUNCTION("""COMPUTED_VALUE"""),51090041)</f>
        <v>51090041</v>
      </c>
      <c r="G177" s="12" t="str">
        <f ca="1">IFERROR(__xludf.DUMMYFUNCTION("""COMPUTED_VALUE"""),"IGEM01IR")</f>
        <v>IGEM01IR</v>
      </c>
      <c r="H177" s="12">
        <f ca="1">IFERROR(__xludf.DUMMYFUNCTION("""COMPUTED_VALUE"""),18800)</f>
        <v>18800</v>
      </c>
      <c r="I177" s="14">
        <f ca="1">IFERROR(__xludf.DUMMYFUNCTION("""COMPUTED_VALUE"""),17800)</f>
        <v>17800</v>
      </c>
      <c r="J177" s="16">
        <f ca="1">IFERROR(__xludf.DUMMYFUNCTION("""COMPUTED_VALUE"""),45383)</f>
        <v>45383</v>
      </c>
      <c r="K177" s="12" t="str">
        <f ca="1">IFERROR(__xludf.DUMMYFUNCTION("""COMPUTED_VALUE"""),"短促")</f>
        <v>短促</v>
      </c>
      <c r="L177" s="12" t="str">
        <f ca="1">IFERROR(__xludf.DUMMYFUNCTION("""COMPUTED_VALUE"""),"上架中")</f>
        <v>上架中</v>
      </c>
      <c r="M177" s="12" t="str">
        <f ca="1">IFERROR(__xludf.DUMMYFUNCTION("""COMPUTED_VALUE"""),"2023/11/21到貨112/11/1回價9/22缺貨10月下旬到貨2020/2/21新品上架")</f>
        <v>2023/11/21到貨112/11/1回價9/22缺貨10月下旬到貨2020/2/21新品上架</v>
      </c>
      <c r="N177" s="12" t="str">
        <f ca="1">IFERROR(__xludf.DUMMYFUNCTION("""COMPUTED_VALUE"""),"運動器材")</f>
        <v>運動器材</v>
      </c>
      <c r="O177" s="12" t="str">
        <f ca="1">IFERROR(__xludf.DUMMYFUNCTION("""COMPUTED_VALUE"""),"黑灰")</f>
        <v>黑灰</v>
      </c>
      <c r="P177" s="12" t="str">
        <f ca="1">IFERROR(__xludf.DUMMYFUNCTION("""COMPUTED_VALUE"""),"30kg")</f>
        <v>30kg</v>
      </c>
      <c r="Q177" s="12" t="str">
        <f ca="1">IFERROR(__xludf.DUMMYFUNCTION("""COMPUTED_VALUE"""),"展開尺寸:1020*690*1430mm")</f>
        <v>展開尺寸:1020*690*1430mm</v>
      </c>
      <c r="R177" s="12" t="str">
        <f ca="1">IFERROR(__xludf.DUMMYFUNCTION("""COMPUTED_VALUE"""),"中國")</f>
        <v>中國</v>
      </c>
      <c r="S177" s="12"/>
      <c r="T177" s="12"/>
      <c r="U177" s="22" t="str">
        <f ca="1">IFERROR(__xludf.DUMMYFUNCTION("""COMPUTED_VALUE"""),"1年")</f>
        <v>1年</v>
      </c>
      <c r="V177" s="12"/>
      <c r="W177" s="12"/>
      <c r="X177" s="12"/>
      <c r="Y177" s="12"/>
      <c r="Z177" s="14"/>
      <c r="AA177" s="15" t="str">
        <f ca="1">IFERROR(__xludf.DUMMYFUNCTION("""COMPUTED_VALUE"""),"*鋁合金強韌機身*油壓升降安全扶手*42cm旗艦寬跑帶*30kg輕量機身")</f>
        <v>*鋁合金強韌機身*油壓升降安全扶手*42cm旗艦寬跑帶*30kg輕量機身</v>
      </c>
    </row>
    <row r="178" spans="1:27" ht="19.5" customHeight="1">
      <c r="A178" s="12" t="str">
        <f ca="1">IFERROR(__xludf.DUMMYFUNCTION("""COMPUTED_VALUE"""),"生活家電")</f>
        <v>生活家電</v>
      </c>
      <c r="B178" s="12" t="str">
        <f ca="1">IFERROR(__xludf.DUMMYFUNCTION("""COMPUTED_VALUE"""),"城欣")</f>
        <v>城欣</v>
      </c>
      <c r="C178" s="12" t="str">
        <f ca="1">IFERROR(__xludf.DUMMYFUNCTION("""COMPUTED_VALUE"""),"輝葉")</f>
        <v>輝葉</v>
      </c>
      <c r="D178" s="12" t="str">
        <f ca="1">IFERROR(__xludf.DUMMYFUNCTION("""COMPUTED_VALUE"""),"輝葉創飛輪健身車(Triple傳動系統)_HY-20151")</f>
        <v>輝葉創飛輪健身車(Triple傳動系統)_HY-20151</v>
      </c>
      <c r="E178" s="12" t="str">
        <f ca="1">IFERROR(__xludf.DUMMYFUNCTION("""COMPUTED_VALUE"""),"HY-20151")</f>
        <v>HY-20151</v>
      </c>
      <c r="F178" s="12">
        <f ca="1">IFERROR(__xludf.DUMMYFUNCTION("""COMPUTED_VALUE"""),51090042)</f>
        <v>51090042</v>
      </c>
      <c r="G178" s="12" t="str">
        <f ca="1">IFERROR(__xludf.DUMMYFUNCTION("""COMPUTED_VALUE"""),"IGEM01IS")</f>
        <v>IGEM01IS</v>
      </c>
      <c r="H178" s="12">
        <f ca="1">IFERROR(__xludf.DUMMYFUNCTION("""COMPUTED_VALUE"""),21800)</f>
        <v>21800</v>
      </c>
      <c r="I178" s="14">
        <f ca="1">IFERROR(__xludf.DUMMYFUNCTION("""COMPUTED_VALUE"""),9900)</f>
        <v>9900</v>
      </c>
      <c r="J178" s="12"/>
      <c r="K178" s="12"/>
      <c r="L178" s="12" t="str">
        <f ca="1">IFERROR(__xludf.DUMMYFUNCTION("""COMPUTED_VALUE"""),"上架中")</f>
        <v>上架中</v>
      </c>
      <c r="M178" s="12" t="str">
        <f ca="1">IFERROR(__xludf.DUMMYFUNCTION("""COMPUTED_VALUE"""),"2022/1/13到貨，2/21新品上架")</f>
        <v>2022/1/13到貨，2/21新品上架</v>
      </c>
      <c r="N178" s="12" t="str">
        <f ca="1">IFERROR(__xludf.DUMMYFUNCTION("""COMPUTED_VALUE"""),"運動器材")</f>
        <v>運動器材</v>
      </c>
      <c r="O178" s="12" t="str">
        <f ca="1">IFERROR(__xludf.DUMMYFUNCTION("""COMPUTED_VALUE"""),"武士黑")</f>
        <v>武士黑</v>
      </c>
      <c r="P178" s="12" t="str">
        <f ca="1">IFERROR(__xludf.DUMMYFUNCTION("""COMPUTED_VALUE"""),"30kg")</f>
        <v>30kg</v>
      </c>
      <c r="Q178" s="12" t="str">
        <f ca="1">IFERROR(__xludf.DUMMYFUNCTION("""COMPUTED_VALUE"""),"1250*440*1000mm")</f>
        <v>1250*440*1000mm</v>
      </c>
      <c r="R178" s="12" t="str">
        <f ca="1">IFERROR(__xludf.DUMMYFUNCTION("""COMPUTED_VALUE"""),"中國")</f>
        <v>中國</v>
      </c>
      <c r="S178" s="12"/>
      <c r="T178" s="12"/>
      <c r="U178" s="22" t="str">
        <f ca="1">IFERROR(__xludf.DUMMYFUNCTION("""COMPUTED_VALUE"""),"1年")</f>
        <v>1年</v>
      </c>
      <c r="V178" s="12"/>
      <c r="W178" s="12"/>
      <c r="X178" s="12"/>
      <c r="Y178" s="12"/>
      <c r="Z178" s="14"/>
      <c r="AA178" s="15" t="str">
        <f ca="1">IFERROR(__xludf.DUMMYFUNCTION("""COMPUTED_VALUE"""),"*磁控靜音煞車*全包覆式飛輪*八段式阻力調整*前移動滾輪設計")</f>
        <v>*磁控靜音煞車*全包覆式飛輪*八段式阻力調整*前移動滾輪設計</v>
      </c>
    </row>
    <row r="179" spans="1:27" ht="19.5" customHeight="1">
      <c r="A179" s="12" t="str">
        <f ca="1">IFERROR(__xludf.DUMMYFUNCTION("""COMPUTED_VALUE"""),"生活家電")</f>
        <v>生活家電</v>
      </c>
      <c r="B179" s="12" t="str">
        <f ca="1">IFERROR(__xludf.DUMMYFUNCTION("""COMPUTED_VALUE"""),"城欣")</f>
        <v>城欣</v>
      </c>
      <c r="C179" s="12" t="str">
        <f ca="1">IFERROR(__xludf.DUMMYFUNCTION("""COMPUTED_VALUE"""),"輝葉")</f>
        <v>輝葉</v>
      </c>
      <c r="D179" s="12" t="str">
        <f ca="1">IFERROR(__xludf.DUMMYFUNCTION("""COMPUTED_VALUE"""),"輝葉熱感揉震按摩墊HY-1689")</f>
        <v>輝葉熱感揉震按摩墊HY-1689</v>
      </c>
      <c r="E179" s="12" t="str">
        <f ca="1">IFERROR(__xludf.DUMMYFUNCTION("""COMPUTED_VALUE"""),"HY-1689")</f>
        <v>HY-1689</v>
      </c>
      <c r="F179" s="12">
        <f ca="1">IFERROR(__xludf.DUMMYFUNCTION("""COMPUTED_VALUE"""),51090044)</f>
        <v>51090044</v>
      </c>
      <c r="G179" s="12" t="str">
        <f ca="1">IFERROR(__xludf.DUMMYFUNCTION("""COMPUTED_VALUE"""),"IGEM01M2")</f>
        <v>IGEM01M2</v>
      </c>
      <c r="H179" s="12">
        <f ca="1">IFERROR(__xludf.DUMMYFUNCTION("""COMPUTED_VALUE"""),3880)</f>
        <v>3880</v>
      </c>
      <c r="I179" s="14">
        <f ca="1">IFERROR(__xludf.DUMMYFUNCTION("""COMPUTED_VALUE"""),2980)</f>
        <v>2980</v>
      </c>
      <c r="J179" s="16">
        <f ca="1">IFERROR(__xludf.DUMMYFUNCTION("""COMPUTED_VALUE"""),45383)</f>
        <v>45383</v>
      </c>
      <c r="K179" s="12" t="str">
        <f ca="1">IFERROR(__xludf.DUMMYFUNCTION("""COMPUTED_VALUE"""),"短促")</f>
        <v>短促</v>
      </c>
      <c r="L179" s="12" t="str">
        <f ca="1">IFERROR(__xludf.DUMMYFUNCTION("""COMPUTED_VALUE"""),"上架中")</f>
        <v>上架中</v>
      </c>
      <c r="M179" s="12" t="str">
        <f ca="1">IFERROR(__xludf.DUMMYFUNCTION("""COMPUTED_VALUE"""),"2024/4/1短促，2020/3/1新品上架")</f>
        <v>2024/4/1短促，2020/3/1新品上架</v>
      </c>
      <c r="N179" s="12" t="str">
        <f ca="1">IFERROR(__xludf.DUMMYFUNCTION("""COMPUTED_VALUE"""),"舒壓按摩")</f>
        <v>舒壓按摩</v>
      </c>
      <c r="O179" s="12" t="str">
        <f ca="1">IFERROR(__xludf.DUMMYFUNCTION("""COMPUTED_VALUE"""),"紅")</f>
        <v>紅</v>
      </c>
      <c r="P179" s="12" t="str">
        <f ca="1">IFERROR(__xludf.DUMMYFUNCTION("""COMPUTED_VALUE"""),"全機重1.9kg")</f>
        <v>全機重1.9kg</v>
      </c>
      <c r="Q179" s="12" t="str">
        <f ca="1">IFERROR(__xludf.DUMMYFUNCTION("""COMPUTED_VALUE"""),"高370*寬355*深125mm")</f>
        <v>高370*寬355*深125mm</v>
      </c>
      <c r="R179" s="12" t="str">
        <f ca="1">IFERROR(__xludf.DUMMYFUNCTION("""COMPUTED_VALUE"""),"中國")</f>
        <v>中國</v>
      </c>
      <c r="S179" s="12"/>
      <c r="T179" s="12"/>
      <c r="U179" s="22" t="str">
        <f ca="1">IFERROR(__xludf.DUMMYFUNCTION("""COMPUTED_VALUE"""),"1年")</f>
        <v>1年</v>
      </c>
      <c r="V179" s="12"/>
      <c r="W179" s="12"/>
      <c r="X179" s="12"/>
      <c r="Y179" s="12"/>
      <c r="Z179" s="14"/>
      <c r="AA179" s="15" t="str">
        <f ca="1">IFERROR(__xludf.DUMMYFUNCTION("""COMPUTED_VALUE"""),"*揉捏/搥打雙效合一*溫熱按摩*多點按摩球超大按摩面積*高科技網布材質，抗磨透氣專利設計*三段強度選擇，揉搥同步深入痠痛點*居家/辦公/露營皆可使用")</f>
        <v>*揉捏/搥打雙效合一*溫熱按摩*多點按摩球超大按摩面積*高科技網布材質，抗磨透氣專利設計*三段強度選擇，揉搥同步深入痠痛點*居家/辦公/露營皆可使用</v>
      </c>
    </row>
    <row r="180" spans="1:27" ht="19.5" customHeight="1">
      <c r="A180" s="12" t="str">
        <f ca="1">IFERROR(__xludf.DUMMYFUNCTION("""COMPUTED_VALUE"""),"生活家電")</f>
        <v>生活家電</v>
      </c>
      <c r="B180" s="12" t="str">
        <f ca="1">IFERROR(__xludf.DUMMYFUNCTION("""COMPUTED_VALUE"""),"城欣")</f>
        <v>城欣</v>
      </c>
      <c r="C180" s="12" t="str">
        <f ca="1">IFERROR(__xludf.DUMMYFUNCTION("""COMPUTED_VALUE"""),"輝葉")</f>
        <v>輝葉</v>
      </c>
      <c r="D180" s="12" t="str">
        <f ca="1">IFERROR(__xludf.DUMMYFUNCTION("""COMPUTED_VALUE"""),"輝葉4D溫熱揉槌按摩墊HY-640")</f>
        <v>輝葉4D溫熱揉槌按摩墊HY-640</v>
      </c>
      <c r="E180" s="12" t="str">
        <f ca="1">IFERROR(__xludf.DUMMYFUNCTION("""COMPUTED_VALUE"""),"HY-640")</f>
        <v>HY-640</v>
      </c>
      <c r="F180" s="12">
        <f ca="1">IFERROR(__xludf.DUMMYFUNCTION("""COMPUTED_VALUE"""),51090045)</f>
        <v>51090045</v>
      </c>
      <c r="G180" s="12" t="str">
        <f ca="1">IFERROR(__xludf.DUMMYFUNCTION("""COMPUTED_VALUE"""),"IGEM01M3")</f>
        <v>IGEM01M3</v>
      </c>
      <c r="H180" s="12">
        <f ca="1">IFERROR(__xludf.DUMMYFUNCTION("""COMPUTED_VALUE"""),8500)</f>
        <v>8500</v>
      </c>
      <c r="I180" s="14">
        <f ca="1">IFERROR(__xludf.DUMMYFUNCTION("""COMPUTED_VALUE"""),7980)</f>
        <v>7980</v>
      </c>
      <c r="J180" s="16">
        <f ca="1">IFERROR(__xludf.DUMMYFUNCTION("""COMPUTED_VALUE"""),45170)</f>
        <v>45170</v>
      </c>
      <c r="K180" s="12" t="str">
        <f ca="1">IFERROR(__xludf.DUMMYFUNCTION("""COMPUTED_VALUE"""),"到貨")</f>
        <v>到貨</v>
      </c>
      <c r="L180" s="12" t="str">
        <f ca="1">IFERROR(__xludf.DUMMYFUNCTION("""COMPUTED_VALUE"""),"上架中")</f>
        <v>上架中</v>
      </c>
      <c r="M180" s="12" t="str">
        <f ca="1">IFERROR(__xludf.DUMMYFUNCTION("""COMPUTED_VALUE"""),"2024/4/1短促，2021/8/1-8/31短促，4/1-5/30短促，2020/9/21到貨上架，3/1新品上架")</f>
        <v>2024/4/1短促，2021/8/1-8/31短促，4/1-5/30短促，2020/9/21到貨上架，3/1新品上架</v>
      </c>
      <c r="N180" s="12" t="str">
        <f ca="1">IFERROR(__xludf.DUMMYFUNCTION("""COMPUTED_VALUE"""),"舒壓按摩")</f>
        <v>舒壓按摩</v>
      </c>
      <c r="O180" s="12" t="str">
        <f ca="1">IFERROR(__xludf.DUMMYFUNCTION("""COMPUTED_VALUE"""),"紅")</f>
        <v>紅</v>
      </c>
      <c r="P180" s="12" t="str">
        <f ca="1">IFERROR(__xludf.DUMMYFUNCTION("""COMPUTED_VALUE"""),"全機重6.5kg")</f>
        <v>全機重6.5kg</v>
      </c>
      <c r="Q180" s="12" t="str">
        <f ca="1">IFERROR(__xludf.DUMMYFUNCTION("""COMPUTED_VALUE"""),"摺疊尺寸:高790*寬180*深430mm/展開尺寸:高1200*寬180*深430mm")</f>
        <v>摺疊尺寸:高790*寬180*深430mm/展開尺寸:高1200*寬180*深430mm</v>
      </c>
      <c r="R180" s="12" t="str">
        <f ca="1">IFERROR(__xludf.DUMMYFUNCTION("""COMPUTED_VALUE"""),"中國")</f>
        <v>中國</v>
      </c>
      <c r="S180" s="12"/>
      <c r="T180" s="12"/>
      <c r="U180" s="22" t="str">
        <f ca="1">IFERROR(__xludf.DUMMYFUNCTION("""COMPUTED_VALUE"""),"1年")</f>
        <v>1年</v>
      </c>
      <c r="V180" s="12"/>
      <c r="W180" s="12"/>
      <c r="X180" s="12"/>
      <c r="Y180" s="12"/>
      <c r="Z180" s="14"/>
      <c r="AA180" s="15" t="str">
        <f ca="1">IFERROR(__xludf.DUMMYFUNCTION("""COMPUTED_VALUE"""),"*肩頸背臀一體化按摩*頸部滾輪可調整高低*背腰揉捶同步舒適感提升*滾輪加熱深度按摩*全背、上/下背、定點四種按摩區域")</f>
        <v>*肩頸背臀一體化按摩*頸部滾輪可調整高低*背腰揉捶同步舒適感提升*滾輪加熱深度按摩*全背、上/下背、定點四種按摩區域</v>
      </c>
    </row>
    <row r="181" spans="1:27" ht="19.5" customHeight="1">
      <c r="A181" s="12" t="str">
        <f ca="1">IFERROR(__xludf.DUMMYFUNCTION("""COMPUTED_VALUE"""),"生活家電")</f>
        <v>生活家電</v>
      </c>
      <c r="B181" s="12" t="str">
        <f ca="1">IFERROR(__xludf.DUMMYFUNCTION("""COMPUTED_VALUE"""),"城欣")</f>
        <v>城欣</v>
      </c>
      <c r="C181" s="12" t="str">
        <f ca="1">IFERROR(__xludf.DUMMYFUNCTION("""COMPUTED_VALUE"""),"輝葉")</f>
        <v>輝葉</v>
      </c>
      <c r="D181" s="12" t="str">
        <f ca="1">IFERROR(__xludf.DUMMYFUNCTION("""COMPUTED_VALUE"""),"輝葉4D溫熱揉槌按摩墊+透氣摺疊椅HY-640+HY-CR01")</f>
        <v>輝葉4D溫熱揉槌按摩墊+透氣摺疊椅HY-640+HY-CR01</v>
      </c>
      <c r="E181" s="12" t="str">
        <f ca="1">IFERROR(__xludf.DUMMYFUNCTION("""COMPUTED_VALUE"""),"HY-640+HY-CR01")</f>
        <v>HY-640+HY-CR01</v>
      </c>
      <c r="F181" s="12">
        <f ca="1">IFERROR(__xludf.DUMMYFUNCTION("""COMPUTED_VALUE"""),51090046)</f>
        <v>51090046</v>
      </c>
      <c r="G181" s="12" t="str">
        <f ca="1">IFERROR(__xludf.DUMMYFUNCTION("""COMPUTED_VALUE"""),"IGEM01M4")</f>
        <v>IGEM01M4</v>
      </c>
      <c r="H181" s="12">
        <f ca="1">IFERROR(__xludf.DUMMYFUNCTION("""COMPUTED_VALUE"""),10600)</f>
        <v>10600</v>
      </c>
      <c r="I181" s="14">
        <f ca="1">IFERROR(__xludf.DUMMYFUNCTION("""COMPUTED_VALUE"""),7980)</f>
        <v>7980</v>
      </c>
      <c r="J181" s="16">
        <f ca="1">IFERROR(__xludf.DUMMYFUNCTION("""COMPUTED_VALUE"""),45174)</f>
        <v>45174</v>
      </c>
      <c r="K181" s="12" t="str">
        <f ca="1">IFERROR(__xludf.DUMMYFUNCTION("""COMPUTED_VALUE"""),"回價")</f>
        <v>回價</v>
      </c>
      <c r="L181" s="12" t="str">
        <f ca="1">IFERROR(__xludf.DUMMYFUNCTION("""COMPUTED_VALUE"""),"上架中")</f>
        <v>上架中</v>
      </c>
      <c r="M181" s="12" t="str">
        <f ca="1">IFERROR(__xludf.DUMMYFUNCTION("""COMPUTED_VALUE"""),"2024/8/1短促")</f>
        <v>2024/8/1短促</v>
      </c>
      <c r="N181" s="12" t="str">
        <f ca="1">IFERROR(__xludf.DUMMYFUNCTION("""COMPUTED_VALUE"""),"舒壓按摩")</f>
        <v>舒壓按摩</v>
      </c>
      <c r="O181" s="12" t="str">
        <f ca="1">IFERROR(__xludf.DUMMYFUNCTION("""COMPUTED_VALUE"""),"紅")</f>
        <v>紅</v>
      </c>
      <c r="P181" s="12" t="str">
        <f ca="1">IFERROR(__xludf.DUMMYFUNCTION("""COMPUTED_VALUE"""),"按摩墊6.5kg/涼椅6.5kg")</f>
        <v>按摩墊6.5kg/涼椅6.5kg</v>
      </c>
      <c r="Q181" s="12" t="str">
        <f ca="1">IFERROR(__xludf.DUMMYFUNCTION("""COMPUTED_VALUE"""),"按摩墊1200x180x430mm/涼椅展開690x590x1050mm")</f>
        <v>按摩墊1200x180x430mm/涼椅展開690x590x1050mm</v>
      </c>
      <c r="R181" s="12" t="str">
        <f ca="1">IFERROR(__xludf.DUMMYFUNCTION("""COMPUTED_VALUE"""),"中國")</f>
        <v>中國</v>
      </c>
      <c r="S181" s="12"/>
      <c r="T181" s="12"/>
      <c r="U181" s="22" t="str">
        <f ca="1">IFERROR(__xludf.DUMMYFUNCTION("""COMPUTED_VALUE"""),"1年")</f>
        <v>1年</v>
      </c>
      <c r="V181" s="12"/>
      <c r="W181" s="12"/>
      <c r="X181" s="12"/>
      <c r="Y181" s="12"/>
      <c r="Z181" s="14"/>
      <c r="AA181" s="15" t="str">
        <f ca="1">IFERROR(__xludf.DUMMYFUNCTION("""COMPUTED_VALUE"""),"*肩頸背臀一體化按摩*頸部滾輪可調整高低*背腰揉捶同步舒適感提升*滾輪加熱深度按摩*全背、上/下背、定點四種按摩區域*摺疊椅多段調整角度*輕巧好折收，不占空間")</f>
        <v>*肩頸背臀一體化按摩*頸部滾輪可調整高低*背腰揉捶同步舒適感提升*滾輪加熱深度按摩*全背、上/下背、定點四種按摩區域*摺疊椅多段調整角度*輕巧好折收，不占空間</v>
      </c>
    </row>
    <row r="182" spans="1:27" ht="19.5" customHeight="1">
      <c r="A182" s="12" t="str">
        <f ca="1">IFERROR(__xludf.DUMMYFUNCTION("""COMPUTED_VALUE"""),"生活家電")</f>
        <v>生活家電</v>
      </c>
      <c r="B182" s="12" t="str">
        <f ca="1">IFERROR(__xludf.DUMMYFUNCTION("""COMPUTED_VALUE"""),"城欣")</f>
        <v>城欣</v>
      </c>
      <c r="C182" s="12" t="str">
        <f ca="1">IFERROR(__xludf.DUMMYFUNCTION("""COMPUTED_VALUE"""),"輝葉")</f>
        <v>輝葉</v>
      </c>
      <c r="D182" s="12" t="str">
        <f ca="1">IFERROR(__xludf.DUMMYFUNCTION("""COMPUTED_VALUE"""),"輝葉經典按摩棒HY-10341")</f>
        <v>輝葉經典按摩棒HY-10341</v>
      </c>
      <c r="E182" s="12" t="str">
        <f ca="1">IFERROR(__xludf.DUMMYFUNCTION("""COMPUTED_VALUE"""),"HY-10341")</f>
        <v>HY-10341</v>
      </c>
      <c r="F182" s="12">
        <f ca="1">IFERROR(__xludf.DUMMYFUNCTION("""COMPUTED_VALUE"""),51090049)</f>
        <v>51090049</v>
      </c>
      <c r="G182" s="12" t="str">
        <f ca="1">IFERROR(__xludf.DUMMYFUNCTION("""COMPUTED_VALUE"""),"IGEM01M7")</f>
        <v>IGEM01M7</v>
      </c>
      <c r="H182" s="12">
        <f ca="1">IFERROR(__xludf.DUMMYFUNCTION("""COMPUTED_VALUE"""),1580)</f>
        <v>1580</v>
      </c>
      <c r="I182" s="14">
        <f ca="1">IFERROR(__xludf.DUMMYFUNCTION("""COMPUTED_VALUE"""),660)</f>
        <v>660</v>
      </c>
      <c r="J182" s="16">
        <f ca="1">IFERROR(__xludf.DUMMYFUNCTION("""COMPUTED_VALUE"""),45111)</f>
        <v>45111</v>
      </c>
      <c r="K182" s="12" t="str">
        <f ca="1">IFERROR(__xludf.DUMMYFUNCTION("""COMPUTED_VALUE"""),"到貨")</f>
        <v>到貨</v>
      </c>
      <c r="L182" s="12" t="str">
        <f ca="1">IFERROR(__xludf.DUMMYFUNCTION("""COMPUTED_VALUE"""),"上架中")</f>
        <v>上架中</v>
      </c>
      <c r="M182" s="12" t="str">
        <f ca="1">IFERROR(__xludf.DUMMYFUNCTION("""COMPUTED_VALUE"""),"7/4到貨5/5缺貨預購,2023/1月中出貨")</f>
        <v>7/4到貨5/5缺貨預購,2023/1月中出貨</v>
      </c>
      <c r="N182" s="12" t="str">
        <f ca="1">IFERROR(__xludf.DUMMYFUNCTION("""COMPUTED_VALUE"""),"舒壓按摩")</f>
        <v>舒壓按摩</v>
      </c>
      <c r="O182" s="12" t="str">
        <f ca="1">IFERROR(__xludf.DUMMYFUNCTION("""COMPUTED_VALUE"""),"銀")</f>
        <v>銀</v>
      </c>
      <c r="P182" s="12" t="str">
        <f ca="1">IFERROR(__xludf.DUMMYFUNCTION("""COMPUTED_VALUE"""),"全機重1.1kg")</f>
        <v>全機重1.1kg</v>
      </c>
      <c r="Q182" s="12" t="str">
        <f ca="1">IFERROR(__xludf.DUMMYFUNCTION("""COMPUTED_VALUE"""),"400x90x100mm")</f>
        <v>400x90x100mm</v>
      </c>
      <c r="R182" s="12" t="str">
        <f ca="1">IFERROR(__xludf.DUMMYFUNCTION("""COMPUTED_VALUE"""),"中國")</f>
        <v>中國</v>
      </c>
      <c r="S182" s="12"/>
      <c r="T182" s="12"/>
      <c r="U182" s="22" t="str">
        <f ca="1">IFERROR(__xludf.DUMMYFUNCTION("""COMPUTED_VALUE"""),"1年")</f>
        <v>1年</v>
      </c>
      <c r="V182" s="12"/>
      <c r="W182" s="12"/>
      <c r="X182" s="12"/>
      <c r="Y182" s="12"/>
      <c r="Z182" s="14"/>
      <c r="AA182" s="15" t="str">
        <f ca="1">IFERROR(__xludf.DUMMYFUNCTION("""COMPUTED_VALUE"""),"*高頻振動，深層按摩*三種可更換按摩頭*輕巧好攜帶*紅光照射，溫熱感加倍*全身各部位皆可使用，舒緩痠痛")</f>
        <v>*高頻振動，深層按摩*三種可更換按摩頭*輕巧好攜帶*紅光照射，溫熱感加倍*全身各部位皆可使用，舒緩痠痛</v>
      </c>
    </row>
    <row r="183" spans="1:27" ht="19.5" customHeight="1">
      <c r="A183" s="12" t="str">
        <f ca="1">IFERROR(__xludf.DUMMYFUNCTION("""COMPUTED_VALUE"""),"生活家電")</f>
        <v>生活家電</v>
      </c>
      <c r="B183" s="12" t="str">
        <f ca="1">IFERROR(__xludf.DUMMYFUNCTION("""COMPUTED_VALUE"""),"城欣")</f>
        <v>城欣</v>
      </c>
      <c r="C183" s="12" t="str">
        <f ca="1">IFERROR(__xludf.DUMMYFUNCTION("""COMPUTED_VALUE"""),"輝葉")</f>
        <v>輝葉</v>
      </c>
      <c r="D183" s="12" t="str">
        <f ca="1">IFERROR(__xludf.DUMMYFUNCTION("""COMPUTED_VALUE"""),"輝葉追夢椅PLUS石墨烯升級款(紳士藍)HY-5083-BU")</f>
        <v>輝葉追夢椅PLUS石墨烯升級款(紳士藍)HY-5083-BU</v>
      </c>
      <c r="E183" s="12" t="str">
        <f ca="1">IFERROR(__xludf.DUMMYFUNCTION("""COMPUTED_VALUE"""),"HY-5083-BU")</f>
        <v>HY-5083-BU</v>
      </c>
      <c r="F183" s="12">
        <f ca="1">IFERROR(__xludf.DUMMYFUNCTION("""COMPUTED_VALUE"""),51090052)</f>
        <v>51090052</v>
      </c>
      <c r="G183" s="12" t="str">
        <f ca="1">IFERROR(__xludf.DUMMYFUNCTION("""COMPUTED_VALUE"""),"IGEM01QD")</f>
        <v>IGEM01QD</v>
      </c>
      <c r="H183" s="12">
        <f ca="1">IFERROR(__xludf.DUMMYFUNCTION("""COMPUTED_VALUE"""),71600)</f>
        <v>71600</v>
      </c>
      <c r="I183" s="14">
        <f ca="1">IFERROR(__xludf.DUMMYFUNCTION("""COMPUTED_VALUE"""),56800)</f>
        <v>56800</v>
      </c>
      <c r="J183" s="16">
        <f ca="1">IFERROR(__xludf.DUMMYFUNCTION("""COMPUTED_VALUE"""),45658)</f>
        <v>45658</v>
      </c>
      <c r="K183" s="12" t="str">
        <f ca="1">IFERROR(__xludf.DUMMYFUNCTION("""COMPUTED_VALUE"""),"短促")</f>
        <v>短促</v>
      </c>
      <c r="L183" s="12" t="str">
        <f ca="1">IFERROR(__xludf.DUMMYFUNCTION("""COMPUTED_VALUE"""),"上架中")</f>
        <v>上架中</v>
      </c>
      <c r="M183" s="12" t="str">
        <f ca="1">IFERROR(__xludf.DUMMYFUNCTION("""COMPUTED_VALUE"""),"114/1/1短促，12/1回價，11/1-11/14短促(預計11/15回價)，9/1 回價，7/1短促，6/1 回價，2023/9/1回價2020/4/1新機上架")</f>
        <v>114/1/1短促，12/1回價，11/1-11/14短促(預計11/15回價)，9/1 回價，7/1短促，6/1 回價，2023/9/1回價2020/4/1新機上架</v>
      </c>
      <c r="N183" s="12" t="str">
        <f ca="1">IFERROR(__xludf.DUMMYFUNCTION("""COMPUTED_VALUE"""),"舒壓按摩")</f>
        <v>舒壓按摩</v>
      </c>
      <c r="O183" s="12" t="str">
        <f ca="1">IFERROR(__xludf.DUMMYFUNCTION("""COMPUTED_VALUE"""),"紳士藍")</f>
        <v>紳士藍</v>
      </c>
      <c r="P183" s="12" t="str">
        <f ca="1">IFERROR(__xludf.DUMMYFUNCTION("""COMPUTED_VALUE"""),"額定電壓:110V
額定頻率:60HZ
額定功率:170W
淨重:82kg")</f>
        <v>額定電壓:110V
額定頻率:60HZ
額定功率:170W
淨重:82kg</v>
      </c>
      <c r="Q183" s="12" t="str">
        <f ca="1">IFERROR(__xludf.DUMMYFUNCTION("""COMPUTED_VALUE"""),"直立尺寸:1510x750x1130mm/平躺尺寸:1720x750x820mm")</f>
        <v>直立尺寸:1510x750x1130mm/平躺尺寸:1720x750x820mm</v>
      </c>
      <c r="R183" s="12" t="str">
        <f ca="1">IFERROR(__xludf.DUMMYFUNCTION("""COMPUTED_VALUE"""),"中國")</f>
        <v>中國</v>
      </c>
      <c r="S183" s="12"/>
      <c r="T183" s="12"/>
      <c r="U183" s="22" t="str">
        <f ca="1">IFERROR(__xludf.DUMMYFUNCTION("""COMPUTED_VALUE"""),"1年")</f>
        <v>1年</v>
      </c>
      <c r="V183" s="12"/>
      <c r="W183" s="12"/>
      <c r="X183" s="12"/>
      <c r="Y183" s="12"/>
      <c r="Z183" s="14"/>
      <c r="AA183" s="15" t="str">
        <f ca="1">IFERROR(__xludf.DUMMYFUNCTION("""COMPUTED_VALUE"""),"*獨創追夢按摩程式*獨家腿部揉搓按摩*2SL超長臀感按摩*10組自動按摩程式*3組記憶模式*碳纖維溫感舒緩*全身氣囊推壓包覆*兩段式零重力壓力釋放*5cm零空間前滑設計*全腳底滾輪指壓按摩")</f>
        <v>*獨創追夢按摩程式*獨家腿部揉搓按摩*2SL超長臀感按摩*10組自動按摩程式*3組記憶模式*碳纖維溫感舒緩*全身氣囊推壓包覆*兩段式零重力壓力釋放*5cm零空間前滑設計*全腳底滾輪指壓按摩</v>
      </c>
    </row>
    <row r="184" spans="1:27" ht="19.5" customHeight="1">
      <c r="A184" s="12" t="str">
        <f ca="1">IFERROR(__xludf.DUMMYFUNCTION("""COMPUTED_VALUE"""),"生活家電")</f>
        <v>生活家電</v>
      </c>
      <c r="B184" s="12" t="str">
        <f ca="1">IFERROR(__xludf.DUMMYFUNCTION("""COMPUTED_VALUE"""),"城欣")</f>
        <v>城欣</v>
      </c>
      <c r="C184" s="12" t="str">
        <f ca="1">IFERROR(__xludf.DUMMYFUNCTION("""COMPUTED_VALUE"""),"輝葉")</f>
        <v>輝葉</v>
      </c>
      <c r="D184" s="12" t="str">
        <f ca="1">IFERROR(__xludf.DUMMYFUNCTION("""COMPUTED_VALUE"""),"輝葉追夢椅PLUS石墨烯升級款(神秘紫)HY-5083-PL")</f>
        <v>輝葉追夢椅PLUS石墨烯升級款(神秘紫)HY-5083-PL</v>
      </c>
      <c r="E184" s="12" t="str">
        <f ca="1">IFERROR(__xludf.DUMMYFUNCTION("""COMPUTED_VALUE"""),"HY-5083-PL")</f>
        <v>HY-5083-PL</v>
      </c>
      <c r="F184" s="12">
        <f ca="1">IFERROR(__xludf.DUMMYFUNCTION("""COMPUTED_VALUE"""),51090053)</f>
        <v>51090053</v>
      </c>
      <c r="G184" s="12" t="str">
        <f ca="1">IFERROR(__xludf.DUMMYFUNCTION("""COMPUTED_VALUE"""),"IGEM01QE")</f>
        <v>IGEM01QE</v>
      </c>
      <c r="H184" s="12">
        <f ca="1">IFERROR(__xludf.DUMMYFUNCTION("""COMPUTED_VALUE"""),71600)</f>
        <v>71600</v>
      </c>
      <c r="I184" s="14">
        <f ca="1">IFERROR(__xludf.DUMMYFUNCTION("""COMPUTED_VALUE"""),56800)</f>
        <v>56800</v>
      </c>
      <c r="J184" s="16">
        <f ca="1">IFERROR(__xludf.DUMMYFUNCTION("""COMPUTED_VALUE"""),45658)</f>
        <v>45658</v>
      </c>
      <c r="K184" s="12" t="str">
        <f ca="1">IFERROR(__xludf.DUMMYFUNCTION("""COMPUTED_VALUE"""),"短促")</f>
        <v>短促</v>
      </c>
      <c r="L184" s="12" t="str">
        <f ca="1">IFERROR(__xludf.DUMMYFUNCTION("""COMPUTED_VALUE"""),"上架中")</f>
        <v>上架中</v>
      </c>
      <c r="M184" s="12" t="str">
        <f ca="1">IFERROR(__xludf.DUMMYFUNCTION("""COMPUTED_VALUE"""),"114/1/1短促，12/1回價，11/1-11/14短促(預計11/15回價)，9/1 回價，7/1短促，6/1 回價，2023/9/1回價2020/4/1新機上架")</f>
        <v>114/1/1短促，12/1回價，11/1-11/14短促(預計11/15回價)，9/1 回價，7/1短促，6/1 回價，2023/9/1回價2020/4/1新機上架</v>
      </c>
      <c r="N184" s="12" t="str">
        <f ca="1">IFERROR(__xludf.DUMMYFUNCTION("""COMPUTED_VALUE"""),"舒壓按摩")</f>
        <v>舒壓按摩</v>
      </c>
      <c r="O184" s="12" t="str">
        <f ca="1">IFERROR(__xludf.DUMMYFUNCTION("""COMPUTED_VALUE"""),"神秘紫")</f>
        <v>神秘紫</v>
      </c>
      <c r="P184" s="12" t="str">
        <f ca="1">IFERROR(__xludf.DUMMYFUNCTION("""COMPUTED_VALUE"""),"額定電壓:110V
額定頻率:60HZ
額定功率:170W
淨重:82kg")</f>
        <v>額定電壓:110V
額定頻率:60HZ
額定功率:170W
淨重:82kg</v>
      </c>
      <c r="Q184" s="12" t="str">
        <f ca="1">IFERROR(__xludf.DUMMYFUNCTION("""COMPUTED_VALUE"""),"直立尺寸:1510x750x1130mm/平躺尺寸:1720x750x820mm")</f>
        <v>直立尺寸:1510x750x1130mm/平躺尺寸:1720x750x820mm</v>
      </c>
      <c r="R184" s="12" t="str">
        <f ca="1">IFERROR(__xludf.DUMMYFUNCTION("""COMPUTED_VALUE"""),"中國")</f>
        <v>中國</v>
      </c>
      <c r="S184" s="12"/>
      <c r="T184" s="12"/>
      <c r="U184" s="22" t="str">
        <f ca="1">IFERROR(__xludf.DUMMYFUNCTION("""COMPUTED_VALUE"""),"1年")</f>
        <v>1年</v>
      </c>
      <c r="V184" s="12"/>
      <c r="W184" s="12"/>
      <c r="X184" s="12"/>
      <c r="Y184" s="12"/>
      <c r="Z184" s="14"/>
      <c r="AA184" s="15" t="str">
        <f ca="1">IFERROR(__xludf.DUMMYFUNCTION("""COMPUTED_VALUE"""),"*獨創追夢按摩程式*獨家腿部揉搓按摩*2SL超長臀感按摩*10組自動按摩程式*3組記憶模式*碳纖維溫感舒緩*全身氣囊推壓包覆*兩段式零重力壓力釋放*5cm零空間前滑設計*全腳底滾輪指壓按摩")</f>
        <v>*獨創追夢按摩程式*獨家腿部揉搓按摩*2SL超長臀感按摩*10組自動按摩程式*3組記憶模式*碳纖維溫感舒緩*全身氣囊推壓包覆*兩段式零重力壓力釋放*5cm零空間前滑設計*全腳底滾輪指壓按摩</v>
      </c>
    </row>
    <row r="185" spans="1:27" ht="19.5" customHeight="1">
      <c r="A185" s="12" t="str">
        <f ca="1">IFERROR(__xludf.DUMMYFUNCTION("""COMPUTED_VALUE"""),"生活家電")</f>
        <v>生活家電</v>
      </c>
      <c r="B185" s="12" t="str">
        <f ca="1">IFERROR(__xludf.DUMMYFUNCTION("""COMPUTED_VALUE"""),"城欣")</f>
        <v>城欣</v>
      </c>
      <c r="C185" s="12" t="str">
        <f ca="1">IFERROR(__xludf.DUMMYFUNCTION("""COMPUTED_VALUE"""),"輝葉")</f>
        <v>輝葉</v>
      </c>
      <c r="D185" s="12" t="str">
        <f ca="1">IFERROR(__xludf.DUMMYFUNCTION("""COMPUTED_VALUE"""),"輝葉追夢椅PLUS石墨烯升級款(魔力紅)HY-5083-RD")</f>
        <v>輝葉追夢椅PLUS石墨烯升級款(魔力紅)HY-5083-RD</v>
      </c>
      <c r="E185" s="12" t="str">
        <f ca="1">IFERROR(__xludf.DUMMYFUNCTION("""COMPUTED_VALUE"""),"HY-5083-RD")</f>
        <v>HY-5083-RD</v>
      </c>
      <c r="F185" s="12">
        <f ca="1">IFERROR(__xludf.DUMMYFUNCTION("""COMPUTED_VALUE"""),51090054)</f>
        <v>51090054</v>
      </c>
      <c r="G185" s="12" t="str">
        <f ca="1">IFERROR(__xludf.DUMMYFUNCTION("""COMPUTED_VALUE"""),"IGEM01QF")</f>
        <v>IGEM01QF</v>
      </c>
      <c r="H185" s="12">
        <f ca="1">IFERROR(__xludf.DUMMYFUNCTION("""COMPUTED_VALUE"""),71600)</f>
        <v>71600</v>
      </c>
      <c r="I185" s="14">
        <f ca="1">IFERROR(__xludf.DUMMYFUNCTION("""COMPUTED_VALUE"""),56800)</f>
        <v>56800</v>
      </c>
      <c r="J185" s="16">
        <f ca="1">IFERROR(__xludf.DUMMYFUNCTION("""COMPUTED_VALUE"""),45658)</f>
        <v>45658</v>
      </c>
      <c r="K185" s="12" t="str">
        <f ca="1">IFERROR(__xludf.DUMMYFUNCTION("""COMPUTED_VALUE"""),"短促")</f>
        <v>短促</v>
      </c>
      <c r="L185" s="12" t="str">
        <f ca="1">IFERROR(__xludf.DUMMYFUNCTION("""COMPUTED_VALUE"""),"上架中")</f>
        <v>上架中</v>
      </c>
      <c r="M185" s="12" t="str">
        <f ca="1">IFERROR(__xludf.DUMMYFUNCTION("""COMPUTED_VALUE"""),"114/1/1短促，12/1回價，11/1-11/14短促(預計11/15回價)，9/1 回價，7/1短促，6/1 回價，2023/9/1回價2020/4/1新機上架")</f>
        <v>114/1/1短促，12/1回價，11/1-11/14短促(預計11/15回價)，9/1 回價，7/1短促，6/1 回價，2023/9/1回價2020/4/1新機上架</v>
      </c>
      <c r="N185" s="12" t="str">
        <f ca="1">IFERROR(__xludf.DUMMYFUNCTION("""COMPUTED_VALUE"""),"舒壓按摩")</f>
        <v>舒壓按摩</v>
      </c>
      <c r="O185" s="12" t="str">
        <f ca="1">IFERROR(__xludf.DUMMYFUNCTION("""COMPUTED_VALUE"""),"魔力紅")</f>
        <v>魔力紅</v>
      </c>
      <c r="P185" s="12" t="str">
        <f ca="1">IFERROR(__xludf.DUMMYFUNCTION("""COMPUTED_VALUE"""),"額定電壓:110V
額定頻率:60HZ
額定功率:170W
淨重:82kg")</f>
        <v>額定電壓:110V
額定頻率:60HZ
額定功率:170W
淨重:82kg</v>
      </c>
      <c r="Q185" s="12" t="str">
        <f ca="1">IFERROR(__xludf.DUMMYFUNCTION("""COMPUTED_VALUE"""),"直立尺寸:1510x750x1130mm/平躺尺寸:1720x750x820mm")</f>
        <v>直立尺寸:1510x750x1130mm/平躺尺寸:1720x750x820mm</v>
      </c>
      <c r="R185" s="12" t="str">
        <f ca="1">IFERROR(__xludf.DUMMYFUNCTION("""COMPUTED_VALUE"""),"中國")</f>
        <v>中國</v>
      </c>
      <c r="S185" s="12"/>
      <c r="T185" s="12"/>
      <c r="U185" s="22" t="str">
        <f ca="1">IFERROR(__xludf.DUMMYFUNCTION("""COMPUTED_VALUE"""),"1年")</f>
        <v>1年</v>
      </c>
      <c r="V185" s="12"/>
      <c r="W185" s="12"/>
      <c r="X185" s="12"/>
      <c r="Y185" s="12"/>
      <c r="Z185" s="14"/>
      <c r="AA185" s="15" t="str">
        <f ca="1">IFERROR(__xludf.DUMMYFUNCTION("""COMPUTED_VALUE"""),"*獨創追夢按摩程式*獨家腿部揉搓按摩*2SL超長臀感按摩*10組自動按摩程式*3組記憶模式*碳纖維溫感舒緩*全身氣囊推壓包覆*兩段式零重力壓力釋放*5cm零空間前滑設計*全腳底滾輪指壓按摩")</f>
        <v>*獨創追夢按摩程式*獨家腿部揉搓按摩*2SL超長臀感按摩*10組自動按摩程式*3組記憶模式*碳纖維溫感舒緩*全身氣囊推壓包覆*兩段式零重力壓力釋放*5cm零空間前滑設計*全腳底滾輪指壓按摩</v>
      </c>
    </row>
    <row r="186" spans="1:27" ht="19.5" customHeight="1">
      <c r="A186" s="12" t="str">
        <f ca="1">IFERROR(__xludf.DUMMYFUNCTION("""COMPUTED_VALUE"""),"生活家電")</f>
        <v>生活家電</v>
      </c>
      <c r="B186" s="12" t="str">
        <f ca="1">IFERROR(__xludf.DUMMYFUNCTION("""COMPUTED_VALUE"""),"城欣")</f>
        <v>城欣</v>
      </c>
      <c r="C186" s="12" t="str">
        <f ca="1">IFERROR(__xludf.DUMMYFUNCTION("""COMPUTED_VALUE"""),"輝葉")</f>
        <v>輝葉</v>
      </c>
      <c r="D186" s="12" t="str">
        <f ca="1">IFERROR(__xludf.DUMMYFUNCTION("""COMPUTED_VALUE"""),"輝葉 I-LOOK 有感眼部按摩器 HY-Y05")</f>
        <v>輝葉 I-LOOK 有感眼部按摩器 HY-Y05</v>
      </c>
      <c r="E186" s="12" t="str">
        <f ca="1">IFERROR(__xludf.DUMMYFUNCTION("""COMPUTED_VALUE"""),"HY-Y05")</f>
        <v>HY-Y05</v>
      </c>
      <c r="F186" s="12">
        <f ca="1">IFERROR(__xludf.DUMMYFUNCTION("""COMPUTED_VALUE"""),51090086)</f>
        <v>51090086</v>
      </c>
      <c r="G186" s="12" t="str">
        <f ca="1">IFERROR(__xludf.DUMMYFUNCTION("""COMPUTED_VALUE"""),"IGEM068Q")</f>
        <v>IGEM068Q</v>
      </c>
      <c r="H186" s="12">
        <f ca="1">IFERROR(__xludf.DUMMYFUNCTION("""COMPUTED_VALUE"""),3680)</f>
        <v>3680</v>
      </c>
      <c r="I186" s="14">
        <f ca="1">IFERROR(__xludf.DUMMYFUNCTION("""COMPUTED_VALUE"""),1980)</f>
        <v>1980</v>
      </c>
      <c r="J186" s="16">
        <f ca="1">IFERROR(__xludf.DUMMYFUNCTION("""COMPUTED_VALUE"""),45108)</f>
        <v>45108</v>
      </c>
      <c r="K186" s="12" t="str">
        <f ca="1">IFERROR(__xludf.DUMMYFUNCTION("""COMPUTED_VALUE"""),"短促")</f>
        <v>短促</v>
      </c>
      <c r="L186" s="12" t="str">
        <f ca="1">IFERROR(__xludf.DUMMYFUNCTION("""COMPUTED_VALUE"""),"上架中")</f>
        <v>上架中</v>
      </c>
      <c r="M186" s="12" t="str">
        <f ca="1">IFERROR(__xludf.DUMMYFUNCTION("""COMPUTED_VALUE"""),"2022/9/1新機上架")</f>
        <v>2022/9/1新機上架</v>
      </c>
      <c r="N186" s="12" t="str">
        <f ca="1">IFERROR(__xludf.DUMMYFUNCTION("""COMPUTED_VALUE"""),"舒壓按摩")</f>
        <v>舒壓按摩</v>
      </c>
      <c r="O186" s="12" t="str">
        <f ca="1">IFERROR(__xludf.DUMMYFUNCTION("""COMPUTED_VALUE"""),"白")</f>
        <v>白</v>
      </c>
      <c r="P186" s="12" t="str">
        <f ca="1">IFERROR(__xludf.DUMMYFUNCTION("""COMPUTED_VALUE"""),"重量:335g")</f>
        <v>重量:335g</v>
      </c>
      <c r="Q186" s="12" t="str">
        <f ca="1">IFERROR(__xludf.DUMMYFUNCTION("""COMPUTED_VALUE"""),"210x76x120mm")</f>
        <v>210x76x120mm</v>
      </c>
      <c r="R186" s="12" t="str">
        <f ca="1">IFERROR(__xludf.DUMMYFUNCTION("""COMPUTED_VALUE"""),"中國")</f>
        <v>中國</v>
      </c>
      <c r="S186" s="12"/>
      <c r="T186" s="12"/>
      <c r="U186" s="22" t="str">
        <f ca="1">IFERROR(__xludf.DUMMYFUNCTION("""COMPUTED_VALUE"""),"1年")</f>
        <v>1年</v>
      </c>
      <c r="V186" s="12"/>
      <c r="W186" s="12"/>
      <c r="X186" s="12"/>
      <c r="Y186" s="12"/>
      <c r="Z186" s="14"/>
      <c r="AA186" s="15" t="str">
        <f ca="1">IFERROR(__xludf.DUMMYFUNCTION("""COMPUTED_VALUE"""),"*360°環振溫感按摩*石墨烯熱敷*4種模式一鍵啟用*材質親膚易清潔*連接藍芽 音樂啟動*輕量戴著走")</f>
        <v>*360°環振溫感按摩*石墨烯熱敷*4種模式一鍵啟用*材質親膚易清潔*連接藍芽 音樂啟動*輕量戴著走</v>
      </c>
    </row>
    <row r="187" spans="1:27" ht="19.5" customHeight="1">
      <c r="A187" s="12" t="str">
        <f ca="1">IFERROR(__xludf.DUMMYFUNCTION("""COMPUTED_VALUE"""),"生活家電")</f>
        <v>生活家電</v>
      </c>
      <c r="B187" s="12" t="str">
        <f ca="1">IFERROR(__xludf.DUMMYFUNCTION("""COMPUTED_VALUE"""),"城欣")</f>
        <v>城欣</v>
      </c>
      <c r="C187" s="12" t="str">
        <f ca="1">IFERROR(__xludf.DUMMYFUNCTION("""COMPUTED_VALUE"""),"輝葉")</f>
        <v>輝葉</v>
      </c>
      <c r="D187" s="12" t="str">
        <f ca="1">IFERROR(__xludf.DUMMYFUNCTION("""COMPUTED_VALUE"""),"輝葉WULA超有力小沙發-藍HY-3068A-BU")</f>
        <v>輝葉WULA超有力小沙發-藍HY-3068A-BU</v>
      </c>
      <c r="E187" s="12" t="str">
        <f ca="1">IFERROR(__xludf.DUMMYFUNCTION("""COMPUTED_VALUE"""),"HY-3068A-BU")</f>
        <v>HY-3068A-BU</v>
      </c>
      <c r="F187" s="12">
        <f ca="1">IFERROR(__xludf.DUMMYFUNCTION("""COMPUTED_VALUE"""),51090063)</f>
        <v>51090063</v>
      </c>
      <c r="G187" s="12" t="str">
        <f ca="1">IFERROR(__xludf.DUMMYFUNCTION("""COMPUTED_VALUE"""),"IGEM045D")</f>
        <v>IGEM045D</v>
      </c>
      <c r="H187" s="12">
        <f ca="1">IFERROR(__xludf.DUMMYFUNCTION("""COMPUTED_VALUE"""),39900)</f>
        <v>39900</v>
      </c>
      <c r="I187" s="14">
        <f ca="1">IFERROR(__xludf.DUMMYFUNCTION("""COMPUTED_VALUE"""),24990)</f>
        <v>24990</v>
      </c>
      <c r="J187" s="12"/>
      <c r="K187" s="12" t="str">
        <f ca="1">IFERROR(__xludf.DUMMYFUNCTION("""COMPUTED_VALUE"""),"回價")</f>
        <v>回價</v>
      </c>
      <c r="L187" s="12" t="str">
        <f ca="1">IFERROR(__xludf.DUMMYFUNCTION("""COMPUTED_VALUE"""),"上架中")</f>
        <v>上架中</v>
      </c>
      <c r="M187" s="12" t="str">
        <f ca="1">IFERROR(__xludf.DUMMYFUNCTION("""COMPUTED_VALUE"""),"12/1回價，11/1-11/14短促(預計11/15回價)，9/1 回價，7/1短促，6/1 回價，2024/4/1短促，2024/1/1回價9/1回價2023/2/20-3/31短促2021/8/11新機上架")</f>
        <v>12/1回價，11/1-11/14短促(預計11/15回價)，9/1 回價，7/1短促，6/1 回價，2024/4/1短促，2024/1/1回價9/1回價2023/2/20-3/31短促2021/8/11新機上架</v>
      </c>
      <c r="N187" s="12" t="str">
        <f ca="1">IFERROR(__xludf.DUMMYFUNCTION("""COMPUTED_VALUE"""),"運動器材")</f>
        <v>運動器材</v>
      </c>
      <c r="O187" s="12" t="str">
        <f ca="1">IFERROR(__xludf.DUMMYFUNCTION("""COMPUTED_VALUE"""),"嬰兒藍")</f>
        <v>嬰兒藍</v>
      </c>
      <c r="P187" s="12"/>
      <c r="Q187" s="12" t="str">
        <f ca="1">IFERROR(__xludf.DUMMYFUNCTION("""COMPUTED_VALUE"""),"直立尺寸:高966*寬623*深1345mm/平躺尺寸:高841x寬623x深1513mm")</f>
        <v>直立尺寸:高966*寬623*深1345mm/平躺尺寸:高841x寬623x深1513mm</v>
      </c>
      <c r="R187" s="12" t="str">
        <f ca="1">IFERROR(__xludf.DUMMYFUNCTION("""COMPUTED_VALUE"""),"中國")</f>
        <v>中國</v>
      </c>
      <c r="S187" s="12"/>
      <c r="T187" s="12"/>
      <c r="U187" s="22" t="str">
        <f ca="1">IFERROR(__xludf.DUMMYFUNCTION("""COMPUTED_VALUE"""),"1年")</f>
        <v>1年</v>
      </c>
      <c r="V187" s="12"/>
      <c r="W187" s="12"/>
      <c r="X187" s="12" t="str">
        <f ca="1">IFERROR(__xludf.DUMMYFUNCTION("""COMPUTED_VALUE"""),"(114/1/1-2/28)隨貨送decopop電動牙刷DP-253-PK")</f>
        <v>(114/1/1-2/28)隨貨送decopop電動牙刷DP-253-PK</v>
      </c>
      <c r="Y187" s="12"/>
      <c r="Z187" s="14"/>
      <c r="AA187" s="15" t="str">
        <f ca="1">IFERROR(__xludf.DUMMYFUNCTION("""COMPUTED_VALUE"""),"*12公分按摩軸距*腳底按摩滾輪*SL型雙曲線導軌*下半身氣囊包覆*腰部溫熱功能*6種精選自動按摩程序*7種客製化調節")</f>
        <v>*12公分按摩軸距*腳底按摩滾輪*SL型雙曲線導軌*下半身氣囊包覆*腰部溫熱功能*6種精選自動按摩程序*7種客製化調節</v>
      </c>
    </row>
    <row r="188" spans="1:27" ht="19.5" customHeight="1">
      <c r="A188" s="12" t="str">
        <f ca="1">IFERROR(__xludf.DUMMYFUNCTION("""COMPUTED_VALUE"""),"生活家電")</f>
        <v>生活家電</v>
      </c>
      <c r="B188" s="12" t="str">
        <f ca="1">IFERROR(__xludf.DUMMYFUNCTION("""COMPUTED_VALUE"""),"城欣")</f>
        <v>城欣</v>
      </c>
      <c r="C188" s="12" t="str">
        <f ca="1">IFERROR(__xludf.DUMMYFUNCTION("""COMPUTED_VALUE"""),"輝葉")</f>
        <v>輝葉</v>
      </c>
      <c r="D188" s="12" t="str">
        <f ca="1">IFERROR(__xludf.DUMMYFUNCTION("""COMPUTED_VALUE"""),"輝葉WULA超有力小沙發-粉HY-3068A-PK")</f>
        <v>輝葉WULA超有力小沙發-粉HY-3068A-PK</v>
      </c>
      <c r="E188" s="12" t="str">
        <f ca="1">IFERROR(__xludf.DUMMYFUNCTION("""COMPUTED_VALUE"""),"HY-3068A-PK")</f>
        <v>HY-3068A-PK</v>
      </c>
      <c r="F188" s="12">
        <f ca="1">IFERROR(__xludf.DUMMYFUNCTION("""COMPUTED_VALUE"""),51090064)</f>
        <v>51090064</v>
      </c>
      <c r="G188" s="12" t="str">
        <f ca="1">IFERROR(__xludf.DUMMYFUNCTION("""COMPUTED_VALUE"""),"IGEM045E")</f>
        <v>IGEM045E</v>
      </c>
      <c r="H188" s="12">
        <f ca="1">IFERROR(__xludf.DUMMYFUNCTION("""COMPUTED_VALUE"""),39900)</f>
        <v>39900</v>
      </c>
      <c r="I188" s="14">
        <f ca="1">IFERROR(__xludf.DUMMYFUNCTION("""COMPUTED_VALUE"""),24990)</f>
        <v>24990</v>
      </c>
      <c r="J188" s="16">
        <f ca="1">IFERROR(__xludf.DUMMYFUNCTION("""COMPUTED_VALUE"""),45627)</f>
        <v>45627</v>
      </c>
      <c r="K188" s="12" t="str">
        <f ca="1">IFERROR(__xludf.DUMMYFUNCTION("""COMPUTED_VALUE"""),"回價")</f>
        <v>回價</v>
      </c>
      <c r="L188" s="12" t="str">
        <f ca="1">IFERROR(__xludf.DUMMYFUNCTION("""COMPUTED_VALUE"""),"上架中")</f>
        <v>上架中</v>
      </c>
      <c r="M188" s="12" t="str">
        <f ca="1">IFERROR(__xludf.DUMMYFUNCTION("""COMPUTED_VALUE"""),"12/1回價，11/1-11/14短促(預計11/15回價)，9/1 回價，7/1短促，6/1 回價，2024/4/1短促，2024/1/1回價9/1回價2023/2/20-3/31短促2021/8/11新機上架")</f>
        <v>12/1回價，11/1-11/14短促(預計11/15回價)，9/1 回價，7/1短促，6/1 回價，2024/4/1短促，2024/1/1回價9/1回價2023/2/20-3/31短促2021/8/11新機上架</v>
      </c>
      <c r="N188" s="12" t="str">
        <f ca="1">IFERROR(__xludf.DUMMYFUNCTION("""COMPUTED_VALUE"""),"運動器材")</f>
        <v>運動器材</v>
      </c>
      <c r="O188" s="12" t="str">
        <f ca="1">IFERROR(__xludf.DUMMYFUNCTION("""COMPUTED_VALUE"""),"甜丁香粉")</f>
        <v>甜丁香粉</v>
      </c>
      <c r="P188" s="12"/>
      <c r="Q188" s="12" t="str">
        <f ca="1">IFERROR(__xludf.DUMMYFUNCTION("""COMPUTED_VALUE"""),"直立尺寸:高966*寬623*深1345mm/平躺尺寸:高841x寬623x深1513mm")</f>
        <v>直立尺寸:高966*寬623*深1345mm/平躺尺寸:高841x寬623x深1513mm</v>
      </c>
      <c r="R188" s="12" t="str">
        <f ca="1">IFERROR(__xludf.DUMMYFUNCTION("""COMPUTED_VALUE"""),"中國")</f>
        <v>中國</v>
      </c>
      <c r="S188" s="12"/>
      <c r="T188" s="12"/>
      <c r="U188" s="22" t="str">
        <f ca="1">IFERROR(__xludf.DUMMYFUNCTION("""COMPUTED_VALUE"""),"1年")</f>
        <v>1年</v>
      </c>
      <c r="V188" s="12"/>
      <c r="W188" s="12"/>
      <c r="X188" s="12" t="str">
        <f ca="1">IFERROR(__xludf.DUMMYFUNCTION("""COMPUTED_VALUE"""),"(114/1/1-2/28)隨貨送decopop電動牙刷DP-253-PK")</f>
        <v>(114/1/1-2/28)隨貨送decopop電動牙刷DP-253-PK</v>
      </c>
      <c r="Y188" s="12"/>
      <c r="Z188" s="14"/>
      <c r="AA188" s="15" t="str">
        <f ca="1">IFERROR(__xludf.DUMMYFUNCTION("""COMPUTED_VALUE"""),"*12公分按摩軸距*腳底按摩滾輪*SL型雙曲線導軌*下半身氣囊包覆*腰部溫熱功能*6種精選自動按摩程序*7種客製化調節")</f>
        <v>*12公分按摩軸距*腳底按摩滾輪*SL型雙曲線導軌*下半身氣囊包覆*腰部溫熱功能*6種精選自動按摩程序*7種客製化調節</v>
      </c>
    </row>
    <row r="189" spans="1:27" ht="19.5" customHeight="1">
      <c r="A189" s="12" t="str">
        <f ca="1">IFERROR(__xludf.DUMMYFUNCTION("""COMPUTED_VALUE"""),"生活家電")</f>
        <v>生活家電</v>
      </c>
      <c r="B189" s="12" t="str">
        <f ca="1">IFERROR(__xludf.DUMMYFUNCTION("""COMPUTED_VALUE"""),"城欣")</f>
        <v>城欣</v>
      </c>
      <c r="C189" s="12" t="str">
        <f ca="1">IFERROR(__xludf.DUMMYFUNCTION("""COMPUTED_VALUE"""),"輝葉")</f>
        <v>輝葉</v>
      </c>
      <c r="D189" s="12" t="str">
        <f ca="1">IFERROR(__xludf.DUMMYFUNCTION("""COMPUTED_VALUE"""),"輝葉WULA超有力小沙發-灰HY-3068A-GY")</f>
        <v>輝葉WULA超有力小沙發-灰HY-3068A-GY</v>
      </c>
      <c r="E189" s="12" t="str">
        <f ca="1">IFERROR(__xludf.DUMMYFUNCTION("""COMPUTED_VALUE"""),"HY-3068A-GY")</f>
        <v>HY-3068A-GY</v>
      </c>
      <c r="F189" s="12">
        <f ca="1">IFERROR(__xludf.DUMMYFUNCTION("""COMPUTED_VALUE"""),51090065)</f>
        <v>51090065</v>
      </c>
      <c r="G189" s="12" t="str">
        <f ca="1">IFERROR(__xludf.DUMMYFUNCTION("""COMPUTED_VALUE"""),"IGEM045F")</f>
        <v>IGEM045F</v>
      </c>
      <c r="H189" s="12">
        <f ca="1">IFERROR(__xludf.DUMMYFUNCTION("""COMPUTED_VALUE"""),39900)</f>
        <v>39900</v>
      </c>
      <c r="I189" s="14">
        <f ca="1">IFERROR(__xludf.DUMMYFUNCTION("""COMPUTED_VALUE"""),24990)</f>
        <v>24990</v>
      </c>
      <c r="J189" s="16">
        <f ca="1">IFERROR(__xludf.DUMMYFUNCTION("""COMPUTED_VALUE"""),45627)</f>
        <v>45627</v>
      </c>
      <c r="K189" s="12" t="str">
        <f ca="1">IFERROR(__xludf.DUMMYFUNCTION("""COMPUTED_VALUE"""),"回價")</f>
        <v>回價</v>
      </c>
      <c r="L189" s="12" t="str">
        <f ca="1">IFERROR(__xludf.DUMMYFUNCTION("""COMPUTED_VALUE"""),"上架中")</f>
        <v>上架中</v>
      </c>
      <c r="M189" s="12" t="str">
        <f ca="1">IFERROR(__xludf.DUMMYFUNCTION("""COMPUTED_VALUE"""),"12/1回價，11/1-11/14短促(預計11/15回價)，9/1 回價，7/1短促，6/1 回價，2024/4/1短促，2024/1/1回價9/1回價2023/2/20-3/31短促2021/8/11新機上架")</f>
        <v>12/1回價，11/1-11/14短促(預計11/15回價)，9/1 回價，7/1短促，6/1 回價，2024/4/1短促，2024/1/1回價9/1回價2023/2/20-3/31短促2021/8/11新機上架</v>
      </c>
      <c r="N189" s="12" t="str">
        <f ca="1">IFERROR(__xludf.DUMMYFUNCTION("""COMPUTED_VALUE"""),"運動器材")</f>
        <v>運動器材</v>
      </c>
      <c r="O189" s="12" t="str">
        <f ca="1">IFERROR(__xludf.DUMMYFUNCTION("""COMPUTED_VALUE"""),"極致灰")</f>
        <v>極致灰</v>
      </c>
      <c r="P189" s="12"/>
      <c r="Q189" s="12" t="str">
        <f ca="1">IFERROR(__xludf.DUMMYFUNCTION("""COMPUTED_VALUE"""),"直立尺寸:高966*寬623*深1345mm/平躺尺寸:高841x寬623x深1513mm")</f>
        <v>直立尺寸:高966*寬623*深1345mm/平躺尺寸:高841x寬623x深1513mm</v>
      </c>
      <c r="R189" s="12" t="str">
        <f ca="1">IFERROR(__xludf.DUMMYFUNCTION("""COMPUTED_VALUE"""),"中國")</f>
        <v>中國</v>
      </c>
      <c r="S189" s="12"/>
      <c r="T189" s="12"/>
      <c r="U189" s="22" t="str">
        <f ca="1">IFERROR(__xludf.DUMMYFUNCTION("""COMPUTED_VALUE"""),"1年")</f>
        <v>1年</v>
      </c>
      <c r="V189" s="12"/>
      <c r="W189" s="12"/>
      <c r="X189" s="12" t="str">
        <f ca="1">IFERROR(__xludf.DUMMYFUNCTION("""COMPUTED_VALUE"""),"(114/1/1-2/28)隨貨送decopop電動牙刷DP-253-PK")</f>
        <v>(114/1/1-2/28)隨貨送decopop電動牙刷DP-253-PK</v>
      </c>
      <c r="Y189" s="12"/>
      <c r="Z189" s="14"/>
      <c r="AA189" s="15" t="str">
        <f ca="1">IFERROR(__xludf.DUMMYFUNCTION("""COMPUTED_VALUE"""),"*12公分按摩軸距*腳底按摩滾輪*SL型雙曲線導軌*下半身氣囊包覆*腰部溫熱功能*6種精選自動按摩程序*7種客製化調節")</f>
        <v>*12公分按摩軸距*腳底按摩滾輪*SL型雙曲線導軌*下半身氣囊包覆*腰部溫熱功能*6種精選自動按摩程序*7種客製化調節</v>
      </c>
    </row>
    <row r="190" spans="1:27" ht="19.5" customHeight="1">
      <c r="A190" s="12" t="str">
        <f ca="1">IFERROR(__xludf.DUMMYFUNCTION("""COMPUTED_VALUE"""),"生活家電")</f>
        <v>生活家電</v>
      </c>
      <c r="B190" s="12" t="str">
        <f ca="1">IFERROR(__xludf.DUMMYFUNCTION("""COMPUTED_VALUE"""),"城欣")</f>
        <v>城欣</v>
      </c>
      <c r="C190" s="12" t="str">
        <f ca="1">IFERROR(__xludf.DUMMYFUNCTION("""COMPUTED_VALUE"""),"輝葉")</f>
        <v>輝葉</v>
      </c>
      <c r="D190" s="12" t="str">
        <f ca="1">IFERROR(__xludf.DUMMYFUNCTION("""COMPUTED_VALUE"""),"輝葉雙核心四手深捏按摩墊HY-656")</f>
        <v>輝葉雙核心四手深捏按摩墊HY-656</v>
      </c>
      <c r="E190" s="12" t="str">
        <f ca="1">IFERROR(__xludf.DUMMYFUNCTION("""COMPUTED_VALUE"""),"HY-656")</f>
        <v>HY-656</v>
      </c>
      <c r="F190" s="12">
        <f ca="1">IFERROR(__xludf.DUMMYFUNCTION("""COMPUTED_VALUE"""),51090073)</f>
        <v>51090073</v>
      </c>
      <c r="G190" s="12" t="str">
        <f ca="1">IFERROR(__xludf.DUMMYFUNCTION("""COMPUTED_VALUE"""),"IGEM049R")</f>
        <v>IGEM049R</v>
      </c>
      <c r="H190" s="12">
        <f ca="1">IFERROR(__xludf.DUMMYFUNCTION("""COMPUTED_VALUE"""),6980)</f>
        <v>6980</v>
      </c>
      <c r="I190" s="14">
        <f ca="1">IFERROR(__xludf.DUMMYFUNCTION("""COMPUTED_VALUE"""),6980)</f>
        <v>6980</v>
      </c>
      <c r="J190" s="16">
        <f ca="1">IFERROR(__xludf.DUMMYFUNCTION("""COMPUTED_VALUE"""),44999)</f>
        <v>44999</v>
      </c>
      <c r="K190" s="12" t="str">
        <f ca="1">IFERROR(__xludf.DUMMYFUNCTION("""COMPUTED_VALUE"""),"到貨")</f>
        <v>到貨</v>
      </c>
      <c r="L190" s="12" t="str">
        <f ca="1">IFERROR(__xludf.DUMMYFUNCTION("""COMPUTED_VALUE"""),"上架中")</f>
        <v>上架中</v>
      </c>
      <c r="M190" s="12" t="str">
        <f ca="1">IFERROR(__xludf.DUMMYFUNCTION("""COMPUTED_VALUE"""),"2023/4/1短促，2023/3/14到貨2023/3/2缺貨2021/11/1新品上架")</f>
        <v>2023/4/1短促，2023/3/14到貨2023/3/2缺貨2021/11/1新品上架</v>
      </c>
      <c r="N190" s="12" t="str">
        <f ca="1">IFERROR(__xludf.DUMMYFUNCTION("""COMPUTED_VALUE"""),"舒壓按摩")</f>
        <v>舒壓按摩</v>
      </c>
      <c r="O190" s="12" t="str">
        <f ca="1">IFERROR(__xludf.DUMMYFUNCTION("""COMPUTED_VALUE"""),"藍")</f>
        <v>藍</v>
      </c>
      <c r="P190" s="12"/>
      <c r="Q190" s="12" t="str">
        <f ca="1">IFERROR(__xludf.DUMMYFUNCTION("""COMPUTED_VALUE"""),"475(高)x160(寬)x840(長)mm")</f>
        <v>475(高)x160(寬)x840(長)mm</v>
      </c>
      <c r="R190" s="12" t="str">
        <f ca="1">IFERROR(__xludf.DUMMYFUNCTION("""COMPUTED_VALUE"""),"中國")</f>
        <v>中國</v>
      </c>
      <c r="S190" s="12"/>
      <c r="T190" s="12"/>
      <c r="U190" s="22" t="str">
        <f ca="1">IFERROR(__xludf.DUMMYFUNCTION("""COMPUTED_VALUE"""),"1年")</f>
        <v>1年</v>
      </c>
      <c r="V190" s="12"/>
      <c r="W190" s="12"/>
      <c r="X190" s="12"/>
      <c r="Y190" s="12"/>
      <c r="Z190" s="14"/>
      <c r="AA190" s="15" t="str">
        <f ca="1">IFERROR(__xludf.DUMMYFUNCTION("""COMPUTED_VALUE"""),"*肩頸背臀一體化揉捏按摩*肩頸升降12cm滾輪，各種身高皆適合*滾輪加熱，溫感按摩*臀感震動按摩*全背、上/下背、定點四種按摩區域")</f>
        <v>*肩頸背臀一體化揉捏按摩*肩頸升降12cm滾輪，各種身高皆適合*滾輪加熱，溫感按摩*臀感震動按摩*全背、上/下背、定點四種按摩區域</v>
      </c>
    </row>
    <row r="191" spans="1:27" ht="19.5" customHeight="1">
      <c r="A191" s="12" t="str">
        <f ca="1">IFERROR(__xludf.DUMMYFUNCTION("""COMPUTED_VALUE"""),"生活家電")</f>
        <v>生活家電</v>
      </c>
      <c r="B191" s="12" t="str">
        <f ca="1">IFERROR(__xludf.DUMMYFUNCTION("""COMPUTED_VALUE"""),"城欣")</f>
        <v>城欣</v>
      </c>
      <c r="C191" s="12" t="str">
        <f ca="1">IFERROR(__xludf.DUMMYFUNCTION("""COMPUTED_VALUE"""),"輝葉")</f>
        <v>輝葉</v>
      </c>
      <c r="D191" s="12" t="str">
        <f ca="1">IFERROR(__xludf.DUMMYFUNCTION("""COMPUTED_VALUE"""),"輝葉4INONE美腿新膝望HY-768")</f>
        <v>輝葉4INONE美腿新膝望HY-768</v>
      </c>
      <c r="E191" s="12" t="str">
        <f ca="1">IFERROR(__xludf.DUMMYFUNCTION("""COMPUTED_VALUE"""),"HY-768")</f>
        <v>HY-768</v>
      </c>
      <c r="F191" s="12">
        <f ca="1">IFERROR(__xludf.DUMMYFUNCTION("""COMPUTED_VALUE"""),51090074)</f>
        <v>51090074</v>
      </c>
      <c r="G191" s="12" t="str">
        <f ca="1">IFERROR(__xludf.DUMMYFUNCTION("""COMPUTED_VALUE"""),"IGEM049S")</f>
        <v>IGEM049S</v>
      </c>
      <c r="H191" s="12">
        <f ca="1">IFERROR(__xludf.DUMMYFUNCTION("""COMPUTED_VALUE"""),3980)</f>
        <v>3980</v>
      </c>
      <c r="I191" s="14">
        <f ca="1">IFERROR(__xludf.DUMMYFUNCTION("""COMPUTED_VALUE"""),2980)</f>
        <v>2980</v>
      </c>
      <c r="J191" s="16">
        <f ca="1">IFERROR(__xludf.DUMMYFUNCTION("""COMPUTED_VALUE"""),45512)</f>
        <v>45512</v>
      </c>
      <c r="K191" s="12" t="str">
        <f ca="1">IFERROR(__xludf.DUMMYFUNCTION("""COMPUTED_VALUE"""),"短促")</f>
        <v>短促</v>
      </c>
      <c r="L191" s="12" t="str">
        <f ca="1">IFERROR(__xludf.DUMMYFUNCTION("""COMPUTED_VALUE"""),"上架中")</f>
        <v>上架中</v>
      </c>
      <c r="M191" s="12" t="str">
        <f ca="1">IFERROR(__xludf.DUMMYFUNCTION("""COMPUTED_VALUE"""),"8/8重新上架，2024/7/1停售(成本)，2023/4/1短促，2023/5/10到貨3/13缺貨預計4月初到貨")</f>
        <v>8/8重新上架，2024/7/1停售(成本)，2023/4/1短促，2023/5/10到貨3/13缺貨預計4月初到貨</v>
      </c>
      <c r="N191" s="12" t="str">
        <f ca="1">IFERROR(__xludf.DUMMYFUNCTION("""COMPUTED_VALUE"""),"舒壓按摩")</f>
        <v>舒壓按摩</v>
      </c>
      <c r="O191" s="12" t="str">
        <f ca="1">IFERROR(__xludf.DUMMYFUNCTION("""COMPUTED_VALUE"""),"白")</f>
        <v>白</v>
      </c>
      <c r="P191" s="12"/>
      <c r="Q191" s="12" t="str">
        <f ca="1">IFERROR(__xludf.DUMMYFUNCTION("""COMPUTED_VALUE"""),"425x190x210mm")</f>
        <v>425x190x210mm</v>
      </c>
      <c r="R191" s="12" t="str">
        <f ca="1">IFERROR(__xludf.DUMMYFUNCTION("""COMPUTED_VALUE"""),"中國")</f>
        <v>中國</v>
      </c>
      <c r="S191" s="12"/>
      <c r="T191" s="12"/>
      <c r="U191" s="22" t="str">
        <f ca="1">IFERROR(__xludf.DUMMYFUNCTION("""COMPUTED_VALUE"""),"1年")</f>
        <v>1年</v>
      </c>
      <c r="V191" s="12"/>
      <c r="W191" s="12"/>
      <c r="X191" s="12"/>
      <c r="Y191" s="12"/>
      <c r="Z191" s="14"/>
      <c r="AA191" s="15" t="str">
        <f ca="1">IFERROR(__xludf.DUMMYFUNCTION("""COMPUTED_VALUE"""),"*U型270度環繞立體氣囊包覆按摩*三段力道，舒緩緊繃肌肉*足底凸點指壓按摩，刺激穴道*溫熱熱敷，促進循環*三種模式，多部位使用(腿/膝/足/手)")</f>
        <v>*U型270度環繞立體氣囊包覆按摩*三段力道，舒緩緊繃肌肉*足底凸點指壓按摩，刺激穴道*溫熱熱敷，促進循環*三種模式，多部位使用(腿/膝/足/手)</v>
      </c>
    </row>
    <row r="192" spans="1:27" ht="19.5" customHeight="1">
      <c r="A192" s="12" t="str">
        <f ca="1">IFERROR(__xludf.DUMMYFUNCTION("""COMPUTED_VALUE"""),"生活家電")</f>
        <v>生活家電</v>
      </c>
      <c r="B192" s="12" t="str">
        <f ca="1">IFERROR(__xludf.DUMMYFUNCTION("""COMPUTED_VALUE"""),"城欣")</f>
        <v>城欣</v>
      </c>
      <c r="C192" s="12" t="str">
        <f ca="1">IFERROR(__xludf.DUMMYFUNCTION("""COMPUTED_VALUE"""),"輝葉")</f>
        <v>輝葉</v>
      </c>
      <c r="D192" s="12" t="str">
        <f ca="1">IFERROR(__xludf.DUMMYFUNCTION("""COMPUTED_VALUE"""),"輝葉COZYFIT垂直律動機(HY-806)")</f>
        <v>輝葉COZYFIT垂直律動機(HY-806)</v>
      </c>
      <c r="E192" s="12" t="str">
        <f ca="1">IFERROR(__xludf.DUMMYFUNCTION("""COMPUTED_VALUE"""),"HY-806")</f>
        <v>HY-806</v>
      </c>
      <c r="F192" s="12">
        <f ca="1">IFERROR(__xludf.DUMMYFUNCTION("""COMPUTED_VALUE"""),51090076)</f>
        <v>51090076</v>
      </c>
      <c r="G192" s="12" t="str">
        <f ca="1">IFERROR(__xludf.DUMMYFUNCTION("""COMPUTED_VALUE"""),"IGEM049U")</f>
        <v>IGEM049U</v>
      </c>
      <c r="H192" s="12">
        <f ca="1">IFERROR(__xludf.DUMMYFUNCTION("""COMPUTED_VALUE"""),19800)</f>
        <v>19800</v>
      </c>
      <c r="I192" s="14">
        <f ca="1">IFERROR(__xludf.DUMMYFUNCTION("""COMPUTED_VALUE"""),9999)</f>
        <v>9999</v>
      </c>
      <c r="J192" s="16">
        <f ca="1">IFERROR(__xludf.DUMMYFUNCTION("""COMPUTED_VALUE"""),45536)</f>
        <v>45536</v>
      </c>
      <c r="K192" s="12" t="str">
        <f ca="1">IFERROR(__xludf.DUMMYFUNCTION("""COMPUTED_VALUE"""),"回價")</f>
        <v>回價</v>
      </c>
      <c r="L192" s="12" t="str">
        <f ca="1">IFERROR(__xludf.DUMMYFUNCTION("""COMPUTED_VALUE"""),"上架中")</f>
        <v>上架中</v>
      </c>
      <c r="M192" s="12" t="str">
        <f ca="1">IFERROR(__xludf.DUMMYFUNCTION("""COMPUTED_VALUE"""),"7/1短促，6/1 回價，2024/4/1短促，3/20回價2023/3/9-3/19短促")</f>
        <v>7/1短促，6/1 回價，2024/4/1短促，3/20回價2023/3/9-3/19短促</v>
      </c>
      <c r="N192" s="12" t="str">
        <f ca="1">IFERROR(__xludf.DUMMYFUNCTION("""COMPUTED_VALUE"""),"運動器材")</f>
        <v>運動器材</v>
      </c>
      <c r="O192" s="12" t="str">
        <f ca="1">IFERROR(__xludf.DUMMYFUNCTION("""COMPUTED_VALUE"""),"黑")</f>
        <v>黑</v>
      </c>
      <c r="P192" s="12"/>
      <c r="Q192" s="12" t="str">
        <f ca="1">IFERROR(__xludf.DUMMYFUNCTION("""COMPUTED_VALUE"""),"400x300x105mm")</f>
        <v>400x300x105mm</v>
      </c>
      <c r="R192" s="12" t="str">
        <f ca="1">IFERROR(__xludf.DUMMYFUNCTION("""COMPUTED_VALUE"""),"中國")</f>
        <v>中國</v>
      </c>
      <c r="S192" s="12"/>
      <c r="T192" s="12"/>
      <c r="U192" s="22" t="str">
        <f ca="1">IFERROR(__xludf.DUMMYFUNCTION("""COMPUTED_VALUE"""),"1年")</f>
        <v>1年</v>
      </c>
      <c r="V192" s="12"/>
      <c r="W192" s="12" t="str">
        <f ca="1">IFERROR(__xludf.DUMMYFUNCTION("""COMPUTED_VALUE"""),"登錄註冊送律動&amp;瑜珈雙線上課程")</f>
        <v>登錄註冊送律動&amp;瑜珈雙線上課程</v>
      </c>
      <c r="X192" s="12"/>
      <c r="Y192" s="12"/>
      <c r="Z192" s="14"/>
      <c r="AA192" s="15" t="str">
        <f ca="1">IFERROR(__xludf.DUMMYFUNCTION("""COMPUTED_VALUE"""),"*垂直律動運動*全方位高頻震動物理燃脂運動*3種自動模式*20檔速度*智能控制準確掌握運動數據")</f>
        <v>*垂直律動運動*全方位高頻震動物理燃脂運動*3種自動模式*20檔速度*智能控制準確掌握運動數據</v>
      </c>
    </row>
    <row r="193" spans="1:27" ht="19.5" customHeight="1">
      <c r="A193" s="12" t="str">
        <f ca="1">IFERROR(__xludf.DUMMYFUNCTION("""COMPUTED_VALUE"""),"生活家電")</f>
        <v>生活家電</v>
      </c>
      <c r="B193" s="12" t="str">
        <f ca="1">IFERROR(__xludf.DUMMYFUNCTION("""COMPUTED_VALUE"""),"城欣")</f>
        <v>城欣</v>
      </c>
      <c r="C193" s="12" t="str">
        <f ca="1">IFERROR(__xludf.DUMMYFUNCTION("""COMPUTED_VALUE"""),"輝葉")</f>
        <v>輝葉</v>
      </c>
      <c r="D193" s="12" t="str">
        <f ca="1">IFERROR(__xludf.DUMMYFUNCTION("""COMPUTED_VALUE"""),"輝葉Werun2新小智跑步機-白HY-20610-WT")</f>
        <v>輝葉Werun2新小智跑步機-白HY-20610-WT</v>
      </c>
      <c r="E193" s="12" t="str">
        <f ca="1">IFERROR(__xludf.DUMMYFUNCTION("""COMPUTED_VALUE"""),"HY-20610-WT")</f>
        <v>HY-20610-WT</v>
      </c>
      <c r="F193" s="12">
        <f ca="1">IFERROR(__xludf.DUMMYFUNCTION("""COMPUTED_VALUE"""),51090077)</f>
        <v>51090077</v>
      </c>
      <c r="G193" s="12" t="str">
        <f ca="1">IFERROR(__xludf.DUMMYFUNCTION("""COMPUTED_VALUE"""),"IGEM049V")</f>
        <v>IGEM049V</v>
      </c>
      <c r="H193" s="12">
        <f ca="1">IFERROR(__xludf.DUMMYFUNCTION("""COMPUTED_VALUE"""),16800)</f>
        <v>16800</v>
      </c>
      <c r="I193" s="14">
        <f ca="1">IFERROR(__xludf.DUMMYFUNCTION("""COMPUTED_VALUE"""),13800)</f>
        <v>13800</v>
      </c>
      <c r="J193" s="16">
        <f ca="1">IFERROR(__xludf.DUMMYFUNCTION("""COMPUTED_VALUE"""),45695)</f>
        <v>45695</v>
      </c>
      <c r="K193" s="12" t="str">
        <f ca="1">IFERROR(__xludf.DUMMYFUNCTION("""COMPUTED_VALUE"""),"缺貨")</f>
        <v>缺貨</v>
      </c>
      <c r="L193" s="12" t="str">
        <f ca="1">IFERROR(__xludf.DUMMYFUNCTION("""COMPUTED_VALUE"""),"上架中")</f>
        <v>上架中</v>
      </c>
      <c r="M193" s="12" t="str">
        <f ca="1">IFERROR(__xludf.DUMMYFUNCTION("""COMPUTED_VALUE"""),"2025/2/7缺貨，2023/4/1短促，2021/11/1新品上架")</f>
        <v>2025/2/7缺貨，2023/4/1短促，2021/11/1新品上架</v>
      </c>
      <c r="N193" s="12" t="str">
        <f ca="1">IFERROR(__xludf.DUMMYFUNCTION("""COMPUTED_VALUE"""),"運動器材")</f>
        <v>運動器材</v>
      </c>
      <c r="O193" s="12" t="str">
        <f ca="1">IFERROR(__xludf.DUMMYFUNCTION("""COMPUTED_VALUE"""),"珍珠白")</f>
        <v>珍珠白</v>
      </c>
      <c r="P193" s="12"/>
      <c r="Q193" s="12" t="str">
        <f ca="1">IFERROR(__xludf.DUMMYFUNCTION("""COMPUTED_VALUE"""),"展開尺寸:1130x710x1185mm
摺收尺寸:200x675x1315mm")</f>
        <v>展開尺寸:1130x710x1185mm
摺收尺寸:200x675x1315mm</v>
      </c>
      <c r="R193" s="12" t="str">
        <f ca="1">IFERROR(__xludf.DUMMYFUNCTION("""COMPUTED_VALUE"""),"中國")</f>
        <v>中國</v>
      </c>
      <c r="S193" s="12"/>
      <c r="T193" s="12"/>
      <c r="U193" s="22" t="str">
        <f ca="1">IFERROR(__xludf.DUMMYFUNCTION("""COMPUTED_VALUE"""),"1年")</f>
        <v>1年</v>
      </c>
      <c r="V193" s="12"/>
      <c r="W193" s="12"/>
      <c r="X193" s="12" t="str">
        <f ca="1">IFERROR(__xludf.DUMMYFUNCTION("""COMPUTED_VALUE"""),"(114/1/1-2/28)隨貨送避震墊HY-B02+潤滑油")</f>
        <v>(114/1/1-2/28)隨貨送避震墊HY-B02+潤滑油</v>
      </c>
      <c r="Y193" s="12"/>
      <c r="Z193" s="14"/>
      <c r="AA193" s="15" t="str">
        <f ca="1">IFERROR(__xludf.DUMMYFUNCTION("""COMPUTED_VALUE"""),"*專利EVA蝶式回彈避震*輕量化結構僅約30公斤*三階跑者模式一鍵啟動*APP旗艦進化模擬實境跑步新體驗*五層超靜音耐磨跑帶")</f>
        <v>*專利EVA蝶式回彈避震*輕量化結構僅約30公斤*三階跑者模式一鍵啟動*APP旗艦進化模擬實境跑步新體驗*五層超靜音耐磨跑帶</v>
      </c>
    </row>
    <row r="194" spans="1:27" ht="19.5" customHeight="1">
      <c r="A194" s="12" t="str">
        <f ca="1">IFERROR(__xludf.DUMMYFUNCTION("""COMPUTED_VALUE"""),"生活家電")</f>
        <v>生活家電</v>
      </c>
      <c r="B194" s="12" t="str">
        <f ca="1">IFERROR(__xludf.DUMMYFUNCTION("""COMPUTED_VALUE"""),"城欣")</f>
        <v>城欣</v>
      </c>
      <c r="C194" s="12" t="str">
        <f ca="1">IFERROR(__xludf.DUMMYFUNCTION("""COMPUTED_VALUE"""),"輝葉")</f>
        <v>輝葉</v>
      </c>
      <c r="D194" s="12" t="str">
        <f ca="1">IFERROR(__xludf.DUMMYFUNCTION("""COMPUTED_VALUE"""),"輝葉Werun2新小智跑步機-粉HY-20610-PK")</f>
        <v>輝葉Werun2新小智跑步機-粉HY-20610-PK</v>
      </c>
      <c r="E194" s="12" t="str">
        <f ca="1">IFERROR(__xludf.DUMMYFUNCTION("""COMPUTED_VALUE"""),"HY-20610-PK")</f>
        <v>HY-20610-PK</v>
      </c>
      <c r="F194" s="12">
        <f ca="1">IFERROR(__xludf.DUMMYFUNCTION("""COMPUTED_VALUE"""),51090078)</f>
        <v>51090078</v>
      </c>
      <c r="G194" s="12" t="str">
        <f ca="1">IFERROR(__xludf.DUMMYFUNCTION("""COMPUTED_VALUE"""),"IGEM049W")</f>
        <v>IGEM049W</v>
      </c>
      <c r="H194" s="12">
        <f ca="1">IFERROR(__xludf.DUMMYFUNCTION("""COMPUTED_VALUE"""),16800)</f>
        <v>16800</v>
      </c>
      <c r="I194" s="14">
        <f ca="1">IFERROR(__xludf.DUMMYFUNCTION("""COMPUTED_VALUE"""),13800)</f>
        <v>13800</v>
      </c>
      <c r="J194" s="16">
        <f ca="1">IFERROR(__xludf.DUMMYFUNCTION("""COMPUTED_VALUE"""),45695)</f>
        <v>45695</v>
      </c>
      <c r="K194" s="12" t="str">
        <f ca="1">IFERROR(__xludf.DUMMYFUNCTION("""COMPUTED_VALUE"""),"缺貨")</f>
        <v>缺貨</v>
      </c>
      <c r="L194" s="12" t="str">
        <f ca="1">IFERROR(__xludf.DUMMYFUNCTION("""COMPUTED_VALUE"""),"上架中")</f>
        <v>上架中</v>
      </c>
      <c r="M194" s="12" t="str">
        <f ca="1">IFERROR(__xludf.DUMMYFUNCTION("""COMPUTED_VALUE"""),"2025/2/7缺貨，2023/4/1短促，2021/11/1新品上架")</f>
        <v>2025/2/7缺貨，2023/4/1短促，2021/11/1新品上架</v>
      </c>
      <c r="N194" s="12" t="str">
        <f ca="1">IFERROR(__xludf.DUMMYFUNCTION("""COMPUTED_VALUE"""),"運動器材")</f>
        <v>運動器材</v>
      </c>
      <c r="O194" s="12" t="str">
        <f ca="1">IFERROR(__xludf.DUMMYFUNCTION("""COMPUTED_VALUE"""),"蜜糖粉")</f>
        <v>蜜糖粉</v>
      </c>
      <c r="P194" s="12"/>
      <c r="Q194" s="12" t="str">
        <f ca="1">IFERROR(__xludf.DUMMYFUNCTION("""COMPUTED_VALUE"""),"展開尺寸:1130x710x1185mm
摺收尺寸:200x675x1315mm")</f>
        <v>展開尺寸:1130x710x1185mm
摺收尺寸:200x675x1315mm</v>
      </c>
      <c r="R194" s="12" t="str">
        <f ca="1">IFERROR(__xludf.DUMMYFUNCTION("""COMPUTED_VALUE"""),"中國")</f>
        <v>中國</v>
      </c>
      <c r="S194" s="12"/>
      <c r="T194" s="12"/>
      <c r="U194" s="22" t="str">
        <f ca="1">IFERROR(__xludf.DUMMYFUNCTION("""COMPUTED_VALUE"""),"1年")</f>
        <v>1年</v>
      </c>
      <c r="V194" s="12"/>
      <c r="W194" s="12"/>
      <c r="X194" s="12" t="str">
        <f ca="1">IFERROR(__xludf.DUMMYFUNCTION("""COMPUTED_VALUE"""),"(114/1/1-2/28)隨貨送避震墊HY-B02+潤滑油")</f>
        <v>(114/1/1-2/28)隨貨送避震墊HY-B02+潤滑油</v>
      </c>
      <c r="Y194" s="12"/>
      <c r="Z194" s="14"/>
      <c r="AA194" s="15" t="str">
        <f ca="1">IFERROR(__xludf.DUMMYFUNCTION("""COMPUTED_VALUE"""),"*專利EVA蝶式回彈避震*輕量化結構僅約30公斤*三階跑者模式一鍵啟動*APP旗艦進化模擬實境跑步新體驗*五層超靜音耐磨跑帶")</f>
        <v>*專利EVA蝶式回彈避震*輕量化結構僅約30公斤*三階跑者模式一鍵啟動*APP旗艦進化模擬實境跑步新體驗*五層超靜音耐磨跑帶</v>
      </c>
    </row>
    <row r="195" spans="1:27" ht="19.5" customHeight="1">
      <c r="A195" s="12" t="str">
        <f ca="1">IFERROR(__xludf.DUMMYFUNCTION("""COMPUTED_VALUE"""),"生活家電")</f>
        <v>生活家電</v>
      </c>
      <c r="B195" s="12" t="str">
        <f ca="1">IFERROR(__xludf.DUMMYFUNCTION("""COMPUTED_VALUE"""),"城欣")</f>
        <v>城欣</v>
      </c>
      <c r="C195" s="12" t="str">
        <f ca="1">IFERROR(__xludf.DUMMYFUNCTION("""COMPUTED_VALUE"""),"輝葉")</f>
        <v>輝葉</v>
      </c>
      <c r="D195" s="12" t="str">
        <f ca="1">IFERROR(__xludf.DUMMYFUNCTION("""COMPUTED_VALUE"""),"輝葉足暖心電動按摩恆溫泡腳機HY-19969A")</f>
        <v>輝葉足暖心電動按摩恆溫泡腳機HY-19969A</v>
      </c>
      <c r="E195" s="12" t="str">
        <f ca="1">IFERROR(__xludf.DUMMYFUNCTION("""COMPUTED_VALUE"""),"HY-19969A")</f>
        <v>HY-19969A</v>
      </c>
      <c r="F195" s="12">
        <f ca="1">IFERROR(__xludf.DUMMYFUNCTION("""COMPUTED_VALUE"""),51090080)</f>
        <v>51090080</v>
      </c>
      <c r="G195" s="12" t="str">
        <f ca="1">IFERROR(__xludf.DUMMYFUNCTION("""COMPUTED_VALUE"""),"IGEM0546")</f>
        <v>IGEM0546</v>
      </c>
      <c r="H195" s="12">
        <f ca="1">IFERROR(__xludf.DUMMYFUNCTION("""COMPUTED_VALUE"""),3280)</f>
        <v>3280</v>
      </c>
      <c r="I195" s="14">
        <f ca="1">IFERROR(__xludf.DUMMYFUNCTION("""COMPUTED_VALUE"""),2980)</f>
        <v>2980</v>
      </c>
      <c r="J195" s="21">
        <f ca="1">IFERROR(__xludf.DUMMYFUNCTION("""COMPUTED_VALUE"""),45261)</f>
        <v>45261</v>
      </c>
      <c r="K195" s="12" t="str">
        <f ca="1">IFERROR(__xludf.DUMMYFUNCTION("""COMPUTED_VALUE"""),"回價")</f>
        <v>回價</v>
      </c>
      <c r="L195" s="12" t="str">
        <f ca="1">IFERROR(__xludf.DUMMYFUNCTION("""COMPUTED_VALUE"""),"上架中")</f>
        <v>上架中</v>
      </c>
      <c r="M195" s="12" t="str">
        <f ca="1">IFERROR(__xludf.DUMMYFUNCTION("""COMPUTED_VALUE"""),"2023/12/1回價112/11/1短促3/21到貨2023/3/3缺貨預計4月中到貨")</f>
        <v>2023/12/1回價112/11/1短促3/21到貨2023/3/3缺貨預計4月中到貨</v>
      </c>
      <c r="N195" s="12" t="str">
        <f ca="1">IFERROR(__xludf.DUMMYFUNCTION("""COMPUTED_VALUE"""),"舒壓按摩")</f>
        <v>舒壓按摩</v>
      </c>
      <c r="O195" s="12" t="str">
        <f ca="1">IFERROR(__xludf.DUMMYFUNCTION("""COMPUTED_VALUE"""),"白")</f>
        <v>白</v>
      </c>
      <c r="P195" s="12"/>
      <c r="Q195" s="12" t="str">
        <f ca="1">IFERROR(__xludf.DUMMYFUNCTION("""COMPUTED_VALUE"""),"455x390x385mm")</f>
        <v>455x390x385mm</v>
      </c>
      <c r="R195" s="12" t="str">
        <f ca="1">IFERROR(__xludf.DUMMYFUNCTION("""COMPUTED_VALUE"""),"中國")</f>
        <v>中國</v>
      </c>
      <c r="S195" s="12"/>
      <c r="T195" s="12"/>
      <c r="U195" s="22" t="str">
        <f ca="1">IFERROR(__xludf.DUMMYFUNCTION("""COMPUTED_VALUE"""),"1年")</f>
        <v>1年</v>
      </c>
      <c r="V195" s="12"/>
      <c r="W195" s="12"/>
      <c r="X195" s="12"/>
      <c r="Y195" s="12"/>
      <c r="Z195" s="14"/>
      <c r="AA195" s="15" t="str">
        <f ca="1">IFERROR(__xludf.DUMMYFUNCTION("""COMPUTED_VALUE"""),"*設有衝浪/滾輪/紅光三種模式
*6個電動轉盤滾動腳底
*24顆360度滾輪按摩刺激穴道
*全罩式保溫蓋，快速加溫
*35°C～48°C智慧恆溫調節
*13公升超大容量
*45公分高桶泡腳舒緩小腿緊繃
*個人化藥盒放置空間
*智能操作面板暖足一鍵啟動
*底部滾輪設計拖拉便利
*附有排水管方便倒水")</f>
        <v>*設有衝浪/滾輪/紅光三種模式
*6個電動轉盤滾動腳底
*24顆360度滾輪按摩刺激穴道
*全罩式保溫蓋，快速加溫
*35°C～48°C智慧恆溫調節
*13公升超大容量
*45公分高桶泡腳舒緩小腿緊繃
*個人化藥盒放置空間
*智能操作面板暖足一鍵啟動
*底部滾輪設計拖拉便利
*附有排水管方便倒水</v>
      </c>
    </row>
    <row r="196" spans="1:27" ht="19.5" customHeight="1">
      <c r="A196" s="12" t="str">
        <f ca="1">IFERROR(__xludf.DUMMYFUNCTION("""COMPUTED_VALUE"""),"生活家電")</f>
        <v>生活家電</v>
      </c>
      <c r="B196" s="12" t="str">
        <f ca="1">IFERROR(__xludf.DUMMYFUNCTION("""COMPUTED_VALUE"""),"城欣")</f>
        <v>城欣</v>
      </c>
      <c r="C196" s="12" t="str">
        <f ca="1">IFERROR(__xludf.DUMMYFUNCTION("""COMPUTED_VALUE"""),"HYD")</f>
        <v>HYD</v>
      </c>
      <c r="D196" s="12" t="str">
        <f ca="1">IFERROR(__xludf.DUMMYFUNCTION("""COMPUTED_VALUE"""),"HYD7.5坪涼風360度淨化空氣清淨機D-67-WT")</f>
        <v>HYD7.5坪涼風360度淨化空氣清淨機D-67-WT</v>
      </c>
      <c r="E196" s="12" t="str">
        <f ca="1">IFERROR(__xludf.DUMMYFUNCTION("""COMPUTED_VALUE"""),"D-67")</f>
        <v>D-67</v>
      </c>
      <c r="F196" s="12">
        <f ca="1">IFERROR(__xludf.DUMMYFUNCTION("""COMPUTED_VALUE"""),51090081)</f>
        <v>51090081</v>
      </c>
      <c r="G196" s="12" t="str">
        <f ca="1">IFERROR(__xludf.DUMMYFUNCTION("""COMPUTED_VALUE"""),"IGEM063E")</f>
        <v>IGEM063E</v>
      </c>
      <c r="H196" s="12">
        <f ca="1">IFERROR(__xludf.DUMMYFUNCTION("""COMPUTED_VALUE"""),9900)</f>
        <v>9900</v>
      </c>
      <c r="I196" s="14">
        <f ca="1">IFERROR(__xludf.DUMMYFUNCTION("""COMPUTED_VALUE"""),4880)</f>
        <v>4880</v>
      </c>
      <c r="J196" s="16">
        <f ca="1">IFERROR(__xludf.DUMMYFUNCTION("""COMPUTED_VALUE"""),45383)</f>
        <v>45383</v>
      </c>
      <c r="K196" s="12" t="str">
        <f ca="1">IFERROR(__xludf.DUMMYFUNCTION("""COMPUTED_VALUE"""),"短促")</f>
        <v>短促</v>
      </c>
      <c r="L196" s="12" t="str">
        <f ca="1">IFERROR(__xludf.DUMMYFUNCTION("""COMPUTED_VALUE"""),"上架中")</f>
        <v>上架中</v>
      </c>
      <c r="M196" s="12" t="str">
        <f ca="1">IFERROR(__xludf.DUMMYFUNCTION("""COMPUTED_VALUE"""),"112/11/1短促2022/5/1新機上架")</f>
        <v>112/11/1短促2022/5/1新機上架</v>
      </c>
      <c r="N196" s="12" t="str">
        <f ca="1">IFERROR(__xludf.DUMMYFUNCTION("""COMPUTED_VALUE"""),"空氣清淨機")</f>
        <v>空氣清淨機</v>
      </c>
      <c r="O196" s="12" t="str">
        <f ca="1">IFERROR(__xludf.DUMMYFUNCTION("""COMPUTED_VALUE"""),"白")</f>
        <v>白</v>
      </c>
      <c r="P196" s="12"/>
      <c r="Q196" s="12" t="str">
        <f ca="1">IFERROR(__xludf.DUMMYFUNCTION("""COMPUTED_VALUE"""),"235x235x800mm")</f>
        <v>235x235x800mm</v>
      </c>
      <c r="R196" s="12" t="str">
        <f ca="1">IFERROR(__xludf.DUMMYFUNCTION("""COMPUTED_VALUE"""),"中國")</f>
        <v>中國</v>
      </c>
      <c r="S196" s="12"/>
      <c r="T196" s="12"/>
      <c r="U196" s="22" t="str">
        <f ca="1">IFERROR(__xludf.DUMMYFUNCTION("""COMPUTED_VALUE"""),"1年")</f>
        <v>1年</v>
      </c>
      <c r="V196" s="12"/>
      <c r="W196" s="12"/>
      <c r="X196" s="12"/>
      <c r="Y196" s="12"/>
      <c r="Z196" s="14"/>
      <c r="AA196" s="15" t="str">
        <f ca="1">IFERROR(__xludf.DUMMYFUNCTION("""COMPUTED_VALUE"""),"*H13 HEPA濾網，過濾奈米微粒*9段風速，涼風調節*35dB極靜運作，輕音低躁*無扇葉設計，360°全方位循環濾淨*快捷模式，強勁、睡眠*4M遠距遙控")</f>
        <v>*H13 HEPA濾網，過濾奈米微粒*9段風速，涼風調節*35dB極靜運作，輕音低躁*無扇葉設計，360°全方位循環濾淨*快捷模式，強勁、睡眠*4M遠距遙控</v>
      </c>
    </row>
    <row r="197" spans="1:27" ht="19.5" customHeight="1">
      <c r="A197" s="12" t="str">
        <f ca="1">IFERROR(__xludf.DUMMYFUNCTION("""COMPUTED_VALUE"""),"生活家電")</f>
        <v>生活家電</v>
      </c>
      <c r="B197" s="12" t="str">
        <f ca="1">IFERROR(__xludf.DUMMYFUNCTION("""COMPUTED_VALUE"""),"城欣")</f>
        <v>城欣</v>
      </c>
      <c r="C197" s="12" t="str">
        <f ca="1">IFERROR(__xludf.DUMMYFUNCTION("""COMPUTED_VALUE"""),"輝葉 ")</f>
        <v xml:space="preserve">輝葉 </v>
      </c>
      <c r="D197" s="12" t="str">
        <f ca="1">IFERROR(__xludf.DUMMYFUNCTION("""COMPUTED_VALUE"""),"輝葉 一健椅(SKY灰) HY-5082A-GY")</f>
        <v>輝葉 一健椅(SKY灰) HY-5082A-GY</v>
      </c>
      <c r="E197" s="12" t="str">
        <f ca="1">IFERROR(__xludf.DUMMYFUNCTION("""COMPUTED_VALUE"""),"HY-5082A-GY")</f>
        <v>HY-5082A-GY</v>
      </c>
      <c r="F197" s="12">
        <f ca="1">IFERROR(__xludf.DUMMYFUNCTION("""COMPUTED_VALUE"""),51090083)</f>
        <v>51090083</v>
      </c>
      <c r="G197" s="12" t="str">
        <f ca="1">IFERROR(__xludf.DUMMYFUNCTION("""COMPUTED_VALUE"""),"IGEM0664")</f>
        <v>IGEM0664</v>
      </c>
      <c r="H197" s="12">
        <f ca="1">IFERROR(__xludf.DUMMYFUNCTION("""COMPUTED_VALUE"""),108000)</f>
        <v>108000</v>
      </c>
      <c r="I197" s="14">
        <f ca="1">IFERROR(__xludf.DUMMYFUNCTION("""COMPUTED_VALUE"""),99000)</f>
        <v>99000</v>
      </c>
      <c r="J197" s="16">
        <f ca="1">IFERROR(__xludf.DUMMYFUNCTION("""COMPUTED_VALUE"""),45536)</f>
        <v>45536</v>
      </c>
      <c r="K197" s="12" t="str">
        <f ca="1">IFERROR(__xludf.DUMMYFUNCTION("""COMPUTED_VALUE"""),"回價")</f>
        <v>回價</v>
      </c>
      <c r="L197" s="12" t="str">
        <f ca="1">IFERROR(__xludf.DUMMYFUNCTION("""COMPUTED_VALUE"""),"上架中")</f>
        <v>上架中</v>
      </c>
      <c r="M197" s="12" t="str">
        <f ca="1">IFERROR(__xludf.DUMMYFUNCTION("""COMPUTED_VALUE"""),"9/1 回價，7/1短促，2024/6/1 回價，2023/9/1回價")</f>
        <v>9/1 回價，7/1短促，2024/6/1 回價，2023/9/1回價</v>
      </c>
      <c r="N197" s="12" t="str">
        <f ca="1">IFERROR(__xludf.DUMMYFUNCTION("""COMPUTED_VALUE"""),"舒壓按摩")</f>
        <v>舒壓按摩</v>
      </c>
      <c r="O197" s="12" t="str">
        <f ca="1">IFERROR(__xludf.DUMMYFUNCTION("""COMPUTED_VALUE"""),"SKY灰")</f>
        <v>SKY灰</v>
      </c>
      <c r="P197" s="12"/>
      <c r="Q197" s="12" t="str">
        <f ca="1">IFERROR(__xludf.DUMMYFUNCTION("""COMPUTED_VALUE"""),"直立尺寸:1575x750x1148mm
平躺尺寸:1802x750x830mm
")</f>
        <v xml:space="preserve">直立尺寸:1575x750x1148mm
平躺尺寸:1802x750x830mm
</v>
      </c>
      <c r="R197" s="12" t="str">
        <f ca="1">IFERROR(__xludf.DUMMYFUNCTION("""COMPUTED_VALUE"""),"中國")</f>
        <v>中國</v>
      </c>
      <c r="S197" s="12"/>
      <c r="T197" s="12"/>
      <c r="U197" s="22" t="str">
        <f ca="1">IFERROR(__xludf.DUMMYFUNCTION("""COMPUTED_VALUE"""),"1年")</f>
        <v>1年</v>
      </c>
      <c r="V197" s="12"/>
      <c r="W197" s="12"/>
      <c r="X197" s="12" t="str">
        <f ca="1">IFERROR(__xludf.DUMMYFUNCTION("""COMPUTED_VALUE"""),"(114/1/1-2/28)隨貨送輝葉溫感按摩墊HY-906")</f>
        <v>(114/1/1-2/28)隨貨送輝葉溫感按摩墊HY-906</v>
      </c>
      <c r="Y197" s="12"/>
      <c r="Z197" s="14"/>
      <c r="AA197" s="15" t="str">
        <f ca="1">IFERROR(__xludf.DUMMYFUNCTION("""COMPUTED_VALUE"""),"*V-Motion搖擺拉伸模式*石墨烯升級全身包覆*獨家腿部揉搓按摩 *全身高磅氣囊按摩*石墨烯溫感腰背腿舒緩*2SL超長臀感按摩*真人手勁滾輪按摩*專利足底三排刮痧滾輪*12組自動按摩程式*3組記憶模式*負離子淨化*5cm零空間前滑設計")</f>
        <v>*V-Motion搖擺拉伸模式*石墨烯升級全身包覆*獨家腿部揉搓按摩 *全身高磅氣囊按摩*石墨烯溫感腰背腿舒緩*2SL超長臀感按摩*真人手勁滾輪按摩*專利足底三排刮痧滾輪*12組自動按摩程式*3組記憶模式*負離子淨化*5cm零空間前滑設計</v>
      </c>
    </row>
    <row r="198" spans="1:27" ht="19.5" customHeight="1">
      <c r="A198" s="12" t="str">
        <f ca="1">IFERROR(__xludf.DUMMYFUNCTION("""COMPUTED_VALUE"""),"生活家電")</f>
        <v>生活家電</v>
      </c>
      <c r="B198" s="12" t="str">
        <f ca="1">IFERROR(__xludf.DUMMYFUNCTION("""COMPUTED_VALUE"""),"城欣")</f>
        <v>城欣</v>
      </c>
      <c r="C198" s="12" t="str">
        <f ca="1">IFERROR(__xludf.DUMMYFUNCTION("""COMPUTED_VALUE"""),"輝葉 ")</f>
        <v xml:space="preserve">輝葉 </v>
      </c>
      <c r="D198" s="12" t="str">
        <f ca="1">IFERROR(__xludf.DUMMYFUNCTION("""COMPUTED_VALUE"""),"輝葉 一健椅(晨皓藍) HY-5082A-BU")</f>
        <v>輝葉 一健椅(晨皓藍) HY-5082A-BU</v>
      </c>
      <c r="E198" s="12" t="str">
        <f ca="1">IFERROR(__xludf.DUMMYFUNCTION("""COMPUTED_VALUE"""),"HY-5082A-BU")</f>
        <v>HY-5082A-BU</v>
      </c>
      <c r="F198" s="12">
        <f ca="1">IFERROR(__xludf.DUMMYFUNCTION("""COMPUTED_VALUE"""),51090084)</f>
        <v>51090084</v>
      </c>
      <c r="G198" s="12" t="str">
        <f ca="1">IFERROR(__xludf.DUMMYFUNCTION("""COMPUTED_VALUE"""),"IGEM0665")</f>
        <v>IGEM0665</v>
      </c>
      <c r="H198" s="12">
        <f ca="1">IFERROR(__xludf.DUMMYFUNCTION("""COMPUTED_VALUE"""),108000)</f>
        <v>108000</v>
      </c>
      <c r="I198" s="14">
        <f ca="1">IFERROR(__xludf.DUMMYFUNCTION("""COMPUTED_VALUE"""),99000)</f>
        <v>99000</v>
      </c>
      <c r="J198" s="16">
        <f ca="1">IFERROR(__xludf.DUMMYFUNCTION("""COMPUTED_VALUE"""),45536)</f>
        <v>45536</v>
      </c>
      <c r="K198" s="12" t="str">
        <f ca="1">IFERROR(__xludf.DUMMYFUNCTION("""COMPUTED_VALUE"""),"回價")</f>
        <v>回價</v>
      </c>
      <c r="L198" s="12" t="str">
        <f ca="1">IFERROR(__xludf.DUMMYFUNCTION("""COMPUTED_VALUE"""),"上架中")</f>
        <v>上架中</v>
      </c>
      <c r="M198" s="12" t="str">
        <f ca="1">IFERROR(__xludf.DUMMYFUNCTION("""COMPUTED_VALUE"""),"9/1 回價，7/1短促，2024/6/1 回價，2023/9/1回價")</f>
        <v>9/1 回價，7/1短促，2024/6/1 回價，2023/9/1回價</v>
      </c>
      <c r="N198" s="12" t="str">
        <f ca="1">IFERROR(__xludf.DUMMYFUNCTION("""COMPUTED_VALUE"""),"舒壓按摩")</f>
        <v>舒壓按摩</v>
      </c>
      <c r="O198" s="12" t="str">
        <f ca="1">IFERROR(__xludf.DUMMYFUNCTION("""COMPUTED_VALUE"""),"晨皓藍")</f>
        <v>晨皓藍</v>
      </c>
      <c r="P198" s="12"/>
      <c r="Q198" s="12" t="str">
        <f ca="1">IFERROR(__xludf.DUMMYFUNCTION("""COMPUTED_VALUE"""),"直立尺寸:1575x750x1148mm
平躺尺寸:1802x750x830mm
")</f>
        <v xml:space="preserve">直立尺寸:1575x750x1148mm
平躺尺寸:1802x750x830mm
</v>
      </c>
      <c r="R198" s="12" t="str">
        <f ca="1">IFERROR(__xludf.DUMMYFUNCTION("""COMPUTED_VALUE"""),"中國")</f>
        <v>中國</v>
      </c>
      <c r="S198" s="12"/>
      <c r="T198" s="12"/>
      <c r="U198" s="22" t="str">
        <f ca="1">IFERROR(__xludf.DUMMYFUNCTION("""COMPUTED_VALUE"""),"1年")</f>
        <v>1年</v>
      </c>
      <c r="V198" s="12"/>
      <c r="W198" s="12"/>
      <c r="X198" s="12" t="str">
        <f ca="1">IFERROR(__xludf.DUMMYFUNCTION("""COMPUTED_VALUE"""),"(114/1/1-2/28)隨貨送輝葉溫感按摩墊HY-906")</f>
        <v>(114/1/1-2/28)隨貨送輝葉溫感按摩墊HY-906</v>
      </c>
      <c r="Y198" s="12"/>
      <c r="Z198" s="14"/>
      <c r="AA198" s="15" t="str">
        <f ca="1">IFERROR(__xludf.DUMMYFUNCTION("""COMPUTED_VALUE"""),"*V-Motion搖擺拉伸模式*石墨烯升級全身包覆*獨家腿部揉搓按摩 *全身高磅氣囊按摩*石墨烯溫感腰背腿舒緩*2SL超長臀感按摩*真人手勁滾輪按摩*專利足底三排刮痧滾輪*12組自動按摩程式*3組記憶模式*負離子淨化*5cm零空間前滑設計")</f>
        <v>*V-Motion搖擺拉伸模式*石墨烯升級全身包覆*獨家腿部揉搓按摩 *全身高磅氣囊按摩*石墨烯溫感腰背腿舒緩*2SL超長臀感按摩*真人手勁滾輪按摩*專利足底三排刮痧滾輪*12組自動按摩程式*3組記憶模式*負離子淨化*5cm零空間前滑設計</v>
      </c>
    </row>
    <row r="199" spans="1:27" ht="19.5" customHeight="1">
      <c r="A199" s="12" t="str">
        <f ca="1">IFERROR(__xludf.DUMMYFUNCTION("""COMPUTED_VALUE"""),"生活家電")</f>
        <v>生活家電</v>
      </c>
      <c r="B199" s="12" t="str">
        <f ca="1">IFERROR(__xludf.DUMMYFUNCTION("""COMPUTED_VALUE"""),"城欣")</f>
        <v>城欣</v>
      </c>
      <c r="C199" s="12" t="str">
        <f ca="1">IFERROR(__xludf.DUMMYFUNCTION("""COMPUTED_VALUE"""),"輝葉 ")</f>
        <v xml:space="preserve">輝葉 </v>
      </c>
      <c r="D199" s="12" t="str">
        <f ca="1">IFERROR(__xludf.DUMMYFUNCTION("""COMPUTED_VALUE"""),"輝葉 COZY FIT律動奇機2.0 HY-808A(黑)")</f>
        <v>輝葉 COZY FIT律動奇機2.0 HY-808A(黑)</v>
      </c>
      <c r="E199" s="12" t="str">
        <f ca="1">IFERROR(__xludf.DUMMYFUNCTION("""COMPUTED_VALUE"""),"HY-808A")</f>
        <v>HY-808A</v>
      </c>
      <c r="F199" s="12">
        <f ca="1">IFERROR(__xludf.DUMMYFUNCTION("""COMPUTED_VALUE"""),51090085)</f>
        <v>51090085</v>
      </c>
      <c r="G199" s="12" t="str">
        <f ca="1">IFERROR(__xludf.DUMMYFUNCTION("""COMPUTED_VALUE"""),"IGEM0666")</f>
        <v>IGEM0666</v>
      </c>
      <c r="H199" s="12">
        <f ca="1">IFERROR(__xludf.DUMMYFUNCTION("""COMPUTED_VALUE"""),22800)</f>
        <v>22800</v>
      </c>
      <c r="I199" s="14">
        <f ca="1">IFERROR(__xludf.DUMMYFUNCTION("""COMPUTED_VALUE"""),13800)</f>
        <v>13800</v>
      </c>
      <c r="J199" s="12"/>
      <c r="K199" s="12"/>
      <c r="L199" s="12" t="str">
        <f ca="1">IFERROR(__xludf.DUMMYFUNCTION("""COMPUTED_VALUE"""),"上架中")</f>
        <v>上架中</v>
      </c>
      <c r="M199" s="12" t="str">
        <f ca="1">IFERROR(__xludf.DUMMYFUNCTION("""COMPUTED_VALUE"""),"2024/4/1短促，2023/4/1短促")</f>
        <v>2024/4/1短促，2023/4/1短促</v>
      </c>
      <c r="N199" s="12" t="str">
        <f ca="1">IFERROR(__xludf.DUMMYFUNCTION("""COMPUTED_VALUE"""),"舒壓按摩")</f>
        <v>舒壓按摩</v>
      </c>
      <c r="O199" s="12" t="str">
        <f ca="1">IFERROR(__xludf.DUMMYFUNCTION("""COMPUTED_VALUE"""),"黑")</f>
        <v>黑</v>
      </c>
      <c r="P199" s="12"/>
      <c r="Q199" s="12" t="str">
        <f ca="1">IFERROR(__xludf.DUMMYFUNCTION("""COMPUTED_VALUE"""),"400x300x105mm
")</f>
        <v xml:space="preserve">400x300x105mm
</v>
      </c>
      <c r="R199" s="12" t="str">
        <f ca="1">IFERROR(__xludf.DUMMYFUNCTION("""COMPUTED_VALUE"""),"中國")</f>
        <v>中國</v>
      </c>
      <c r="S199" s="12"/>
      <c r="T199" s="12"/>
      <c r="U199" s="22" t="str">
        <f ca="1">IFERROR(__xludf.DUMMYFUNCTION("""COMPUTED_VALUE"""),"1年")</f>
        <v>1年</v>
      </c>
      <c r="V199" s="12"/>
      <c r="W199" s="12" t="str">
        <f ca="1">IFERROR(__xludf.DUMMYFUNCTION("""COMPUTED_VALUE"""),"登錄註冊送多贈1年保固(總計享2年保固)及送律動&amp;瑜珈雙線上課程")</f>
        <v>登錄註冊送多贈1年保固(總計享2年保固)及送律動&amp;瑜珈雙線上課程</v>
      </c>
      <c r="X199" s="12"/>
      <c r="Y199" s="12"/>
      <c r="Z199" s="14"/>
      <c r="AA199" s="15" t="str">
        <f ca="1">IFERROR(__xludf.DUMMYFUNCTION("""COMPUTED_VALUE"""),"*首創加熱設計【運動按摩一機雙用】*高赫茲特性最高達20HZ 、最高1200下/分*3mm垂直振幅，溫和安全*升級30檔速度/6檔自動模式*智能顯示觸控面板，清晰掌握運動數值 ")</f>
        <v xml:space="preserve">*首創加熱設計【運動按摩一機雙用】*高赫茲特性最高達20HZ 、最高1200下/分*3mm垂直振幅，溫和安全*升級30檔速度/6檔自動模式*智能顯示觸控面板，清晰掌握運動數值 </v>
      </c>
    </row>
    <row r="200" spans="1:27" ht="19.5" customHeight="1">
      <c r="A200" s="12" t="str">
        <f ca="1">IFERROR(__xludf.DUMMYFUNCTION("""COMPUTED_VALUE"""),"生活家電")</f>
        <v>生活家電</v>
      </c>
      <c r="B200" s="12" t="str">
        <f ca="1">IFERROR(__xludf.DUMMYFUNCTION("""COMPUTED_VALUE"""),"城欣")</f>
        <v>城欣</v>
      </c>
      <c r="C200" s="12" t="str">
        <f ca="1">IFERROR(__xludf.DUMMYFUNCTION("""COMPUTED_VALUE"""),"輝葉 ")</f>
        <v xml:space="preserve">輝葉 </v>
      </c>
      <c r="D200" s="12" t="str">
        <f ca="1">IFERROR(__xludf.DUMMYFUNCTION("""COMPUTED_VALUE"""),"輝葉 COZY FIT律動奇機2.0 HY-808A-WT(白)")</f>
        <v>輝葉 COZY FIT律動奇機2.0 HY-808A-WT(白)</v>
      </c>
      <c r="E200" s="12" t="str">
        <f ca="1">IFERROR(__xludf.DUMMYFUNCTION("""COMPUTED_VALUE"""),"HY-808A-WT")</f>
        <v>HY-808A-WT</v>
      </c>
      <c r="F200" s="12">
        <f ca="1">IFERROR(__xludf.DUMMYFUNCTION("""COMPUTED_VALUE"""),51090087)</f>
        <v>51090087</v>
      </c>
      <c r="G200" s="12" t="str">
        <f ca="1">IFERROR(__xludf.DUMMYFUNCTION("""COMPUTED_VALUE"""),"IGEM074U")</f>
        <v>IGEM074U</v>
      </c>
      <c r="H200" s="12">
        <f ca="1">IFERROR(__xludf.DUMMYFUNCTION("""COMPUTED_VALUE"""),22800)</f>
        <v>22800</v>
      </c>
      <c r="I200" s="14">
        <f ca="1">IFERROR(__xludf.DUMMYFUNCTION("""COMPUTED_VALUE"""),13800)</f>
        <v>13800</v>
      </c>
      <c r="J200" s="12"/>
      <c r="K200" s="12"/>
      <c r="L200" s="12" t="str">
        <f ca="1">IFERROR(__xludf.DUMMYFUNCTION("""COMPUTED_VALUE"""),"上架中")</f>
        <v>上架中</v>
      </c>
      <c r="M200" s="12" t="str">
        <f ca="1">IFERROR(__xludf.DUMMYFUNCTION("""COMPUTED_VALUE"""),"2024/4/1短促，2023/4/1短促")</f>
        <v>2024/4/1短促，2023/4/1短促</v>
      </c>
      <c r="N200" s="12" t="str">
        <f ca="1">IFERROR(__xludf.DUMMYFUNCTION("""COMPUTED_VALUE"""),"舒壓按摩")</f>
        <v>舒壓按摩</v>
      </c>
      <c r="O200" s="12" t="str">
        <f ca="1">IFERROR(__xludf.DUMMYFUNCTION("""COMPUTED_VALUE"""),"白")</f>
        <v>白</v>
      </c>
      <c r="P200" s="12"/>
      <c r="Q200" s="12" t="str">
        <f ca="1">IFERROR(__xludf.DUMMYFUNCTION("""COMPUTED_VALUE"""),"400x300x105mm
")</f>
        <v xml:space="preserve">400x300x105mm
</v>
      </c>
      <c r="R200" s="12" t="str">
        <f ca="1">IFERROR(__xludf.DUMMYFUNCTION("""COMPUTED_VALUE"""),"中國")</f>
        <v>中國</v>
      </c>
      <c r="S200" s="12"/>
      <c r="T200" s="12"/>
      <c r="U200" s="22" t="str">
        <f ca="1">IFERROR(__xludf.DUMMYFUNCTION("""COMPUTED_VALUE"""),"1年")</f>
        <v>1年</v>
      </c>
      <c r="V200" s="12"/>
      <c r="W200" s="12" t="str">
        <f ca="1">IFERROR(__xludf.DUMMYFUNCTION("""COMPUTED_VALUE"""),"登錄註冊送多贈1年保固(總計享2年保固)及送律動&amp;瑜珈雙線上課程")</f>
        <v>登錄註冊送多贈1年保固(總計享2年保固)及送律動&amp;瑜珈雙線上課程</v>
      </c>
      <c r="X200" s="12"/>
      <c r="Y200" s="12"/>
      <c r="Z200" s="14"/>
      <c r="AA200" s="15" t="str">
        <f ca="1">IFERROR(__xludf.DUMMYFUNCTION("""COMPUTED_VALUE"""),"*首創加熱設計【運動按摩一機雙用】*高赫茲特性最高達20HZ 、最高1200下/分*3mm垂直振幅，溫和安全*升級30檔速度/6檔自動模式*智能顯示觸控面板，清晰掌握運動數值 ")</f>
        <v xml:space="preserve">*首創加熱設計【運動按摩一機雙用】*高赫茲特性最高達20HZ 、最高1200下/分*3mm垂直振幅，溫和安全*升級30檔速度/6檔自動模式*智能顯示觸控面板，清晰掌握運動數值 </v>
      </c>
    </row>
    <row r="201" spans="1:27" ht="19.5" customHeight="1">
      <c r="A201" s="12" t="str">
        <f ca="1">IFERROR(__xludf.DUMMYFUNCTION("""COMPUTED_VALUE"""),"生活家電")</f>
        <v>生活家電</v>
      </c>
      <c r="B201" s="12" t="str">
        <f ca="1">IFERROR(__xludf.DUMMYFUNCTION("""COMPUTED_VALUE"""),"城欣")</f>
        <v>城欣</v>
      </c>
      <c r="C201" s="12" t="str">
        <f ca="1">IFERROR(__xludf.DUMMYFUNCTION("""COMPUTED_VALUE"""),"輝葉 ")</f>
        <v xml:space="preserve">輝葉 </v>
      </c>
      <c r="D201" s="12" t="str">
        <f ca="1">IFERROR(__xludf.DUMMYFUNCTION("""COMPUTED_VALUE"""),"輝葉按你馬殺機 AnyMasaG(教主灰)_HY-828-GY")</f>
        <v>輝葉按你馬殺機 AnyMasaG(教主灰)_HY-828-GY</v>
      </c>
      <c r="E201" s="12" t="str">
        <f ca="1">IFERROR(__xludf.DUMMYFUNCTION("""COMPUTED_VALUE"""),"HY-828-GY")</f>
        <v>HY-828-GY</v>
      </c>
      <c r="F201" s="12">
        <f ca="1">IFERROR(__xludf.DUMMYFUNCTION("""COMPUTED_VALUE"""),51090093)</f>
        <v>51090093</v>
      </c>
      <c r="G201" s="12" t="str">
        <f ca="1">IFERROR(__xludf.DUMMYFUNCTION("""COMPUTED_VALUE"""),"IGEM0877")</f>
        <v>IGEM0877</v>
      </c>
      <c r="H201" s="13">
        <f ca="1">IFERROR(__xludf.DUMMYFUNCTION("""COMPUTED_VALUE"""),3980)</f>
        <v>3980</v>
      </c>
      <c r="I201" s="14">
        <f ca="1">IFERROR(__xludf.DUMMYFUNCTION("""COMPUTED_VALUE"""),1999)</f>
        <v>1999</v>
      </c>
      <c r="J201" s="16">
        <f ca="1">IFERROR(__xludf.DUMMYFUNCTION("""COMPUTED_VALUE"""),45383)</f>
        <v>45383</v>
      </c>
      <c r="K201" s="12" t="str">
        <f ca="1">IFERROR(__xludf.DUMMYFUNCTION("""COMPUTED_VALUE"""),"短促")</f>
        <v>短促</v>
      </c>
      <c r="L201" s="12" t="str">
        <f ca="1">IFERROR(__xludf.DUMMYFUNCTION("""COMPUTED_VALUE"""),"上架中")</f>
        <v>上架中</v>
      </c>
      <c r="M201" s="12" t="str">
        <f ca="1">IFERROR(__xludf.DUMMYFUNCTION("""COMPUTED_VALUE"""),"2024/4/1短促，2023/7/25新機上架")</f>
        <v>2024/4/1短促，2023/7/25新機上架</v>
      </c>
      <c r="N201" s="12" t="str">
        <f ca="1">IFERROR(__xludf.DUMMYFUNCTION("""COMPUTED_VALUE"""),"舒壓按摩")</f>
        <v>舒壓按摩</v>
      </c>
      <c r="O201" s="12" t="str">
        <f ca="1">IFERROR(__xludf.DUMMYFUNCTION("""COMPUTED_VALUE"""),"教主灰")</f>
        <v>教主灰</v>
      </c>
      <c r="P201" s="12"/>
      <c r="Q201" s="12" t="str">
        <f ca="1">IFERROR(__xludf.DUMMYFUNCTION("""COMPUTED_VALUE"""),"270x89x90mm")</f>
        <v>270x89x90mm</v>
      </c>
      <c r="R201" s="12" t="str">
        <f ca="1">IFERROR(__xludf.DUMMYFUNCTION("""COMPUTED_VALUE"""),"中國")</f>
        <v>中國</v>
      </c>
      <c r="S201" s="12"/>
      <c r="T201" s="12"/>
      <c r="U201" s="22" t="str">
        <f ca="1">IFERROR(__xludf.DUMMYFUNCTION("""COMPUTED_VALUE"""),"1年")</f>
        <v>1年</v>
      </c>
      <c r="V201" s="12"/>
      <c r="W201" s="12"/>
      <c r="X201" s="12"/>
      <c r="Y201" s="12"/>
      <c r="Z201" s="14"/>
      <c r="AA201" s="15" t="str">
        <f ca="1">IFERROR(__xludf.DUMMYFUNCTION("""COMPUTED_VALUE"""),"*紅光探照加熱(10秒瞬熱)*仿生指腹按壓*8顆深層揉捏滾輪*親膚透氣高彈力網布*無線使用 900克輕量攜帶*15分鐘安全智能定時
")</f>
        <v xml:space="preserve">*紅光探照加熱(10秒瞬熱)*仿生指腹按壓*8顆深層揉捏滾輪*親膚透氣高彈力網布*無線使用 900克輕量攜帶*15分鐘安全智能定時
</v>
      </c>
    </row>
    <row r="202" spans="1:27" ht="19.5" customHeight="1">
      <c r="A202" s="12" t="str">
        <f ca="1">IFERROR(__xludf.DUMMYFUNCTION("""COMPUTED_VALUE"""),"生活家電")</f>
        <v>生活家電</v>
      </c>
      <c r="B202" s="12" t="str">
        <f ca="1">IFERROR(__xludf.DUMMYFUNCTION("""COMPUTED_VALUE"""),"城欣")</f>
        <v>城欣</v>
      </c>
      <c r="C202" s="12" t="str">
        <f ca="1">IFERROR(__xludf.DUMMYFUNCTION("""COMPUTED_VALUE"""),"輝葉 ")</f>
        <v xml:space="preserve">輝葉 </v>
      </c>
      <c r="D202" s="12" t="str">
        <f ca="1">IFERROR(__xludf.DUMMYFUNCTION("""COMPUTED_VALUE"""),"輝葉按你馬殺機 AnyMasaG(甜心粉)_HY-828-PK")</f>
        <v>輝葉按你馬殺機 AnyMasaG(甜心粉)_HY-828-PK</v>
      </c>
      <c r="E202" s="12" t="str">
        <f ca="1">IFERROR(__xludf.DUMMYFUNCTION("""COMPUTED_VALUE"""),"HY-828-PK")</f>
        <v>HY-828-PK</v>
      </c>
      <c r="F202" s="12">
        <f ca="1">IFERROR(__xludf.DUMMYFUNCTION("""COMPUTED_VALUE"""),51090094)</f>
        <v>51090094</v>
      </c>
      <c r="G202" s="12" t="str">
        <f ca="1">IFERROR(__xludf.DUMMYFUNCTION("""COMPUTED_VALUE"""),"IGEM0878")</f>
        <v>IGEM0878</v>
      </c>
      <c r="H202" s="13">
        <f ca="1">IFERROR(__xludf.DUMMYFUNCTION("""COMPUTED_VALUE"""),3980)</f>
        <v>3980</v>
      </c>
      <c r="I202" s="14">
        <f ca="1">IFERROR(__xludf.DUMMYFUNCTION("""COMPUTED_VALUE"""),1999)</f>
        <v>1999</v>
      </c>
      <c r="J202" s="16">
        <f ca="1">IFERROR(__xludf.DUMMYFUNCTION("""COMPUTED_VALUE"""),45383)</f>
        <v>45383</v>
      </c>
      <c r="K202" s="12" t="str">
        <f ca="1">IFERROR(__xludf.DUMMYFUNCTION("""COMPUTED_VALUE"""),"短促")</f>
        <v>短促</v>
      </c>
      <c r="L202" s="12" t="str">
        <f ca="1">IFERROR(__xludf.DUMMYFUNCTION("""COMPUTED_VALUE"""),"上架中")</f>
        <v>上架中</v>
      </c>
      <c r="M202" s="12" t="str">
        <f ca="1">IFERROR(__xludf.DUMMYFUNCTION("""COMPUTED_VALUE"""),"2024/4/1短促，2023/7/25新機上架")</f>
        <v>2024/4/1短促，2023/7/25新機上架</v>
      </c>
      <c r="N202" s="12" t="str">
        <f ca="1">IFERROR(__xludf.DUMMYFUNCTION("""COMPUTED_VALUE"""),"舒壓按摩")</f>
        <v>舒壓按摩</v>
      </c>
      <c r="O202" s="12" t="str">
        <f ca="1">IFERROR(__xludf.DUMMYFUNCTION("""COMPUTED_VALUE"""),"甜心粉")</f>
        <v>甜心粉</v>
      </c>
      <c r="P202" s="12"/>
      <c r="Q202" s="12" t="str">
        <f ca="1">IFERROR(__xludf.DUMMYFUNCTION("""COMPUTED_VALUE"""),"270x89x90mm")</f>
        <v>270x89x90mm</v>
      </c>
      <c r="R202" s="12" t="str">
        <f ca="1">IFERROR(__xludf.DUMMYFUNCTION("""COMPUTED_VALUE"""),"中國")</f>
        <v>中國</v>
      </c>
      <c r="S202" s="12"/>
      <c r="T202" s="12"/>
      <c r="U202" s="22" t="str">
        <f ca="1">IFERROR(__xludf.DUMMYFUNCTION("""COMPUTED_VALUE"""),"1年")</f>
        <v>1年</v>
      </c>
      <c r="V202" s="12"/>
      <c r="W202" s="12"/>
      <c r="X202" s="12"/>
      <c r="Y202" s="12"/>
      <c r="Z202" s="14"/>
      <c r="AA202" s="15" t="str">
        <f ca="1">IFERROR(__xludf.DUMMYFUNCTION("""COMPUTED_VALUE"""),"*紅光探照加熱(10秒瞬熱)*仿生指腹按壓*8顆深層揉捏滾輪*親膚透氣高彈力網布*無線使用 900克輕量攜帶*15分鐘安全智能定時
")</f>
        <v xml:space="preserve">*紅光探照加熱(10秒瞬熱)*仿生指腹按壓*8顆深層揉捏滾輪*親膚透氣高彈力網布*無線使用 900克輕量攜帶*15分鐘安全智能定時
</v>
      </c>
    </row>
    <row r="203" spans="1:27" ht="19.5" customHeight="1">
      <c r="A203" s="12" t="str">
        <f ca="1">IFERROR(__xludf.DUMMYFUNCTION("""COMPUTED_VALUE"""),"生活家電")</f>
        <v>生活家電</v>
      </c>
      <c r="B203" s="12" t="str">
        <f ca="1">IFERROR(__xludf.DUMMYFUNCTION("""COMPUTED_VALUE"""),"城欣")</f>
        <v>城欣</v>
      </c>
      <c r="C203" s="12" t="str">
        <f ca="1">IFERROR(__xludf.DUMMYFUNCTION("""COMPUTED_VALUE"""),"輝葉")</f>
        <v>輝葉</v>
      </c>
      <c r="D203" s="12" t="str">
        <f ca="1">IFERROR(__xludf.DUMMYFUNCTION("""COMPUTED_VALUE"""),"輝葉 ZeroBack 0脊限溫感按摩墊HY-906-BU")</f>
        <v>輝葉 ZeroBack 0脊限溫感按摩墊HY-906-BU</v>
      </c>
      <c r="E203" s="12" t="str">
        <f ca="1">IFERROR(__xludf.DUMMYFUNCTION("""COMPUTED_VALUE"""),"HY-906-BU")</f>
        <v>HY-906-BU</v>
      </c>
      <c r="F203" s="12">
        <f ca="1">IFERROR(__xludf.DUMMYFUNCTION("""COMPUTED_VALUE"""),51090097)</f>
        <v>51090097</v>
      </c>
      <c r="G203" s="12" t="str">
        <f ca="1">IFERROR(__xludf.DUMMYFUNCTION("""COMPUTED_VALUE"""),"IGEM102W")</f>
        <v>IGEM102W</v>
      </c>
      <c r="H203" s="13">
        <f ca="1">IFERROR(__xludf.DUMMYFUNCTION("""COMPUTED_VALUE"""),12800)</f>
        <v>12800</v>
      </c>
      <c r="I203" s="14">
        <f ca="1">IFERROR(__xludf.DUMMYFUNCTION("""COMPUTED_VALUE"""),6600)</f>
        <v>6600</v>
      </c>
      <c r="J203" s="16">
        <f ca="1">IFERROR(__xludf.DUMMYFUNCTION("""COMPUTED_VALUE"""),45444)</f>
        <v>45444</v>
      </c>
      <c r="K203" s="12" t="str">
        <f ca="1">IFERROR(__xludf.DUMMYFUNCTION("""COMPUTED_VALUE"""),"新機上架")</f>
        <v>新機上架</v>
      </c>
      <c r="L203" s="12" t="str">
        <f ca="1">IFERROR(__xludf.DUMMYFUNCTION("""COMPUTED_VALUE"""),"上架中")</f>
        <v>上架中</v>
      </c>
      <c r="M203" s="12" t="str">
        <f ca="1">IFERROR(__xludf.DUMMYFUNCTION("""COMPUTED_VALUE"""),"2024/6/1新機上架")</f>
        <v>2024/6/1新機上架</v>
      </c>
      <c r="N203" s="12" t="str">
        <f ca="1">IFERROR(__xludf.DUMMYFUNCTION("""COMPUTED_VALUE"""),"舒壓按摩")</f>
        <v>舒壓按摩</v>
      </c>
      <c r="O203" s="12" t="str">
        <f ca="1">IFERROR(__xludf.DUMMYFUNCTION("""COMPUTED_VALUE"""),"藍色")</f>
        <v>藍色</v>
      </c>
      <c r="P203" s="12"/>
      <c r="Q203" s="12" t="str">
        <f ca="1">IFERROR(__xludf.DUMMYFUNCTION("""COMPUTED_VALUE"""),"1200x550x90mm")</f>
        <v>1200x550x90mm</v>
      </c>
      <c r="R203" s="12" t="str">
        <f ca="1">IFERROR(__xludf.DUMMYFUNCTION("""COMPUTED_VALUE"""),"中國")</f>
        <v>中國</v>
      </c>
      <c r="S203" s="12"/>
      <c r="T203" s="12"/>
      <c r="U203" s="22" t="str">
        <f ca="1">IFERROR(__xludf.DUMMYFUNCTION("""COMPUTED_VALUE"""),"1年")</f>
        <v>1年</v>
      </c>
      <c r="V203" s="12"/>
      <c r="W203" s="12"/>
      <c r="X203" s="12"/>
      <c r="Y203" s="12"/>
      <c r="Z203" s="14"/>
      <c r="AA203" s="15" t="str">
        <f ca="1">IFERROR(__xludf.DUMMYFUNCTION("""COMPUTED_VALUE"""),"*S極線拉筋伸展，從頸部到臀部多方向扭轉鬆筋提升柔軟度*黃金角度全氣囊升級，擴背推舉伸展回歸脊柱原有活動彈性*石墨烯溫感熱敷升級，舒緩腰背緊繃痠痛加強身體循環 *4種專屬拉筋伸展放鬆按摩模式，居家按摩兼做被動式瑜珈*3種定點部位加強按摩模式")</f>
        <v>*S極線拉筋伸展，從頸部到臀部多方向扭轉鬆筋提升柔軟度*黃金角度全氣囊升級，擴背推舉伸展回歸脊柱原有活動彈性*石墨烯溫感熱敷升級，舒緩腰背緊繃痠痛加強身體循環 *4種專屬拉筋伸展放鬆按摩模式，居家按摩兼做被動式瑜珈*3種定點部位加強按摩模式</v>
      </c>
    </row>
    <row r="204" spans="1:27" ht="19.5" customHeight="1">
      <c r="A204" s="12" t="str">
        <f ca="1">IFERROR(__xludf.DUMMYFUNCTION("""COMPUTED_VALUE"""),"生活家電")</f>
        <v>生活家電</v>
      </c>
      <c r="B204" s="12" t="str">
        <f ca="1">IFERROR(__xludf.DUMMYFUNCTION("""COMPUTED_VALUE"""),"城欣")</f>
        <v>城欣</v>
      </c>
      <c r="C204" s="12" t="str">
        <f ca="1">IFERROR(__xludf.DUMMYFUNCTION("""COMPUTED_VALUE"""),"輝葉")</f>
        <v>輝葉</v>
      </c>
      <c r="D204" s="12" t="str">
        <f ca="1">IFERROR(__xludf.DUMMYFUNCTION("""COMPUTED_VALUE"""),"輝葉 AI追夢椅(科技灰)HY-5085-GY")</f>
        <v>輝葉 AI追夢椅(科技灰)HY-5085-GY</v>
      </c>
      <c r="E204" s="12" t="str">
        <f ca="1">IFERROR(__xludf.DUMMYFUNCTION("""COMPUTED_VALUE"""),"HY-5085-GY")</f>
        <v>HY-5085-GY</v>
      </c>
      <c r="F204" s="12">
        <f ca="1">IFERROR(__xludf.DUMMYFUNCTION("""COMPUTED_VALUE"""),51090098)</f>
        <v>51090098</v>
      </c>
      <c r="G204" s="12" t="str">
        <f ca="1">IFERROR(__xludf.DUMMYFUNCTION("""COMPUTED_VALUE"""),"IGEM102X")</f>
        <v>IGEM102X</v>
      </c>
      <c r="H204" s="13">
        <f ca="1">IFERROR(__xludf.DUMMYFUNCTION("""COMPUTED_VALUE"""),128000)</f>
        <v>128000</v>
      </c>
      <c r="I204" s="14">
        <f ca="1">IFERROR(__xludf.DUMMYFUNCTION("""COMPUTED_VALUE"""),69800)</f>
        <v>69800</v>
      </c>
      <c r="J204" s="16">
        <f ca="1">IFERROR(__xludf.DUMMYFUNCTION("""COMPUTED_VALUE"""),45658)</f>
        <v>45658</v>
      </c>
      <c r="K204" s="12" t="str">
        <f ca="1">IFERROR(__xludf.DUMMYFUNCTION("""COMPUTED_VALUE"""),"短促")</f>
        <v>短促</v>
      </c>
      <c r="L204" s="12" t="str">
        <f ca="1">IFERROR(__xludf.DUMMYFUNCTION("""COMPUTED_VALUE"""),"上架中")</f>
        <v>上架中</v>
      </c>
      <c r="M204" s="12" t="str">
        <f ca="1">IFERROR(__xludf.DUMMYFUNCTION("""COMPUTED_VALUE"""),"114/1/1短促，12/1回價，11/1-11/14短促(預計11/15回價)，9/1 回價，7/1短促，2024/6/1新機上架")</f>
        <v>114/1/1短促，12/1回價，11/1-11/14短促(預計11/15回價)，9/1 回價，7/1短促，2024/6/1新機上架</v>
      </c>
      <c r="N204" s="12" t="str">
        <f ca="1">IFERROR(__xludf.DUMMYFUNCTION("""COMPUTED_VALUE"""),"舒壓按摩")</f>
        <v>舒壓按摩</v>
      </c>
      <c r="O204" s="12" t="str">
        <f ca="1">IFERROR(__xludf.DUMMYFUNCTION("""COMPUTED_VALUE"""),"科技灰")</f>
        <v>科技灰</v>
      </c>
      <c r="P204" s="12"/>
      <c r="Q204" s="12" t="str">
        <f ca="1">IFERROR(__xludf.DUMMYFUNCTION("""COMPUTED_VALUE"""),"直立尺寸:1525x750x1165mm
 平躺尺寸:1770x750x850mm")</f>
        <v>直立尺寸:1525x750x1165mm
 平躺尺寸:1770x750x850mm</v>
      </c>
      <c r="R204" s="12" t="str">
        <f ca="1">IFERROR(__xludf.DUMMYFUNCTION("""COMPUTED_VALUE"""),"中國")</f>
        <v>中國</v>
      </c>
      <c r="S204" s="12"/>
      <c r="T204" s="12"/>
      <c r="U204" s="22" t="str">
        <f ca="1">IFERROR(__xludf.DUMMYFUNCTION("""COMPUTED_VALUE"""),"1年")</f>
        <v>1年</v>
      </c>
      <c r="V204" s="12"/>
      <c r="W204" s="12"/>
      <c r="X204" s="12" t="str">
        <f ca="1">IFERROR(__xludf.DUMMYFUNCTION("""COMPUTED_VALUE"""),"(114/1/1-2/28)隨貨送輝葉溫感按摩墊HY-906")</f>
        <v>(114/1/1-2/28)隨貨送輝葉溫感按摩墊HY-906</v>
      </c>
      <c r="Y204" s="12"/>
      <c r="Z204" s="14"/>
      <c r="AA204" s="15" t="str">
        <f ca="1">IFERROR(__xludf.DUMMYFUNCTION("""COMPUTED_VALUE"""),"*業界首創AI智能旋鈕*獨家專利V-Motion搖擺拉伸模式*首創腿部揉搓按摩*升級半月輪真人手勁按摩*全腳底滾輪指壓按摩*碳纖維溫感舒緩*智能偵測穴位*135cm超長2SL雙曲軌臀感按摩*12組自動按摩程式(獨創追夢按摩程式)*全身高磅氣囊推壓包覆*三段式零重力壓力釋放*5cm零空間前滑設計")</f>
        <v>*業界首創AI智能旋鈕*獨家專利V-Motion搖擺拉伸模式*首創腿部揉搓按摩*升級半月輪真人手勁按摩*全腳底滾輪指壓按摩*碳纖維溫感舒緩*智能偵測穴位*135cm超長2SL雙曲軌臀感按摩*12組自動按摩程式(獨創追夢按摩程式)*全身高磅氣囊推壓包覆*三段式零重力壓力釋放*5cm零空間前滑設計</v>
      </c>
    </row>
    <row r="205" spans="1:27" ht="19.5" customHeight="1">
      <c r="A205" s="12" t="str">
        <f ca="1">IFERROR(__xludf.DUMMYFUNCTION("""COMPUTED_VALUE"""),"生活家電")</f>
        <v>生活家電</v>
      </c>
      <c r="B205" s="12" t="str">
        <f ca="1">IFERROR(__xludf.DUMMYFUNCTION("""COMPUTED_VALUE"""),"城欣")</f>
        <v>城欣</v>
      </c>
      <c r="C205" s="12" t="str">
        <f ca="1">IFERROR(__xludf.DUMMYFUNCTION("""COMPUTED_VALUE"""),"輝葉")</f>
        <v>輝葉</v>
      </c>
      <c r="D205" s="12" t="str">
        <f ca="1">IFERROR(__xludf.DUMMYFUNCTION("""COMPUTED_VALUE"""),"輝葉 AI追夢椅(追夢藍)HY-5085-BU")</f>
        <v>輝葉 AI追夢椅(追夢藍)HY-5085-BU</v>
      </c>
      <c r="E205" s="12" t="str">
        <f ca="1">IFERROR(__xludf.DUMMYFUNCTION("""COMPUTED_VALUE"""),"HY-5085-BU")</f>
        <v>HY-5085-BU</v>
      </c>
      <c r="F205" s="12">
        <f ca="1">IFERROR(__xludf.DUMMYFUNCTION("""COMPUTED_VALUE"""),51090099)</f>
        <v>51090099</v>
      </c>
      <c r="G205" s="12" t="str">
        <f ca="1">IFERROR(__xludf.DUMMYFUNCTION("""COMPUTED_VALUE"""),"IGEM102Y")</f>
        <v>IGEM102Y</v>
      </c>
      <c r="H205" s="13">
        <f ca="1">IFERROR(__xludf.DUMMYFUNCTION("""COMPUTED_VALUE"""),128000)</f>
        <v>128000</v>
      </c>
      <c r="I205" s="14">
        <f ca="1">IFERROR(__xludf.DUMMYFUNCTION("""COMPUTED_VALUE"""),69800)</f>
        <v>69800</v>
      </c>
      <c r="J205" s="16">
        <f ca="1">IFERROR(__xludf.DUMMYFUNCTION("""COMPUTED_VALUE"""),45658)</f>
        <v>45658</v>
      </c>
      <c r="K205" s="12" t="str">
        <f ca="1">IFERROR(__xludf.DUMMYFUNCTION("""COMPUTED_VALUE"""),"短促")</f>
        <v>短促</v>
      </c>
      <c r="L205" s="12" t="str">
        <f ca="1">IFERROR(__xludf.DUMMYFUNCTION("""COMPUTED_VALUE"""),"上架中")</f>
        <v>上架中</v>
      </c>
      <c r="M205" s="12" t="str">
        <f ca="1">IFERROR(__xludf.DUMMYFUNCTION("""COMPUTED_VALUE"""),"114/1/1短促，12/1回價，11/1-11/14短促(預計11/15回價)，9/1 回價，7/1短促，2024/6/1新機上架")</f>
        <v>114/1/1短促，12/1回價，11/1-11/14短促(預計11/15回價)，9/1 回價，7/1短促，2024/6/1新機上架</v>
      </c>
      <c r="N205" s="12" t="str">
        <f ca="1">IFERROR(__xludf.DUMMYFUNCTION("""COMPUTED_VALUE"""),"舒壓按摩")</f>
        <v>舒壓按摩</v>
      </c>
      <c r="O205" s="12" t="str">
        <f ca="1">IFERROR(__xludf.DUMMYFUNCTION("""COMPUTED_VALUE"""),"追夢藍")</f>
        <v>追夢藍</v>
      </c>
      <c r="P205" s="12"/>
      <c r="Q205" s="12" t="str">
        <f ca="1">IFERROR(__xludf.DUMMYFUNCTION("""COMPUTED_VALUE"""),"直立尺寸:1525x750x1165mm
 平躺尺寸:1770x750x850mm")</f>
        <v>直立尺寸:1525x750x1165mm
 平躺尺寸:1770x750x850mm</v>
      </c>
      <c r="R205" s="12" t="str">
        <f ca="1">IFERROR(__xludf.DUMMYFUNCTION("""COMPUTED_VALUE"""),"中國")</f>
        <v>中國</v>
      </c>
      <c r="S205" s="12"/>
      <c r="T205" s="12"/>
      <c r="U205" s="22" t="str">
        <f ca="1">IFERROR(__xludf.DUMMYFUNCTION("""COMPUTED_VALUE"""),"1年")</f>
        <v>1年</v>
      </c>
      <c r="V205" s="12"/>
      <c r="W205" s="12"/>
      <c r="X205" s="12" t="str">
        <f ca="1">IFERROR(__xludf.DUMMYFUNCTION("""COMPUTED_VALUE"""),"(114/1/1-2/28)隨貨送輝葉溫感按摩墊HY-906")</f>
        <v>(114/1/1-2/28)隨貨送輝葉溫感按摩墊HY-906</v>
      </c>
      <c r="Y205" s="12"/>
      <c r="Z205" s="14"/>
      <c r="AA205" s="15" t="str">
        <f ca="1">IFERROR(__xludf.DUMMYFUNCTION("""COMPUTED_VALUE"""),"*業界首創AI智能旋鈕*獨家專利V-Motion搖擺拉伸模式*首創腿部揉搓按摩*升級半月輪真人手勁按摩*全腳底滾輪指壓按摩*碳纖維溫感舒緩*智能偵測穴位*135cm超長2SL雙曲軌臀感按摩*12組自動按摩程式(獨創追夢按摩程式)*全身高磅氣囊推壓包覆*三段式零重力壓力釋放*5cm零空間前滑設計")</f>
        <v>*業界首創AI智能旋鈕*獨家專利V-Motion搖擺拉伸模式*首創腿部揉搓按摩*升級半月輪真人手勁按摩*全腳底滾輪指壓按摩*碳纖維溫感舒緩*智能偵測穴位*135cm超長2SL雙曲軌臀感按摩*12組自動按摩程式(獨創追夢按摩程式)*全身高磅氣囊推壓包覆*三段式零重力壓力釋放*5cm零空間前滑設計</v>
      </c>
    </row>
    <row r="206" spans="1:27" ht="19.5" customHeight="1">
      <c r="A206" s="12" t="str">
        <f ca="1">IFERROR(__xludf.DUMMYFUNCTION("""COMPUTED_VALUE"""),"生活家電")</f>
        <v>生活家電</v>
      </c>
      <c r="B206" s="12" t="str">
        <f ca="1">IFERROR(__xludf.DUMMYFUNCTION("""COMPUTED_VALUE"""),"城欣")</f>
        <v>城欣</v>
      </c>
      <c r="C206" s="12" t="str">
        <f ca="1">IFERROR(__xludf.DUMMYFUNCTION("""COMPUTED_VALUE"""),"輝葉")</f>
        <v>輝葉</v>
      </c>
      <c r="D206" s="12" t="str">
        <f ca="1">IFERROR(__xludf.DUMMYFUNCTION("""COMPUTED_VALUE"""),"輝葉 震關健KNEEBUZZ多功能石墨烯熱感按摩器HY-762-BU")</f>
        <v>輝葉 震關健KNEEBUZZ多功能石墨烯熱感按摩器HY-762-BU</v>
      </c>
      <c r="E206" s="12" t="str">
        <f ca="1">IFERROR(__xludf.DUMMYFUNCTION("""COMPUTED_VALUE"""),"HY-762-BU")</f>
        <v>HY-762-BU</v>
      </c>
      <c r="F206" s="12">
        <f ca="1">IFERROR(__xludf.DUMMYFUNCTION("""COMPUTED_VALUE"""),51090100)</f>
        <v>51090100</v>
      </c>
      <c r="G206" s="12" t="str">
        <f ca="1">IFERROR(__xludf.DUMMYFUNCTION("""COMPUTED_VALUE"""),"IGEM109V")</f>
        <v>IGEM109V</v>
      </c>
      <c r="H206" s="13">
        <f ca="1">IFERROR(__xludf.DUMMYFUNCTION("""COMPUTED_VALUE"""),3680)</f>
        <v>3680</v>
      </c>
      <c r="I206" s="14">
        <f ca="1">IFERROR(__xludf.DUMMYFUNCTION("""COMPUTED_VALUE"""),2470)</f>
        <v>2470</v>
      </c>
      <c r="J206" s="16">
        <f ca="1">IFERROR(__xludf.DUMMYFUNCTION("""COMPUTED_VALUE"""),45627)</f>
        <v>45627</v>
      </c>
      <c r="K206" s="12" t="str">
        <f ca="1">IFERROR(__xludf.DUMMYFUNCTION("""COMPUTED_VALUE"""),"回價")</f>
        <v>回價</v>
      </c>
      <c r="L206" s="12" t="str">
        <f ca="1">IFERROR(__xludf.DUMMYFUNCTION("""COMPUTED_VALUE"""),"上架中")</f>
        <v>上架中</v>
      </c>
      <c r="M206" s="12" t="str">
        <f ca="1">IFERROR(__xludf.DUMMYFUNCTION("""COMPUTED_VALUE"""),"12/1回價，11/1-11/14短促(預計11/15回價)，2024/9/1新機上架")</f>
        <v>12/1回價，11/1-11/14短促(預計11/15回價)，2024/9/1新機上架</v>
      </c>
      <c r="N206" s="12" t="str">
        <f ca="1">IFERROR(__xludf.DUMMYFUNCTION("""COMPUTED_VALUE"""),"舒壓按摩")</f>
        <v>舒壓按摩</v>
      </c>
      <c r="O206" s="12" t="str">
        <f ca="1">IFERROR(__xludf.DUMMYFUNCTION("""COMPUTED_VALUE"""),"藍色")</f>
        <v>藍色</v>
      </c>
      <c r="P206" s="12"/>
      <c r="Q206" s="12" t="str">
        <f ca="1">IFERROR(__xludf.DUMMYFUNCTION("""COMPUTED_VALUE"""),"500x290x30mm
")</f>
        <v xml:space="preserve">500x290x30mm
</v>
      </c>
      <c r="R206" s="12" t="str">
        <f ca="1">IFERROR(__xludf.DUMMYFUNCTION("""COMPUTED_VALUE"""),"中國")</f>
        <v>中國</v>
      </c>
      <c r="S206" s="12"/>
      <c r="T206" s="12"/>
      <c r="U206" s="22" t="str">
        <f ca="1">IFERROR(__xludf.DUMMYFUNCTION("""COMPUTED_VALUE"""),"1年")</f>
        <v>1年</v>
      </c>
      <c r="V206" s="12"/>
      <c r="W206" s="12"/>
      <c r="X206" s="12"/>
      <c r="Y206" s="12"/>
      <c r="Z206" s="14"/>
      <c r="AA206" s="15" t="str">
        <f ca="1">IFERROR(__xludf.DUMMYFUNCTION("""COMPUTED_VALUE"""),"*石墨烯加熱片3秒均勻瞬熱*5段溫控、3檔振動*3D環繞立體剪裁服貼*智能語音播報模式*面板清晰直覺操作*多部位使用，護膝、護肩、護肘*加配61cm延長帶*隱藏式內袋可放置藥草包*Type-C充電，無線設計，不限使用地點")</f>
        <v>*石墨烯加熱片3秒均勻瞬熱*5段溫控、3檔振動*3D環繞立體剪裁服貼*智能語音播報模式*面板清晰直覺操作*多部位使用，護膝、護肩、護肘*加配61cm延長帶*隱藏式內袋可放置藥草包*Type-C充電，無線設計，不限使用地點</v>
      </c>
    </row>
    <row r="207" spans="1:27" ht="19.5" customHeight="1">
      <c r="A207" s="12" t="str">
        <f ca="1">IFERROR(__xludf.DUMMYFUNCTION("""COMPUTED_VALUE"""),"生活家電")</f>
        <v>生活家電</v>
      </c>
      <c r="B207" s="12" t="str">
        <f ca="1">IFERROR(__xludf.DUMMYFUNCTION("""COMPUTED_VALUE"""),"城欣")</f>
        <v>城欣</v>
      </c>
      <c r="C207" s="12" t="str">
        <f ca="1">IFERROR(__xludf.DUMMYFUNCTION("""COMPUTED_VALUE"""),"輝葉")</f>
        <v>輝葉</v>
      </c>
      <c r="D207" s="12" t="str">
        <f ca="1">IFERROR(__xludf.DUMMYFUNCTION("""COMPUTED_VALUE"""),"輝葉 震關健KNEEBUZZ多功能石墨烯熱感按摩器(2入組)HY-762-BU-D")</f>
        <v>輝葉 震關健KNEEBUZZ多功能石墨烯熱感按摩器(2入組)HY-762-BU-D</v>
      </c>
      <c r="E207" s="12" t="str">
        <f ca="1">IFERROR(__xludf.DUMMYFUNCTION("""COMPUTED_VALUE"""),"HY-762-BU-D")</f>
        <v>HY-762-BU-D</v>
      </c>
      <c r="F207" s="12">
        <f ca="1">IFERROR(__xludf.DUMMYFUNCTION("""COMPUTED_VALUE"""),51090101)</f>
        <v>51090101</v>
      </c>
      <c r="G207" s="12" t="str">
        <f ca="1">IFERROR(__xludf.DUMMYFUNCTION("""COMPUTED_VALUE"""),"IGEM109W")</f>
        <v>IGEM109W</v>
      </c>
      <c r="H207" s="13">
        <f ca="1">IFERROR(__xludf.DUMMYFUNCTION("""COMPUTED_VALUE"""),7360)</f>
        <v>7360</v>
      </c>
      <c r="I207" s="14">
        <f ca="1">IFERROR(__xludf.DUMMYFUNCTION("""COMPUTED_VALUE"""),3480)</f>
        <v>3480</v>
      </c>
      <c r="J207" s="16">
        <f ca="1">IFERROR(__xludf.DUMMYFUNCTION("""COMPUTED_VALUE"""),45695)</f>
        <v>45695</v>
      </c>
      <c r="K207" s="12" t="str">
        <f ca="1">IFERROR(__xludf.DUMMYFUNCTION("""COMPUTED_VALUE"""),"到貨")</f>
        <v>到貨</v>
      </c>
      <c r="L207" s="12" t="str">
        <f ca="1">IFERROR(__xludf.DUMMYFUNCTION("""COMPUTED_VALUE"""),"上架中")</f>
        <v>上架中</v>
      </c>
      <c r="M207" s="12" t="str">
        <f ca="1">IFERROR(__xludf.DUMMYFUNCTION("""COMPUTED_VALUE"""),"2025/2/7到貨，12/27缺貨(預計114/2/24出貨)12/1回價，11/1-11/14短促(預計11/15回價)，2024/9/1新機上架")</f>
        <v>2025/2/7到貨，12/27缺貨(預計114/2/24出貨)12/1回價，11/1-11/14短促(預計11/15回價)，2024/9/1新機上架</v>
      </c>
      <c r="N207" s="12" t="str">
        <f ca="1">IFERROR(__xludf.DUMMYFUNCTION("""COMPUTED_VALUE"""),"舒壓按摩")</f>
        <v>舒壓按摩</v>
      </c>
      <c r="O207" s="12" t="str">
        <f ca="1">IFERROR(__xludf.DUMMYFUNCTION("""COMPUTED_VALUE"""),"藍色")</f>
        <v>藍色</v>
      </c>
      <c r="P207" s="12"/>
      <c r="Q207" s="12" t="str">
        <f ca="1">IFERROR(__xludf.DUMMYFUNCTION("""COMPUTED_VALUE"""),"500x290x30mm
")</f>
        <v xml:space="preserve">500x290x30mm
</v>
      </c>
      <c r="R207" s="12" t="str">
        <f ca="1">IFERROR(__xludf.DUMMYFUNCTION("""COMPUTED_VALUE"""),"中國")</f>
        <v>中國</v>
      </c>
      <c r="S207" s="12"/>
      <c r="T207" s="12"/>
      <c r="U207" s="22" t="str">
        <f ca="1">IFERROR(__xludf.DUMMYFUNCTION("""COMPUTED_VALUE"""),"1年")</f>
        <v>1年</v>
      </c>
      <c r="V207" s="12"/>
      <c r="W207" s="12"/>
      <c r="X207" s="12"/>
      <c r="Y207" s="12"/>
      <c r="Z207" s="14"/>
      <c r="AA207" s="15" t="str">
        <f ca="1">IFERROR(__xludf.DUMMYFUNCTION("""COMPUTED_VALUE"""),"*石墨烯加熱片3秒均勻瞬熱*5段溫控、3檔振動*3D環繞立體剪裁服貼*智能語音播報模式*面板清晰直覺操作*多部位使用，護膝、護肩、護肘*加配61cm延長帶*隱藏式內袋可放置藥草包*Type-C充電，無線設計，不限使用地點")</f>
        <v>*石墨烯加熱片3秒均勻瞬熱*5段溫控、3檔振動*3D環繞立體剪裁服貼*智能語音播報模式*面板清晰直覺操作*多部位使用，護膝、護肩、護肘*加配61cm延長帶*隱藏式內袋可放置藥草包*Type-C充電，無線設計，不限使用地點</v>
      </c>
    </row>
    <row r="208" spans="1:27" ht="19.5" customHeight="1">
      <c r="A208" s="12" t="str">
        <f ca="1">IFERROR(__xludf.DUMMYFUNCTION("""COMPUTED_VALUE"""),"生活家電")</f>
        <v>生活家電</v>
      </c>
      <c r="B208" s="12" t="str">
        <f ca="1">IFERROR(__xludf.DUMMYFUNCTION("""COMPUTED_VALUE"""),"城欣")</f>
        <v>城欣</v>
      </c>
      <c r="C208" s="12" t="str">
        <f ca="1">IFERROR(__xludf.DUMMYFUNCTION("""COMPUTED_VALUE"""),"輝葉")</f>
        <v>輝葉</v>
      </c>
      <c r="D208" s="12" t="str">
        <f ca="1">IFERROR(__xludf.DUMMYFUNCTION("""COMPUTED_VALUE"""),"輝葉良品 八電極智能體脂計HYG-P100")</f>
        <v>輝葉良品 八電極智能體脂計HYG-P100</v>
      </c>
      <c r="E208" s="12" t="str">
        <f ca="1">IFERROR(__xludf.DUMMYFUNCTION("""COMPUTED_VALUE"""),"HYG-P100")</f>
        <v>HYG-P100</v>
      </c>
      <c r="F208" s="12">
        <f ca="1">IFERROR(__xludf.DUMMYFUNCTION("""COMPUTED_VALUE"""),51090102)</f>
        <v>51090102</v>
      </c>
      <c r="G208" s="12" t="str">
        <f ca="1">IFERROR(__xludf.DUMMYFUNCTION("""COMPUTED_VALUE"""),"IGEM109X")</f>
        <v>IGEM109X</v>
      </c>
      <c r="H208" s="13">
        <f ca="1">IFERROR(__xludf.DUMMYFUNCTION("""COMPUTED_VALUE"""),3680)</f>
        <v>3680</v>
      </c>
      <c r="I208" s="14">
        <f ca="1">IFERROR(__xludf.DUMMYFUNCTION("""COMPUTED_VALUE"""),2280)</f>
        <v>2280</v>
      </c>
      <c r="J208" s="16">
        <f ca="1">IFERROR(__xludf.DUMMYFUNCTION("""COMPUTED_VALUE"""),45536)</f>
        <v>45536</v>
      </c>
      <c r="K208" s="12" t="str">
        <f ca="1">IFERROR(__xludf.DUMMYFUNCTION("""COMPUTED_VALUE"""),"新機上架")</f>
        <v>新機上架</v>
      </c>
      <c r="L208" s="12" t="str">
        <f ca="1">IFERROR(__xludf.DUMMYFUNCTION("""COMPUTED_VALUE"""),"上架中")</f>
        <v>上架中</v>
      </c>
      <c r="M208" s="12" t="str">
        <f ca="1">IFERROR(__xludf.DUMMYFUNCTION("""COMPUTED_VALUE"""),"2024/9/1新機上架")</f>
        <v>2024/9/1新機上架</v>
      </c>
      <c r="N208" s="12" t="str">
        <f ca="1">IFERROR(__xludf.DUMMYFUNCTION("""COMPUTED_VALUE"""),"體重計/體脂計")</f>
        <v>體重計/體脂計</v>
      </c>
      <c r="O208" s="12" t="str">
        <f ca="1">IFERROR(__xludf.DUMMYFUNCTION("""COMPUTED_VALUE"""),"白色")</f>
        <v>白色</v>
      </c>
      <c r="P208" s="12"/>
      <c r="Q208" s="12" t="str">
        <f ca="1">IFERROR(__xludf.DUMMYFUNCTION("""COMPUTED_VALUE"""),"310 x 355 x 50mm")</f>
        <v>310 x 355 x 50mm</v>
      </c>
      <c r="R208" s="12" t="str">
        <f ca="1">IFERROR(__xludf.DUMMYFUNCTION("""COMPUTED_VALUE"""),"中國")</f>
        <v>中國</v>
      </c>
      <c r="S208" s="12"/>
      <c r="T208" s="12"/>
      <c r="U208" s="22" t="str">
        <f ca="1">IFERROR(__xludf.DUMMYFUNCTION("""COMPUTED_VALUE"""),"1年")</f>
        <v>1年</v>
      </c>
      <c r="V208" s="12"/>
      <c r="W208" s="12"/>
      <c r="X208" s="12"/>
      <c r="Y208" s="12"/>
      <c r="Z208" s="14"/>
      <c r="AA208" s="15" t="str">
        <f ca="1">IFERROR(__xludf.DUMMYFUNCTION("""COMPUTED_VALUE"""),"*先進測量技術.BIA 雙頻測量。*TFT 彩色屏幕.七大指數即時測量。*藍芽APP同步.51項身體檢測數據。*個人化健康管理.飲食.運動.飲水建議。*24 組用戶.個別健康管理。*精密結構.擁有多項專利授權。*24 組用戶.個別健康管理。*專利外觀設計. 時尚優雅。")</f>
        <v>*先進測量技術.BIA 雙頻測量。*TFT 彩色屏幕.七大指數即時測量。*藍芽APP同步.51項身體檢測數據。*個人化健康管理.飲食.運動.飲水建議。*24 組用戶.個別健康管理。*精密結構.擁有多項專利授權。*24 組用戶.個別健康管理。*專利外觀設計. 時尚優雅。</v>
      </c>
    </row>
    <row r="209" spans="1:27" ht="19.5" customHeight="1">
      <c r="A209" s="12" t="str">
        <f ca="1">IFERROR(__xludf.DUMMYFUNCTION("""COMPUTED_VALUE"""),"生活家電")</f>
        <v>生活家電</v>
      </c>
      <c r="B209" s="12" t="str">
        <f ca="1">IFERROR(__xludf.DUMMYFUNCTION("""COMPUTED_VALUE"""),"城欣")</f>
        <v>城欣</v>
      </c>
      <c r="C209" s="12" t="str">
        <f ca="1">IFERROR(__xludf.DUMMYFUNCTION("""COMPUTED_VALUE"""),"輝葉")</f>
        <v>輝葉</v>
      </c>
      <c r="D209" s="12" t="str">
        <f ca="1">IFERROR(__xludf.DUMMYFUNCTION("""COMPUTED_VALUE"""),"輝葉 miniV 3專業勁化版智能按摩槍 HY-10506-BU")</f>
        <v>輝葉 miniV 3專業勁化版智能按摩槍 HY-10506-BU</v>
      </c>
      <c r="E209" s="12" t="str">
        <f ca="1">IFERROR(__xludf.DUMMYFUNCTION("""COMPUTED_VALUE"""),"HY-10506-BU")</f>
        <v>HY-10506-BU</v>
      </c>
      <c r="F209" s="12">
        <f ca="1">IFERROR(__xludf.DUMMYFUNCTION("""COMPUTED_VALUE"""),51090103)</f>
        <v>51090103</v>
      </c>
      <c r="G209" s="12" t="str">
        <f ca="1">IFERROR(__xludf.DUMMYFUNCTION("""COMPUTED_VALUE"""),"IGEM1157")</f>
        <v>IGEM1157</v>
      </c>
      <c r="H209" s="13">
        <f ca="1">IFERROR(__xludf.DUMMYFUNCTION("""COMPUTED_VALUE"""),6880)</f>
        <v>6880</v>
      </c>
      <c r="I209" s="14">
        <f ca="1">IFERROR(__xludf.DUMMYFUNCTION("""COMPUTED_VALUE"""),2980)</f>
        <v>2980</v>
      </c>
      <c r="J209" s="16">
        <f ca="1">IFERROR(__xludf.DUMMYFUNCTION("""COMPUTED_VALUE"""),45658)</f>
        <v>45658</v>
      </c>
      <c r="K209" s="12" t="str">
        <f ca="1">IFERROR(__xludf.DUMMYFUNCTION("""COMPUTED_VALUE"""),"新機上架")</f>
        <v>新機上架</v>
      </c>
      <c r="L209" s="12" t="str">
        <f ca="1">IFERROR(__xludf.DUMMYFUNCTION("""COMPUTED_VALUE"""),"上架中")</f>
        <v>上架中</v>
      </c>
      <c r="M209" s="12" t="str">
        <f ca="1">IFERROR(__xludf.DUMMYFUNCTION("""COMPUTED_VALUE"""),"2025/1/1新機上架")</f>
        <v>2025/1/1新機上架</v>
      </c>
      <c r="N209" s="12" t="str">
        <f ca="1">IFERROR(__xludf.DUMMYFUNCTION("""COMPUTED_VALUE"""),"舒壓按摩")</f>
        <v>舒壓按摩</v>
      </c>
      <c r="O209" s="12" t="str">
        <f ca="1">IFERROR(__xludf.DUMMYFUNCTION("""COMPUTED_VALUE"""),"藍色")</f>
        <v>藍色</v>
      </c>
      <c r="P209" s="12"/>
      <c r="Q209" s="12" t="str">
        <f ca="1">IFERROR(__xludf.DUMMYFUNCTION("""COMPUTED_VALUE"""),"137x92x45mm")</f>
        <v>137x92x45mm</v>
      </c>
      <c r="R209" s="12" t="str">
        <f ca="1">IFERROR(__xludf.DUMMYFUNCTION("""COMPUTED_VALUE"""),"中國")</f>
        <v>中國</v>
      </c>
      <c r="S209" s="12"/>
      <c r="T209" s="12"/>
      <c r="U209" s="22" t="str">
        <f ca="1">IFERROR(__xludf.DUMMYFUNCTION("""COMPUTED_VALUE"""),"1年")</f>
        <v>1年</v>
      </c>
      <c r="V209" s="12"/>
      <c r="W209" s="12"/>
      <c r="X209" s="12"/>
      <c r="Y209" s="12"/>
      <c r="Z209" s="14"/>
      <c r="AA209" s="15" t="str">
        <f ca="1">IFERROR(__xludf.DUMMYFUNCTION("""COMPUTED_VALUE"""),"*航空級鋁合金*強勁推力*4+1檔轉速調節*定頻與智能變頻切換*2000-3200 RPM高效按摩強度*6mm深層放鬆*440g極輕機身*45dB靜音設計*超強續航力*10分鐘安全定時")</f>
        <v>*航空級鋁合金*強勁推力*4+1檔轉速調節*定頻與智能變頻切換*2000-3200 RPM高效按摩強度*6mm深層放鬆*440g極輕機身*45dB靜音設計*超強續航力*10分鐘安全定時</v>
      </c>
    </row>
    <row r="210" spans="1:27" ht="19.5" customHeight="1">
      <c r="A210" s="12" t="str">
        <f ca="1">IFERROR(__xludf.DUMMYFUNCTION("""COMPUTED_VALUE"""),"生活家電")</f>
        <v>生活家電</v>
      </c>
      <c r="B210" s="12" t="str">
        <f ca="1">IFERROR(__xludf.DUMMYFUNCTION("""COMPUTED_VALUE"""),"城欣")</f>
        <v>城欣</v>
      </c>
      <c r="C210" s="12" t="str">
        <f ca="1">IFERROR(__xludf.DUMMYFUNCTION("""COMPUTED_VALUE"""),"輝葉")</f>
        <v>輝葉</v>
      </c>
      <c r="D210" s="12" t="str">
        <f ca="1">IFERROR(__xludf.DUMMYFUNCTION("""COMPUTED_VALUE"""),"輝葉 X-Runner智能電動跑步機HY-20612-BK")</f>
        <v>輝葉 X-Runner智能電動跑步機HY-20612-BK</v>
      </c>
      <c r="E210" s="12" t="str">
        <f ca="1">IFERROR(__xludf.DUMMYFUNCTION("""COMPUTED_VALUE"""),"HY-20612-BK")</f>
        <v>HY-20612-BK</v>
      </c>
      <c r="F210" s="12">
        <f ca="1">IFERROR(__xludf.DUMMYFUNCTION("""COMPUTED_VALUE"""),51090104)</f>
        <v>51090104</v>
      </c>
      <c r="G210" s="12" t="str">
        <f ca="1">IFERROR(__xludf.DUMMYFUNCTION("""COMPUTED_VALUE"""),"IGEM1191")</f>
        <v>IGEM1191</v>
      </c>
      <c r="H210" s="13">
        <f ca="1">IFERROR(__xludf.DUMMYFUNCTION("""COMPUTED_VALUE"""),39800)</f>
        <v>39800</v>
      </c>
      <c r="I210" s="14">
        <f ca="1">IFERROR(__xludf.DUMMYFUNCTION("""COMPUTED_VALUE"""),19800)</f>
        <v>19800</v>
      </c>
      <c r="J210" s="16">
        <f ca="1">IFERROR(__xludf.DUMMYFUNCTION("""COMPUTED_VALUE"""),45671)</f>
        <v>45671</v>
      </c>
      <c r="K210" s="12" t="str">
        <f ca="1">IFERROR(__xludf.DUMMYFUNCTION("""COMPUTED_VALUE"""),"新機上架")</f>
        <v>新機上架</v>
      </c>
      <c r="L210" s="12" t="str">
        <f ca="1">IFERROR(__xludf.DUMMYFUNCTION("""COMPUTED_VALUE"""),"上架中")</f>
        <v>上架中</v>
      </c>
      <c r="M210" s="12" t="str">
        <f ca="1">IFERROR(__xludf.DUMMYFUNCTION("""COMPUTED_VALUE"""),"2025/1/14上架")</f>
        <v>2025/1/14上架</v>
      </c>
      <c r="N210" s="12" t="str">
        <f ca="1">IFERROR(__xludf.DUMMYFUNCTION("""COMPUTED_VALUE"""),"運動器材")</f>
        <v>運動器材</v>
      </c>
      <c r="O210" s="12" t="str">
        <f ca="1">IFERROR(__xludf.DUMMYFUNCTION("""COMPUTED_VALUE"""),"跑酷黑")</f>
        <v>跑酷黑</v>
      </c>
      <c r="P210" s="12"/>
      <c r="Q210" s="12" t="str">
        <f ca="1">IFERROR(__xludf.DUMMYFUNCTION("""COMPUTED_VALUE"""),"展開尺寸:1516x793x1252mm
 折收尺寸:850x793x1340mm")</f>
        <v>展開尺寸:1516x793x1252mm
 折收尺寸:850x793x1340mm</v>
      </c>
      <c r="R210" s="12" t="str">
        <f ca="1">IFERROR(__xludf.DUMMYFUNCTION("""COMPUTED_VALUE"""),"中國")</f>
        <v>中國</v>
      </c>
      <c r="S210" s="12"/>
      <c r="T210" s="12"/>
      <c r="U210" s="22" t="str">
        <f ca="1">IFERROR(__xludf.DUMMYFUNCTION("""COMPUTED_VALUE"""),"1年")</f>
        <v>1年</v>
      </c>
      <c r="V210" s="12"/>
      <c r="W210" s="12"/>
      <c r="X210" s="12" t="str">
        <f ca="1">IFERROR(__xludf.DUMMYFUNCTION("""COMPUTED_VALUE"""),"(114/1/1-2/28)隨貨送避震墊HY-B02+潤滑油")</f>
        <v>(114/1/1-2/28)隨貨送避震墊HY-B02+潤滑油</v>
      </c>
      <c r="Y210" s="12"/>
      <c r="Z210" s="14"/>
      <c r="AA210" s="15" t="str">
        <f ca="1">IFERROR(__xludf.DUMMYFUNCTION("""COMPUTED_VALUE"""),"*電動揚升坡度，最高15段調整*最高速度15 km/h，速度隨心調整*超寬跑帶47x121cm，無拘束暢跑*特殊蜂巢狀避震，緩震回彈看得見*12種自動模式，專屬配速員*三層跑帶耐磨又耐跑 *緩衝油壓折疊，自動安全緩降*強勁馬力2.5HPP 高效穩定運作*無刷電機，降低噪音*手握測心率與體脂功能")</f>
        <v>*電動揚升坡度，最高15段調整*最高速度15 km/h，速度隨心調整*超寬跑帶47x121cm，無拘束暢跑*特殊蜂巢狀避震，緩震回彈看得見*12種自動模式，專屬配速員*三層跑帶耐磨又耐跑 *緩衝油壓折疊，自動安全緩降*強勁馬力2.5HPP 高效穩定運作*無刷電機，降低噪音*手握測心率與體脂功能</v>
      </c>
    </row>
    <row r="211" spans="1:27" ht="19.5" customHeight="1">
      <c r="A211" s="12" t="str">
        <f ca="1">IFERROR(__xludf.DUMMYFUNCTION("""COMPUTED_VALUE"""),"生活家電")</f>
        <v>生活家電</v>
      </c>
      <c r="B211" s="12" t="str">
        <f ca="1">IFERROR(__xludf.DUMMYFUNCTION("""COMPUTED_VALUE"""),"城欣")</f>
        <v>城欣</v>
      </c>
      <c r="C211" s="12" t="str">
        <f ca="1">IFERROR(__xludf.DUMMYFUNCTION("""COMPUTED_VALUE"""),"輝葉")</f>
        <v>輝葉</v>
      </c>
      <c r="D211" s="12" t="str">
        <f ca="1">IFERROR(__xludf.DUMMYFUNCTION("""COMPUTED_VALUE"""),"輝葉 X-Runner智能電動跑步機HY-20612-WT")</f>
        <v>輝葉 X-Runner智能電動跑步機HY-20612-WT</v>
      </c>
      <c r="E211" s="12" t="str">
        <f ca="1">IFERROR(__xludf.DUMMYFUNCTION("""COMPUTED_VALUE"""),"HY-20612-WT")</f>
        <v>HY-20612-WT</v>
      </c>
      <c r="F211" s="12">
        <f ca="1">IFERROR(__xludf.DUMMYFUNCTION("""COMPUTED_VALUE"""),51090105)</f>
        <v>51090105</v>
      </c>
      <c r="G211" s="12" t="str">
        <f ca="1">IFERROR(__xludf.DUMMYFUNCTION("""COMPUTED_VALUE"""),"IGEM1192")</f>
        <v>IGEM1192</v>
      </c>
      <c r="H211" s="13">
        <f ca="1">IFERROR(__xludf.DUMMYFUNCTION("""COMPUTED_VALUE"""),39800)</f>
        <v>39800</v>
      </c>
      <c r="I211" s="14">
        <f ca="1">IFERROR(__xludf.DUMMYFUNCTION("""COMPUTED_VALUE"""),19800)</f>
        <v>19800</v>
      </c>
      <c r="J211" s="16">
        <f ca="1">IFERROR(__xludf.DUMMYFUNCTION("""COMPUTED_VALUE"""),45671)</f>
        <v>45671</v>
      </c>
      <c r="K211" s="12" t="str">
        <f ca="1">IFERROR(__xludf.DUMMYFUNCTION("""COMPUTED_VALUE"""),"新機上架")</f>
        <v>新機上架</v>
      </c>
      <c r="L211" s="12" t="str">
        <f ca="1">IFERROR(__xludf.DUMMYFUNCTION("""COMPUTED_VALUE"""),"上架中")</f>
        <v>上架中</v>
      </c>
      <c r="M211" s="12" t="str">
        <f ca="1">IFERROR(__xludf.DUMMYFUNCTION("""COMPUTED_VALUE"""),"2025/1/14上架")</f>
        <v>2025/1/14上架</v>
      </c>
      <c r="N211" s="12" t="str">
        <f ca="1">IFERROR(__xludf.DUMMYFUNCTION("""COMPUTED_VALUE"""),"運動器材")</f>
        <v>運動器材</v>
      </c>
      <c r="O211" s="12" t="str">
        <f ca="1">IFERROR(__xludf.DUMMYFUNCTION("""COMPUTED_VALUE"""),"競速白")</f>
        <v>競速白</v>
      </c>
      <c r="P211" s="12"/>
      <c r="Q211" s="12" t="str">
        <f ca="1">IFERROR(__xludf.DUMMYFUNCTION("""COMPUTED_VALUE"""),"展開尺寸:1516x793x1252mm
 折收尺寸:850x793x1340mm")</f>
        <v>展開尺寸:1516x793x1252mm
 折收尺寸:850x793x1340mm</v>
      </c>
      <c r="R211" s="12" t="str">
        <f ca="1">IFERROR(__xludf.DUMMYFUNCTION("""COMPUTED_VALUE"""),"中國")</f>
        <v>中國</v>
      </c>
      <c r="S211" s="12"/>
      <c r="T211" s="12"/>
      <c r="U211" s="22" t="str">
        <f ca="1">IFERROR(__xludf.DUMMYFUNCTION("""COMPUTED_VALUE"""),"1年")</f>
        <v>1年</v>
      </c>
      <c r="V211" s="12"/>
      <c r="W211" s="12"/>
      <c r="X211" s="12" t="str">
        <f ca="1">IFERROR(__xludf.DUMMYFUNCTION("""COMPUTED_VALUE"""),"(114/1/1-2/28)隨貨送避震墊HY-B02+潤滑油")</f>
        <v>(114/1/1-2/28)隨貨送避震墊HY-B02+潤滑油</v>
      </c>
      <c r="Y211" s="12"/>
      <c r="Z211" s="14"/>
      <c r="AA211" s="15" t="str">
        <f ca="1">IFERROR(__xludf.DUMMYFUNCTION("""COMPUTED_VALUE"""),"*電動揚升坡度，最高15段調整*最高速度15 km/h，速度隨心調整*超寬跑帶47x121cm，無拘束暢跑*特殊蜂巢狀避震，緩震回彈看得見*12種自動模式，專屬配速員*三層跑帶耐磨又耐跑 *緩衝油壓折疊，自動安全緩降*強勁馬力2.5HPP 高效穩定運作*無刷電機，降低噪音*手握測心率與體脂功能")</f>
        <v>*電動揚升坡度，最高15段調整*最高速度15 km/h，速度隨心調整*超寬跑帶47x121cm，無拘束暢跑*特殊蜂巢狀避震，緩震回彈看得見*12種自動模式，專屬配速員*三層跑帶耐磨又耐跑 *緩衝油壓折疊，自動安全緩降*強勁馬力2.5HPP 高效穩定運作*無刷電機，降低噪音*手握測心率與體脂功能</v>
      </c>
    </row>
    <row r="212" spans="1:27" ht="19.5" customHeight="1">
      <c r="A212" s="12" t="str">
        <f ca="1">IFERROR(__xludf.DUMMYFUNCTION("""COMPUTED_VALUE"""),"生活家電")</f>
        <v>生活家電</v>
      </c>
      <c r="B212" s="12" t="str">
        <f ca="1">IFERROR(__xludf.DUMMYFUNCTION("""COMPUTED_VALUE"""),"凱創")</f>
        <v>凱創</v>
      </c>
      <c r="C212" s="12" t="str">
        <f ca="1">IFERROR(__xludf.DUMMYFUNCTION("""COMPUTED_VALUE"""),"PORClean")</f>
        <v>PORClean</v>
      </c>
      <c r="D212" s="12" t="str">
        <f ca="1">IFERROR(__xludf.DUMMYFUNCTION("""COMPUTED_VALUE"""),"PORClean 寶可齡隨身型抗菌沖牙機 THIN601 (櫻花粉)")</f>
        <v>PORClean 寶可齡隨身型抗菌沖牙機 THIN601 (櫻花粉)</v>
      </c>
      <c r="E212" s="12" t="str">
        <f ca="1">IFERROR(__xludf.DUMMYFUNCTION("""COMPUTED_VALUE"""),"THIN601-P")</f>
        <v>THIN601-P</v>
      </c>
      <c r="F212" s="12">
        <f ca="1">IFERROR(__xludf.DUMMYFUNCTION("""COMPUTED_VALUE"""),51084321)</f>
        <v>51084321</v>
      </c>
      <c r="G212" s="12" t="str">
        <f ca="1">IFERROR(__xludf.DUMMYFUNCTION("""COMPUTED_VALUE"""),"IGEM098K")</f>
        <v>IGEM098K</v>
      </c>
      <c r="H212" s="13">
        <f ca="1">IFERROR(__xludf.DUMMYFUNCTION("""COMPUTED_VALUE"""),3280)</f>
        <v>3280</v>
      </c>
      <c r="I212" s="18">
        <f ca="1">IFERROR(__xludf.DUMMYFUNCTION("""COMPUTED_VALUE"""),2680)</f>
        <v>2680</v>
      </c>
      <c r="J212" s="16">
        <f ca="1">IFERROR(__xludf.DUMMYFUNCTION("""COMPUTED_VALUE"""),45444)</f>
        <v>45444</v>
      </c>
      <c r="K212" s="12" t="str">
        <f ca="1">IFERROR(__xludf.DUMMYFUNCTION("""COMPUTED_VALUE"""),"短促")</f>
        <v>短促</v>
      </c>
      <c r="L212" s="12" t="str">
        <f ca="1">IFERROR(__xludf.DUMMYFUNCTION("""COMPUTED_VALUE"""),"上架中")</f>
        <v>上架中</v>
      </c>
      <c r="M212" s="12" t="str">
        <f ca="1">IFERROR(__xludf.DUMMYFUNCTION("""COMPUTED_VALUE"""),"6/1短促，2024/3/26新機上架")</f>
        <v>6/1短促，2024/3/26新機上架</v>
      </c>
      <c r="N212" s="12" t="str">
        <f ca="1">IFERROR(__xludf.DUMMYFUNCTION("""COMPUTED_VALUE"""),"電動牙刷/沖牙機")</f>
        <v>電動牙刷/沖牙機</v>
      </c>
      <c r="O212" s="12" t="str">
        <f ca="1">IFERROR(__xludf.DUMMYFUNCTION("""COMPUTED_VALUE"""),"粉色")</f>
        <v>粉色</v>
      </c>
      <c r="P212" s="12" t="str">
        <f ca="1">IFERROR(__xludf.DUMMYFUNCTION("""COMPUTED_VALUE"""),"◆商品尺寸：寬70 x 高146.6 x 深33 mm
◆商品重量：220g
◆額定輸入：5V=1A
◆額定功率：5.5W
◆電池規格：1450mAh
◆水箱容量：85ml
◆防水等級：IPX7
◆配件：標準噴頭x2、抗菌濾芯x1、TYPE-C充電線x1、收納袋x1、說明書x1")</f>
        <v>◆商品尺寸：寬70 x 高146.6 x 深33 mm
◆商品重量：220g
◆額定輸入：5V=1A
◆額定功率：5.5W
◆電池規格：1450mAh
◆水箱容量：85ml
◆防水等級：IPX7
◆配件：標準噴頭x2、抗菌濾芯x1、TYPE-C充電線x1、收納袋x1、說明書x1</v>
      </c>
      <c r="Q212" s="12" t="str">
        <f ca="1">IFERROR(__xludf.DUMMYFUNCTION("""COMPUTED_VALUE"""),"商品尺寸：高146.6 x 寬70 x 深33 mm")</f>
        <v>商品尺寸：高146.6 x 寬70 x 深33 mm</v>
      </c>
      <c r="R212" s="12" t="str">
        <f ca="1">IFERROR(__xludf.DUMMYFUNCTION("""COMPUTED_VALUE"""),"中國")</f>
        <v>中國</v>
      </c>
      <c r="S212" s="12"/>
      <c r="T212" s="12"/>
      <c r="U212" s="22" t="str">
        <f ca="1">IFERROR(__xludf.DUMMYFUNCTION("""COMPUTED_VALUE"""),"1年")</f>
        <v>1年</v>
      </c>
      <c r="V212" s="12"/>
      <c r="W212" s="12"/>
      <c r="X212" s="12" t="str">
        <f ca="1">IFERROR(__xludf.DUMMYFUNCTION("""COMPUTED_VALUE"""),"(1141//1-2/28)隨貨送半年份濾心(市價500元)")</f>
        <v>(1141//1-2/28)隨貨送半年份濾心(市價500元)</v>
      </c>
      <c r="Y212" s="12"/>
      <c r="Z212" s="14"/>
      <c r="AA212" s="15" t="str">
        <f ca="1">IFERROR(__xludf.DUMMYFUNCTION("""COMPUTED_VALUE"""),"*厚度僅3.3cm*4種潔牙模式*可輕柔可強力*牙菌斑out*時尚美型*獨家專利抗菌濾芯*平衡酸性降低蛀牙*最強可達160PSI")</f>
        <v>*厚度僅3.3cm*4種潔牙模式*可輕柔可強力*牙菌斑out*時尚美型*獨家專利抗菌濾芯*平衡酸性降低蛀牙*最強可達160PSI</v>
      </c>
    </row>
    <row r="213" spans="1:27" ht="19.5" customHeight="1">
      <c r="A213" s="12" t="str">
        <f ca="1">IFERROR(__xludf.DUMMYFUNCTION("""COMPUTED_VALUE"""),"生活家電")</f>
        <v>生活家電</v>
      </c>
      <c r="B213" s="12" t="str">
        <f ca="1">IFERROR(__xludf.DUMMYFUNCTION("""COMPUTED_VALUE"""),"凱創")</f>
        <v>凱創</v>
      </c>
      <c r="C213" s="12" t="str">
        <f ca="1">IFERROR(__xludf.DUMMYFUNCTION("""COMPUTED_VALUE"""),"PORClean")</f>
        <v>PORClean</v>
      </c>
      <c r="D213" s="12" t="str">
        <f ca="1">IFERROR(__xludf.DUMMYFUNCTION("""COMPUTED_VALUE"""),"PORClean 寶可齡隨身型抗菌沖牙機 THIN601 (極光銀)")</f>
        <v>PORClean 寶可齡隨身型抗菌沖牙機 THIN601 (極光銀)</v>
      </c>
      <c r="E213" s="12" t="str">
        <f ca="1">IFERROR(__xludf.DUMMYFUNCTION("""COMPUTED_VALUE"""),"THIN601-S")</f>
        <v>THIN601-S</v>
      </c>
      <c r="F213" s="12">
        <f ca="1">IFERROR(__xludf.DUMMYFUNCTION("""COMPUTED_VALUE"""),51084322)</f>
        <v>51084322</v>
      </c>
      <c r="G213" s="12" t="str">
        <f ca="1">IFERROR(__xludf.DUMMYFUNCTION("""COMPUTED_VALUE"""),"IGEM098L")</f>
        <v>IGEM098L</v>
      </c>
      <c r="H213" s="13">
        <f ca="1">IFERROR(__xludf.DUMMYFUNCTION("""COMPUTED_VALUE"""),3280)</f>
        <v>3280</v>
      </c>
      <c r="I213" s="18">
        <f ca="1">IFERROR(__xludf.DUMMYFUNCTION("""COMPUTED_VALUE"""),2680)</f>
        <v>2680</v>
      </c>
      <c r="J213" s="16">
        <f ca="1">IFERROR(__xludf.DUMMYFUNCTION("""COMPUTED_VALUE"""),45444)</f>
        <v>45444</v>
      </c>
      <c r="K213" s="12" t="str">
        <f ca="1">IFERROR(__xludf.DUMMYFUNCTION("""COMPUTED_VALUE"""),"短促")</f>
        <v>短促</v>
      </c>
      <c r="L213" s="12" t="str">
        <f ca="1">IFERROR(__xludf.DUMMYFUNCTION("""COMPUTED_VALUE"""),"上架中")</f>
        <v>上架中</v>
      </c>
      <c r="M213" s="12" t="str">
        <f ca="1">IFERROR(__xludf.DUMMYFUNCTION("""COMPUTED_VALUE"""),"6/1短促，2024/3/26新機上架")</f>
        <v>6/1短促，2024/3/26新機上架</v>
      </c>
      <c r="N213" s="12" t="str">
        <f ca="1">IFERROR(__xludf.DUMMYFUNCTION("""COMPUTED_VALUE"""),"電動牙刷/沖牙機")</f>
        <v>電動牙刷/沖牙機</v>
      </c>
      <c r="O213" s="12" t="str">
        <f ca="1">IFERROR(__xludf.DUMMYFUNCTION("""COMPUTED_VALUE"""),"銀色")</f>
        <v>銀色</v>
      </c>
      <c r="P213" s="12" t="str">
        <f ca="1">IFERROR(__xludf.DUMMYFUNCTION("""COMPUTED_VALUE"""),"◆商品尺寸：寬70 x 高146.6 x 深3.3 mm
◆商品重量：220g
◆額定輸入：5V=1A
◆額定功率：5.5W
◆電池規格：1450mAh
◆水箱容量：85ml
◆防水等級：IPX7
◆配件：標準噴頭x2、抗菌濾芯x1、TYPE-C充電線x1、收納袋x1、說明書x1")</f>
        <v>◆商品尺寸：寬70 x 高146.6 x 深3.3 mm
◆商品重量：220g
◆額定輸入：5V=1A
◆額定功率：5.5W
◆電池規格：1450mAh
◆水箱容量：85ml
◆防水等級：IPX7
◆配件：標準噴頭x2、抗菌濾芯x1、TYPE-C充電線x1、收納袋x1、說明書x1</v>
      </c>
      <c r="Q213" s="12" t="str">
        <f ca="1">IFERROR(__xludf.DUMMYFUNCTION("""COMPUTED_VALUE"""),"商品尺寸： 高146.6 x寬70 x 深3.3 mm")</f>
        <v>商品尺寸： 高146.6 x寬70 x 深3.3 mm</v>
      </c>
      <c r="R213" s="12" t="str">
        <f ca="1">IFERROR(__xludf.DUMMYFUNCTION("""COMPUTED_VALUE"""),"中國")</f>
        <v>中國</v>
      </c>
      <c r="S213" s="12"/>
      <c r="T213" s="12"/>
      <c r="U213" s="22" t="str">
        <f ca="1">IFERROR(__xludf.DUMMYFUNCTION("""COMPUTED_VALUE"""),"1年")</f>
        <v>1年</v>
      </c>
      <c r="V213" s="12"/>
      <c r="W213" s="12"/>
      <c r="X213" s="12" t="str">
        <f ca="1">IFERROR(__xludf.DUMMYFUNCTION("""COMPUTED_VALUE"""),"(1141//1-2/28)隨貨送半年份濾心(市價500元)")</f>
        <v>(1141//1-2/28)隨貨送半年份濾心(市價500元)</v>
      </c>
      <c r="Y213" s="12"/>
      <c r="Z213" s="14"/>
      <c r="AA213" s="15" t="str">
        <f ca="1">IFERROR(__xludf.DUMMYFUNCTION("""COMPUTED_VALUE"""),"*厚度僅3.3cm*4種潔牙模式*可輕柔可強力*牙菌斑out*時尚美型*獨家專利抗菌濾芯*平衡酸性降低蛀牙*最強可達160PSI")</f>
        <v>*厚度僅3.3cm*4種潔牙模式*可輕柔可強力*牙菌斑out*時尚美型*獨家專利抗菌濾芯*平衡酸性降低蛀牙*最強可達160PSI</v>
      </c>
    </row>
    <row r="214" spans="1:27" ht="19.5" customHeight="1">
      <c r="A214" s="12" t="str">
        <f ca="1">IFERROR(__xludf.DUMMYFUNCTION("""COMPUTED_VALUE"""),"生活家電")</f>
        <v>生活家電</v>
      </c>
      <c r="B214" s="12" t="str">
        <f ca="1">IFERROR(__xludf.DUMMYFUNCTION("""COMPUTED_VALUE"""),"凱創")</f>
        <v>凱創</v>
      </c>
      <c r="C214" s="12" t="str">
        <f ca="1">IFERROR(__xludf.DUMMYFUNCTION("""COMPUTED_VALUE"""),"PORClean")</f>
        <v>PORClean</v>
      </c>
      <c r="D214" s="12" t="str">
        <f ca="1">IFERROR(__xludf.DUMMYFUNCTION("""COMPUTED_VALUE"""),"PORClean 寶可齡樂樂多功能沖牙機WASH 301 ")</f>
        <v xml:space="preserve">PORClean 寶可齡樂樂多功能沖牙機WASH 301 </v>
      </c>
      <c r="E214" s="12" t="str">
        <f ca="1">IFERROR(__xludf.DUMMYFUNCTION("""COMPUTED_VALUE"""),"WASH-301")</f>
        <v>WASH-301</v>
      </c>
      <c r="F214" s="12">
        <f ca="1">IFERROR(__xludf.DUMMYFUNCTION("""COMPUTED_VALUE"""),51084323)</f>
        <v>51084323</v>
      </c>
      <c r="G214" s="12" t="str">
        <f ca="1">IFERROR(__xludf.DUMMYFUNCTION("""COMPUTED_VALUE"""),"IGEM098M")</f>
        <v>IGEM098M</v>
      </c>
      <c r="H214" s="13">
        <f ca="1">IFERROR(__xludf.DUMMYFUNCTION("""COMPUTED_VALUE"""),1980)</f>
        <v>1980</v>
      </c>
      <c r="I214" s="18">
        <f ca="1">IFERROR(__xludf.DUMMYFUNCTION("""COMPUTED_VALUE"""),980)</f>
        <v>980</v>
      </c>
      <c r="J214" s="16">
        <f ca="1">IFERROR(__xludf.DUMMYFUNCTION("""COMPUTED_VALUE"""),45490)</f>
        <v>45490</v>
      </c>
      <c r="K214" s="12" t="str">
        <f ca="1">IFERROR(__xludf.DUMMYFUNCTION("""COMPUTED_VALUE"""),"短促")</f>
        <v>短促</v>
      </c>
      <c r="L214" s="12" t="str">
        <f ca="1">IFERROR(__xludf.DUMMYFUNCTION("""COMPUTED_VALUE"""),"上架中")</f>
        <v>上架中</v>
      </c>
      <c r="M214" s="12" t="str">
        <f ca="1">IFERROR(__xludf.DUMMYFUNCTION("""COMPUTED_VALUE"""),"2024/7/17短促")</f>
        <v>2024/7/17短促</v>
      </c>
      <c r="N214" s="12" t="str">
        <f ca="1">IFERROR(__xludf.DUMMYFUNCTION("""COMPUTED_VALUE"""),"電動牙刷/沖牙機")</f>
        <v>電動牙刷/沖牙機</v>
      </c>
      <c r="O214" s="12" t="str">
        <f ca="1">IFERROR(__xludf.DUMMYFUNCTION("""COMPUTED_VALUE"""),"藍色")</f>
        <v>藍色</v>
      </c>
      <c r="P214" s="12" t="str">
        <f ca="1">IFERROR(__xludf.DUMMYFUNCTION("""COMPUTED_VALUE"""),"◆材質：噴頭-PC/主體和水箱-ABS
◆商品尺寸：寬6.6 x 高13.2 x 深4.4 cm(僅主機不含噴頭)
◆商品重量：210g
◆輸入電壓：DC 5V/1A
◆額定電壓：DC 3.7V
◆額定功率：5W
◆充電方式：磁吸式充電線
◆電池規格：1300mAh內建鋰電池
◆水箱容量：180ml
◆防水等級：IPX6
◆配件：標準噴頭x2、水牙刷x1、磁吸式充電線x1")</f>
        <v>◆材質：噴頭-PC/主體和水箱-ABS
◆商品尺寸：寬6.6 x 高13.2 x 深4.4 cm(僅主機不含噴頭)
◆商品重量：210g
◆輸入電壓：DC 5V/1A
◆額定電壓：DC 3.7V
◆額定功率：5W
◆充電方式：磁吸式充電線
◆電池規格：1300mAh內建鋰電池
◆水箱容量：180ml
◆防水等級：IPX6
◆配件：標準噴頭x2、水牙刷x1、磁吸式充電線x1</v>
      </c>
      <c r="Q214" s="12" t="str">
        <f ca="1">IFERROR(__xludf.DUMMYFUNCTION("""COMPUTED_VALUE"""),"商品尺寸：高13.2 x寬6.6 x  深4.4 cm(僅主機不含噴頭)")</f>
        <v>商品尺寸：高13.2 x寬6.6 x  深4.4 cm(僅主機不含噴頭)</v>
      </c>
      <c r="R214" s="12" t="str">
        <f ca="1">IFERROR(__xludf.DUMMYFUNCTION("""COMPUTED_VALUE"""),"中國")</f>
        <v>中國</v>
      </c>
      <c r="S214" s="12"/>
      <c r="T214" s="12"/>
      <c r="U214" s="22" t="str">
        <f ca="1">IFERROR(__xludf.DUMMYFUNCTION("""COMPUTED_VALUE"""),"1年")</f>
        <v>1年</v>
      </c>
      <c r="V214" s="12"/>
      <c r="W214" s="12"/>
      <c r="X214" s="12"/>
      <c r="Y214" s="12"/>
      <c r="Z214" s="14"/>
      <c r="AA214" s="15" t="str">
        <f ca="1">IFERROR(__xludf.DUMMYFUNCTION("""COMPUTED_VALUE"""),"*210g比手機還小，超輕巧好攜帶*創新水牙刷3段水柱，大人小孩都適用*3檔模式一鍵切換，根據不同需求選擇*開機3秒漸強出水，90%體驗者表示舒適*全新升級伸縮水箱，好抽拉、好拆卸*注水口可收納噴頭，省空間又衛生")</f>
        <v>*210g比手機還小，超輕巧好攜帶*創新水牙刷3段水柱，大人小孩都適用*3檔模式一鍵切換，根據不同需求選擇*開機3秒漸強出水，90%體驗者表示舒適*全新升級伸縮水箱，好抽拉、好拆卸*注水口可收納噴頭，省空間又衛生</v>
      </c>
    </row>
    <row r="215" spans="1:27" ht="19.5" customHeight="1">
      <c r="A215" s="12" t="str">
        <f ca="1">IFERROR(__xludf.DUMMYFUNCTION("""COMPUTED_VALUE"""),"生活家電")</f>
        <v>生活家電</v>
      </c>
      <c r="B215" s="12" t="str">
        <f ca="1">IFERROR(__xludf.DUMMYFUNCTION("""COMPUTED_VALUE"""),"凱創")</f>
        <v>凱創</v>
      </c>
      <c r="C215" s="12" t="str">
        <f ca="1">IFERROR(__xludf.DUMMYFUNCTION("""COMPUTED_VALUE"""),"聲寶")</f>
        <v>聲寶</v>
      </c>
      <c r="D215" s="12" t="str">
        <f ca="1">IFERROR(__xludf.DUMMYFUNCTION("""COMPUTED_VALUE"""),"聲寶18吋遙控型DC節能扇SK-FB18DR")</f>
        <v>聲寶18吋遙控型DC節能扇SK-FB18DR</v>
      </c>
      <c r="E215" s="12" t="str">
        <f ca="1">IFERROR(__xludf.DUMMYFUNCTION("""COMPUTED_VALUE"""),"SK-FB18DR")</f>
        <v>SK-FB18DR</v>
      </c>
      <c r="F215" s="12">
        <f ca="1">IFERROR(__xludf.DUMMYFUNCTION("""COMPUTED_VALUE"""),51084134)</f>
        <v>51084134</v>
      </c>
      <c r="G215" s="12" t="str">
        <f ca="1">IFERROR(__xludf.DUMMYFUNCTION("""COMPUTED_VALUE"""),"IGEM01NY")</f>
        <v>IGEM01NY</v>
      </c>
      <c r="H215" s="12">
        <f ca="1">IFERROR(__xludf.DUMMYFUNCTION("""COMPUTED_VALUE"""),2788)</f>
        <v>2788</v>
      </c>
      <c r="I215" s="14">
        <f ca="1">IFERROR(__xludf.DUMMYFUNCTION("""COMPUTED_VALUE"""),2688)</f>
        <v>2688</v>
      </c>
      <c r="J215" s="21">
        <f ca="1">IFERROR(__xludf.DUMMYFUNCTION("""COMPUTED_VALUE"""),44999)</f>
        <v>44999</v>
      </c>
      <c r="K215" s="12" t="str">
        <f ca="1">IFERROR(__xludf.DUMMYFUNCTION("""COMPUTED_VALUE"""),"到貨")</f>
        <v>到貨</v>
      </c>
      <c r="L215" s="12" t="str">
        <f ca="1">IFERROR(__xludf.DUMMYFUNCTION("""COMPUTED_VALUE"""),"上架中")</f>
        <v>上架中</v>
      </c>
      <c r="M215" s="12" t="str">
        <f ca="1">IFERROR(__xludf.DUMMYFUNCTION("""COMPUTED_VALUE"""),"2023/3/14到貨，2022/11/4缺貨，1/19到貨，1/11缺貨，2021/4/1回價，2020/6/20降價，4/1新機上架")</f>
        <v>2023/3/14到貨，2022/11/4缺貨，1/19到貨，1/11缺貨，2021/4/1回價，2020/6/20降價，4/1新機上架</v>
      </c>
      <c r="N215" s="12" t="str">
        <f ca="1">IFERROR(__xludf.DUMMYFUNCTION("""COMPUTED_VALUE"""),"風扇")</f>
        <v>風扇</v>
      </c>
      <c r="O215" s="12" t="str">
        <f ca="1">IFERROR(__xludf.DUMMYFUNCTION("""COMPUTED_VALUE"""),"白")</f>
        <v>白</v>
      </c>
      <c r="P215" s="12" t="str">
        <f ca="1">IFERROR(__xludf.DUMMYFUNCTION("""COMPUTED_VALUE"""),"18吋")</f>
        <v>18吋</v>
      </c>
      <c r="Q215" s="12" t="str">
        <f ca="1">IFERROR(__xludf.DUMMYFUNCTION("""COMPUTED_VALUE"""),"870~1065(高)x515(寬)x445(深)mm")</f>
        <v>870~1065(高)x515(寬)x445(深)mm</v>
      </c>
      <c r="R215" s="12" t="str">
        <f ca="1">IFERROR(__xludf.DUMMYFUNCTION("""COMPUTED_VALUE"""),"台灣")</f>
        <v>台灣</v>
      </c>
      <c r="S215" s="12" t="str">
        <f ca="1">IFERROR(__xludf.DUMMYFUNCTION("""COMPUTED_VALUE"""),"V")</f>
        <v>V</v>
      </c>
      <c r="T215" s="12"/>
      <c r="U215" s="12" t="str">
        <f ca="1">IFERROR(__xludf.DUMMYFUNCTION("""COMPUTED_VALUE"""),"1年")</f>
        <v>1年</v>
      </c>
      <c r="V215" s="12"/>
      <c r="W215" s="12"/>
      <c r="X215" s="12"/>
      <c r="Y215" s="12"/>
      <c r="Z215" s="14"/>
      <c r="AA215" s="15" t="str">
        <f ca="1">IFERROR(__xludf.DUMMYFUNCTION("""COMPUTED_VALUE"""),"*通過2019國家最新安全規範、EMS檢測。*高效能DC節能馬達**七段風速選擇*五片扇葉運轉*附無線遙控器*上下俯仰角度調整設計、無段式自由調整高度。")</f>
        <v>*通過2019國家最新安全規範、EMS檢測。*高效能DC節能馬達**七段風速選擇*五片扇葉運轉*附無線遙控器*上下俯仰角度調整設計、無段式自由調整高度。</v>
      </c>
    </row>
    <row r="216" spans="1:27" ht="19.5" customHeight="1">
      <c r="A216" s="12" t="str">
        <f ca="1">IFERROR(__xludf.DUMMYFUNCTION("""COMPUTED_VALUE"""),"生活家電")</f>
        <v>生活家電</v>
      </c>
      <c r="B216" s="12" t="str">
        <f ca="1">IFERROR(__xludf.DUMMYFUNCTION("""COMPUTED_VALUE"""),"凱創")</f>
        <v>凱創</v>
      </c>
      <c r="C216" s="12" t="str">
        <f ca="1">IFERROR(__xludf.DUMMYFUNCTION("""COMPUTED_VALUE"""),"聲寶")</f>
        <v>聲寶</v>
      </c>
      <c r="D216" s="12" t="str">
        <f ca="1">IFERROR(__xludf.DUMMYFUNCTION("""COMPUTED_VALUE"""),"聲寶浴室/臥房兩用抑制菌電暖器HX-FK10R")</f>
        <v>聲寶浴室/臥房兩用抑制菌電暖器HX-FK10R</v>
      </c>
      <c r="E216" s="12" t="str">
        <f ca="1">IFERROR(__xludf.DUMMYFUNCTION("""COMPUTED_VALUE"""),"HX-FK10R")</f>
        <v>HX-FK10R</v>
      </c>
      <c r="F216" s="12">
        <f ca="1">IFERROR(__xludf.DUMMYFUNCTION("""COMPUTED_VALUE"""),51084244)</f>
        <v>51084244</v>
      </c>
      <c r="G216" s="12" t="str">
        <f ca="1">IFERROR(__xludf.DUMMYFUNCTION("""COMPUTED_VALUE"""),"IGEM0499")</f>
        <v>IGEM0499</v>
      </c>
      <c r="H216" s="12">
        <f ca="1">IFERROR(__xludf.DUMMYFUNCTION("""COMPUTED_VALUE"""),5988)</f>
        <v>5988</v>
      </c>
      <c r="I216" s="14">
        <f ca="1">IFERROR(__xludf.DUMMYFUNCTION("""COMPUTED_VALUE"""),3799)</f>
        <v>3799</v>
      </c>
      <c r="J216" s="12"/>
      <c r="K216" s="12"/>
      <c r="L216" s="12" t="str">
        <f ca="1">IFERROR(__xludf.DUMMYFUNCTION("""COMPUTED_VALUE"""),"上架中")</f>
        <v>上架中</v>
      </c>
      <c r="M216" s="12" t="str">
        <f ca="1">IFERROR(__xludf.DUMMYFUNCTION("""COMPUTED_VALUE"""),"1/6少量到貨，2022/12/21缺貨，2021/11/1新品上架")</f>
        <v>1/6少量到貨，2022/12/21缺貨，2021/11/1新品上架</v>
      </c>
      <c r="N216" s="12" t="str">
        <f ca="1">IFERROR(__xludf.DUMMYFUNCTION("""COMPUTED_VALUE"""),"電暖器")</f>
        <v>電暖器</v>
      </c>
      <c r="O216" s="12"/>
      <c r="P216" s="12" t="str">
        <f ca="1">IFERROR(__xludf.DUMMYFUNCTION("""COMPUTED_VALUE"""),"◆消耗功率：1230W
◆產品重量：3.2公斤")</f>
        <v>◆消耗功率：1230W
◆產品重量：3.2公斤</v>
      </c>
      <c r="Q216" s="12" t="str">
        <f ca="1">IFERROR(__xludf.DUMMYFUNCTION("""COMPUTED_VALUE"""),"高427x寬295x深142mm")</f>
        <v>高427x寬295x深142mm</v>
      </c>
      <c r="R216" s="12" t="str">
        <f ca="1">IFERROR(__xludf.DUMMYFUNCTION("""COMPUTED_VALUE"""),"台灣")</f>
        <v>台灣</v>
      </c>
      <c r="S216" s="12"/>
      <c r="T216" s="12"/>
      <c r="U216" s="12" t="str">
        <f ca="1">IFERROR(__xludf.DUMMYFUNCTION("""COMPUTED_VALUE"""),"正常使用下保固1年")</f>
        <v>正常使用下保固1年</v>
      </c>
      <c r="V216" s="12"/>
      <c r="W216" s="12"/>
      <c r="X216" s="12"/>
      <c r="Y216" s="12"/>
      <c r="Z216" s="14"/>
      <c r="AA216" s="15" t="str">
        <f ca="1">IFERROR(__xludf.DUMMYFUNCTION("""COMPUTED_VALUE"""),"*奈米銀抑菌柵板，有效抑制(沙門氏菌/大腸桿菌/金黃色葡萄球菌/綠膿桿菌)*IP24防潑水浴室/臥房兩用*鋁合金鰭片式發熱對流速暖+安靜+不秏氧*智慧感知室溫顯示*10~28℃微電腦自動溫控，恆溫使用更舒適*7小時定時設計*直立/壁掛雙設計，任何擺設自由選擇")</f>
        <v>*奈米銀抑菌柵板，有效抑制(沙門氏菌/大腸桿菌/金黃色葡萄球菌/綠膿桿菌)*IP24防潑水浴室/臥房兩用*鋁合金鰭片式發熱對流速暖+安靜+不秏氧*智慧感知室溫顯示*10~28℃微電腦自動溫控，恆溫使用更舒適*7小時定時設計*直立/壁掛雙設計，任何擺設自由選擇</v>
      </c>
    </row>
    <row r="217" spans="1:27" ht="19.5" customHeight="1">
      <c r="A217" s="12" t="str">
        <f ca="1">IFERROR(__xludf.DUMMYFUNCTION("""COMPUTED_VALUE"""),"生活家電")</f>
        <v>生活家電</v>
      </c>
      <c r="B217" s="12" t="str">
        <f ca="1">IFERROR(__xludf.DUMMYFUNCTION("""COMPUTED_VALUE"""),"凱創")</f>
        <v>凱創</v>
      </c>
      <c r="C217" s="12" t="str">
        <f ca="1">IFERROR(__xludf.DUMMYFUNCTION("""COMPUTED_VALUE"""),"聲寶")</f>
        <v>聲寶</v>
      </c>
      <c r="D217" s="12" t="str">
        <f ca="1">IFERROR(__xludf.DUMMYFUNCTION("""COMPUTED_VALUE"""),"聲寶電擊式捕蚊燈ML-PL10Y")</f>
        <v>聲寶電擊式捕蚊燈ML-PL10Y</v>
      </c>
      <c r="E217" s="12" t="str">
        <f ca="1">IFERROR(__xludf.DUMMYFUNCTION("""COMPUTED_VALUE"""),"ML-PL10Y")</f>
        <v>ML-PL10Y</v>
      </c>
      <c r="F217" s="12">
        <f ca="1">IFERROR(__xludf.DUMMYFUNCTION("""COMPUTED_VALUE"""),51084235)</f>
        <v>51084235</v>
      </c>
      <c r="G217" s="12" t="str">
        <f ca="1">IFERROR(__xludf.DUMMYFUNCTION("""COMPUTED_VALUE"""),"IGEM045Q")</f>
        <v>IGEM045Q</v>
      </c>
      <c r="H217" s="12">
        <f ca="1">IFERROR(__xludf.DUMMYFUNCTION("""COMPUTED_VALUE"""),1288)</f>
        <v>1288</v>
      </c>
      <c r="I217" s="14">
        <f ca="1">IFERROR(__xludf.DUMMYFUNCTION("""COMPUTED_VALUE"""),980)</f>
        <v>980</v>
      </c>
      <c r="J217" s="12"/>
      <c r="K217" s="12"/>
      <c r="L217" s="12" t="str">
        <f ca="1">IFERROR(__xludf.DUMMYFUNCTION("""COMPUTED_VALUE"""),"上架中")</f>
        <v>上架中</v>
      </c>
      <c r="M217" s="12" t="str">
        <f ca="1">IFERROR(__xludf.DUMMYFUNCTION("""COMPUTED_VALUE"""),"2021/12/10到貨，2021/12/2缺貨，2021/8/19新機上架")</f>
        <v>2021/12/10到貨，2021/12/2缺貨，2021/8/19新機上架</v>
      </c>
      <c r="N217" s="12" t="str">
        <f ca="1">IFERROR(__xludf.DUMMYFUNCTION("""COMPUTED_VALUE"""),"捕蚊燈")</f>
        <v>捕蚊燈</v>
      </c>
      <c r="O217" s="12" t="str">
        <f ca="1">IFERROR(__xludf.DUMMYFUNCTION("""COMPUTED_VALUE"""),"X")</f>
        <v>X</v>
      </c>
      <c r="P217" s="12" t="str">
        <f ca="1">IFERROR(__xludf.DUMMYFUNCTION("""COMPUTED_VALUE"""),"◆機體重量：1.8Kg◆額定電壓及額定頻率：110V/60Hz◆消耗功率：15W")</f>
        <v>◆機體重量：1.8Kg◆額定電壓及額定頻率：110V/60Hz◆消耗功率：15W</v>
      </c>
      <c r="Q217" s="12" t="str">
        <f ca="1">IFERROR(__xludf.DUMMYFUNCTION("""COMPUTED_VALUE"""),"機體尺寸：470x230x230 mm")</f>
        <v>機體尺寸：470x230x230 mm</v>
      </c>
      <c r="R217" s="12" t="str">
        <f ca="1">IFERROR(__xludf.DUMMYFUNCTION("""COMPUTED_VALUE"""),"台灣")</f>
        <v>台灣</v>
      </c>
      <c r="S217" s="22" t="str">
        <f ca="1">IFERROR(__xludf.DUMMYFUNCTION("""COMPUTED_VALUE"""),"MIT")</f>
        <v>MIT</v>
      </c>
      <c r="T217" s="12"/>
      <c r="U217" s="12" t="str">
        <f ca="1">IFERROR(__xludf.DUMMYFUNCTION("""COMPUTED_VALUE"""),"正常使用下保固一年")</f>
        <v>正常使用下保固一年</v>
      </c>
      <c r="V217" s="12"/>
      <c r="W217" s="12"/>
      <c r="X217" s="12"/>
      <c r="Y217" s="12"/>
      <c r="Z217" s="14"/>
      <c r="AA217" s="15" t="str">
        <f ca="1">IFERROR(__xludf.DUMMYFUNCTION("""COMPUTED_VALUE"""),"*10W高效率燈管，搭配電擊網噴塗TiO2，捕蚊效果佳，蚊蟲無所遁形。*獨立式集蚊盒，清除蚊蟲便利不沾手。*安全防護網設計，避免孩童誤觸。*隱藏式提把，方便拿取及移動。")</f>
        <v>*10W高效率燈管，搭配電擊網噴塗TiO2，捕蚊效果佳，蚊蟲無所遁形。*獨立式集蚊盒，清除蚊蟲便利不沾手。*安全防護網設計，避免孩童誤觸。*隱藏式提把，方便拿取及移動。</v>
      </c>
    </row>
    <row r="218" spans="1:27" ht="19.5" customHeight="1">
      <c r="A218" s="12" t="str">
        <f ca="1">IFERROR(__xludf.DUMMYFUNCTION("""COMPUTED_VALUE"""),"生活家電")</f>
        <v>生活家電</v>
      </c>
      <c r="B218" s="12" t="str">
        <f ca="1">IFERROR(__xludf.DUMMYFUNCTION("""COMPUTED_VALUE"""),"凱創")</f>
        <v>凱創</v>
      </c>
      <c r="C218" s="12" t="str">
        <f ca="1">IFERROR(__xludf.DUMMYFUNCTION("""COMPUTED_VALUE"""),"聲寶")</f>
        <v>聲寶</v>
      </c>
      <c r="D218" s="12" t="str">
        <f ca="1">IFERROR(__xludf.DUMMYFUNCTION("""COMPUTED_VALUE"""),"聲寶14吋微電腦DC扇SK-FM14AD")</f>
        <v>聲寶14吋微電腦DC扇SK-FM14AD</v>
      </c>
      <c r="E218" s="12" t="str">
        <f ca="1">IFERROR(__xludf.DUMMYFUNCTION("""COMPUTED_VALUE"""),"SK-FM14AD")</f>
        <v>SK-FM14AD</v>
      </c>
      <c r="F218" s="12">
        <f ca="1">IFERROR(__xludf.DUMMYFUNCTION("""COMPUTED_VALUE"""),51084277)</f>
        <v>51084277</v>
      </c>
      <c r="G218" s="12" t="str">
        <f ca="1">IFERROR(__xludf.DUMMYFUNCTION("""COMPUTED_VALUE"""),"IGEM056A")</f>
        <v>IGEM056A</v>
      </c>
      <c r="H218" s="12">
        <f ca="1">IFERROR(__xludf.DUMMYFUNCTION("""COMPUTED_VALUE"""),2588)</f>
        <v>2588</v>
      </c>
      <c r="I218" s="14">
        <f ca="1">IFERROR(__xludf.DUMMYFUNCTION("""COMPUTED_VALUE"""),1900)</f>
        <v>1900</v>
      </c>
      <c r="J218" s="16">
        <f ca="1">IFERROR(__xludf.DUMMYFUNCTION("""COMPUTED_VALUE"""),45413)</f>
        <v>45413</v>
      </c>
      <c r="K218" s="12" t="str">
        <f ca="1">IFERROR(__xludf.DUMMYFUNCTION("""COMPUTED_VALUE"""),"短促")</f>
        <v>短促</v>
      </c>
      <c r="L218" s="12" t="str">
        <f ca="1">IFERROR(__xludf.DUMMYFUNCTION("""COMPUTED_VALUE"""),"上架中")</f>
        <v>上架中</v>
      </c>
      <c r="M218" s="12" t="str">
        <f ca="1">IFERROR(__xludf.DUMMYFUNCTION("""COMPUTED_VALUE"""),"2024/5/1短促，9/1回價，7/21短促，2022/4/1新機上架+短促")</f>
        <v>2024/5/1短促，9/1回價，7/21短促，2022/4/1新機上架+短促</v>
      </c>
      <c r="N218" s="12" t="str">
        <f ca="1">IFERROR(__xludf.DUMMYFUNCTION("""COMPUTED_VALUE"""),"風扇")</f>
        <v>風扇</v>
      </c>
      <c r="O218" s="12" t="str">
        <f ca="1">IFERROR(__xludf.DUMMYFUNCTION("""COMPUTED_VALUE"""),"X")</f>
        <v>X</v>
      </c>
      <c r="P218" s="12" t="str">
        <f ca="1">IFERROR(__xludf.DUMMYFUNCTION("""COMPUTED_VALUE"""),"14吋")</f>
        <v>14吋</v>
      </c>
      <c r="Q218" s="12" t="str">
        <f ca="1">IFERROR(__xludf.DUMMYFUNCTION("""COMPUTED_VALUE"""),"770~965*420*405mm")</f>
        <v>770~965*420*405mm</v>
      </c>
      <c r="R218" s="12" t="str">
        <f ca="1">IFERROR(__xludf.DUMMYFUNCTION("""COMPUTED_VALUE"""),"台灣")</f>
        <v>台灣</v>
      </c>
      <c r="S218" s="12" t="str">
        <f ca="1">IFERROR(__xludf.DUMMYFUNCTION("""COMPUTED_VALUE"""),"V")</f>
        <v>V</v>
      </c>
      <c r="T218" s="12"/>
      <c r="U218" s="12" t="str">
        <f ca="1">IFERROR(__xludf.DUMMYFUNCTION("""COMPUTED_VALUE"""),"主機保固1年")</f>
        <v>主機保固1年</v>
      </c>
      <c r="V218" s="12"/>
      <c r="W218" s="12"/>
      <c r="X218" s="12"/>
      <c r="Y218" s="12"/>
      <c r="Z218" s="14"/>
      <c r="AA218" s="15" t="str">
        <f ca="1">IFERROR(__xludf.DUMMYFUNCTION("""COMPUTED_VALUE"""),"*14吋微電腦五片扇葉*DC節能馬達設計，消耗功率最高3.5-22W，低耗電量省能源*七段風速選擇*1-7小時定時關機*全機能遙控器")</f>
        <v>*14吋微電腦五片扇葉*DC節能馬達設計，消耗功率最高3.5-22W，低耗電量省能源*七段風速選擇*1-7小時定時關機*全機能遙控器</v>
      </c>
    </row>
    <row r="219" spans="1:27" ht="19.5" customHeight="1">
      <c r="A219" s="12" t="str">
        <f ca="1">IFERROR(__xludf.DUMMYFUNCTION("""COMPUTED_VALUE"""),"生活家電")</f>
        <v>生活家電</v>
      </c>
      <c r="B219" s="12" t="str">
        <f ca="1">IFERROR(__xludf.DUMMYFUNCTION("""COMPUTED_VALUE"""),"凱創")</f>
        <v>凱創</v>
      </c>
      <c r="C219" s="12" t="str">
        <f ca="1">IFERROR(__xludf.DUMMYFUNCTION("""COMPUTED_VALUE"""),"聲寶")</f>
        <v>聲寶</v>
      </c>
      <c r="D219" s="12" t="str">
        <f ca="1">IFERROR(__xludf.DUMMYFUNCTION("""COMPUTED_VALUE"""),"聲寶16吋微電腦DC扇SK-FM16AD")</f>
        <v>聲寶16吋微電腦DC扇SK-FM16AD</v>
      </c>
      <c r="E219" s="12" t="str">
        <f ca="1">IFERROR(__xludf.DUMMYFUNCTION("""COMPUTED_VALUE"""),"SK-FM16AD")</f>
        <v>SK-FM16AD</v>
      </c>
      <c r="F219" s="12">
        <f ca="1">IFERROR(__xludf.DUMMYFUNCTION("""COMPUTED_VALUE"""),51084278)</f>
        <v>51084278</v>
      </c>
      <c r="G219" s="12" t="str">
        <f ca="1">IFERROR(__xludf.DUMMYFUNCTION("""COMPUTED_VALUE"""),"IGEM056B")</f>
        <v>IGEM056B</v>
      </c>
      <c r="H219" s="12">
        <f ca="1">IFERROR(__xludf.DUMMYFUNCTION("""COMPUTED_VALUE"""),2788)</f>
        <v>2788</v>
      </c>
      <c r="I219" s="14">
        <f ca="1">IFERROR(__xludf.DUMMYFUNCTION("""COMPUTED_VALUE"""),2100)</f>
        <v>2100</v>
      </c>
      <c r="J219" s="16">
        <f ca="1">IFERROR(__xludf.DUMMYFUNCTION("""COMPUTED_VALUE"""),45637)</f>
        <v>45637</v>
      </c>
      <c r="K219" s="12" t="str">
        <f ca="1">IFERROR(__xludf.DUMMYFUNCTION("""COMPUTED_VALUE"""),"缺貨")</f>
        <v>缺貨</v>
      </c>
      <c r="L219" s="12" t="str">
        <f ca="1">IFERROR(__xludf.DUMMYFUNCTION("""COMPUTED_VALUE"""),"缺貨")</f>
        <v>缺貨</v>
      </c>
      <c r="M219" s="12" t="str">
        <f ca="1">IFERROR(__xludf.DUMMYFUNCTION("""COMPUTED_VALUE"""),"12/11季節品缺貨，2024/5/1短促，9/1回價，7/21短促，2023/3/21到貨，2022/9/20缺貨，2022/4/1新機上架+短促")</f>
        <v>12/11季節品缺貨，2024/5/1短促，9/1回價，7/21短促，2023/3/21到貨，2022/9/20缺貨，2022/4/1新機上架+短促</v>
      </c>
      <c r="N219" s="12" t="str">
        <f ca="1">IFERROR(__xludf.DUMMYFUNCTION("""COMPUTED_VALUE"""),"風扇")</f>
        <v>風扇</v>
      </c>
      <c r="O219" s="12" t="str">
        <f ca="1">IFERROR(__xludf.DUMMYFUNCTION("""COMPUTED_VALUE"""),"X")</f>
        <v>X</v>
      </c>
      <c r="P219" s="12" t="str">
        <f ca="1">IFERROR(__xludf.DUMMYFUNCTION("""COMPUTED_VALUE"""),"16吋")</f>
        <v>16吋</v>
      </c>
      <c r="Q219" s="12" t="str">
        <f ca="1">IFERROR(__xludf.DUMMYFUNCTION("""COMPUTED_VALUE"""),"835~1030*450*405mm")</f>
        <v>835~1030*450*405mm</v>
      </c>
      <c r="R219" s="12" t="str">
        <f ca="1">IFERROR(__xludf.DUMMYFUNCTION("""COMPUTED_VALUE"""),"台灣")</f>
        <v>台灣</v>
      </c>
      <c r="S219" s="12" t="str">
        <f ca="1">IFERROR(__xludf.DUMMYFUNCTION("""COMPUTED_VALUE"""),"V")</f>
        <v>V</v>
      </c>
      <c r="T219" s="12"/>
      <c r="U219" s="12" t="str">
        <f ca="1">IFERROR(__xludf.DUMMYFUNCTION("""COMPUTED_VALUE"""),"主機保固1年")</f>
        <v>主機保固1年</v>
      </c>
      <c r="V219" s="12"/>
      <c r="W219" s="12"/>
      <c r="X219" s="12"/>
      <c r="Y219" s="12"/>
      <c r="Z219" s="14"/>
      <c r="AA219" s="15" t="str">
        <f ca="1">IFERROR(__xludf.DUMMYFUNCTION("""COMPUTED_VALUE"""),"*16吋微電腦五片扇葉*DC節能馬達設計，消耗功率最高3.5-22W，低耗電量省能源*七段風速選擇*1-7小時定時關機*全機能遙控器")</f>
        <v>*16吋微電腦五片扇葉*DC節能馬達設計，消耗功率最高3.5-22W，低耗電量省能源*七段風速選擇*1-7小時定時關機*全機能遙控器</v>
      </c>
    </row>
    <row r="220" spans="1:27" ht="19.5" customHeight="1">
      <c r="A220" s="12" t="str">
        <f ca="1">IFERROR(__xludf.DUMMYFUNCTION("""COMPUTED_VALUE"""),"生活家電")</f>
        <v>生活家電</v>
      </c>
      <c r="B220" s="12" t="str">
        <f ca="1">IFERROR(__xludf.DUMMYFUNCTION("""COMPUTED_VALUE"""),"凱創")</f>
        <v>凱創</v>
      </c>
      <c r="C220" s="12" t="str">
        <f ca="1">IFERROR(__xludf.DUMMYFUNCTION("""COMPUTED_VALUE"""),"聲寶")</f>
        <v>聲寶</v>
      </c>
      <c r="D220" s="12" t="str">
        <f ca="1">IFERROR(__xludf.DUMMYFUNCTION("""COMPUTED_VALUE"""),"聲寶14吋+16吋微電腦DC扇SK-FM14AD+SK-FM16AD")</f>
        <v>聲寶14吋+16吋微電腦DC扇SK-FM14AD+SK-FM16AD</v>
      </c>
      <c r="E220" s="12" t="str">
        <f ca="1">IFERROR(__xludf.DUMMYFUNCTION("""COMPUTED_VALUE"""),"SK-FM14AD+SK-FM16AD")</f>
        <v>SK-FM14AD+SK-FM16AD</v>
      </c>
      <c r="F220" s="12">
        <f ca="1">IFERROR(__xludf.DUMMYFUNCTION("""COMPUTED_VALUE"""),51084279)</f>
        <v>51084279</v>
      </c>
      <c r="G220" s="12" t="str">
        <f ca="1">IFERROR(__xludf.DUMMYFUNCTION("""COMPUTED_VALUE"""),"IGEM056C")</f>
        <v>IGEM056C</v>
      </c>
      <c r="H220" s="12">
        <f ca="1">IFERROR(__xludf.DUMMYFUNCTION("""COMPUTED_VALUE"""),5376)</f>
        <v>5376</v>
      </c>
      <c r="I220" s="14">
        <f ca="1">IFERROR(__xludf.DUMMYFUNCTION("""COMPUTED_VALUE"""),3950)</f>
        <v>3950</v>
      </c>
      <c r="J220" s="16">
        <f ca="1">IFERROR(__xludf.DUMMYFUNCTION("""COMPUTED_VALUE"""),45637)</f>
        <v>45637</v>
      </c>
      <c r="K220" s="12" t="str">
        <f ca="1">IFERROR(__xludf.DUMMYFUNCTION("""COMPUTED_VALUE"""),"缺貨")</f>
        <v>缺貨</v>
      </c>
      <c r="L220" s="12" t="str">
        <f ca="1">IFERROR(__xludf.DUMMYFUNCTION("""COMPUTED_VALUE"""),"缺貨")</f>
        <v>缺貨</v>
      </c>
      <c r="M220" s="12" t="str">
        <f ca="1">IFERROR(__xludf.DUMMYFUNCTION("""COMPUTED_VALUE"""),"12/11季節品缺貨，2024/5/1短促，9/1回價，7/21短促，2023/3/27到貨，2022/8/17缺貨，2022/4/1新機上架+短促")</f>
        <v>12/11季節品缺貨，2024/5/1短促，9/1回價，7/21短促，2023/3/27到貨，2022/8/17缺貨，2022/4/1新機上架+短促</v>
      </c>
      <c r="N220" s="12" t="str">
        <f ca="1">IFERROR(__xludf.DUMMYFUNCTION("""COMPUTED_VALUE"""),"風扇")</f>
        <v>風扇</v>
      </c>
      <c r="O220" s="12" t="str">
        <f ca="1">IFERROR(__xludf.DUMMYFUNCTION("""COMPUTED_VALUE"""),"X")</f>
        <v>X</v>
      </c>
      <c r="P220" s="12" t="str">
        <f ca="1">IFERROR(__xludf.DUMMYFUNCTION("""COMPUTED_VALUE"""),"14吋+16吋")</f>
        <v>14吋+16吋</v>
      </c>
      <c r="Q220" s="12" t="str">
        <f ca="1">IFERROR(__xludf.DUMMYFUNCTION("""COMPUTED_VALUE"""),"14吋:770~965*420*405mm
16吋:835~1030*450*405mm")</f>
        <v>14吋:770~965*420*405mm
16吋:835~1030*450*405mm</v>
      </c>
      <c r="R220" s="12" t="str">
        <f ca="1">IFERROR(__xludf.DUMMYFUNCTION("""COMPUTED_VALUE"""),"台灣")</f>
        <v>台灣</v>
      </c>
      <c r="S220" s="12" t="str">
        <f ca="1">IFERROR(__xludf.DUMMYFUNCTION("""COMPUTED_VALUE"""),"V")</f>
        <v>V</v>
      </c>
      <c r="T220" s="12"/>
      <c r="U220" s="12" t="str">
        <f ca="1">IFERROR(__xludf.DUMMYFUNCTION("""COMPUTED_VALUE"""),"主機保固1年")</f>
        <v>主機保固1年</v>
      </c>
      <c r="V220" s="12"/>
      <c r="W220" s="12"/>
      <c r="X220" s="12"/>
      <c r="Y220" s="12"/>
      <c r="Z220" s="14"/>
      <c r="AA220" s="15" t="str">
        <f ca="1">IFERROR(__xludf.DUMMYFUNCTION("""COMPUTED_VALUE"""),"*超值大+小組*微電腦五片扇葉*DC節能馬達設計，消耗功率最高3.5-22W，低耗電量省能源*七段風速選擇*1-7小時定時關機")</f>
        <v>*超值大+小組*微電腦五片扇葉*DC節能馬達設計，消耗功率最高3.5-22W，低耗電量省能源*七段風速選擇*1-7小時定時關機</v>
      </c>
    </row>
    <row r="221" spans="1:27" ht="19.5" customHeight="1">
      <c r="A221" s="12" t="str">
        <f ca="1">IFERROR(__xludf.DUMMYFUNCTION("""COMPUTED_VALUE"""),"生活家電")</f>
        <v>生活家電</v>
      </c>
      <c r="B221" s="12" t="str">
        <f ca="1">IFERROR(__xludf.DUMMYFUNCTION("""COMPUTED_VALUE"""),"聲寶")</f>
        <v>聲寶</v>
      </c>
      <c r="C221" s="12" t="str">
        <f ca="1">IFERROR(__xludf.DUMMYFUNCTION("""COMPUTED_VALUE"""),"聲寶")</f>
        <v>聲寶</v>
      </c>
      <c r="D221" s="12" t="str">
        <f ca="1">IFERROR(__xludf.DUMMYFUNCTION("""COMPUTED_VALUE"""),"SAMPO聲寶 無線智慧電解水吸塵洗地機EC-L11UNM")</f>
        <v>SAMPO聲寶 無線智慧電解水吸塵洗地機EC-L11UNM</v>
      </c>
      <c r="E221" s="12" t="str">
        <f ca="1">IFERROR(__xludf.DUMMYFUNCTION("""COMPUTED_VALUE"""),"EC-L11UNM")</f>
        <v>EC-L11UNM</v>
      </c>
      <c r="F221" s="12">
        <f ca="1">IFERROR(__xludf.DUMMYFUNCTION("""COMPUTED_VALUE"""),51001309)</f>
        <v>51001309</v>
      </c>
      <c r="G221" s="12" t="str">
        <f ca="1">IFERROR(__xludf.DUMMYFUNCTION("""COMPUTED_VALUE"""),"IGEM102C")</f>
        <v>IGEM102C</v>
      </c>
      <c r="H221" s="13">
        <f ca="1">IFERROR(__xludf.DUMMYFUNCTION("""COMPUTED_VALUE"""),12900)</f>
        <v>12900</v>
      </c>
      <c r="I221" s="18">
        <f ca="1">IFERROR(__xludf.DUMMYFUNCTION("""COMPUTED_VALUE"""),8688)</f>
        <v>8688</v>
      </c>
      <c r="J221" s="16">
        <f ca="1">IFERROR(__xludf.DUMMYFUNCTION("""COMPUTED_VALUE"""),45658)</f>
        <v>45658</v>
      </c>
      <c r="K221" s="12" t="str">
        <f ca="1">IFERROR(__xludf.DUMMYFUNCTION("""COMPUTED_VALUE"""),"短促")</f>
        <v>短促</v>
      </c>
      <c r="L221" s="12" t="str">
        <f ca="1">IFERROR(__xludf.DUMMYFUNCTION("""COMPUTED_VALUE"""),"上架中")</f>
        <v>上架中</v>
      </c>
      <c r="M221" s="12" t="str">
        <f ca="1">IFERROR(__xludf.DUMMYFUNCTION("""COMPUTED_VALUE"""),"2025/1/1短促，2024/6/1新機上架")</f>
        <v>2025/1/1短促，2024/6/1新機上架</v>
      </c>
      <c r="N221" s="12" t="str">
        <f ca="1">IFERROR(__xludf.DUMMYFUNCTION("""COMPUTED_VALUE"""),"掃地/拖地機")</f>
        <v>掃地/拖地機</v>
      </c>
      <c r="O221" s="12" t="str">
        <f ca="1">IFERROR(__xludf.DUMMYFUNCTION("""COMPUTED_VALUE"""),"白色")</f>
        <v>白色</v>
      </c>
      <c r="P221" s="12" t="str">
        <f ca="1">IFERROR(__xludf.DUMMYFUNCTION("""COMPUTED_VALUE"""),"清水箱:700ml; 污水箱: 600ml")</f>
        <v>清水箱:700ml; 污水箱: 600ml</v>
      </c>
      <c r="Q221" s="12" t="str">
        <f ca="1">IFERROR(__xludf.DUMMYFUNCTION("""COMPUTED_VALUE""")," 高1100 x寬280 x 深230(mm)")</f>
        <v xml:space="preserve"> 高1100 x寬280 x 深230(mm)</v>
      </c>
      <c r="R221" s="12" t="str">
        <f ca="1">IFERROR(__xludf.DUMMYFUNCTION("""COMPUTED_VALUE"""),"中國")</f>
        <v>中國</v>
      </c>
      <c r="S221" s="12"/>
      <c r="T221" s="12"/>
      <c r="U221" s="22" t="str">
        <f ca="1">IFERROR(__xludf.DUMMYFUNCTION("""COMPUTED_VALUE"""),"1年")</f>
        <v>1年</v>
      </c>
      <c r="V221" s="22" t="str">
        <f ca="1">IFERROR(__xludf.DUMMYFUNCTION("""COMPUTED_VALUE"""),"1年")</f>
        <v>1年</v>
      </c>
      <c r="W221" s="12"/>
      <c r="X221" s="12"/>
      <c r="Y221" s="12"/>
      <c r="Z221" s="14"/>
      <c r="AA221" s="15" t="str">
        <f ca="1">IFERROR(__xludf.DUMMYFUNCTION("""COMPUTED_VALUE"""),"*電池規格：21700 3000mAh*消耗功率:180W*充電:3~4小時*清水箱:700ml 污水箱: 600ml*吸/拖一體，無線乾濕兩用合而為一*觸控顯示操作屏，語音助手，操作簡易*電解水滅菌功能*三合一充電收納座，電解水清潔及自動風乾")</f>
        <v>*電池規格：21700 3000mAh*消耗功率:180W*充電:3~4小時*清水箱:700ml 污水箱: 600ml*吸/拖一體，無線乾濕兩用合而為一*觸控顯示操作屏，語音助手，操作簡易*電解水滅菌功能*三合一充電收納座，電解水清潔及自動風乾</v>
      </c>
    </row>
    <row r="222" spans="1:27" ht="19.5" customHeight="1">
      <c r="A222" s="12" t="str">
        <f ca="1">IFERROR(__xludf.DUMMYFUNCTION("""COMPUTED_VALUE"""),"生活家電")</f>
        <v>生活家電</v>
      </c>
      <c r="B222" s="12" t="str">
        <f ca="1">IFERROR(__xludf.DUMMYFUNCTION("""COMPUTED_VALUE"""),"聲寶")</f>
        <v>聲寶</v>
      </c>
      <c r="C222" s="12" t="str">
        <f ca="1">IFERROR(__xludf.DUMMYFUNCTION("""COMPUTED_VALUE"""),"Claire")</f>
        <v>Claire</v>
      </c>
      <c r="D222" s="12" t="str">
        <f ca="1">IFERROR(__xludf.DUMMYFUNCTION("""COMPUTED_VALUE"""),"CLAIRE塵蟎Bye智能吸塵器CEC-P01AM")</f>
        <v>CLAIRE塵蟎Bye智能吸塵器CEC-P01AM</v>
      </c>
      <c r="E222" s="12" t="str">
        <f ca="1">IFERROR(__xludf.DUMMYFUNCTION("""COMPUTED_VALUE"""),"CEC-P01AM")</f>
        <v>CEC-P01AM</v>
      </c>
      <c r="F222" s="12">
        <f ca="1">IFERROR(__xludf.DUMMYFUNCTION("""COMPUTED_VALUE"""),51086174)</f>
        <v>51086174</v>
      </c>
      <c r="G222" s="12" t="str">
        <f ca="1">IFERROR(__xludf.DUMMYFUNCTION("""COMPUTED_VALUE"""),"IGEM037T")</f>
        <v>IGEM037T</v>
      </c>
      <c r="H222" s="12">
        <f ca="1">IFERROR(__xludf.DUMMYFUNCTION("""COMPUTED_VALUE"""),1988)</f>
        <v>1988</v>
      </c>
      <c r="I222" s="14">
        <f ca="1">IFERROR(__xludf.DUMMYFUNCTION("""COMPUTED_VALUE"""),1788)</f>
        <v>1788</v>
      </c>
      <c r="J222" s="16">
        <f ca="1">IFERROR(__xludf.DUMMYFUNCTION("""COMPUTED_VALUE"""),45418)</f>
        <v>45418</v>
      </c>
      <c r="K222" s="12" t="str">
        <f ca="1">IFERROR(__xludf.DUMMYFUNCTION("""COMPUTED_VALUE"""),"到貨")</f>
        <v>到貨</v>
      </c>
      <c r="L222" s="12" t="str">
        <f ca="1">IFERROR(__xludf.DUMMYFUNCTION("""COMPUTED_VALUE"""),"上架中")</f>
        <v>上架中</v>
      </c>
      <c r="M222" s="12" t="str">
        <f ca="1">IFERROR(__xludf.DUMMYFUNCTION("""COMPUTED_VALUE"""),"2024/5/6到貨，2022/6/1缺貨，2021/6/23新機上架")</f>
        <v>2024/5/6到貨，2022/6/1缺貨，2021/6/23新機上架</v>
      </c>
      <c r="N222" s="12" t="str">
        <f ca="1">IFERROR(__xludf.DUMMYFUNCTION("""COMPUTED_VALUE"""),"吸塵器")</f>
        <v>吸塵器</v>
      </c>
      <c r="O222" s="12"/>
      <c r="P222" s="12" t="str">
        <f ca="1">IFERROR(__xludf.DUMMYFUNCTION("""COMPUTED_VALUE"""),"300W")</f>
        <v>300W</v>
      </c>
      <c r="Q222" s="12" t="str">
        <f ca="1">IFERROR(__xludf.DUMMYFUNCTION("""COMPUTED_VALUE"""),"211(高)*220(寬)*200(深)(mm)")</f>
        <v>211(高)*220(寬)*200(深)(mm)</v>
      </c>
      <c r="R222" s="12" t="str">
        <f ca="1">IFERROR(__xludf.DUMMYFUNCTION("""COMPUTED_VALUE"""),"中國")</f>
        <v>中國</v>
      </c>
      <c r="S222" s="12"/>
      <c r="T222" s="12"/>
      <c r="U222" s="12" t="str">
        <f ca="1">IFERROR(__xludf.DUMMYFUNCTION("""COMPUTED_VALUE"""),"1年")</f>
        <v>1年</v>
      </c>
      <c r="V222" s="12"/>
      <c r="W222" s="12"/>
      <c r="X222" s="12"/>
      <c r="Y222" s="12"/>
      <c r="Z222" s="14"/>
      <c r="AA222" s="15" t="str">
        <f ca="1">IFERROR(__xludf.DUMMYFUNCTION("""COMPUTED_VALUE"""),"*2in1除蟎吸塵，一機兩用*254奈米波長紫外線UVC光
有效破壞塵蟎細胞結構*5000次分鐘震動拍打，塵蟎跳動快速吸入*塵蟎指示燈*多層過濾系統*不鏽鋼過濾網*加厚型過濾棉*H13高效率靜電過濾棉，有效過濾達99.97")</f>
        <v>*2in1除蟎吸塵，一機兩用*254奈米波長紫外線UVC光
有效破壞塵蟎細胞結構*5000次分鐘震動拍打，塵蟎跳動快速吸入*塵蟎指示燈*多層過濾系統*不鏽鋼過濾網*加厚型過濾棉*H13高效率靜電過濾棉，有效過濾達99.97</v>
      </c>
    </row>
    <row r="223" spans="1:27" ht="19.5" customHeight="1">
      <c r="A223" s="12" t="str">
        <f ca="1">IFERROR(__xludf.DUMMYFUNCTION("""COMPUTED_VALUE"""),"生活家電")</f>
        <v>生活家電</v>
      </c>
      <c r="B223" s="12" t="str">
        <f ca="1">IFERROR(__xludf.DUMMYFUNCTION("""COMPUTED_VALUE"""),"聲寶")</f>
        <v>聲寶</v>
      </c>
      <c r="C223" s="12" t="str">
        <f ca="1">IFERROR(__xludf.DUMMYFUNCTION("""COMPUTED_VALUE"""),"Claire")</f>
        <v>Claire</v>
      </c>
      <c r="D223" s="12" t="str">
        <f ca="1">IFERROR(__xludf.DUMMYFUNCTION("""COMPUTED_VALUE"""),"Claire極輕淨無線兩用吸塵器CEC-B12AP
")</f>
        <v xml:space="preserve">Claire極輕淨無線兩用吸塵器CEC-B12AP
</v>
      </c>
      <c r="E223" s="12" t="str">
        <f ca="1">IFERROR(__xludf.DUMMYFUNCTION("""COMPUTED_VALUE"""),"CEC-B12AP")</f>
        <v>CEC-B12AP</v>
      </c>
      <c r="F223" s="12">
        <f ca="1">IFERROR(__xludf.DUMMYFUNCTION("""COMPUTED_VALUE"""),51086234)</f>
        <v>51086234</v>
      </c>
      <c r="G223" s="12" t="str">
        <f ca="1">IFERROR(__xludf.DUMMYFUNCTION("""COMPUTED_VALUE"""),"IGEM0630")</f>
        <v>IGEM0630</v>
      </c>
      <c r="H223" s="12">
        <f ca="1">IFERROR(__xludf.DUMMYFUNCTION("""COMPUTED_VALUE"""),3288)</f>
        <v>3288</v>
      </c>
      <c r="I223" s="14">
        <f ca="1">IFERROR(__xludf.DUMMYFUNCTION("""COMPUTED_VALUE"""),2850)</f>
        <v>2850</v>
      </c>
      <c r="J223" s="12"/>
      <c r="K223" s="12"/>
      <c r="L223" s="12" t="str">
        <f ca="1">IFERROR(__xludf.DUMMYFUNCTION("""COMPUTED_VALUE"""),"上架中")</f>
        <v>上架中</v>
      </c>
      <c r="M223" s="12" t="str">
        <f ca="1">IFERROR(__xludf.DUMMYFUNCTION("""COMPUTED_VALUE"""),"2022/4/8新機上架")</f>
        <v>2022/4/8新機上架</v>
      </c>
      <c r="N223" s="12" t="str">
        <f ca="1">IFERROR(__xludf.DUMMYFUNCTION("""COMPUTED_VALUE"""),"吸塵器")</f>
        <v>吸塵器</v>
      </c>
      <c r="O223" s="12" t="str">
        <f ca="1">IFERROR(__xludf.DUMMYFUNCTION("""COMPUTED_VALUE"""),"白色")</f>
        <v>白色</v>
      </c>
      <c r="P223" s="12" t="str">
        <f ca="1">IFERROR(__xludf.DUMMYFUNCTION("""COMPUTED_VALUE"""),"13000PA")</f>
        <v>13000PA</v>
      </c>
      <c r="Q223" s="12" t="str">
        <f ca="1">IFERROR(__xludf.DUMMYFUNCTION("""COMPUTED_VALUE"""),"1095mm*240mm*157mm")</f>
        <v>1095mm*240mm*157mm</v>
      </c>
      <c r="R223" s="12" t="str">
        <f ca="1">IFERROR(__xludf.DUMMYFUNCTION("""COMPUTED_VALUE"""),"中國")</f>
        <v>中國</v>
      </c>
      <c r="S223" s="12"/>
      <c r="T223" s="12"/>
      <c r="U223" s="12" t="str">
        <f ca="1">IFERROR(__xludf.DUMMYFUNCTION("""COMPUTED_VALUE"""),"1年")</f>
        <v>1年</v>
      </c>
      <c r="V223" s="22" t="str">
        <f ca="1">IFERROR(__xludf.DUMMYFUNCTION("""COMPUTED_VALUE"""),"1年")</f>
        <v>1年</v>
      </c>
      <c r="W223" s="12"/>
      <c r="X223" s="12"/>
      <c r="Y223" s="12"/>
      <c r="Z223" s="14"/>
      <c r="AA223" s="15" t="str">
        <f ca="1">IFERROR(__xludf.DUMMYFUNCTION("""COMPUTED_VALUE"""),"*2in1手持/直立兩用吸塵器，無線吸塵不受限*無刷馬達結構，吸力加大不易衰減*13000PA強大吸力，輕鬆吸塵沒煩惱*用11.1V2000mAh高效鋰電池*二段式強、弱吸力選擇，最長可連續使用21分鐘*HEPA濾網，有效過濾排出清淨空氣*輕量化設計約670g，輕巧方便攜帶*可水洗集塵盒，節省成本又環保*配件：兩用刷、床刷、地刷、連接管、轉接頭、充電收納底座*隨本體附收納袋")</f>
        <v>*2in1手持/直立兩用吸塵器，無線吸塵不受限*無刷馬達結構，吸力加大不易衰減*13000PA強大吸力，輕鬆吸塵沒煩惱*用11.1V2000mAh高效鋰電池*二段式強、弱吸力選擇，最長可連續使用21分鐘*HEPA濾網，有效過濾排出清淨空氣*輕量化設計約670g，輕巧方便攜帶*可水洗集塵盒，節省成本又環保*配件：兩用刷、床刷、地刷、連接管、轉接頭、充電收納底座*隨本體附收納袋</v>
      </c>
    </row>
    <row r="224" spans="1:27" ht="19.5" customHeight="1">
      <c r="A224" s="12" t="str">
        <f ca="1">IFERROR(__xludf.DUMMYFUNCTION("""COMPUTED_VALUE"""),"生活家電")</f>
        <v>生活家電</v>
      </c>
      <c r="B224" s="12" t="str">
        <f ca="1">IFERROR(__xludf.DUMMYFUNCTION("""COMPUTED_VALUE"""),"凱創")</f>
        <v>凱創</v>
      </c>
      <c r="C224" s="12" t="str">
        <f ca="1">IFERROR(__xludf.DUMMYFUNCTION("""COMPUTED_VALUE"""),"奇美")</f>
        <v>奇美</v>
      </c>
      <c r="D224" s="12" t="str">
        <f ca="1">IFERROR(__xludf.DUMMYFUNCTION("""COMPUTED_VALUE"""),"CHIMEI直立手持兩用吸塵器VC-SA1PH0")</f>
        <v>CHIMEI直立手持兩用吸塵器VC-SA1PH0</v>
      </c>
      <c r="E224" s="12" t="str">
        <f ca="1">IFERROR(__xludf.DUMMYFUNCTION("""COMPUTED_VALUE"""),"VC-SA1PH0")</f>
        <v>VC-SA1PH0</v>
      </c>
      <c r="F224" s="12">
        <f ca="1">IFERROR(__xludf.DUMMYFUNCTION("""COMPUTED_VALUE"""),51084073)</f>
        <v>51084073</v>
      </c>
      <c r="G224" s="12" t="str">
        <f ca="1">IFERROR(__xludf.DUMMYFUNCTION("""COMPUTED_VALUE"""),"IGEM00GD")</f>
        <v>IGEM00GD</v>
      </c>
      <c r="H224" s="12">
        <f ca="1">IFERROR(__xludf.DUMMYFUNCTION("""COMPUTED_VALUE"""),988)</f>
        <v>988</v>
      </c>
      <c r="I224" s="14">
        <f ca="1">IFERROR(__xludf.DUMMYFUNCTION("""COMPUTED_VALUE"""),988)</f>
        <v>988</v>
      </c>
      <c r="J224" s="12"/>
      <c r="K224" s="12"/>
      <c r="L224" s="12" t="str">
        <f ca="1">IFERROR(__xludf.DUMMYFUNCTION("""COMPUTED_VALUE"""),"上架中")</f>
        <v>上架中</v>
      </c>
      <c r="M224" s="12" t="str">
        <f ca="1">IFERROR(__xludf.DUMMYFUNCTION("""COMPUTED_VALUE"""),"2022/4/1回價，2021/8/1短促，2020/4/1新機上架")</f>
        <v>2022/4/1回價，2021/8/1短促，2020/4/1新機上架</v>
      </c>
      <c r="N224" s="12" t="str">
        <f ca="1">IFERROR(__xludf.DUMMYFUNCTION("""COMPUTED_VALUE"""),"吸塵器")</f>
        <v>吸塵器</v>
      </c>
      <c r="O224" s="12"/>
      <c r="P224" s="12"/>
      <c r="Q224" s="12" t="str">
        <f ca="1">IFERROR(__xludf.DUMMYFUNCTION("""COMPUTED_VALUE"""),"產品組裝尺寸：1067x250x143mm 外箱尺寸：623x128x148 mm")</f>
        <v>產品組裝尺寸：1067x250x143mm 外箱尺寸：623x128x148 mm</v>
      </c>
      <c r="R224" s="12"/>
      <c r="S224" s="12"/>
      <c r="T224" s="12"/>
      <c r="U224" s="12"/>
      <c r="V224" s="12"/>
      <c r="W224" s="12"/>
      <c r="X224" s="12"/>
      <c r="Y224" s="12"/>
      <c r="Z224" s="14"/>
      <c r="AA224" s="15"/>
    </row>
    <row r="225" spans="1:27" ht="19.5" customHeight="1">
      <c r="A225" s="12" t="str">
        <f ca="1">IFERROR(__xludf.DUMMYFUNCTION("""COMPUTED_VALUE"""),"生活家電")</f>
        <v>生活家電</v>
      </c>
      <c r="B225" s="12" t="str">
        <f ca="1">IFERROR(__xludf.DUMMYFUNCTION("""COMPUTED_VALUE"""),"凱創")</f>
        <v>凱創</v>
      </c>
      <c r="C225" s="12" t="str">
        <f ca="1">IFERROR(__xludf.DUMMYFUNCTION("""COMPUTED_VALUE"""),"奇美")</f>
        <v>奇美</v>
      </c>
      <c r="D225" s="12" t="str">
        <f ca="1">IFERROR(__xludf.DUMMYFUNCTION("""COMPUTED_VALUE"""),"CHIMEI強效電擊捕蚊燈MT-15T0EA")</f>
        <v>CHIMEI強效電擊捕蚊燈MT-15T0EA</v>
      </c>
      <c r="E225" s="12" t="str">
        <f ca="1">IFERROR(__xludf.DUMMYFUNCTION("""COMPUTED_VALUE"""),"MT-15T0EA")</f>
        <v>MT-15T0EA</v>
      </c>
      <c r="F225" s="12">
        <f ca="1">IFERROR(__xludf.DUMMYFUNCTION("""COMPUTED_VALUE"""),51084182)</f>
        <v>51084182</v>
      </c>
      <c r="G225" s="12" t="str">
        <f ca="1">IFERROR(__xludf.DUMMYFUNCTION("""COMPUTED_VALUE"""),"IGEM01QR")</f>
        <v>IGEM01QR</v>
      </c>
      <c r="H225" s="12">
        <f ca="1">IFERROR(__xludf.DUMMYFUNCTION("""COMPUTED_VALUE"""),1788)</f>
        <v>1788</v>
      </c>
      <c r="I225" s="14">
        <f ca="1">IFERROR(__xludf.DUMMYFUNCTION("""COMPUTED_VALUE"""),1288)</f>
        <v>1288</v>
      </c>
      <c r="J225" s="16">
        <f ca="1">IFERROR(__xludf.DUMMYFUNCTION("""COMPUTED_VALUE"""),45323)</f>
        <v>45323</v>
      </c>
      <c r="K225" s="12" t="str">
        <f ca="1">IFERROR(__xludf.DUMMYFUNCTION("""COMPUTED_VALUE"""),"回價")</f>
        <v>回價</v>
      </c>
      <c r="L225" s="12" t="str">
        <f ca="1">IFERROR(__xludf.DUMMYFUNCTION("""COMPUTED_VALUE"""),"上架中")</f>
        <v>上架中</v>
      </c>
      <c r="M225" s="12" t="str">
        <f ca="1">IFERROR(__xludf.DUMMYFUNCTION("""COMPUTED_VALUE"""),"2023/3/1短促，2022/4/1短促，2021/8/30到貨，5/18缺貨，5/7到貨，2021/4/20缺貨，2020/9/3新機上架")</f>
        <v>2023/3/1短促，2022/4/1短促，2021/8/30到貨，5/18缺貨，5/7到貨，2021/4/20缺貨，2020/9/3新機上架</v>
      </c>
      <c r="N225" s="12" t="str">
        <f ca="1">IFERROR(__xludf.DUMMYFUNCTION("""COMPUTED_VALUE"""),"捕蚊燈")</f>
        <v>捕蚊燈</v>
      </c>
      <c r="O225" s="12" t="str">
        <f ca="1">IFERROR(__xludf.DUMMYFUNCTION("""COMPUTED_VALUE"""),"白")</f>
        <v>白</v>
      </c>
      <c r="P225" s="12" t="str">
        <f ca="1">IFERROR(__xludf.DUMMYFUNCTION("""COMPUTED_VALUE"""),"15W")</f>
        <v>15W</v>
      </c>
      <c r="Q225" s="12" t="str">
        <f ca="1">IFERROR(__xludf.DUMMYFUNCTION("""COMPUTED_VALUE"""),"高452x寬190x長190mm")</f>
        <v>高452x寬190x長190mm</v>
      </c>
      <c r="R225" s="12" t="str">
        <f ca="1">IFERROR(__xludf.DUMMYFUNCTION("""COMPUTED_VALUE"""),"中國")</f>
        <v>中國</v>
      </c>
      <c r="S225" s="12"/>
      <c r="T225" s="12"/>
      <c r="U225" s="22" t="str">
        <f ca="1">IFERROR(__xludf.DUMMYFUNCTION("""COMPUTED_VALUE"""),"1年")</f>
        <v>1年</v>
      </c>
      <c r="V225" s="12"/>
      <c r="W225" s="12"/>
      <c r="X225" s="12"/>
      <c r="Y225" s="12"/>
      <c r="Z225" s="14"/>
      <c r="AA225" s="15" t="str">
        <f ca="1">IFERROR(__xludf.DUMMYFUNCTION("""COMPUTED_VALUE"""),"*2020年新安規*底部出線不易絆倒*專利防觸菱格護網*專業引蚊燈管*引蚊光觸媒*安全防火材質*抽取式集蚊盒")</f>
        <v>*2020年新安規*底部出線不易絆倒*專利防觸菱格護網*專業引蚊燈管*引蚊光觸媒*安全防火材質*抽取式集蚊盒</v>
      </c>
    </row>
    <row r="226" spans="1:27" ht="19.5" customHeight="1">
      <c r="A226" s="12" t="str">
        <f ca="1">IFERROR(__xludf.DUMMYFUNCTION("""COMPUTED_VALUE"""),"生活家電")</f>
        <v>生活家電</v>
      </c>
      <c r="B226" s="12" t="str">
        <f ca="1">IFERROR(__xludf.DUMMYFUNCTION("""COMPUTED_VALUE"""),"凱創")</f>
        <v>凱創</v>
      </c>
      <c r="C226" s="12" t="str">
        <f ca="1">IFERROR(__xludf.DUMMYFUNCTION("""COMPUTED_VALUE"""),"奇美")</f>
        <v>奇美</v>
      </c>
      <c r="D226" s="12" t="str">
        <f ca="1">IFERROR(__xludf.DUMMYFUNCTION("""COMPUTED_VALUE"""),"CHIMEI2in1輕量級多功能無線吸塵器PLUS(VC-HP4LSA)")</f>
        <v>CHIMEI2in1輕量級多功能無線吸塵器PLUS(VC-HP4LSA)</v>
      </c>
      <c r="E226" s="12" t="str">
        <f ca="1">IFERROR(__xludf.DUMMYFUNCTION("""COMPUTED_VALUE"""),"VC-HP4LSA")</f>
        <v>VC-HP4LSA</v>
      </c>
      <c r="F226" s="12">
        <f ca="1">IFERROR(__xludf.DUMMYFUNCTION("""COMPUTED_VALUE"""),51084233)</f>
        <v>51084233</v>
      </c>
      <c r="G226" s="12" t="str">
        <f ca="1">IFERROR(__xludf.DUMMYFUNCTION("""COMPUTED_VALUE"""),"IGEM035B")</f>
        <v>IGEM035B</v>
      </c>
      <c r="H226" s="12" t="str">
        <f ca="1">IFERROR(__xludf.DUMMYFUNCTION("""COMPUTED_VALUE"""),"2688")</f>
        <v>2688</v>
      </c>
      <c r="I226" s="14">
        <f ca="1">IFERROR(__xludf.DUMMYFUNCTION("""COMPUTED_VALUE"""),1988)</f>
        <v>1988</v>
      </c>
      <c r="J226" s="21">
        <f ca="1">IFERROR(__xludf.DUMMYFUNCTION("""COMPUTED_VALUE"""),45022)</f>
        <v>45022</v>
      </c>
      <c r="K226" s="12" t="str">
        <f ca="1">IFERROR(__xludf.DUMMYFUNCTION("""COMPUTED_VALUE"""),"到貨")</f>
        <v>到貨</v>
      </c>
      <c r="L226" s="12" t="str">
        <f ca="1">IFERROR(__xludf.DUMMYFUNCTION("""COMPUTED_VALUE"""),"上架中")</f>
        <v>上架中</v>
      </c>
      <c r="M226" s="12" t="str">
        <f ca="1">IFERROR(__xludf.DUMMYFUNCTION("""COMPUTED_VALUE"""),"4/6到貨，3/13缺貨，2021/4/1短促，2021/4/1新機上架")</f>
        <v>4/6到貨，3/13缺貨，2021/4/1短促，2021/4/1新機上架</v>
      </c>
      <c r="N226" s="12" t="str">
        <f ca="1">IFERROR(__xludf.DUMMYFUNCTION("""COMPUTED_VALUE"""),"吸塵器")</f>
        <v>吸塵器</v>
      </c>
      <c r="O226" s="12" t="str">
        <f ca="1">IFERROR(__xludf.DUMMYFUNCTION("""COMPUTED_VALUE"""),"X")</f>
        <v>X</v>
      </c>
      <c r="P226" s="12" t="str">
        <f ca="1">IFERROR(__xludf.DUMMYFUNCTION("""COMPUTED_VALUE"""),"◆商品重量：1kg◆額定消耗電功率：120W◆集塵盒容量：450ml")</f>
        <v>◆商品重量：1kg◆額定消耗電功率：120W◆集塵盒容量：450ml</v>
      </c>
      <c r="Q226" s="12" t="str">
        <f ca="1">IFERROR(__xludf.DUMMYFUNCTION("""COMPUTED_VALUE"""),"高128x深103x寬403mm")</f>
        <v>高128x深103x寬403mm</v>
      </c>
      <c r="R226" s="12" t="str">
        <f ca="1">IFERROR(__xludf.DUMMYFUNCTION("""COMPUTED_VALUE"""),"中國")</f>
        <v>中國</v>
      </c>
      <c r="S226" s="12"/>
      <c r="T226" s="12"/>
      <c r="U226" s="12"/>
      <c r="V226" s="12"/>
      <c r="W226" s="12"/>
      <c r="X226" s="12"/>
      <c r="Y226" s="12"/>
      <c r="Z226" s="14"/>
      <c r="AA226" s="15" t="str">
        <f ca="1">IFERROR(__xludf.DUMMYFUNCTION("""COMPUTED_VALUE"""),"*吸力PLUS強勁增加40%*吸/吹兩用，可吹乾隙縫水漬*1kg輕量化設計無線好攜*四重過濾層層把關更安心*強力龍捲風集塵，效率加倍*多功能適用地毯/沙發/窗戶/縫隙*可水洗式濾網，環保又便利")</f>
        <v>*吸力PLUS強勁增加40%*吸/吹兩用，可吹乾隙縫水漬*1kg輕量化設計無線好攜*四重過濾層層把關更安心*強力龍捲風集塵，效率加倍*多功能適用地毯/沙發/窗戶/縫隙*可水洗式濾網，環保又便利</v>
      </c>
    </row>
    <row r="227" spans="1:27" ht="19.5" customHeight="1">
      <c r="A227" s="12" t="str">
        <f ca="1">IFERROR(__xludf.DUMMYFUNCTION("""COMPUTED_VALUE"""),"生活家電")</f>
        <v>生活家電</v>
      </c>
      <c r="B227" s="12" t="str">
        <f ca="1">IFERROR(__xludf.DUMMYFUNCTION("""COMPUTED_VALUE"""),"凱創")</f>
        <v>凱創</v>
      </c>
      <c r="C227" s="12" t="str">
        <f ca="1">IFERROR(__xludf.DUMMYFUNCTION("""COMPUTED_VALUE"""),"奇美")</f>
        <v>奇美</v>
      </c>
      <c r="D227" s="12" t="str">
        <f ca="1">IFERROR(__xludf.DUMMYFUNCTION("""COMPUTED_VALUE"""),"CHIMEI手持直立兩用捷淨吸塵器VC-SC2PHA")</f>
        <v>CHIMEI手持直立兩用捷淨吸塵器VC-SC2PHA</v>
      </c>
      <c r="E227" s="12" t="str">
        <f ca="1">IFERROR(__xludf.DUMMYFUNCTION("""COMPUTED_VALUE"""),"VC-SC2PHA")</f>
        <v>VC-SC2PHA</v>
      </c>
      <c r="F227" s="12">
        <f ca="1">IFERROR(__xludf.DUMMYFUNCTION("""COMPUTED_VALUE"""),51084156)</f>
        <v>51084156</v>
      </c>
      <c r="G227" s="12" t="str">
        <f ca="1">IFERROR(__xludf.DUMMYFUNCTION("""COMPUTED_VALUE"""),"IGEM00OG")</f>
        <v>IGEM00OG</v>
      </c>
      <c r="H227" s="12">
        <f ca="1">IFERROR(__xludf.DUMMYFUNCTION("""COMPUTED_VALUE"""),1588)</f>
        <v>1588</v>
      </c>
      <c r="I227" s="14">
        <f ca="1">IFERROR(__xludf.DUMMYFUNCTION("""COMPUTED_VALUE"""),1100)</f>
        <v>1100</v>
      </c>
      <c r="J227" s="12"/>
      <c r="K227" s="12"/>
      <c r="L227" s="12" t="str">
        <f ca="1">IFERROR(__xludf.DUMMYFUNCTION("""COMPUTED_VALUE"""),"上架中")</f>
        <v>上架中</v>
      </c>
      <c r="M227" s="12" t="str">
        <f ca="1">IFERROR(__xludf.DUMMYFUNCTION("""COMPUTED_VALUE"""),"2019/6/14降價")</f>
        <v>2019/6/14降價</v>
      </c>
      <c r="N227" s="12" t="str">
        <f ca="1">IFERROR(__xludf.DUMMYFUNCTION("""COMPUTED_VALUE"""),"吸塵器")</f>
        <v>吸塵器</v>
      </c>
      <c r="O227" s="12" t="str">
        <f ca="1">IFERROR(__xludf.DUMMYFUNCTION("""COMPUTED_VALUE"""),"白")</f>
        <v>白</v>
      </c>
      <c r="P227" s="12"/>
      <c r="Q227" s="12" t="str">
        <f ca="1">IFERROR(__xludf.DUMMYFUNCTION("""COMPUTED_VALUE"""),"高1118x寬132x深233mm")</f>
        <v>高1118x寬132x深233mm</v>
      </c>
      <c r="R227" s="12" t="str">
        <f ca="1">IFERROR(__xludf.DUMMYFUNCTION("""COMPUTED_VALUE"""),"中國")</f>
        <v>中國</v>
      </c>
      <c r="S227" s="12"/>
      <c r="T227" s="12"/>
      <c r="U227" s="12" t="str">
        <f ca="1">IFERROR(__xludf.DUMMYFUNCTION("""COMPUTED_VALUE"""),"1年")</f>
        <v>1年</v>
      </c>
      <c r="V227" s="12"/>
      <c r="W227" s="12"/>
      <c r="X227" s="12"/>
      <c r="Y227" s="12"/>
      <c r="Z227" s="14"/>
      <c r="AA227" s="15" t="str">
        <f ca="1">IFERROR(__xludf.DUMMYFUNCTION("""COMPUTED_VALUE"""),"◆可洗式高效濾網◆強力旋風集塵設計◆可旋轉地刷◆低噪設計◆透明集塵盒可水洗")</f>
        <v>◆可洗式高效濾網◆強力旋風集塵設計◆可旋轉地刷◆低噪設計◆透明集塵盒可水洗</v>
      </c>
    </row>
    <row r="228" spans="1:27" ht="19.5" customHeight="1">
      <c r="A228" s="12" t="str">
        <f ca="1">IFERROR(__xludf.DUMMYFUNCTION("""COMPUTED_VALUE"""),"生活家電")</f>
        <v>生活家電</v>
      </c>
      <c r="B228" s="12" t="str">
        <f ca="1">IFERROR(__xludf.DUMMYFUNCTION("""COMPUTED_VALUE"""),"凱創")</f>
        <v>凱創</v>
      </c>
      <c r="C228" s="12" t="str">
        <f ca="1">IFERROR(__xludf.DUMMYFUNCTION("""COMPUTED_VALUE"""),"奇美")</f>
        <v>奇美</v>
      </c>
      <c r="D228" s="12" t="str">
        <f ca="1">IFERROR(__xludf.DUMMYFUNCTION("""COMPUTED_VALUE"""),"CHIMEI時尚LED知視家護眼檯燈LT-CT080D")</f>
        <v>CHIMEI時尚LED知視家護眼檯燈LT-CT080D</v>
      </c>
      <c r="E228" s="12" t="str">
        <f ca="1">IFERROR(__xludf.DUMMYFUNCTION("""COMPUTED_VALUE"""),"LT-CT080D")</f>
        <v>LT-CT080D</v>
      </c>
      <c r="F228" s="12">
        <f ca="1">IFERROR(__xludf.DUMMYFUNCTION("""COMPUTED_VALUE"""),51084082)</f>
        <v>51084082</v>
      </c>
      <c r="G228" s="12" t="str">
        <f ca="1">IFERROR(__xludf.DUMMYFUNCTION("""COMPUTED_VALUE"""),"IGEM00SI")</f>
        <v>IGEM00SI</v>
      </c>
      <c r="H228" s="12">
        <f ca="1">IFERROR(__xludf.DUMMYFUNCTION("""COMPUTED_VALUE"""),1688)</f>
        <v>1688</v>
      </c>
      <c r="I228" s="14">
        <f ca="1">IFERROR(__xludf.DUMMYFUNCTION("""COMPUTED_VALUE"""),1488)</f>
        <v>1488</v>
      </c>
      <c r="J228" s="12"/>
      <c r="K228" s="12"/>
      <c r="L228" s="12" t="str">
        <f ca="1">IFERROR(__xludf.DUMMYFUNCTION("""COMPUTED_VALUE"""),"上架中")</f>
        <v>上架中</v>
      </c>
      <c r="M228" s="12" t="str">
        <f ca="1">IFERROR(__xludf.DUMMYFUNCTION("""COMPUTED_VALUE"""),"2021/9/16到貨，9/1回價，2021/8/1短促，2018/12/14新機上架")</f>
        <v>2021/9/16到貨，9/1回價，2021/8/1短促，2018/12/14新機上架</v>
      </c>
      <c r="N228" s="12" t="str">
        <f ca="1">IFERROR(__xludf.DUMMYFUNCTION("""COMPUTED_VALUE"""),"檯燈/燈具/燈飾")</f>
        <v>檯燈/燈具/燈飾</v>
      </c>
      <c r="O228" s="12" t="str">
        <f ca="1">IFERROR(__xludf.DUMMYFUNCTION("""COMPUTED_VALUE"""),"白色")</f>
        <v>白色</v>
      </c>
      <c r="P228" s="12" t="str">
        <f ca="1">IFERROR(__xludf.DUMMYFUNCTION("""COMPUTED_VALUE"""),"1600LUX")</f>
        <v>1600LUX</v>
      </c>
      <c r="Q228" s="12" t="str">
        <f ca="1">IFERROR(__xludf.DUMMYFUNCTION("""COMPUTED_VALUE"""),"448X147X388mm")</f>
        <v>448X147X388mm</v>
      </c>
      <c r="R228" s="12" t="str">
        <f ca="1">IFERROR(__xludf.DUMMYFUNCTION("""COMPUTED_VALUE"""),"中國")</f>
        <v>中國</v>
      </c>
      <c r="S228" s="12"/>
      <c r="T228" s="12"/>
      <c r="U228" s="12" t="str">
        <f ca="1">IFERROR(__xludf.DUMMYFUNCTION("""COMPUTED_VALUE"""),"1年")</f>
        <v>1年</v>
      </c>
      <c r="V228" s="12"/>
      <c r="W228" s="12"/>
      <c r="X228" s="12"/>
      <c r="Y228" s="12"/>
      <c r="Z228" s="14"/>
      <c r="AA228" s="15" t="str">
        <f ca="1">IFERROR(__xludf.DUMMYFUNCTION("""COMPUTED_VALUE"""),"*預約關機提醒，定時休息愛護眼睛*三種情境模式(學習、電腦、閱讀)*獨特270度照明調整，可任意變換燈頭的照明範圍*LED燈珠符合IEC標準，，更加呵護雙眼*LED光源，節能省電，且無藍光危害*觸控控制、LED綠色燈號顯示，方便使用")</f>
        <v>*預約關機提醒，定時休息愛護眼睛*三種情境模式(學習、電腦、閱讀)*獨特270度照明調整，可任意變換燈頭的照明範圍*LED燈珠符合IEC標準，，更加呵護雙眼*LED光源，節能省電，且無藍光危害*觸控控制、LED綠色燈號顯示，方便使用</v>
      </c>
    </row>
    <row r="229" spans="1:27" ht="19.5" customHeight="1">
      <c r="A229" s="12" t="str">
        <f ca="1">IFERROR(__xludf.DUMMYFUNCTION("""COMPUTED_VALUE"""),"生活家電")</f>
        <v>生活家電</v>
      </c>
      <c r="B229" s="12" t="str">
        <f ca="1">IFERROR(__xludf.DUMMYFUNCTION("""COMPUTED_VALUE"""),"凱創")</f>
        <v>凱創</v>
      </c>
      <c r="C229" s="12" t="str">
        <f ca="1">IFERROR(__xludf.DUMMYFUNCTION("""COMPUTED_VALUE"""),"奇美")</f>
        <v>奇美</v>
      </c>
      <c r="D229" s="12" t="str">
        <f ca="1">IFERROR(__xludf.DUMMYFUNCTION("""COMPUTED_VALUE"""),"CHIMEI10吋3D循環渦流扇DF-10A0CD")</f>
        <v>CHIMEI10吋3D循環渦流扇DF-10A0CD</v>
      </c>
      <c r="E229" s="12" t="str">
        <f ca="1">IFERROR(__xludf.DUMMYFUNCTION("""COMPUTED_VALUE"""),"DF-10A0CD")</f>
        <v>DF-10A0CD</v>
      </c>
      <c r="F229" s="12">
        <f ca="1">IFERROR(__xludf.DUMMYFUNCTION("""COMPUTED_VALUE"""),51084161)</f>
        <v>51084161</v>
      </c>
      <c r="G229" s="12" t="str">
        <f ca="1">IFERROR(__xludf.DUMMYFUNCTION("""COMPUTED_VALUE"""),"IGEM012G")</f>
        <v>IGEM012G</v>
      </c>
      <c r="H229" s="12">
        <f ca="1">IFERROR(__xludf.DUMMYFUNCTION("""COMPUTED_VALUE"""),3688)</f>
        <v>3688</v>
      </c>
      <c r="I229" s="14">
        <f ca="1">IFERROR(__xludf.DUMMYFUNCTION("""COMPUTED_VALUE"""),3488)</f>
        <v>3488</v>
      </c>
      <c r="J229" s="12"/>
      <c r="K229" s="12"/>
      <c r="L229" s="12" t="str">
        <f ca="1">IFERROR(__xludf.DUMMYFUNCTION("""COMPUTED_VALUE"""),"上架中")</f>
        <v>上架中</v>
      </c>
      <c r="M229" s="12" t="str">
        <f ca="1">IFERROR(__xludf.DUMMYFUNCTION("""COMPUTED_VALUE"""),"2019/8/1短促，2019/4/24新機上架")</f>
        <v>2019/8/1短促，2019/4/24新機上架</v>
      </c>
      <c r="N229" s="12" t="str">
        <f ca="1">IFERROR(__xludf.DUMMYFUNCTION("""COMPUTED_VALUE"""),"風扇")</f>
        <v>風扇</v>
      </c>
      <c r="O229" s="12" t="str">
        <f ca="1">IFERROR(__xludf.DUMMYFUNCTION("""COMPUTED_VALUE"""),"白")</f>
        <v>白</v>
      </c>
      <c r="P229" s="12" t="str">
        <f ca="1">IFERROR(__xludf.DUMMYFUNCTION("""COMPUTED_VALUE"""),"10吋")</f>
        <v>10吋</v>
      </c>
      <c r="Q229" s="12" t="str">
        <f ca="1">IFERROR(__xludf.DUMMYFUNCTION("""COMPUTED_VALUE"""),"305*285*403mm")</f>
        <v>305*285*403mm</v>
      </c>
      <c r="R229" s="12" t="str">
        <f ca="1">IFERROR(__xludf.DUMMYFUNCTION("""COMPUTED_VALUE"""),"中國")</f>
        <v>中國</v>
      </c>
      <c r="S229" s="12"/>
      <c r="T229" s="12"/>
      <c r="U229" s="12" t="str">
        <f ca="1">IFERROR(__xludf.DUMMYFUNCTION("""COMPUTED_VALUE"""),"1年")</f>
        <v>1年</v>
      </c>
      <c r="V229" s="12"/>
      <c r="W229" s="12"/>
      <c r="X229" s="12"/>
      <c r="Y229" s="12"/>
      <c r="Z229" s="14"/>
      <c r="AA229" s="15" t="str">
        <f ca="1">IFERROR(__xludf.DUMMYFUNCTION("""COMPUTED_VALUE"""),"*LED觸控顯示面板，操作超方便*12段風量選擇，一年四季皆適用*3D自動擺頭，全方位氣流，室內循環*1~12小時定時關/預約開機，搭配空調更舒適節能*渦輪引擎風罩設計，風道集中、風量更強、送風更遠*ECO智能溫控，可視室內溫度自動調節風量，搭配空調使用，更節能省電
")</f>
        <v xml:space="preserve">*LED觸控顯示面板，操作超方便*12段風量選擇，一年四季皆適用*3D自動擺頭，全方位氣流，室內循環*1~12小時定時關/預約開機，搭配空調更舒適節能*渦輪引擎風罩設計，風道集中、風量更強、送風更遠*ECO智能溫控，可視室內溫度自動調節風量，搭配空調使用，更節能省電
</v>
      </c>
    </row>
    <row r="230" spans="1:27" ht="19.5" customHeight="1">
      <c r="A230" s="12" t="str">
        <f ca="1">IFERROR(__xludf.DUMMYFUNCTION("""COMPUTED_VALUE"""),"生活家電")</f>
        <v>生活家電</v>
      </c>
      <c r="B230" s="12" t="str">
        <f ca="1">IFERROR(__xludf.DUMMYFUNCTION("""COMPUTED_VALUE"""),"凱創")</f>
        <v>凱創</v>
      </c>
      <c r="C230" s="12" t="str">
        <f ca="1">IFERROR(__xludf.DUMMYFUNCTION("""COMPUTED_VALUE"""),"奇美")</f>
        <v>奇美</v>
      </c>
      <c r="D230" s="12" t="str">
        <f ca="1">IFERROR(__xludf.DUMMYFUNCTION("""COMPUTED_VALUE"""),"奇美直立手持兩用吸塵器VC-HB1PH0")</f>
        <v>奇美直立手持兩用吸塵器VC-HB1PH0</v>
      </c>
      <c r="E230" s="12" t="str">
        <f ca="1">IFERROR(__xludf.DUMMYFUNCTION("""COMPUTED_VALUE"""),"VC-HB1PH0")</f>
        <v>VC-HB1PH0</v>
      </c>
      <c r="F230" s="12">
        <f ca="1">IFERROR(__xludf.DUMMYFUNCTION("""COMPUTED_VALUE"""),51084120)</f>
        <v>51084120</v>
      </c>
      <c r="G230" s="12" t="str">
        <f ca="1">IFERROR(__xludf.DUMMYFUNCTION("""COMPUTED_VALUE"""),"IGEM01NK")</f>
        <v>IGEM01NK</v>
      </c>
      <c r="H230" s="12">
        <f ca="1">IFERROR(__xludf.DUMMYFUNCTION("""COMPUTED_VALUE"""),2188)</f>
        <v>2188</v>
      </c>
      <c r="I230" s="14">
        <f ca="1">IFERROR(__xludf.DUMMYFUNCTION("""COMPUTED_VALUE"""),1688)</f>
        <v>1688</v>
      </c>
      <c r="J230" s="12"/>
      <c r="K230" s="12"/>
      <c r="L230" s="12" t="str">
        <f ca="1">IFERROR(__xludf.DUMMYFUNCTION("""COMPUTED_VALUE"""),"上架中")</f>
        <v>上架中</v>
      </c>
      <c r="M230" s="12" t="str">
        <f ca="1">IFERROR(__xludf.DUMMYFUNCTION("""COMPUTED_VALUE"""),"2021/8/31短促，2020/4/1新機上架")</f>
        <v>2021/8/31短促，2020/4/1新機上架</v>
      </c>
      <c r="N230" s="12" t="str">
        <f ca="1">IFERROR(__xludf.DUMMYFUNCTION("""COMPUTED_VALUE"""),"吸塵器")</f>
        <v>吸塵器</v>
      </c>
      <c r="O230" s="12" t="str">
        <f ca="1">IFERROR(__xludf.DUMMYFUNCTION("""COMPUTED_VALUE"""),"紅")</f>
        <v>紅</v>
      </c>
      <c r="P230" s="12" t="str">
        <f ca="1">IFERROR(__xludf.DUMMYFUNCTION("""COMPUTED_VALUE"""),"1.5kg")</f>
        <v>1.5kg</v>
      </c>
      <c r="Q230" s="12" t="str">
        <f ca="1">IFERROR(__xludf.DUMMYFUNCTION("""COMPUTED_VALUE"""),"寬294*深114*高210(mm)")</f>
        <v>寬294*深114*高210(mm)</v>
      </c>
      <c r="R230" s="12" t="str">
        <f ca="1">IFERROR(__xludf.DUMMYFUNCTION("""COMPUTED_VALUE"""),"中國")</f>
        <v>中國</v>
      </c>
      <c r="S230" s="12"/>
      <c r="T230" s="12"/>
      <c r="U230" s="12" t="str">
        <f ca="1">IFERROR(__xludf.DUMMYFUNCTION("""COMPUTED_VALUE"""),"1年")</f>
        <v>1年</v>
      </c>
      <c r="V230" s="12"/>
      <c r="W230" s="12"/>
      <c r="X230" s="12"/>
      <c r="Y230" s="12"/>
      <c r="Z230" s="14"/>
      <c r="AA230" s="15" t="str">
        <f ca="1">IFERROR(__xludf.DUMMYFUNCTION("""COMPUTED_VALUE"""),"*14段鋁合金伸縮管*一鍵傾倒垃圾*4層過濾方式、5孔錐狀氣流、高效空氣濾網**水洗式集塵盒設計*附超值多功能吸頭組**直立/手持兩用，僅1.5K*傾斜式出風口設計*大角度旋轉地板刷，死角清理超方便")</f>
        <v>*14段鋁合金伸縮管*一鍵傾倒垃圾*4層過濾方式、5孔錐狀氣流、高效空氣濾網**水洗式集塵盒設計*附超值多功能吸頭組**直立/手持兩用，僅1.5K*傾斜式出風口設計*大角度旋轉地板刷，死角清理超方便</v>
      </c>
    </row>
    <row r="231" spans="1:27" ht="19.5" customHeight="1">
      <c r="A231" s="12" t="str">
        <f ca="1">IFERROR(__xludf.DUMMYFUNCTION("""COMPUTED_VALUE"""),"生活家電")</f>
        <v>生活家電</v>
      </c>
      <c r="B231" s="12" t="str">
        <f ca="1">IFERROR(__xludf.DUMMYFUNCTION("""COMPUTED_VALUE"""),"凱創")</f>
        <v>凱創</v>
      </c>
      <c r="C231" s="12" t="str">
        <f ca="1">IFERROR(__xludf.DUMMYFUNCTION("""COMPUTED_VALUE"""),"奇美")</f>
        <v>奇美</v>
      </c>
      <c r="D231" s="12" t="str">
        <f ca="1">IFERROR(__xludf.DUMMYFUNCTION("""COMPUTED_VALUE"""),"奇美數位無線吸塵器VC-HD4LHA")</f>
        <v>奇美數位無線吸塵器VC-HD4LHA</v>
      </c>
      <c r="E231" s="12" t="str">
        <f ca="1">IFERROR(__xludf.DUMMYFUNCTION("""COMPUTED_VALUE"""),"VC-HD4LHA")</f>
        <v>VC-HD4LHA</v>
      </c>
      <c r="F231" s="12">
        <f ca="1">IFERROR(__xludf.DUMMYFUNCTION("""COMPUTED_VALUE"""),51084121)</f>
        <v>51084121</v>
      </c>
      <c r="G231" s="12" t="str">
        <f ca="1">IFERROR(__xludf.DUMMYFUNCTION("""COMPUTED_VALUE"""),"IGEM01NL")</f>
        <v>IGEM01NL</v>
      </c>
      <c r="H231" s="12">
        <f ca="1">IFERROR(__xludf.DUMMYFUNCTION("""COMPUTED_VALUE"""),4988)</f>
        <v>4988</v>
      </c>
      <c r="I231" s="14">
        <f ca="1">IFERROR(__xludf.DUMMYFUNCTION("""COMPUTED_VALUE"""),3888)</f>
        <v>3888</v>
      </c>
      <c r="J231" s="21">
        <f ca="1">IFERROR(__xludf.DUMMYFUNCTION("""COMPUTED_VALUE"""),45496)</f>
        <v>45496</v>
      </c>
      <c r="K231" s="12" t="str">
        <f ca="1">IFERROR(__xludf.DUMMYFUNCTION("""COMPUTED_VALUE"""),"到貨")</f>
        <v>到貨</v>
      </c>
      <c r="L231" s="12" t="str">
        <f ca="1">IFERROR(__xludf.DUMMYFUNCTION("""COMPUTED_VALUE"""),"上架中")</f>
        <v>上架中</v>
      </c>
      <c r="M231" s="12" t="str">
        <f ca="1">IFERROR(__xludf.DUMMYFUNCTION("""COMPUTED_VALUE"""),"2024/7/23重新上架，2/1停售，2021/4/1短促，不確定上架時間")</f>
        <v>2024/7/23重新上架，2/1停售，2021/4/1短促，不確定上架時間</v>
      </c>
      <c r="N231" s="12" t="str">
        <f ca="1">IFERROR(__xludf.DUMMYFUNCTION("""COMPUTED_VALUE"""),"吸塵器")</f>
        <v>吸塵器</v>
      </c>
      <c r="O231" s="12" t="str">
        <f ca="1">IFERROR(__xludf.DUMMYFUNCTION("""COMPUTED_VALUE"""),"白")</f>
        <v>白</v>
      </c>
      <c r="P231" s="12" t="str">
        <f ca="1">IFERROR(__xludf.DUMMYFUNCTION("""COMPUTED_VALUE"""),"1Kg")</f>
        <v>1Kg</v>
      </c>
      <c r="Q231" s="12" t="str">
        <f ca="1">IFERROR(__xludf.DUMMYFUNCTION("""COMPUTED_VALUE"""),"435x128x93mm")</f>
        <v>435x128x93mm</v>
      </c>
      <c r="R231" s="12" t="str">
        <f ca="1">IFERROR(__xludf.DUMMYFUNCTION("""COMPUTED_VALUE"""),"中國")</f>
        <v>中國</v>
      </c>
      <c r="S231" s="12"/>
      <c r="T231" s="12"/>
      <c r="U231" s="12" t="str">
        <f ca="1">IFERROR(__xludf.DUMMYFUNCTION("""COMPUTED_VALUE"""),"1年")</f>
        <v>1年</v>
      </c>
      <c r="V231" s="12"/>
      <c r="W231" s="12"/>
      <c r="X231" s="12"/>
      <c r="Y231" s="12"/>
      <c r="Z231" s="14"/>
      <c r="AA231" s="15" t="str">
        <f ca="1">IFERROR(__xludf.DUMMYFUNCTION("""COMPUTED_VALUE"""),"*數位無刷馬達，13500pa大吸力*鋰電池、兩段吸力設計，最長使用30分鐘*附贈除螨吸頭，每分鐘超過7000次拍打*小於1kg輕量化設計*可水洗式不銹剛濾網及高效過濾網*主動式掃刷(軟膠條+細刷毛間隔設計)*靈活轉動地刷、LED照明*防止毛髮纏繞地刷內容物:主機、金屬延長管、二合一隙縫/毛刷吸頭、電動地刷吸頭、電動除螨吸頭、壁掛架、電源變壓器。")</f>
        <v>*數位無刷馬達，13500pa大吸力*鋰電池、兩段吸力設計，最長使用30分鐘*附贈除螨吸頭，每分鐘超過7000次拍打*小於1kg輕量化設計*可水洗式不銹剛濾網及高效過濾網*主動式掃刷(軟膠條+細刷毛間隔設計)*靈活轉動地刷、LED照明*防止毛髮纏繞地刷內容物:主機、金屬延長管、二合一隙縫/毛刷吸頭、電動地刷吸頭、電動除螨吸頭、壁掛架、電源變壓器。</v>
      </c>
    </row>
    <row r="232" spans="1:27" ht="19.5" customHeight="1">
      <c r="A232" s="12" t="str">
        <f ca="1">IFERROR(__xludf.DUMMYFUNCTION("""COMPUTED_VALUE"""),"生活家電")</f>
        <v>生活家電</v>
      </c>
      <c r="B232" s="12" t="str">
        <f ca="1">IFERROR(__xludf.DUMMYFUNCTION("""COMPUTED_VALUE"""),"凱創")</f>
        <v>凱創</v>
      </c>
      <c r="C232" s="12" t="str">
        <f ca="1">IFERROR(__xludf.DUMMYFUNCTION("""COMPUTED_VALUE"""),"奇美")</f>
        <v>奇美</v>
      </c>
      <c r="D232" s="12" t="str">
        <f ca="1">IFERROR(__xludf.DUMMYFUNCTION("""COMPUTED_VALUE"""),"奇美無線充電護眼檯燈LT-WP100D")</f>
        <v>奇美無線充電護眼檯燈LT-WP100D</v>
      </c>
      <c r="E232" s="12" t="str">
        <f ca="1">IFERROR(__xludf.DUMMYFUNCTION("""COMPUTED_VALUE"""),"LT-WP100D")</f>
        <v>LT-WP100D</v>
      </c>
      <c r="F232" s="12">
        <f ca="1">IFERROR(__xludf.DUMMYFUNCTION("""COMPUTED_VALUE"""),51084122)</f>
        <v>51084122</v>
      </c>
      <c r="G232" s="12" t="str">
        <f ca="1">IFERROR(__xludf.DUMMYFUNCTION("""COMPUTED_VALUE"""),"IGEM01NM")</f>
        <v>IGEM01NM</v>
      </c>
      <c r="H232" s="12">
        <f ca="1">IFERROR(__xludf.DUMMYFUNCTION("""COMPUTED_VALUE"""),2688)</f>
        <v>2688</v>
      </c>
      <c r="I232" s="14">
        <f ca="1">IFERROR(__xludf.DUMMYFUNCTION("""COMPUTED_VALUE"""),2288)</f>
        <v>2288</v>
      </c>
      <c r="J232" s="12"/>
      <c r="K232" s="12"/>
      <c r="L232" s="12" t="str">
        <f ca="1">IFERROR(__xludf.DUMMYFUNCTION("""COMPUTED_VALUE"""),"上架中")</f>
        <v>上架中</v>
      </c>
      <c r="M232" s="12" t="str">
        <f ca="1">IFERROR(__xludf.DUMMYFUNCTION("""COMPUTED_VALUE"""),"2021/4/1短促，2020/4/1新機上架")</f>
        <v>2021/4/1短促，2020/4/1新機上架</v>
      </c>
      <c r="N232" s="12" t="str">
        <f ca="1">IFERROR(__xludf.DUMMYFUNCTION("""COMPUTED_VALUE"""),"檯燈/燈具/燈飾")</f>
        <v>檯燈/燈具/燈飾</v>
      </c>
      <c r="O232" s="12" t="str">
        <f ca="1">IFERROR(__xludf.DUMMYFUNCTION("""COMPUTED_VALUE"""),"天使白")</f>
        <v>天使白</v>
      </c>
      <c r="P232" s="12" t="str">
        <f ca="1">IFERROR(__xludf.DUMMYFUNCTION("""COMPUTED_VALUE"""),"1Kg")</f>
        <v>1Kg</v>
      </c>
      <c r="Q232" s="12" t="str">
        <f ca="1">IFERROR(__xludf.DUMMYFUNCTION("""COMPUTED_VALUE"""),"H398*W135*L509mm")</f>
        <v>H398*W135*L509mm</v>
      </c>
      <c r="R232" s="12" t="str">
        <f ca="1">IFERROR(__xludf.DUMMYFUNCTION("""COMPUTED_VALUE"""),"中國")</f>
        <v>中國</v>
      </c>
      <c r="S232" s="12" t="str">
        <f ca="1">IFERROR(__xludf.DUMMYFUNCTION("""COMPUTED_VALUE"""),"V")</f>
        <v>V</v>
      </c>
      <c r="T232" s="12"/>
      <c r="U232" s="12" t="str">
        <f ca="1">IFERROR(__xludf.DUMMYFUNCTION("""COMPUTED_VALUE"""),"1年")</f>
        <v>1年</v>
      </c>
      <c r="V232" s="12"/>
      <c r="W232" s="12"/>
      <c r="X232" s="12"/>
      <c r="Y232" s="12"/>
      <c r="Z232" s="14"/>
      <c r="AA232" s="15" t="str">
        <f ca="1">IFERROR(__xludf.DUMMYFUNCTION("""COMPUTED_VALUE"""),"*支援QI無線充電&amp;USB充電2in1；濾光片設計，光線柔和舒適，無眩光。*觸控控制、LED燈號顯示，方便使用*四色調色溫：學習模式、閱讀模式、電腦模式、睡前模式*設計感外型、消光白有特色*節能省電，省下2/3電費*LED光源無紫外線，無藍光危害，維護皮膚與眼睛的健康*DC直流電壓光線不閃爍，有效降低近視可能性")</f>
        <v>*支援QI無線充電&amp;USB充電2in1；濾光片設計，光線柔和舒適，無眩光。*觸控控制、LED燈號顯示，方便使用*四色調色溫：學習模式、閱讀模式、電腦模式、睡前模式*設計感外型、消光白有特色*節能省電，省下2/3電費*LED光源無紫外線，無藍光危害，維護皮膚與眼睛的健康*DC直流電壓光線不閃爍，有效降低近視可能性</v>
      </c>
    </row>
    <row r="233" spans="1:27" ht="19.5" customHeight="1">
      <c r="A233" s="12" t="str">
        <f ca="1">IFERROR(__xludf.DUMMYFUNCTION("""COMPUTED_VALUE"""),"生活家電")</f>
        <v>生活家電</v>
      </c>
      <c r="B233" s="12" t="str">
        <f ca="1">IFERROR(__xludf.DUMMYFUNCTION("""COMPUTED_VALUE"""),"凱創")</f>
        <v>凱創</v>
      </c>
      <c r="C233" s="12" t="str">
        <f ca="1">IFERROR(__xludf.DUMMYFUNCTION("""COMPUTED_VALUE"""),"奇美")</f>
        <v>奇美</v>
      </c>
      <c r="D233" s="12" t="str">
        <f ca="1">IFERROR(__xludf.DUMMYFUNCTION("""COMPUTED_VALUE"""),"奇美14吋微電腦DC扇DF-14F601")</f>
        <v>奇美14吋微電腦DC扇DF-14F601</v>
      </c>
      <c r="E233" s="12" t="str">
        <f ca="1">IFERROR(__xludf.DUMMYFUNCTION("""COMPUTED_VALUE"""),"DF-14F601")</f>
        <v>DF-14F601</v>
      </c>
      <c r="F233" s="12">
        <f ca="1">IFERROR(__xludf.DUMMYFUNCTION("""COMPUTED_VALUE"""),51084280)</f>
        <v>51084280</v>
      </c>
      <c r="G233" s="12" t="str">
        <f ca="1">IFERROR(__xludf.DUMMYFUNCTION("""COMPUTED_VALUE"""),"IGEM056D")</f>
        <v>IGEM056D</v>
      </c>
      <c r="H233" s="12">
        <f ca="1">IFERROR(__xludf.DUMMYFUNCTION("""COMPUTED_VALUE"""),2688)</f>
        <v>2688</v>
      </c>
      <c r="I233" s="14">
        <f ca="1">IFERROR(__xludf.DUMMYFUNCTION("""COMPUTED_VALUE"""),1988)</f>
        <v>1988</v>
      </c>
      <c r="J233" s="12"/>
      <c r="K233" s="12"/>
      <c r="L233" s="12" t="str">
        <f ca="1">IFERROR(__xludf.DUMMYFUNCTION("""COMPUTED_VALUE"""),"上架中")</f>
        <v>上架中</v>
      </c>
      <c r="M233" s="12" t="str">
        <f ca="1">IFERROR(__xludf.DUMMYFUNCTION("""COMPUTED_VALUE"""),"2022/8/1短促，2022/4/1短促，2022/3/1新機上架")</f>
        <v>2022/8/1短促，2022/4/1短促，2022/3/1新機上架</v>
      </c>
      <c r="N233" s="12" t="str">
        <f ca="1">IFERROR(__xludf.DUMMYFUNCTION("""COMPUTED_VALUE"""),"風扇")</f>
        <v>風扇</v>
      </c>
      <c r="O233" s="12" t="str">
        <f ca="1">IFERROR(__xludf.DUMMYFUNCTION("""COMPUTED_VALUE"""),"白")</f>
        <v>白</v>
      </c>
      <c r="P233" s="12" t="str">
        <f ca="1">IFERROR(__xludf.DUMMYFUNCTION("""COMPUTED_VALUE"""),"14吋")</f>
        <v>14吋</v>
      </c>
      <c r="Q233" s="12" t="str">
        <f ca="1">IFERROR(__xludf.DUMMYFUNCTION("""COMPUTED_VALUE"""),"820~1015*405*420mm")</f>
        <v>820~1015*405*420mm</v>
      </c>
      <c r="R233" s="12" t="str">
        <f ca="1">IFERROR(__xludf.DUMMYFUNCTION("""COMPUTED_VALUE"""),"台灣")</f>
        <v>台灣</v>
      </c>
      <c r="S233" s="12" t="str">
        <f ca="1">IFERROR(__xludf.DUMMYFUNCTION("""COMPUTED_VALUE"""),"V")</f>
        <v>V</v>
      </c>
      <c r="T233" s="12"/>
      <c r="U233" s="12" t="str">
        <f ca="1">IFERROR(__xludf.DUMMYFUNCTION("""COMPUTED_VALUE"""),"主機保固1年")</f>
        <v>主機保固1年</v>
      </c>
      <c r="V233" s="12"/>
      <c r="W233" s="12"/>
      <c r="X233" s="12"/>
      <c r="Y233" s="12"/>
      <c r="Z233" s="14"/>
      <c r="AA233" s="15" t="str">
        <f ca="1">IFERROR(__xludf.DUMMYFUNCTION("""COMPUTED_VALUE"""),"*DC封閉式馬達，省電70%，靜音省電*ECO智能溫控，搭配空調更節能省電*七段風速選擇*最長9小時定時關機*遙控擺頭好便利")</f>
        <v>*DC封閉式馬達，省電70%，靜音省電*ECO智能溫控，搭配空調更節能省電*七段風速選擇*最長9小時定時關機*遙控擺頭好便利</v>
      </c>
    </row>
    <row r="234" spans="1:27" ht="19.5" customHeight="1">
      <c r="A234" s="12" t="str">
        <f ca="1">IFERROR(__xludf.DUMMYFUNCTION("""COMPUTED_VALUE"""),"生活家電")</f>
        <v>生活家電</v>
      </c>
      <c r="B234" s="12" t="str">
        <f ca="1">IFERROR(__xludf.DUMMYFUNCTION("""COMPUTED_VALUE"""),"凱創")</f>
        <v>凱創</v>
      </c>
      <c r="C234" s="12" t="str">
        <f ca="1">IFERROR(__xludf.DUMMYFUNCTION("""COMPUTED_VALUE"""),"奇美")</f>
        <v>奇美</v>
      </c>
      <c r="D234" s="12" t="str">
        <f ca="1">IFERROR(__xludf.DUMMYFUNCTION("""COMPUTED_VALUE"""),"奇美輕勁手持槍型吸塵器VC-HT1LSL")</f>
        <v>奇美輕勁手持槍型吸塵器VC-HT1LSL</v>
      </c>
      <c r="E234" s="12" t="str">
        <f ca="1">IFERROR(__xludf.DUMMYFUNCTION("""COMPUTED_VALUE"""),"VC-HT1LSL")</f>
        <v>VC-HT1LSL</v>
      </c>
      <c r="F234" s="12">
        <f ca="1">IFERROR(__xludf.DUMMYFUNCTION("""COMPUTED_VALUE"""),51084282)</f>
        <v>51084282</v>
      </c>
      <c r="G234" s="12" t="str">
        <f ca="1">IFERROR(__xludf.DUMMYFUNCTION("""COMPUTED_VALUE"""),"IGEM056F")</f>
        <v>IGEM056F</v>
      </c>
      <c r="H234" s="12">
        <f ca="1">IFERROR(__xludf.DUMMYFUNCTION("""COMPUTED_VALUE"""),3288)</f>
        <v>3288</v>
      </c>
      <c r="I234" s="14">
        <f ca="1">IFERROR(__xludf.DUMMYFUNCTION("""COMPUTED_VALUE"""),1988)</f>
        <v>1988</v>
      </c>
      <c r="J234" s="16">
        <f ca="1">IFERROR(__xludf.DUMMYFUNCTION("""COMPUTED_VALUE"""),44986)</f>
        <v>44986</v>
      </c>
      <c r="K234" s="12" t="str">
        <f ca="1">IFERROR(__xludf.DUMMYFUNCTION("""COMPUTED_VALUE"""),"短促")</f>
        <v>短促</v>
      </c>
      <c r="L234" s="12" t="str">
        <f ca="1">IFERROR(__xludf.DUMMYFUNCTION("""COMPUTED_VALUE"""),"上架中")</f>
        <v>上架中</v>
      </c>
      <c r="M234" s="12" t="str">
        <f ca="1">IFERROR(__xludf.DUMMYFUNCTION("""COMPUTED_VALUE"""),"2023/3/1短促，2022/4/1短促，2022/3/1新機上架")</f>
        <v>2023/3/1短促，2022/4/1短促，2022/3/1新機上架</v>
      </c>
      <c r="N234" s="12" t="str">
        <f ca="1">IFERROR(__xludf.DUMMYFUNCTION("""COMPUTED_VALUE"""),"吸塵器")</f>
        <v>吸塵器</v>
      </c>
      <c r="O234" s="12"/>
      <c r="P234" s="12" t="str">
        <f ca="1">IFERROR(__xludf.DUMMYFUNCTION("""COMPUTED_VALUE"""),"◆輸入電壓與電流：100~240V50~60HZ/14V600mA
◆消耗功率：120(W)
◆主機重量：670g")</f>
        <v>◆輸入電壓與電流：100~240V50~60HZ/14V600mA
◆消耗功率：120(W)
◆主機重量：670g</v>
      </c>
      <c r="Q234" s="12" t="str">
        <f ca="1">IFERROR(__xludf.DUMMYFUNCTION("""COMPUTED_VALUE"""),"110*68*435mm")</f>
        <v>110*68*435mm</v>
      </c>
      <c r="R234" s="12" t="str">
        <f ca="1">IFERROR(__xludf.DUMMYFUNCTION("""COMPUTED_VALUE"""),"中國")</f>
        <v>中國</v>
      </c>
      <c r="S234" s="12"/>
      <c r="T234" s="12"/>
      <c r="U234" s="12" t="str">
        <f ca="1">IFERROR(__xludf.DUMMYFUNCTION("""COMPUTED_VALUE"""),"主機保固1年")</f>
        <v>主機保固1年</v>
      </c>
      <c r="V234" s="12"/>
      <c r="W234" s="12"/>
      <c r="X234" s="12"/>
      <c r="Y234" s="12"/>
      <c r="Z234" s="14"/>
      <c r="AA234" s="15" t="str">
        <f ca="1">IFERROR(__xludf.DUMMYFUNCTION("""COMPUTED_VALUE"""),"*無刷馬達，使用壽命長*吸力強，可達13000PA*超輕巧，主機僅670g*HEPA濾網有效過濾PM2.5*多種刷頭與連接管，方便清掃*獨特龍捲風集塵設計，不阻塞，高效率*可水洗式濾網，環保省錢")</f>
        <v>*無刷馬達，使用壽命長*吸力強，可達13000PA*超輕巧，主機僅670g*HEPA濾網有效過濾PM2.5*多種刷頭與連接管，方便清掃*獨特龍捲風集塵設計，不阻塞，高效率*可水洗式濾網，環保省錢</v>
      </c>
    </row>
    <row r="235" spans="1:27" ht="19.5" customHeight="1">
      <c r="A235" s="12" t="str">
        <f ca="1">IFERROR(__xludf.DUMMYFUNCTION("""COMPUTED_VALUE"""),"生活家電")</f>
        <v>生活家電</v>
      </c>
      <c r="B235" s="12" t="str">
        <f ca="1">IFERROR(__xludf.DUMMYFUNCTION("""COMPUTED_VALUE"""),"凱創")</f>
        <v>凱創</v>
      </c>
      <c r="C235" s="12" t="str">
        <f ca="1">IFERROR(__xludf.DUMMYFUNCTION("""COMPUTED_VALUE"""),"奇美")</f>
        <v>奇美</v>
      </c>
      <c r="D235" s="12" t="str">
        <f ca="1">IFERROR(__xludf.DUMMYFUNCTION("""COMPUTED_VALUE"""),"奇美CHIMEI  台灣製臥立兩用陶瓷電暖器(白)HT-CR2TW1")</f>
        <v>奇美CHIMEI  台灣製臥立兩用陶瓷電暖器(白)HT-CR2TW1</v>
      </c>
      <c r="E235" s="12" t="str">
        <f ca="1">IFERROR(__xludf.DUMMYFUNCTION("""COMPUTED_VALUE"""),"HT-CR2TW1")</f>
        <v>HT-CR2TW1</v>
      </c>
      <c r="F235" s="12">
        <f ca="1">IFERROR(__xludf.DUMMYFUNCTION("""COMPUTED_VALUE"""),51084294)</f>
        <v>51084294</v>
      </c>
      <c r="G235" s="12" t="str">
        <f ca="1">IFERROR(__xludf.DUMMYFUNCTION("""COMPUTED_VALUE"""),"IGEM0727")</f>
        <v>IGEM0727</v>
      </c>
      <c r="H235" s="13">
        <f ca="1">IFERROR(__xludf.DUMMYFUNCTION("""COMPUTED_VALUE"""),2588)</f>
        <v>2588</v>
      </c>
      <c r="I235" s="14">
        <f ca="1">IFERROR(__xludf.DUMMYFUNCTION("""COMPUTED_VALUE"""),1980)</f>
        <v>1980</v>
      </c>
      <c r="J235" s="16">
        <f ca="1">IFERROR(__xludf.DUMMYFUNCTION("""COMPUTED_VALUE"""),45670)</f>
        <v>45670</v>
      </c>
      <c r="K235" s="12" t="str">
        <f ca="1">IFERROR(__xludf.DUMMYFUNCTION("""COMPUTED_VALUE"""),"缺貨")</f>
        <v>缺貨</v>
      </c>
      <c r="L235" s="12" t="str">
        <f ca="1">IFERROR(__xludf.DUMMYFUNCTION("""COMPUTED_VALUE"""),"缺貨")</f>
        <v>缺貨</v>
      </c>
      <c r="M235" s="12" t="str">
        <f ca="1">IFERROR(__xludf.DUMMYFUNCTION("""COMPUTED_VALUE"""),"2025/1/13缺貨，2024/1/1短促，2022/11/23新機上架")</f>
        <v>2025/1/13缺貨，2024/1/1短促，2022/11/23新機上架</v>
      </c>
      <c r="N235" s="12" t="str">
        <f ca="1">IFERROR(__xludf.DUMMYFUNCTION("""COMPUTED_VALUE"""),"電暖器")</f>
        <v>電暖器</v>
      </c>
      <c r="O235" s="12" t="str">
        <f ca="1">IFERROR(__xludf.DUMMYFUNCTION("""COMPUTED_VALUE"""),"白")</f>
        <v>白</v>
      </c>
      <c r="P235" s="12" t="str">
        <f ca="1">IFERROR(__xludf.DUMMYFUNCTION("""COMPUTED_VALUE"""),"◆機種重量：2.6Kg
◆額定電壓：110V
◆額定頻率：60Hz
◆消耗功率：涼風38W/溫風600W/熱風1200W")</f>
        <v>◆機種重量：2.6Kg
◆額定電壓：110V
◆額定頻率：60Hz
◆消耗功率：涼風38W/溫風600W/熱風1200W</v>
      </c>
      <c r="Q235" s="12" t="str">
        <f ca="1">IFERROR(__xludf.DUMMYFUNCTION("""COMPUTED_VALUE"""),"高167x寬325x深207mm")</f>
        <v>高167x寬325x深207mm</v>
      </c>
      <c r="R235" s="12" t="str">
        <f ca="1">IFERROR(__xludf.DUMMYFUNCTION("""COMPUTED_VALUE"""),"台灣")</f>
        <v>台灣</v>
      </c>
      <c r="S235" s="12"/>
      <c r="T235" s="12"/>
      <c r="U235" s="12" t="str">
        <f ca="1">IFERROR(__xludf.DUMMYFUNCTION("""COMPUTED_VALUE"""),"正常使用下保固1年")</f>
        <v>正常使用下保固1年</v>
      </c>
      <c r="V235" s="12"/>
      <c r="W235" s="12"/>
      <c r="X235" s="12"/>
      <c r="Y235" s="12"/>
      <c r="Z235" s="14"/>
      <c r="AA235" s="15" t="str">
        <f ca="1">IFERROR(__xludf.DUMMYFUNCTION("""COMPUTED_VALUE"""),"*美型臥立兩用，依照空間任意擺放*微電腦控制面版，智慧操作超便利*時尚精緻皮革手把，時尚提著走*傾倒/過熱斷電保護，使用超放心*全機外殼防火材質，使用奇美ABS防燃塑料*PTC陶瓷加熱，三段溫度選擇(涼風/溫風/熱風) *1~7小時定時關機，內建8小時自動關機*台灣製造，品質保證")</f>
        <v>*美型臥立兩用，依照空間任意擺放*微電腦控制面版，智慧操作超便利*時尚精緻皮革手把，時尚提著走*傾倒/過熱斷電保護，使用超放心*全機外殼防火材質，使用奇美ABS防燃塑料*PTC陶瓷加熱，三段溫度選擇(涼風/溫風/熱風) *1~7小時定時關機，內建8小時自動關機*台灣製造，品質保證</v>
      </c>
    </row>
    <row r="236" spans="1:27" ht="19.5" customHeight="1">
      <c r="A236" s="12" t="str">
        <f ca="1">IFERROR(__xludf.DUMMYFUNCTION("""COMPUTED_VALUE"""),"生活家電")</f>
        <v>生活家電</v>
      </c>
      <c r="B236" s="12" t="str">
        <f ca="1">IFERROR(__xludf.DUMMYFUNCTION("""COMPUTED_VALUE"""),"凱創")</f>
        <v>凱創</v>
      </c>
      <c r="C236" s="12" t="str">
        <f ca="1">IFERROR(__xludf.DUMMYFUNCTION("""COMPUTED_VALUE"""),"奇美")</f>
        <v>奇美</v>
      </c>
      <c r="D236" s="12" t="str">
        <f ca="1">IFERROR(__xludf.DUMMYFUNCTION("""COMPUTED_VALUE"""),"奇美CHIMEI 10吋3D對流智能聲控立式循環扇DF-10VCST(黑)")</f>
        <v>奇美CHIMEI 10吋3D對流智能聲控立式循環扇DF-10VCST(黑)</v>
      </c>
      <c r="E236" s="12" t="str">
        <f ca="1">IFERROR(__xludf.DUMMYFUNCTION("""COMPUTED_VALUE"""),"DF-10VCST")</f>
        <v>DF-10VCST</v>
      </c>
      <c r="F236" s="12">
        <f ca="1">IFERROR(__xludf.DUMMYFUNCTION("""COMPUTED_VALUE"""),51084303)</f>
        <v>51084303</v>
      </c>
      <c r="G236" s="12" t="str">
        <f ca="1">IFERROR(__xludf.DUMMYFUNCTION("""COMPUTED_VALUE"""),"IGEM085E")</f>
        <v>IGEM085E</v>
      </c>
      <c r="H236" s="13">
        <f ca="1">IFERROR(__xludf.DUMMYFUNCTION("""COMPUTED_VALUE"""),5680)</f>
        <v>5680</v>
      </c>
      <c r="I236" s="14">
        <f ca="1">IFERROR(__xludf.DUMMYFUNCTION("""COMPUTED_VALUE"""),4588)</f>
        <v>4588</v>
      </c>
      <c r="J236" s="16">
        <f ca="1">IFERROR(__xludf.DUMMYFUNCTION("""COMPUTED_VALUE"""),45108)</f>
        <v>45108</v>
      </c>
      <c r="K236" s="12" t="str">
        <f ca="1">IFERROR(__xludf.DUMMYFUNCTION("""COMPUTED_VALUE"""),"新機上架")</f>
        <v>新機上架</v>
      </c>
      <c r="L236" s="12" t="str">
        <f ca="1">IFERROR(__xludf.DUMMYFUNCTION("""COMPUTED_VALUE"""),"上架中")</f>
        <v>上架中</v>
      </c>
      <c r="M236" s="12" t="str">
        <f ca="1">IFERROR(__xludf.DUMMYFUNCTION("""COMPUTED_VALUE"""),"2023/7/1新機上架")</f>
        <v>2023/7/1新機上架</v>
      </c>
      <c r="N236" s="12" t="str">
        <f ca="1">IFERROR(__xludf.DUMMYFUNCTION("""COMPUTED_VALUE"""),"循環扇")</f>
        <v>循環扇</v>
      </c>
      <c r="O236" s="12" t="str">
        <f ca="1">IFERROR(__xludf.DUMMYFUNCTION("""COMPUTED_VALUE"""),"黑色")</f>
        <v>黑色</v>
      </c>
      <c r="P236" s="12" t="str">
        <f ca="1">IFERROR(__xludf.DUMMYFUNCTION("""COMPUTED_VALUE"""),"10吋")</f>
        <v>10吋</v>
      </c>
      <c r="Q236" s="12" t="str">
        <f ca="1">IFERROR(__xludf.DUMMYFUNCTION("""COMPUTED_VALUE"""),"710-830x300x300")</f>
        <v>710-830x300x300</v>
      </c>
      <c r="R236" s="12" t="str">
        <f ca="1">IFERROR(__xludf.DUMMYFUNCTION("""COMPUTED_VALUE"""),"中國")</f>
        <v>中國</v>
      </c>
      <c r="S236" s="12"/>
      <c r="T236" s="12"/>
      <c r="U236" s="12" t="str">
        <f ca="1">IFERROR(__xludf.DUMMYFUNCTION("""COMPUTED_VALUE"""),"1年")</f>
        <v>1年</v>
      </c>
      <c r="V236" s="12"/>
      <c r="W236" s="12"/>
      <c r="X236" s="12"/>
      <c r="Y236" s="12"/>
      <c r="Z236" s="14"/>
      <c r="AA236" s="15" t="str">
        <f ca="1">IFERROR(__xludf.DUMMYFUNCTION("""COMPUTED_VALUE"""),"*語音聲控10吋3D立式擺頭𢕀環扇*上下、左右可自動遙控擺頭*60度/90度/120度 左右自動擺頭* 12段風速，觸碰面版操作*四種模式:一般風/自然風/睡眠風/ECO風*1~12小時預約開/關機*無線遙控器 (吸附於後殼)")</f>
        <v>*語音聲控10吋3D立式擺頭𢕀環扇*上下、左右可自動遙控擺頭*60度/90度/120度 左右自動擺頭* 12段風速，觸碰面版操作*四種模式:一般風/自然風/睡眠風/ECO風*1~12小時預約開/關機*無線遙控器 (吸附於後殼)</v>
      </c>
    </row>
    <row r="237" spans="1:27" ht="19.5" customHeight="1">
      <c r="A237" s="12" t="str">
        <f ca="1">IFERROR(__xludf.DUMMYFUNCTION("""COMPUTED_VALUE"""),"生活家電")</f>
        <v>生活家電</v>
      </c>
      <c r="B237" s="12" t="str">
        <f ca="1">IFERROR(__xludf.DUMMYFUNCTION("""COMPUTED_VALUE"""),"凱創")</f>
        <v>凱創</v>
      </c>
      <c r="C237" s="12" t="str">
        <f ca="1">IFERROR(__xludf.DUMMYFUNCTION("""COMPUTED_VALUE"""),"奇美")</f>
        <v>奇美</v>
      </c>
      <c r="D237" s="12" t="str">
        <f ca="1">IFERROR(__xludf.DUMMYFUNCTION("""COMPUTED_VALUE"""),"CHIMEI奇美 14吋智能DC節能風扇 DF-14B0S1")</f>
        <v>CHIMEI奇美 14吋智能DC節能風扇 DF-14B0S1</v>
      </c>
      <c r="E237" s="12" t="str">
        <f ca="1">IFERROR(__xludf.DUMMYFUNCTION("""COMPUTED_VALUE"""),"DF-14B0S1")</f>
        <v>DF-14B0S1</v>
      </c>
      <c r="F237" s="12">
        <f ca="1">IFERROR(__xludf.DUMMYFUNCTION("""COMPUTED_VALUE"""),51084338)</f>
        <v>51084338</v>
      </c>
      <c r="G237" s="12" t="str">
        <f ca="1">IFERROR(__xludf.DUMMYFUNCTION("""COMPUTED_VALUE"""),"IGEM1044")</f>
        <v>IGEM1044</v>
      </c>
      <c r="H237" s="13">
        <f ca="1">IFERROR(__xludf.DUMMYFUNCTION("""COMPUTED_VALUE"""),2388)</f>
        <v>2388</v>
      </c>
      <c r="I237" s="14">
        <f ca="1">IFERROR(__xludf.DUMMYFUNCTION("""COMPUTED_VALUE"""),1880)</f>
        <v>1880</v>
      </c>
      <c r="J237" s="16">
        <f ca="1">IFERROR(__xludf.DUMMYFUNCTION("""COMPUTED_VALUE"""),45474)</f>
        <v>45474</v>
      </c>
      <c r="K237" s="12" t="str">
        <f ca="1">IFERROR(__xludf.DUMMYFUNCTION("""COMPUTED_VALUE"""),"新機上架")</f>
        <v>新機上架</v>
      </c>
      <c r="L237" s="12" t="str">
        <f ca="1">IFERROR(__xludf.DUMMYFUNCTION("""COMPUTED_VALUE"""),"上架中")</f>
        <v>上架中</v>
      </c>
      <c r="M237" s="12" t="str">
        <f ca="1">IFERROR(__xludf.DUMMYFUNCTION("""COMPUTED_VALUE"""),"2024/7/1新機上架")</f>
        <v>2024/7/1新機上架</v>
      </c>
      <c r="N237" s="12" t="str">
        <f ca="1">IFERROR(__xludf.DUMMYFUNCTION("""COMPUTED_VALUE"""),"風扇")</f>
        <v>風扇</v>
      </c>
      <c r="O237" s="12" t="str">
        <f ca="1">IFERROR(__xludf.DUMMYFUNCTION("""COMPUTED_VALUE"""),"白色")</f>
        <v>白色</v>
      </c>
      <c r="P237" s="12" t="str">
        <f ca="1">IFERROR(__xludf.DUMMYFUNCTION("""COMPUTED_VALUE"""),"◆商品尺寸：寬420 x 深405 x 高820~1015 mm
◆商品重量：3.9 Kg
◆扇葉尺寸：14吋
◆扇葉：5片
◆電壓頻率：110V~60Hz
◆消耗功率：22 W
◆電源線長度：1.7m以上
◆定時器：採1h累進設定，最長可至7hr
◆商檢字號：R63830")</f>
        <v>◆商品尺寸：寬420 x 深405 x 高820~1015 mm
◆商品重量：3.9 Kg
◆扇葉尺寸：14吋
◆扇葉：5片
◆電壓頻率：110V~60Hz
◆消耗功率：22 W
◆電源線長度：1.7m以上
◆定時器：採1h累進設定，最長可至7hr
◆商檢字號：R63830</v>
      </c>
      <c r="Q237" s="12" t="str">
        <f ca="1">IFERROR(__xludf.DUMMYFUNCTION("""COMPUTED_VALUE"""),"高820~1015 x寬420 x 深405 mm ")</f>
        <v xml:space="preserve">高820~1015 x寬420 x 深405 mm </v>
      </c>
      <c r="R237" s="12" t="str">
        <f ca="1">IFERROR(__xludf.DUMMYFUNCTION("""COMPUTED_VALUE"""),"台灣")</f>
        <v>台灣</v>
      </c>
      <c r="S237" s="12"/>
      <c r="T237" s="12"/>
      <c r="U237" s="12" t="str">
        <f ca="1">IFERROR(__xludf.DUMMYFUNCTION("""COMPUTED_VALUE"""),"1年")</f>
        <v>1年</v>
      </c>
      <c r="V237" s="12"/>
      <c r="W237" s="12"/>
      <c r="X237" s="12"/>
      <c r="Y237" s="12"/>
      <c r="Z237" s="14"/>
      <c r="AA237" s="15" t="str">
        <f ca="1">IFERROR(__xludf.DUMMYFUNCTION("""COMPUTED_VALUE"""),"*日本技術馬達安靜省電*ECO智能溫控更節能*超省錢，比AC扇省電70%*7段風速+3種風類+7小時預約開關機*僅18dB比圖書館更安靜")</f>
        <v>*日本技術馬達安靜省電*ECO智能溫控更節能*超省錢，比AC扇省電70%*7段風速+3種風類+7小時預約開關機*僅18dB比圖書館更安靜</v>
      </c>
    </row>
    <row r="238" spans="1:27" ht="19.5" customHeight="1">
      <c r="A238" s="12" t="str">
        <f ca="1">IFERROR(__xludf.DUMMYFUNCTION("""COMPUTED_VALUE"""),"生活家電")</f>
        <v>生活家電</v>
      </c>
      <c r="B238" s="12" t="str">
        <f ca="1">IFERROR(__xludf.DUMMYFUNCTION("""COMPUTED_VALUE"""),"凱創")</f>
        <v>凱創</v>
      </c>
      <c r="C238" s="12" t="str">
        <f ca="1">IFERROR(__xludf.DUMMYFUNCTION("""COMPUTED_VALUE"""),"奇美")</f>
        <v>奇美</v>
      </c>
      <c r="D238" s="12" t="str">
        <f ca="1">IFERROR(__xludf.DUMMYFUNCTION("""COMPUTED_VALUE"""),"CHIMEI奇美 16吋智能DC節能風扇 DF-16B0S1")</f>
        <v>CHIMEI奇美 16吋智能DC節能風扇 DF-16B0S1</v>
      </c>
      <c r="E238" s="12" t="str">
        <f ca="1">IFERROR(__xludf.DUMMYFUNCTION("""COMPUTED_VALUE"""),"DF-16B0S1")</f>
        <v>DF-16B0S1</v>
      </c>
      <c r="F238" s="12">
        <f ca="1">IFERROR(__xludf.DUMMYFUNCTION("""COMPUTED_VALUE"""),51084339)</f>
        <v>51084339</v>
      </c>
      <c r="G238" s="12" t="str">
        <f ca="1">IFERROR(__xludf.DUMMYFUNCTION("""COMPUTED_VALUE"""),"IGEM1045")</f>
        <v>IGEM1045</v>
      </c>
      <c r="H238" s="13">
        <f ca="1">IFERROR(__xludf.DUMMYFUNCTION("""COMPUTED_VALUE"""),2588)</f>
        <v>2588</v>
      </c>
      <c r="I238" s="14">
        <f ca="1">IFERROR(__xludf.DUMMYFUNCTION("""COMPUTED_VALUE"""),2080)</f>
        <v>2080</v>
      </c>
      <c r="J238" s="16">
        <f ca="1">IFERROR(__xludf.DUMMYFUNCTION("""COMPUTED_VALUE"""),45474)</f>
        <v>45474</v>
      </c>
      <c r="K238" s="12" t="str">
        <f ca="1">IFERROR(__xludf.DUMMYFUNCTION("""COMPUTED_VALUE"""),"新機上架")</f>
        <v>新機上架</v>
      </c>
      <c r="L238" s="12" t="str">
        <f ca="1">IFERROR(__xludf.DUMMYFUNCTION("""COMPUTED_VALUE"""),"上架中")</f>
        <v>上架中</v>
      </c>
      <c r="M238" s="12" t="str">
        <f ca="1">IFERROR(__xludf.DUMMYFUNCTION("""COMPUTED_VALUE"""),"2024/7/1新機上架")</f>
        <v>2024/7/1新機上架</v>
      </c>
      <c r="N238" s="12" t="str">
        <f ca="1">IFERROR(__xludf.DUMMYFUNCTION("""COMPUTED_VALUE"""),"風扇")</f>
        <v>風扇</v>
      </c>
      <c r="O238" s="12" t="str">
        <f ca="1">IFERROR(__xludf.DUMMYFUNCTION("""COMPUTED_VALUE"""),"白色")</f>
        <v>白色</v>
      </c>
      <c r="P238" s="12" t="str">
        <f ca="1">IFERROR(__xludf.DUMMYFUNCTION("""COMPUTED_VALUE"""),"◆商品尺寸：寬450 x 深405 x 高835~1145 mm
◆商品重量：4 Kg
◆扇葉尺寸：16吋
◆扇葉：5片
◆電壓頻率：110V~60Hz
◆消耗功率：27 W
◆電源線長度：1.7m以上
◆定時器：採1h累進設定，最長可至7hr
◆商檢字號：R63830")</f>
        <v>◆商品尺寸：寬450 x 深405 x 高835~1145 mm
◆商品重量：4 Kg
◆扇葉尺寸：16吋
◆扇葉：5片
◆電壓頻率：110V~60Hz
◆消耗功率：27 W
◆電源線長度：1.7m以上
◆定時器：採1h累進設定，最長可至7hr
◆商檢字號：R63830</v>
      </c>
      <c r="Q238" s="12" t="str">
        <f ca="1">IFERROR(__xludf.DUMMYFUNCTION("""COMPUTED_VALUE"""),"高835~1145 x 寬450 x 深405 mm")</f>
        <v>高835~1145 x 寬450 x 深405 mm</v>
      </c>
      <c r="R238" s="12" t="str">
        <f ca="1">IFERROR(__xludf.DUMMYFUNCTION("""COMPUTED_VALUE"""),"台灣")</f>
        <v>台灣</v>
      </c>
      <c r="S238" s="12"/>
      <c r="T238" s="12"/>
      <c r="U238" s="12" t="str">
        <f ca="1">IFERROR(__xludf.DUMMYFUNCTION("""COMPUTED_VALUE"""),"1年")</f>
        <v>1年</v>
      </c>
      <c r="V238" s="12"/>
      <c r="W238" s="12"/>
      <c r="X238" s="12"/>
      <c r="Y238" s="12"/>
      <c r="Z238" s="14"/>
      <c r="AA238" s="15" t="str">
        <f ca="1">IFERROR(__xludf.DUMMYFUNCTION("""COMPUTED_VALUE"""),"*日本技術馬達安靜省電*ECO智能溫控更節能*超省錢，比AC扇省電70%*7段風速+3種風類+7小時預約開關機*僅18dB比圖書館更安靜")</f>
        <v>*日本技術馬達安靜省電*ECO智能溫控更節能*超省錢，比AC扇省電70%*7段風速+3種風類+7小時預約開關機*僅18dB比圖書館更安靜</v>
      </c>
    </row>
    <row r="239" spans="1:27" ht="19.5" customHeight="1">
      <c r="A239" s="12" t="str">
        <f ca="1">IFERROR(__xludf.DUMMYFUNCTION("""COMPUTED_VALUE"""),"生活家電")</f>
        <v>生活家電</v>
      </c>
      <c r="B239" s="12" t="str">
        <f ca="1">IFERROR(__xludf.DUMMYFUNCTION("""COMPUTED_VALUE"""),"凱創")</f>
        <v>凱創</v>
      </c>
      <c r="C239" s="12" t="str">
        <f ca="1">IFERROR(__xludf.DUMMYFUNCTION("""COMPUTED_VALUE"""),"iNO")</f>
        <v>iNO</v>
      </c>
      <c r="D239" s="12" t="str">
        <f ca="1">IFERROR(__xludf.DUMMYFUNCTION("""COMPUTED_VALUE"""),"iNO15合1健康管理藍牙智慧體重計-白CD850")</f>
        <v>iNO15合1健康管理藍牙智慧體重計-白CD850</v>
      </c>
      <c r="E239" s="12" t="str">
        <f ca="1">IFERROR(__xludf.DUMMYFUNCTION("""COMPUTED_VALUE"""),"CD850-W")</f>
        <v>CD850-W</v>
      </c>
      <c r="F239" s="12">
        <f ca="1">IFERROR(__xludf.DUMMYFUNCTION("""COMPUTED_VALUE"""),51084138)</f>
        <v>51084138</v>
      </c>
      <c r="G239" s="12" t="str">
        <f ca="1">IFERROR(__xludf.DUMMYFUNCTION("""COMPUTED_VALUE"""),"IGEM01O3")</f>
        <v>IGEM01O3</v>
      </c>
      <c r="H239" s="12">
        <f ca="1">IFERROR(__xludf.DUMMYFUNCTION("""COMPUTED_VALUE"""),1980)</f>
        <v>1980</v>
      </c>
      <c r="I239" s="14">
        <f ca="1">IFERROR(__xludf.DUMMYFUNCTION("""COMPUTED_VALUE"""),799)</f>
        <v>799</v>
      </c>
      <c r="J239" s="16">
        <f ca="1">IFERROR(__xludf.DUMMYFUNCTION("""COMPUTED_VALUE"""),44986)</f>
        <v>44986</v>
      </c>
      <c r="K239" s="12" t="str">
        <f ca="1">IFERROR(__xludf.DUMMYFUNCTION("""COMPUTED_VALUE"""),"短促")</f>
        <v>短促</v>
      </c>
      <c r="L239" s="12" t="str">
        <f ca="1">IFERROR(__xludf.DUMMYFUNCTION("""COMPUTED_VALUE"""),"上架中")</f>
        <v>上架中</v>
      </c>
      <c r="M239" s="12" t="str">
        <f ca="1">IFERROR(__xludf.DUMMYFUNCTION("""COMPUTED_VALUE"""),"2023/3/1短促，2023/01/11重新上架，2022/7/21停售，2021/4/1-10/31短促，2020/4/1新機上架")</f>
        <v>2023/3/1短促，2023/01/11重新上架，2022/7/21停售，2021/4/1-10/31短促，2020/4/1新機上架</v>
      </c>
      <c r="N239" s="12" t="str">
        <f ca="1">IFERROR(__xludf.DUMMYFUNCTION("""COMPUTED_VALUE"""),"體重計/體脂計")</f>
        <v>體重計/體脂計</v>
      </c>
      <c r="O239" s="12" t="str">
        <f ca="1">IFERROR(__xludf.DUMMYFUNCTION("""COMPUTED_VALUE"""),"白")</f>
        <v>白</v>
      </c>
      <c r="P239" s="12" t="str">
        <f ca="1">IFERROR(__xludf.DUMMYFUNCTION("""COMPUTED_VALUE"""),"1.1kg")</f>
        <v>1.1kg</v>
      </c>
      <c r="Q239" s="12" t="str">
        <f ca="1">IFERROR(__xludf.DUMMYFUNCTION("""COMPUTED_VALUE"""),"290x265x23(mm)")</f>
        <v>290x265x23(mm)</v>
      </c>
      <c r="R239" s="12" t="str">
        <f ca="1">IFERROR(__xludf.DUMMYFUNCTION("""COMPUTED_VALUE"""),"中國")</f>
        <v>中國</v>
      </c>
      <c r="S239" s="12"/>
      <c r="T239" s="12"/>
      <c r="U239" s="12" t="str">
        <f ca="1">IFERROR(__xludf.DUMMYFUNCTION("""COMPUTED_VALUE"""),"2年")</f>
        <v>2年</v>
      </c>
      <c r="V239" s="12"/>
      <c r="W239" s="12"/>
      <c r="X239" s="12"/>
      <c r="Y239" s="12"/>
      <c r="Z239" s="14"/>
      <c r="AA239" s="15" t="str">
        <f ca="1">IFERROR(__xludf.DUMMYFUNCTION("""COMPUTED_VALUE"""),"*1秒檢測，15項身體健康指標*可同時記憶8組資料*30天身體數據紀錄曲線變化圖示*可直接回傳至手機app，自動記錄體重曲線*高準度專業版提供兩年保固。")</f>
        <v>*1秒檢測，15項身體健康指標*可同時記憶8組資料*30天身體數據紀錄曲線變化圖示*可直接回傳至手機app，自動記錄體重曲線*高準度專業版提供兩年保固。</v>
      </c>
    </row>
    <row r="240" spans="1:27" ht="19.5" customHeight="1">
      <c r="A240" s="12" t="str">
        <f ca="1">IFERROR(__xludf.DUMMYFUNCTION("""COMPUTED_VALUE"""),"生活家電")</f>
        <v>生活家電</v>
      </c>
      <c r="B240" s="12" t="str">
        <f ca="1">IFERROR(__xludf.DUMMYFUNCTION("""COMPUTED_VALUE"""),"凱創")</f>
        <v>凱創</v>
      </c>
      <c r="C240" s="12" t="str">
        <f ca="1">IFERROR(__xludf.DUMMYFUNCTION("""COMPUTED_VALUE"""),"iNO")</f>
        <v>iNO</v>
      </c>
      <c r="D240" s="12" t="str">
        <f ca="1">IFERROR(__xludf.DUMMYFUNCTION("""COMPUTED_VALUE"""),"iNO15合1健康管理藍牙智慧體重計-黑CD850")</f>
        <v>iNO15合1健康管理藍牙智慧體重計-黑CD850</v>
      </c>
      <c r="E240" s="12" t="str">
        <f ca="1">IFERROR(__xludf.DUMMYFUNCTION("""COMPUTED_VALUE"""),"CD850-B")</f>
        <v>CD850-B</v>
      </c>
      <c r="F240" s="12">
        <f ca="1">IFERROR(__xludf.DUMMYFUNCTION("""COMPUTED_VALUE"""),51084139)</f>
        <v>51084139</v>
      </c>
      <c r="G240" s="12" t="str">
        <f ca="1">IFERROR(__xludf.DUMMYFUNCTION("""COMPUTED_VALUE"""),"IGEM01O4")</f>
        <v>IGEM01O4</v>
      </c>
      <c r="H240" s="12">
        <f ca="1">IFERROR(__xludf.DUMMYFUNCTION("""COMPUTED_VALUE"""),1980)</f>
        <v>1980</v>
      </c>
      <c r="I240" s="14">
        <f ca="1">IFERROR(__xludf.DUMMYFUNCTION("""COMPUTED_VALUE"""),799)</f>
        <v>799</v>
      </c>
      <c r="J240" s="16">
        <f ca="1">IFERROR(__xludf.DUMMYFUNCTION("""COMPUTED_VALUE"""),44986)</f>
        <v>44986</v>
      </c>
      <c r="K240" s="12" t="str">
        <f ca="1">IFERROR(__xludf.DUMMYFUNCTION("""COMPUTED_VALUE"""),"短促")</f>
        <v>短促</v>
      </c>
      <c r="L240" s="12" t="str">
        <f ca="1">IFERROR(__xludf.DUMMYFUNCTION("""COMPUTED_VALUE"""),"上架中")</f>
        <v>上架中</v>
      </c>
      <c r="M240" s="12" t="str">
        <f ca="1">IFERROR(__xludf.DUMMYFUNCTION("""COMPUTED_VALUE"""),"2023/3/1短促，2021/4/1-10/31短促，2020/4/1新機上架")</f>
        <v>2023/3/1短促，2021/4/1-10/31短促，2020/4/1新機上架</v>
      </c>
      <c r="N240" s="12" t="str">
        <f ca="1">IFERROR(__xludf.DUMMYFUNCTION("""COMPUTED_VALUE"""),"體重計/體脂計")</f>
        <v>體重計/體脂計</v>
      </c>
      <c r="O240" s="12" t="str">
        <f ca="1">IFERROR(__xludf.DUMMYFUNCTION("""COMPUTED_VALUE"""),"黑")</f>
        <v>黑</v>
      </c>
      <c r="P240" s="12" t="str">
        <f ca="1">IFERROR(__xludf.DUMMYFUNCTION("""COMPUTED_VALUE"""),"1.1kg")</f>
        <v>1.1kg</v>
      </c>
      <c r="Q240" s="12" t="str">
        <f ca="1">IFERROR(__xludf.DUMMYFUNCTION("""COMPUTED_VALUE"""),"290x265x23(mm)")</f>
        <v>290x265x23(mm)</v>
      </c>
      <c r="R240" s="12" t="str">
        <f ca="1">IFERROR(__xludf.DUMMYFUNCTION("""COMPUTED_VALUE"""),"中國")</f>
        <v>中國</v>
      </c>
      <c r="S240" s="12"/>
      <c r="T240" s="12"/>
      <c r="U240" s="12" t="str">
        <f ca="1">IFERROR(__xludf.DUMMYFUNCTION("""COMPUTED_VALUE"""),"2年")</f>
        <v>2年</v>
      </c>
      <c r="V240" s="12"/>
      <c r="W240" s="12"/>
      <c r="X240" s="12"/>
      <c r="Y240" s="12"/>
      <c r="Z240" s="14"/>
      <c r="AA240" s="15" t="str">
        <f ca="1">IFERROR(__xludf.DUMMYFUNCTION("""COMPUTED_VALUE"""),"*1秒檢測，15項身體健康指標*可同時記憶8組資料*30天身體數據紀錄曲線變化圖示*可直接回傳至手機app，自動記錄體重曲線*高準度專業版提供兩年保固。")</f>
        <v>*1秒檢測，15項身體健康指標*可同時記憶8組資料*30天身體數據紀錄曲線變化圖示*可直接回傳至手機app，自動記錄體重曲線*高準度專業版提供兩年保固。</v>
      </c>
    </row>
    <row r="241" spans="1:27" ht="19.5" customHeight="1">
      <c r="A241" s="12" t="str">
        <f ca="1">IFERROR(__xludf.DUMMYFUNCTION("""COMPUTED_VALUE"""),"生活家電")</f>
        <v>生活家電</v>
      </c>
      <c r="B241" s="12" t="str">
        <f ca="1">IFERROR(__xludf.DUMMYFUNCTION("""COMPUTED_VALUE"""),"凱創")</f>
        <v>凱創</v>
      </c>
      <c r="C241" s="12" t="str">
        <f ca="1">IFERROR(__xludf.DUMMYFUNCTION("""COMPUTED_VALUE"""),"奇美")</f>
        <v>奇美</v>
      </c>
      <c r="D241" s="12" t="str">
        <f ca="1">IFERROR(__xludf.DUMMYFUNCTION("""COMPUTED_VALUE"""),"CHIMEI奇美 0.8L不鏽鋼藝術造型快煮壺 KT-75LS00")</f>
        <v>CHIMEI奇美 0.8L不鏽鋼藝術造型快煮壺 KT-75LS00</v>
      </c>
      <c r="E241" s="12" t="str">
        <f ca="1">IFERROR(__xludf.DUMMYFUNCTION("""COMPUTED_VALUE"""),"KT-75LS00")</f>
        <v>KT-75LS00</v>
      </c>
      <c r="F241" s="12">
        <f ca="1">IFERROR(__xludf.DUMMYFUNCTION("""COMPUTED_VALUE"""),51084340)</f>
        <v>51084340</v>
      </c>
      <c r="G241" s="12" t="str">
        <f ca="1">IFERROR(__xludf.DUMMYFUNCTION("""COMPUTED_VALUE"""),"IGEM1046")</f>
        <v>IGEM1046</v>
      </c>
      <c r="H241" s="13">
        <f ca="1">IFERROR(__xludf.DUMMYFUNCTION("""COMPUTED_VALUE"""),2488)</f>
        <v>2488</v>
      </c>
      <c r="I241" s="14">
        <f ca="1">IFERROR(__xludf.DUMMYFUNCTION("""COMPUTED_VALUE"""),1980)</f>
        <v>1980</v>
      </c>
      <c r="J241" s="16">
        <f ca="1">IFERROR(__xludf.DUMMYFUNCTION("""COMPUTED_VALUE"""),45474)</f>
        <v>45474</v>
      </c>
      <c r="K241" s="12" t="str">
        <f ca="1">IFERROR(__xludf.DUMMYFUNCTION("""COMPUTED_VALUE"""),"新機上架")</f>
        <v>新機上架</v>
      </c>
      <c r="L241" s="12" t="str">
        <f ca="1">IFERROR(__xludf.DUMMYFUNCTION("""COMPUTED_VALUE"""),"上架中")</f>
        <v>上架中</v>
      </c>
      <c r="M241" s="12" t="str">
        <f ca="1">IFERROR(__xludf.DUMMYFUNCTION("""COMPUTED_VALUE"""),"2024/7/1新機上架")</f>
        <v>2024/7/1新機上架</v>
      </c>
      <c r="N241" s="12" t="str">
        <f ca="1">IFERROR(__xludf.DUMMYFUNCTION("""COMPUTED_VALUE"""),"快煮壺/料理壺/手沖壺")</f>
        <v>快煮壺/料理壺/手沖壺</v>
      </c>
      <c r="O241" s="12" t="str">
        <f ca="1">IFERROR(__xludf.DUMMYFUNCTION("""COMPUTED_VALUE"""),"黑色")</f>
        <v>黑色</v>
      </c>
      <c r="P241" s="12" t="str">
        <f ca="1">IFERROR(__xludf.DUMMYFUNCTION("""COMPUTED_VALUE"""),"◆電壓：110V~60Hz
◆消耗功率：1000W
◆容量：0.8 L
◆機體淨重：1 Kg
◆機體尺寸：長127x 寬136 x高248 mm")</f>
        <v>◆電壓：110V~60Hz
◆消耗功率：1000W
◆容量：0.8 L
◆機體淨重：1 Kg
◆機體尺寸：長127x 寬136 x高248 mm</v>
      </c>
      <c r="Q241" s="12" t="str">
        <f ca="1">IFERROR(__xludf.DUMMYFUNCTION("""COMPUTED_VALUE"""),"高248x寬136x長127mm")</f>
        <v>高248x寬136x長127mm</v>
      </c>
      <c r="R241" s="12" t="str">
        <f ca="1">IFERROR(__xludf.DUMMYFUNCTION("""COMPUTED_VALUE"""),"中國")</f>
        <v>中國</v>
      </c>
      <c r="S241" s="12"/>
      <c r="T241" s="12"/>
      <c r="U241" s="12" t="str">
        <f ca="1">IFERROR(__xludf.DUMMYFUNCTION("""COMPUTED_VALUE"""),"1年")</f>
        <v>1年</v>
      </c>
      <c r="V241" s="12"/>
      <c r="W241" s="12"/>
      <c r="X241" s="12"/>
      <c r="Y241" s="12"/>
      <c r="Z241" s="14"/>
      <c r="AA241" s="15" t="str">
        <f ca="1">IFERROR(__xludf.DUMMYFUNCTION("""COMPUTED_VALUE"""),"*藝術又實用 泡茶沖咖啡燒水皆可*長壺嘴設計 水流易掌控 好沖泡*磁吸式壺蓋 便利開關 倒水不漏")</f>
        <v>*藝術又實用 泡茶沖咖啡燒水皆可*長壺嘴設計 水流易掌控 好沖泡*磁吸式壺蓋 便利開關 倒水不漏</v>
      </c>
    </row>
    <row r="242" spans="1:27" ht="19.5" customHeight="1">
      <c r="A242" s="12" t="str">
        <f ca="1">IFERROR(__xludf.DUMMYFUNCTION("""COMPUTED_VALUE"""),"生活家電")</f>
        <v>生活家電</v>
      </c>
      <c r="B242" s="12" t="str">
        <f ca="1">IFERROR(__xludf.DUMMYFUNCTION("""COMPUTED_VALUE"""),"凱創")</f>
        <v>凱創</v>
      </c>
      <c r="C242" s="12" t="str">
        <f ca="1">IFERROR(__xludf.DUMMYFUNCTION("""COMPUTED_VALUE"""),"奇美")</f>
        <v>奇美</v>
      </c>
      <c r="D242" s="12" t="str">
        <f ca="1">IFERROR(__xludf.DUMMYFUNCTION("""COMPUTED_VALUE"""),"CHIMEI奇美 3-6坪 360度全淨化空氣清淨機 AP-05SRC1")</f>
        <v>CHIMEI奇美 3-6坪 360度全淨化空氣清淨機 AP-05SRC1</v>
      </c>
      <c r="E242" s="12" t="str">
        <f ca="1">IFERROR(__xludf.DUMMYFUNCTION("""COMPUTED_VALUE"""),"AP-05SRC1")</f>
        <v>AP-05SRC1</v>
      </c>
      <c r="F242" s="12">
        <f ca="1">IFERROR(__xludf.DUMMYFUNCTION("""COMPUTED_VALUE"""),51084341)</f>
        <v>51084341</v>
      </c>
      <c r="G242" s="12" t="str">
        <f ca="1">IFERROR(__xludf.DUMMYFUNCTION("""COMPUTED_VALUE"""),"IGEM1047")</f>
        <v>IGEM1047</v>
      </c>
      <c r="H242" s="13">
        <f ca="1">IFERROR(__xludf.DUMMYFUNCTION("""COMPUTED_VALUE"""),2688)</f>
        <v>2688</v>
      </c>
      <c r="I242" s="14">
        <f ca="1">IFERROR(__xludf.DUMMYFUNCTION("""COMPUTED_VALUE"""),2188)</f>
        <v>2188</v>
      </c>
      <c r="J242" s="16">
        <f ca="1">IFERROR(__xludf.DUMMYFUNCTION("""COMPUTED_VALUE"""),45474)</f>
        <v>45474</v>
      </c>
      <c r="K242" s="12" t="str">
        <f ca="1">IFERROR(__xludf.DUMMYFUNCTION("""COMPUTED_VALUE"""),"新機上架")</f>
        <v>新機上架</v>
      </c>
      <c r="L242" s="12" t="str">
        <f ca="1">IFERROR(__xludf.DUMMYFUNCTION("""COMPUTED_VALUE"""),"上架中")</f>
        <v>上架中</v>
      </c>
      <c r="M242" s="12" t="str">
        <f ca="1">IFERROR(__xludf.DUMMYFUNCTION("""COMPUTED_VALUE"""),"2024/7/1新機上架")</f>
        <v>2024/7/1新機上架</v>
      </c>
      <c r="N242" s="12" t="str">
        <f ca="1">IFERROR(__xludf.DUMMYFUNCTION("""COMPUTED_VALUE"""),"空氣清淨機")</f>
        <v>空氣清淨機</v>
      </c>
      <c r="O242" s="12" t="str">
        <f ca="1">IFERROR(__xludf.DUMMYFUNCTION("""COMPUTED_VALUE"""),"白色")</f>
        <v>白色</v>
      </c>
      <c r="P242" s="12" t="str">
        <f ca="1">IFERROR(__xludf.DUMMYFUNCTION("""COMPUTED_VALUE"""),"◆商品尺寸：高315 x 寬210 x 深210 (mm)
◆商品重量：2.2 kg
◆適用坪數：3-6坪
◆CADR值：130m³/h
◆CASR值：1.9cmm
◆能源效率值：0.090cmm/W
◆能源效率：第4級
◆額定電壓：110V
◆額定頻率：60Hz
◆總額定消耗電功率：25W
◆噪音值：睡眠模式-30dBA／3檔-55dBA
◆替換濾網型號：F05HPH13
◆濾網建議更換時間：約1年(依個人使用習慣及使用環境而異)
◆商檢字號：R63298")</f>
        <v>◆商品尺寸：高315 x 寬210 x 深210 (mm)
◆商品重量：2.2 kg
◆適用坪數：3-6坪
◆CADR值：130m³/h
◆CASR值：1.9cmm
◆能源效率值：0.090cmm/W
◆能源效率：第4級
◆額定電壓：110V
◆額定頻率：60Hz
◆總額定消耗電功率：25W
◆噪音值：睡眠模式-30dBA／3檔-55dBA
◆替換濾網型號：F05HPH13
◆濾網建議更換時間：約1年(依個人使用習慣及使用環境而異)
◆商檢字號：R63298</v>
      </c>
      <c r="Q242" s="12" t="str">
        <f ca="1">IFERROR(__xludf.DUMMYFUNCTION("""COMPUTED_VALUE"""),"高315 x 寬210 x 深210 (mm)")</f>
        <v>高315 x 寬210 x 深210 (mm)</v>
      </c>
      <c r="R242" s="12" t="str">
        <f ca="1">IFERROR(__xludf.DUMMYFUNCTION("""COMPUTED_VALUE"""),"中國")</f>
        <v>中國</v>
      </c>
      <c r="S242" s="12"/>
      <c r="T242" s="12"/>
      <c r="U242" s="12" t="str">
        <f ca="1">IFERROR(__xludf.DUMMYFUNCTION("""COMPUTED_VALUE"""),"1年")</f>
        <v>1年</v>
      </c>
      <c r="V242" s="12"/>
      <c r="W242" s="12"/>
      <c r="X242" s="12" t="str">
        <f ca="1">IFERROR(__xludf.DUMMYFUNCTION("""COMPUTED_VALUE"""),"(114/1/1-2/28)隨貨送順髮氣墊梳組(市價299)")</f>
        <v>(114/1/1-2/28)隨貨送順髮氣墊梳組(市價299)</v>
      </c>
      <c r="Y242" s="12"/>
      <c r="Z242" s="14"/>
      <c r="AA242" s="15" t="str">
        <f ca="1">IFERROR(__xludf.DUMMYFUNCTION("""COMPUTED_VALUE"""),"*三合一HEPA濾淨99.9%PM2.5*釋放負離子，空氣再淨化*360°環狀進風，淨化零死角*3段風速+3段定時功能*貼心低噪音睡眠模式一夜好眠*濾網更換提醒，自動監測壽命")</f>
        <v>*三合一HEPA濾淨99.9%PM2.5*釋放負離子，空氣再淨化*360°環狀進風，淨化零死角*3段風速+3段定時功能*貼心低噪音睡眠模式一夜好眠*濾網更換提醒，自動監測壽命</v>
      </c>
    </row>
    <row r="243" spans="1:27" ht="19.5" customHeight="1">
      <c r="A243" s="12" t="str">
        <f ca="1">IFERROR(__xludf.DUMMYFUNCTION("""COMPUTED_VALUE"""),"生活家電")</f>
        <v>生活家電</v>
      </c>
      <c r="B243" s="12" t="str">
        <f ca="1">IFERROR(__xludf.DUMMYFUNCTION("""COMPUTED_VALUE"""),"凱創")</f>
        <v>凱創</v>
      </c>
      <c r="C243" s="12" t="str">
        <f ca="1">IFERROR(__xludf.DUMMYFUNCTION("""COMPUTED_VALUE"""),"奇美")</f>
        <v>奇美</v>
      </c>
      <c r="D243" s="12" t="str">
        <f ca="1">IFERROR(__xludf.DUMMYFUNCTION("""COMPUTED_VALUE"""),"CHIMEI奇美 智慧光移LED檯燈LT-MS120D")</f>
        <v>CHIMEI奇美 智慧光移LED檯燈LT-MS120D</v>
      </c>
      <c r="E243" s="12" t="str">
        <f ca="1">IFERROR(__xludf.DUMMYFUNCTION("""COMPUTED_VALUE"""),"LT-MS120D")</f>
        <v>LT-MS120D</v>
      </c>
      <c r="F243" s="12">
        <f ca="1">IFERROR(__xludf.DUMMYFUNCTION("""COMPUTED_VALUE"""),51084354)</f>
        <v>51084354</v>
      </c>
      <c r="G243" s="12" t="str">
        <f ca="1">IFERROR(__xludf.DUMMYFUNCTION("""COMPUTED_VALUE"""),"IGEM112E")</f>
        <v>IGEM112E</v>
      </c>
      <c r="H243" s="13">
        <f ca="1">IFERROR(__xludf.DUMMYFUNCTION("""COMPUTED_VALUE"""),3488)</f>
        <v>3488</v>
      </c>
      <c r="I243" s="14">
        <f ca="1">IFERROR(__xludf.DUMMYFUNCTION("""COMPUTED_VALUE"""),2799)</f>
        <v>2799</v>
      </c>
      <c r="J243" s="16">
        <f ca="1">IFERROR(__xludf.DUMMYFUNCTION("""COMPUTED_VALUE"""),45597)</f>
        <v>45597</v>
      </c>
      <c r="K243" s="12" t="str">
        <f ca="1">IFERROR(__xludf.DUMMYFUNCTION("""COMPUTED_VALUE"""),"新機上架")</f>
        <v>新機上架</v>
      </c>
      <c r="L243" s="12" t="str">
        <f ca="1">IFERROR(__xludf.DUMMYFUNCTION("""COMPUTED_VALUE"""),"上架中")</f>
        <v>上架中</v>
      </c>
      <c r="M243" s="12" t="str">
        <f ca="1">IFERROR(__xludf.DUMMYFUNCTION("""COMPUTED_VALUE"""),"2024/11/1新機上架")</f>
        <v>2024/11/1新機上架</v>
      </c>
      <c r="N243" s="12" t="str">
        <f ca="1">IFERROR(__xludf.DUMMYFUNCTION("""COMPUTED_VALUE"""),"檯燈/燈具/燈飾")</f>
        <v>檯燈/燈具/燈飾</v>
      </c>
      <c r="O243" s="12" t="str">
        <f ca="1">IFERROR(__xludf.DUMMYFUNCTION("""COMPUTED_VALUE"""),"白色")</f>
        <v>白色</v>
      </c>
      <c r="P243" s="12"/>
      <c r="Q243" s="12" t="str">
        <f ca="1">IFERROR(__xludf.DUMMYFUNCTION("""COMPUTED_VALUE"""),"高422 x 寬283 x 長344mm")</f>
        <v>高422 x 寬283 x 長344mm</v>
      </c>
      <c r="R243" s="12" t="str">
        <f ca="1">IFERROR(__xludf.DUMMYFUNCTION("""COMPUTED_VALUE"""),"中國")</f>
        <v>中國</v>
      </c>
      <c r="S243" s="12"/>
      <c r="T243" s="12"/>
      <c r="U243" s="12" t="str">
        <f ca="1">IFERROR(__xludf.DUMMYFUNCTION("""COMPUTED_VALUE"""),"1年")</f>
        <v>1年</v>
      </c>
      <c r="V243" s="12"/>
      <c r="W243" s="12"/>
      <c r="X243" s="12"/>
      <c r="Y243" s="12"/>
      <c r="Z243" s="14"/>
      <c r="AA243" s="15" t="str">
        <f ca="1">IFERROR(__xludf.DUMMYFUNCTION("""COMPUTED_VALUE"""),"*獨家光移專利，旋鈕即可調整光照*智慧偵測自動調光，補足照度*5段角度可調整至舒適照明角度*符合日本測試規範JIS AA照度標準*色溫、亮度可無段式調節")</f>
        <v>*獨家光移專利，旋鈕即可調整光照*智慧偵測自動調光，補足照度*5段角度可調整至舒適照明角度*符合日本測試規範JIS AA照度標準*色溫、亮度可無段式調節</v>
      </c>
    </row>
    <row r="244" spans="1:27" ht="19.5" customHeight="1">
      <c r="A244" s="12" t="str">
        <f ca="1">IFERROR(__xludf.DUMMYFUNCTION("""COMPUTED_VALUE"""),"生活家電")</f>
        <v>生活家電</v>
      </c>
      <c r="B244" s="12" t="str">
        <f ca="1">IFERROR(__xludf.DUMMYFUNCTION("""COMPUTED_VALUE"""),"凱創")</f>
        <v>凱創</v>
      </c>
      <c r="C244" s="12" t="str">
        <f ca="1">IFERROR(__xludf.DUMMYFUNCTION("""COMPUTED_VALUE"""),"英國VS沙宣")</f>
        <v>英國VS沙宣</v>
      </c>
      <c r="D244" s="12" t="str">
        <f ca="1">IFERROR(__xludf.DUMMYFUNCTION("""COMPUTED_VALUE"""),"英國VS沙宣電氣石柔髮負離子吹風機VS5543PIW")</f>
        <v>英國VS沙宣電氣石柔髮負離子吹風機VS5543PIW</v>
      </c>
      <c r="E244" s="12" t="str">
        <f ca="1">IFERROR(__xludf.DUMMYFUNCTION("""COMPUTED_VALUE"""),"VS5543PIW")</f>
        <v>VS5543PIW</v>
      </c>
      <c r="F244" s="12">
        <f ca="1">IFERROR(__xludf.DUMMYFUNCTION("""COMPUTED_VALUE"""),51084275)</f>
        <v>51084275</v>
      </c>
      <c r="G244" s="12" t="str">
        <f ca="1">IFERROR(__xludf.DUMMYFUNCTION("""COMPUTED_VALUE"""),"IGEM053E")</f>
        <v>IGEM053E</v>
      </c>
      <c r="H244" s="12">
        <f ca="1">IFERROR(__xludf.DUMMYFUNCTION("""COMPUTED_VALUE"""),1580)</f>
        <v>1580</v>
      </c>
      <c r="I244" s="14">
        <f ca="1">IFERROR(__xludf.DUMMYFUNCTION("""COMPUTED_VALUE"""),1180)</f>
        <v>1180</v>
      </c>
      <c r="J244" s="12"/>
      <c r="K244" s="12"/>
      <c r="L244" s="12" t="str">
        <f ca="1">IFERROR(__xludf.DUMMYFUNCTION("""COMPUTED_VALUE"""),"上架中")</f>
        <v>上架中</v>
      </c>
      <c r="M244" s="12" t="str">
        <f ca="1">IFERROR(__xludf.DUMMYFUNCTION("""COMPUTED_VALUE"""),"2022/1/1新機上架")</f>
        <v>2022/1/1新機上架</v>
      </c>
      <c r="N244" s="12" t="str">
        <f ca="1">IFERROR(__xludf.DUMMYFUNCTION("""COMPUTED_VALUE"""),"吹風機/造型整髮器")</f>
        <v>吹風機/造型整髮器</v>
      </c>
      <c r="O244" s="12" t="str">
        <f ca="1">IFERROR(__xludf.DUMMYFUNCTION("""COMPUTED_VALUE"""),"X")</f>
        <v>X</v>
      </c>
      <c r="P244" s="12" t="str">
        <f ca="1">IFERROR(__xludf.DUMMYFUNCTION("""COMPUTED_VALUE"""),"""◆材質：PC/PPS/鐵/鋁
◆額定電壓/頻率：110V/60Hz
◆消耗功率：1400W
◆重量：485g""
")</f>
        <v xml:space="preserve">"◆材質：PC/PPS/鐵/鋁
◆額定電壓/頻率：110V/60Hz
◆消耗功率：1400W
◆重量：485g"
</v>
      </c>
      <c r="Q244" s="12" t="str">
        <f ca="1">IFERROR(__xludf.DUMMYFUNCTION("""COMPUTED_VALUE"""),"290*206*91mm")</f>
        <v>290*206*91mm</v>
      </c>
      <c r="R244" s="12" t="str">
        <f ca="1">IFERROR(__xludf.DUMMYFUNCTION("""COMPUTED_VALUE"""),"中國")</f>
        <v>中國</v>
      </c>
      <c r="S244" s="12"/>
      <c r="T244" s="12"/>
      <c r="U244" s="22" t="str">
        <f ca="1">IFERROR(__xludf.DUMMYFUNCTION("""COMPUTED_VALUE"""),"正常使用下主機保固兩年")</f>
        <v>正常使用下主機保固兩年</v>
      </c>
      <c r="V244" s="12"/>
      <c r="W244" s="12"/>
      <c r="X244" s="12"/>
      <c r="Y244" s="12"/>
      <c r="Z244" s="14"/>
      <c r="AA244" s="15" t="str">
        <f ca="1">IFERROR(__xludf.DUMMYFUNCTION("""COMPUTED_VALUE"""),"*電氣石自然釋放負離子，水分深入滋養秀髮*3段溫度及風速，滿足各種吹整需求*485g輕巧大風量，快速吹乾*一鍵切換冷風，塑型持久*附軟矽膠烘罩，可按摩頭皮及塑造捲髮")</f>
        <v>*電氣石自然釋放負離子，水分深入滋養秀髮*3段溫度及風速，滿足各種吹整需求*485g輕巧大風量，快速吹乾*一鍵切換冷風，塑型持久*附軟矽膠烘罩，可按摩頭皮及塑造捲髮</v>
      </c>
    </row>
    <row r="245" spans="1:27" ht="19.5" customHeight="1">
      <c r="A245" s="12" t="str">
        <f ca="1">IFERROR(__xludf.DUMMYFUNCTION("""COMPUTED_VALUE"""),"生活家電")</f>
        <v>生活家電</v>
      </c>
      <c r="B245" s="12" t="str">
        <f ca="1">IFERROR(__xludf.DUMMYFUNCTION("""COMPUTED_VALUE"""),"凱創")</f>
        <v>凱創</v>
      </c>
      <c r="C245" s="12" t="str">
        <f ca="1">IFERROR(__xludf.DUMMYFUNCTION("""COMPUTED_VALUE"""),"TOSHIBA")</f>
        <v>TOSHIBA</v>
      </c>
      <c r="D245" s="12" t="str">
        <f ca="1">IFERROR(__xludf.DUMMYFUNCTION("""COMPUTED_VALUE"""),"東芝TOSHIBA 旋風自牽引無線吸塵器(黑紅) VC-CLX50A")</f>
        <v>東芝TOSHIBA 旋風自牽引無線吸塵器(黑紅) VC-CLX50A</v>
      </c>
      <c r="E245" s="12" t="str">
        <f ca="1">IFERROR(__xludf.DUMMYFUNCTION("""COMPUTED_VALUE"""),"VC-CLX50A")</f>
        <v>VC-CLX50A</v>
      </c>
      <c r="F245" s="12">
        <f ca="1">IFERROR(__xludf.DUMMYFUNCTION("""COMPUTED_VALUE"""),51084292)</f>
        <v>51084292</v>
      </c>
      <c r="G245" s="12" t="str">
        <f ca="1">IFERROR(__xludf.DUMMYFUNCTION("""COMPUTED_VALUE"""),"IGEM068Z")</f>
        <v>IGEM068Z</v>
      </c>
      <c r="H245" s="12">
        <f ca="1">IFERROR(__xludf.DUMMYFUNCTION("""COMPUTED_VALUE"""),14800)</f>
        <v>14800</v>
      </c>
      <c r="I245" s="14">
        <f ca="1">IFERROR(__xludf.DUMMYFUNCTION("""COMPUTED_VALUE"""),8599)</f>
        <v>8599</v>
      </c>
      <c r="J245" s="21">
        <f ca="1">IFERROR(__xludf.DUMMYFUNCTION("""COMPUTED_VALUE"""),45658)</f>
        <v>45658</v>
      </c>
      <c r="K245" s="12" t="str">
        <f ca="1">IFERROR(__xludf.DUMMYFUNCTION("""COMPUTED_VALUE"""),"回價")</f>
        <v>回價</v>
      </c>
      <c r="L245" s="12" t="str">
        <f ca="1">IFERROR(__xludf.DUMMYFUNCTION("""COMPUTED_VALUE"""),"上架中")</f>
        <v>上架中</v>
      </c>
      <c r="M245" s="12" t="str">
        <f ca="1">IFERROR(__xludf.DUMMYFUNCTION("""COMPUTED_VALUE"""),"2025/1/1回價，2024/5/1回價，12/1短促，6/10短促，2022/10/1新機上架")</f>
        <v>2025/1/1回價，2024/5/1回價，12/1短促，6/10短促，2022/10/1新機上架</v>
      </c>
      <c r="N245" s="12" t="str">
        <f ca="1">IFERROR(__xludf.DUMMYFUNCTION("""COMPUTED_VALUE"""),"吸塵器")</f>
        <v>吸塵器</v>
      </c>
      <c r="O245" s="12" t="str">
        <f ca="1">IFERROR(__xludf.DUMMYFUNCTION("""COMPUTED_VALUE"""),"黑紅")</f>
        <v>黑紅</v>
      </c>
      <c r="P245" s="12" t="str">
        <f ca="1">IFERROR(__xludf.DUMMYFUNCTION("""COMPUTED_VALUE"""),"◆額定電壓 : 18V
◆消耗功率 : 10W~180W
◆機體淨重：1.5KG")</f>
        <v>◆額定電壓 : 18V
◆消耗功率 : 10W~180W
◆機體淨重：1.5KG</v>
      </c>
      <c r="Q245" s="12" t="str">
        <f ca="1">IFERROR(__xludf.DUMMYFUNCTION("""COMPUTED_VALUE"""),"1058*180*266mm")</f>
        <v>1058*180*266mm</v>
      </c>
      <c r="R245" s="12" t="str">
        <f ca="1">IFERROR(__xludf.DUMMYFUNCTION("""COMPUTED_VALUE"""),"中國")</f>
        <v>中國</v>
      </c>
      <c r="S245" s="12"/>
      <c r="T245" s="12"/>
      <c r="U245" s="22" t="str">
        <f ca="1">IFERROR(__xludf.DUMMYFUNCTION("""COMPUTED_VALUE"""),"主機保固1年")</f>
        <v>主機保固1年</v>
      </c>
      <c r="V245" s="12"/>
      <c r="W245" s="12"/>
      <c r="X245" s="12"/>
      <c r="Y245" s="12"/>
      <c r="Z245" s="14"/>
      <c r="AA245" s="15" t="str">
        <f ca="1">IFERROR(__xludf.DUMMYFUNCTION("""COMPUTED_VALUE"""),"*BLDC無刷馬達，持久大吸力，低損耗、更耐用*吸力9000PA*灰塵壓縮技術，6錐旋風壓縮75%灰塵*地刷自動牽引*1.5kg輕量機身*抗菌材質可去除地板99%細菌*14項多重安全保護*電池最長續航力達45分鐘*原廠含3種配件(床墊/隙縫/軟毛原刷)")</f>
        <v>*BLDC無刷馬達，持久大吸力，低損耗、更耐用*吸力9000PA*灰塵壓縮技術，6錐旋風壓縮75%灰塵*地刷自動牽引*1.5kg輕量機身*抗菌材質可去除地板99%細菌*14項多重安全保護*電池最長續航力達45分鐘*原廠含3種配件(床墊/隙縫/軟毛原刷)</v>
      </c>
    </row>
    <row r="246" spans="1:27" ht="19.5" customHeight="1">
      <c r="A246" s="12" t="str">
        <f ca="1">IFERROR(__xludf.DUMMYFUNCTION("""COMPUTED_VALUE"""),"生活家電")</f>
        <v>生活家電</v>
      </c>
      <c r="B246" s="12" t="str">
        <f ca="1">IFERROR(__xludf.DUMMYFUNCTION("""COMPUTED_VALUE"""),"凱創")</f>
        <v>凱創</v>
      </c>
      <c r="C246" s="12" t="str">
        <f ca="1">IFERROR(__xludf.DUMMYFUNCTION("""COMPUTED_VALUE"""),"TOSHIBA")</f>
        <v>TOSHIBA</v>
      </c>
      <c r="D246" s="12" t="str">
        <f ca="1">IFERROR(__xludf.DUMMYFUNCTION("""COMPUTED_VALUE"""),"東芝TOSHIBA 龍捲風無線吸塵器(羽量型)(黑紅) VC-CLS1A")</f>
        <v>東芝TOSHIBA 龍捲風無線吸塵器(羽量型)(黑紅) VC-CLS1A</v>
      </c>
      <c r="E246" s="12" t="str">
        <f ca="1">IFERROR(__xludf.DUMMYFUNCTION("""COMPUTED_VALUE"""),"VC-CLS1A")</f>
        <v>VC-CLS1A</v>
      </c>
      <c r="F246" s="12">
        <f ca="1">IFERROR(__xludf.DUMMYFUNCTION("""COMPUTED_VALUE"""),51084293)</f>
        <v>51084293</v>
      </c>
      <c r="G246" s="12" t="str">
        <f ca="1">IFERROR(__xludf.DUMMYFUNCTION("""COMPUTED_VALUE"""),"IGEM0690")</f>
        <v>IGEM0690</v>
      </c>
      <c r="H246" s="12">
        <f ca="1">IFERROR(__xludf.DUMMYFUNCTION("""COMPUTED_VALUE"""),10800)</f>
        <v>10800</v>
      </c>
      <c r="I246" s="14">
        <f ca="1">IFERROR(__xludf.DUMMYFUNCTION("""COMPUTED_VALUE"""),4990)</f>
        <v>4990</v>
      </c>
      <c r="J246" s="21">
        <f ca="1">IFERROR(__xludf.DUMMYFUNCTION("""COMPUTED_VALUE"""),45481)</f>
        <v>45481</v>
      </c>
      <c r="K246" s="12" t="str">
        <f ca="1">IFERROR(__xludf.DUMMYFUNCTION("""COMPUTED_VALUE"""),"短促")</f>
        <v>短促</v>
      </c>
      <c r="L246" s="12" t="str">
        <f ca="1">IFERROR(__xludf.DUMMYFUNCTION("""COMPUTED_VALUE"""),"上架中")</f>
        <v>上架中</v>
      </c>
      <c r="M246" s="12" t="str">
        <f ca="1">IFERROR(__xludf.DUMMYFUNCTION("""COMPUTED_VALUE"""),"2024/7/8短促，2022/10/1新機上架")</f>
        <v>2024/7/8短促，2022/10/1新機上架</v>
      </c>
      <c r="N246" s="12" t="str">
        <f ca="1">IFERROR(__xludf.DUMMYFUNCTION("""COMPUTED_VALUE"""),"吸塵器")</f>
        <v>吸塵器</v>
      </c>
      <c r="O246" s="12" t="str">
        <f ca="1">IFERROR(__xludf.DUMMYFUNCTION("""COMPUTED_VALUE"""),"黑紅")</f>
        <v>黑紅</v>
      </c>
      <c r="P246" s="12" t="str">
        <f ca="1">IFERROR(__xludf.DUMMYFUNCTION("""COMPUTED_VALUE"""),"◆額定電壓 : 10.8V
◆消耗功率 : 120W
◆機體淨重：1.2KG")</f>
        <v>◆額定電壓 : 10.8V
◆消耗功率 : 120W
◆機體淨重：1.2KG</v>
      </c>
      <c r="Q246" s="12" t="str">
        <f ca="1">IFERROR(__xludf.DUMMYFUNCTION("""COMPUTED_VALUE"""),"1025*140*200mm")</f>
        <v>1025*140*200mm</v>
      </c>
      <c r="R246" s="12" t="str">
        <f ca="1">IFERROR(__xludf.DUMMYFUNCTION("""COMPUTED_VALUE"""),"中國")</f>
        <v>中國</v>
      </c>
      <c r="S246" s="12"/>
      <c r="T246" s="12"/>
      <c r="U246" s="22" t="str">
        <f ca="1">IFERROR(__xludf.DUMMYFUNCTION("""COMPUTED_VALUE"""),"主機保固1年")</f>
        <v>主機保固1年</v>
      </c>
      <c r="V246" s="12"/>
      <c r="W246" s="12"/>
      <c r="X246" s="12"/>
      <c r="Y246" s="12"/>
      <c r="Z246" s="14"/>
      <c r="AA246" s="15" t="str">
        <f ca="1">IFERROR(__xludf.DUMMYFUNCTION("""COMPUTED_VALUE"""),"*2021 IF設計大獎*吸力5000pa*1.2kg羽量化設計，輕鬆吸塵不費力*可水洗集塵杯，杯內防靜電*灰塵壓縮技術*壓縮67%灰塵，吸力不減*雙龍捲風勁吸系統*低噪音運行，適合毛孩家庭*電池最長續航力達35分鐘*原廠含2種配件(隙縫/軟毛原刷)")</f>
        <v>*2021 IF設計大獎*吸力5000pa*1.2kg羽量化設計，輕鬆吸塵不費力*可水洗集塵杯，杯內防靜電*灰塵壓縮技術*壓縮67%灰塵，吸力不減*雙龍捲風勁吸系統*低噪音運行，適合毛孩家庭*電池最長續航力達35分鐘*原廠含2種配件(隙縫/軟毛原刷)</v>
      </c>
    </row>
    <row r="247" spans="1:27" ht="19.5" customHeight="1">
      <c r="A247" s="12" t="str">
        <f ca="1">IFERROR(__xludf.DUMMYFUNCTION("""COMPUTED_VALUE"""),"生活家電")</f>
        <v>生活家電</v>
      </c>
      <c r="B247" s="12" t="str">
        <f ca="1">IFERROR(__xludf.DUMMYFUNCTION("""COMPUTED_VALUE"""),"大同")</f>
        <v>大同</v>
      </c>
      <c r="C247" s="12" t="str">
        <f ca="1">IFERROR(__xludf.DUMMYFUNCTION("""COMPUTED_VALUE"""),"PANASONIC")</f>
        <v>PANASONIC</v>
      </c>
      <c r="D247" s="12" t="str">
        <f ca="1">IFERROR(__xludf.DUMMYFUNCTION("""COMPUTED_VALUE"""),"PANASONIC溫水洗淨便座DL-F610RTWS")</f>
        <v>PANASONIC溫水洗淨便座DL-F610RTWS</v>
      </c>
      <c r="E247" s="12" t="str">
        <f ca="1">IFERROR(__xludf.DUMMYFUNCTION("""COMPUTED_VALUE"""),"DL-F610RTWS")</f>
        <v>DL-F610RTWS</v>
      </c>
      <c r="F247" s="12">
        <f ca="1">IFERROR(__xludf.DUMMYFUNCTION("""COMPUTED_VALUE"""),51089295)</f>
        <v>51089295</v>
      </c>
      <c r="G247" s="12" t="str">
        <f ca="1">IFERROR(__xludf.DUMMYFUNCTION("""COMPUTED_VALUE"""),"IGEM01RT")</f>
        <v>IGEM01RT</v>
      </c>
      <c r="H247" s="12">
        <f ca="1">IFERROR(__xludf.DUMMYFUNCTION("""COMPUTED_VALUE"""),8900)</f>
        <v>8900</v>
      </c>
      <c r="I247" s="14">
        <f ca="1">IFERROR(__xludf.DUMMYFUNCTION("""COMPUTED_VALUE"""),6990)</f>
        <v>6990</v>
      </c>
      <c r="J247" s="16">
        <f ca="1">IFERROR(__xludf.DUMMYFUNCTION("""COMPUTED_VALUE"""),45566)</f>
        <v>45566</v>
      </c>
      <c r="K247" s="12" t="str">
        <f ca="1">IFERROR(__xludf.DUMMYFUNCTION("""COMPUTED_VALUE"""),"短促")</f>
        <v>短促</v>
      </c>
      <c r="L247" s="12" t="str">
        <f ca="1">IFERROR(__xludf.DUMMYFUNCTION("""COMPUTED_VALUE"""),"上架中")</f>
        <v>上架中</v>
      </c>
      <c r="M247" s="12" t="str">
        <f ca="1">IFERROR(__xludf.DUMMYFUNCTION("""COMPUTED_VALUE"""),"2024/10/01短促，2023/3/13缺貨、7/13 到貨5/19缺貨、受理後請先通知大同，以加速出貨。2021/4/14到貨3/16缺貨.5/1新機上架")</f>
        <v>2024/10/01短促，2023/3/13缺貨、7/13 到貨5/19缺貨、受理後請先通知大同，以加速出貨。2021/4/14到貨3/16缺貨.5/1新機上架</v>
      </c>
      <c r="N247" s="12" t="str">
        <f ca="1">IFERROR(__xludf.DUMMYFUNCTION("""COMPUTED_VALUE"""),"免治馬桶")</f>
        <v>免治馬桶</v>
      </c>
      <c r="O247" s="12" t="str">
        <f ca="1">IFERROR(__xludf.DUMMYFUNCTION("""COMPUTED_VALUE"""),"白")</f>
        <v>白</v>
      </c>
      <c r="P247" s="12" t="str">
        <f ca="1">IFERROR(__xludf.DUMMYFUNCTION("""COMPUTED_VALUE"""),"電壓110V")</f>
        <v>電壓110V</v>
      </c>
      <c r="Q247" s="12" t="str">
        <f ca="1">IFERROR(__xludf.DUMMYFUNCTION("""COMPUTED_VALUE"""),"高159*寬474*深515mm")</f>
        <v>高159*寬474*深515mm</v>
      </c>
      <c r="R247" s="12" t="str">
        <f ca="1">IFERROR(__xludf.DUMMYFUNCTION("""COMPUTED_VALUE"""),"中國")</f>
        <v>中國</v>
      </c>
      <c r="S247" s="12"/>
      <c r="T247" s="12"/>
      <c r="U247" s="12" t="str">
        <f ca="1">IFERROR(__xludf.DUMMYFUNCTION("""COMPUTED_VALUE"""),"1年")</f>
        <v>1年</v>
      </c>
      <c r="V247" s="12"/>
      <c r="W247" s="12" t="str">
        <f ca="1">IFERROR(__xludf.DUMMYFUNCTION("""COMPUTED_VALUE"""),"(10/1-114/2/28)隨貨送SP-2507-PR時尚手動研磨罐")</f>
        <v>(10/1-114/2/28)隨貨送SP-2507-PR時尚手動研磨罐</v>
      </c>
      <c r="X247" s="12"/>
      <c r="Y247" s="12"/>
      <c r="Z247" s="14"/>
      <c r="AA247" s="15" t="str">
        <f ca="1">IFERROR(__xludf.DUMMYFUNCTION("""COMPUTED_VALUE"""),"*乾淨:SIAA抗菌便座/不鏽鋼噴嘴材質/噴嘴除菌洗淨*舒適:脈衝水流潔淨沖洗設計/三段水量&amp;温度設定*便利:便座快適拆卸安裝便利")</f>
        <v>*乾淨:SIAA抗菌便座/不鏽鋼噴嘴材質/噴嘴除菌洗淨*舒適:脈衝水流潔淨沖洗設計/三段水量&amp;温度設定*便利:便座快適拆卸安裝便利</v>
      </c>
    </row>
    <row r="248" spans="1:27" ht="19.5" customHeight="1">
      <c r="A248" s="12" t="str">
        <f ca="1">IFERROR(__xludf.DUMMYFUNCTION("""COMPUTED_VALUE"""),"生活家電")</f>
        <v>生活家電</v>
      </c>
      <c r="B248" s="12" t="str">
        <f ca="1">IFERROR(__xludf.DUMMYFUNCTION("""COMPUTED_VALUE"""),"大同")</f>
        <v>大同</v>
      </c>
      <c r="C248" s="12" t="str">
        <f ca="1">IFERROR(__xludf.DUMMYFUNCTION("""COMPUTED_VALUE"""),"PANASONIC")</f>
        <v>PANASONIC</v>
      </c>
      <c r="D248" s="12" t="str">
        <f ca="1">IFERROR(__xludf.DUMMYFUNCTION("""COMPUTED_VALUE"""),"Panasonic超音波水流沖牙機EW-1613-W")</f>
        <v>Panasonic超音波水流沖牙機EW-1613-W</v>
      </c>
      <c r="E248" s="12" t="str">
        <f ca="1">IFERROR(__xludf.DUMMYFUNCTION("""COMPUTED_VALUE"""),"EW-1613-W")</f>
        <v>EW-1613-W</v>
      </c>
      <c r="F248" s="12">
        <f ca="1">IFERROR(__xludf.DUMMYFUNCTION("""COMPUTED_VALUE"""),51081239)</f>
        <v>51081239</v>
      </c>
      <c r="G248" s="12" t="str">
        <f ca="1">IFERROR(__xludf.DUMMYFUNCTION("""COMPUTED_VALUE"""),"IGEM0513")</f>
        <v>IGEM0513</v>
      </c>
      <c r="H248" s="12">
        <f ca="1">IFERROR(__xludf.DUMMYFUNCTION("""COMPUTED_VALUE"""),3700)</f>
        <v>3700</v>
      </c>
      <c r="I248" s="14">
        <f ca="1">IFERROR(__xludf.DUMMYFUNCTION("""COMPUTED_VALUE"""),2788)</f>
        <v>2788</v>
      </c>
      <c r="J248" s="16">
        <f ca="1">IFERROR(__xludf.DUMMYFUNCTION("""COMPUTED_VALUE"""),45627)</f>
        <v>45627</v>
      </c>
      <c r="K248" s="12" t="str">
        <f ca="1">IFERROR(__xludf.DUMMYFUNCTION("""COMPUTED_VALUE"""),"短促")</f>
        <v>短促</v>
      </c>
      <c r="L248" s="12" t="str">
        <f ca="1">IFERROR(__xludf.DUMMYFUNCTION("""COMPUTED_VALUE"""),"上架中")</f>
        <v>上架中</v>
      </c>
      <c r="M248" s="12" t="str">
        <f ca="1">IFERROR(__xludf.DUMMYFUNCTION("""COMPUTED_VALUE"""),"2024/12/1短促，6/1 回價，2023/1/1回價，2022/12/1短促")</f>
        <v>2024/12/1短促，6/1 回價，2023/1/1回價，2022/12/1短促</v>
      </c>
      <c r="N248" s="12" t="str">
        <f ca="1">IFERROR(__xludf.DUMMYFUNCTION("""COMPUTED_VALUE"""),"電動牙刷/沖牙機")</f>
        <v>電動牙刷/沖牙機</v>
      </c>
      <c r="O248" s="12" t="str">
        <f ca="1">IFERROR(__xludf.DUMMYFUNCTION("""COMPUTED_VALUE"""),"白")</f>
        <v>白</v>
      </c>
      <c r="P248" s="12"/>
      <c r="Q248" s="12" t="str">
        <f ca="1">IFERROR(__xludf.DUMMYFUNCTION("""COMPUTED_VALUE"""),"高200*寬125*長140(mm)")</f>
        <v>高200*寬125*長140(mm)</v>
      </c>
      <c r="R248" s="12" t="str">
        <f ca="1">IFERROR(__xludf.DUMMYFUNCTION("""COMPUTED_VALUE"""),"中國")</f>
        <v>中國</v>
      </c>
      <c r="S248" s="12"/>
      <c r="T248" s="12"/>
      <c r="U248" s="12" t="str">
        <f ca="1">IFERROR(__xludf.DUMMYFUNCTION("""COMPUTED_VALUE"""),"1年")</f>
        <v>1年</v>
      </c>
      <c r="V248" s="12"/>
      <c r="W248" s="12"/>
      <c r="X248" s="12"/>
      <c r="Y248" s="12"/>
      <c r="Z248" s="14"/>
      <c r="AA248" s="15" t="str">
        <f ca="1">IFERROR(__xludf.DUMMYFUNCTION("""COMPUTED_VALUE"""),"*超音波水流*10段式水壓調節*水箱容量600mL*磁吸式噴嘴收納")</f>
        <v>*超音波水流*10段式水壓調節*水箱容量600mL*磁吸式噴嘴收納</v>
      </c>
    </row>
    <row r="249" spans="1:27" ht="19.5" customHeight="1">
      <c r="A249" s="12" t="str">
        <f ca="1">IFERROR(__xludf.DUMMYFUNCTION("""COMPUTED_VALUE"""),"生活家電")</f>
        <v>生活家電</v>
      </c>
      <c r="B249" s="12" t="str">
        <f ca="1">IFERROR(__xludf.DUMMYFUNCTION("""COMPUTED_VALUE"""),"大同")</f>
        <v>大同</v>
      </c>
      <c r="C249" s="12" t="str">
        <f ca="1">IFERROR(__xludf.DUMMYFUNCTION("""COMPUTED_VALUE"""),"PANASONIC")</f>
        <v>PANASONIC</v>
      </c>
      <c r="D249" s="12" t="str">
        <f ca="1">IFERROR(__xludf.DUMMYFUNCTION("""COMPUTED_VALUE"""),"Panasonic奈米水離子吹風機EH-NA9N-H (霧墨藍)")</f>
        <v>Panasonic奈米水離子吹風機EH-NA9N-H (霧墨藍)</v>
      </c>
      <c r="E249" s="12" t="str">
        <f ca="1">IFERROR(__xludf.DUMMYFUNCTION("""COMPUTED_VALUE"""),"EH-NA9N-H")</f>
        <v>EH-NA9N-H</v>
      </c>
      <c r="F249" s="12">
        <f ca="1">IFERROR(__xludf.DUMMYFUNCTION("""COMPUTED_VALUE"""),51081426)</f>
        <v>51081426</v>
      </c>
      <c r="G249" s="12" t="str">
        <f ca="1">IFERROR(__xludf.DUMMYFUNCTION("""COMPUTED_VALUE"""),"IGEM113U")</f>
        <v>IGEM113U</v>
      </c>
      <c r="H249" s="13">
        <f ca="1">IFERROR(__xludf.DUMMYFUNCTION("""COMPUTED_VALUE"""),6290)</f>
        <v>6290</v>
      </c>
      <c r="I249" s="14">
        <f ca="1">IFERROR(__xludf.DUMMYFUNCTION("""COMPUTED_VALUE"""),5990)</f>
        <v>5990</v>
      </c>
      <c r="J249" s="16">
        <f ca="1">IFERROR(__xludf.DUMMYFUNCTION("""COMPUTED_VALUE"""),45627)</f>
        <v>45627</v>
      </c>
      <c r="K249" s="12" t="str">
        <f ca="1">IFERROR(__xludf.DUMMYFUNCTION("""COMPUTED_VALUE"""),"短促")</f>
        <v>短促</v>
      </c>
      <c r="L249" s="12" t="str">
        <f ca="1">IFERROR(__xludf.DUMMYFUNCTION("""COMPUTED_VALUE"""),"上架中")</f>
        <v>上架中</v>
      </c>
      <c r="M249" s="12" t="str">
        <f ca="1">IFERROR(__xludf.DUMMYFUNCTION("""COMPUTED_VALUE"""),"2024/12/1短促")</f>
        <v>2024/12/1短促</v>
      </c>
      <c r="N249" s="12"/>
      <c r="O249" s="12" t="str">
        <f ca="1">IFERROR(__xludf.DUMMYFUNCTION("""COMPUTED_VALUE"""),"霧墨藍")</f>
        <v>霧墨藍</v>
      </c>
      <c r="P249" s="12"/>
      <c r="Q249" s="12" t="str">
        <f ca="1">IFERROR(__xludf.DUMMYFUNCTION("""COMPUTED_VALUE"""),"高221~1000 x 寬161 x 深74 (mm)")</f>
        <v>高221~1000 x 寬161 x 深74 (mm)</v>
      </c>
      <c r="R249" s="12" t="str">
        <f ca="1">IFERROR(__xludf.DUMMYFUNCTION("""COMPUTED_VALUE"""),"泰國")</f>
        <v>泰國</v>
      </c>
      <c r="S249" s="12"/>
      <c r="T249" s="12"/>
      <c r="U249" s="12" t="str">
        <f ca="1">IFERROR(__xludf.DUMMYFUNCTION("""COMPUTED_VALUE"""),"1年")</f>
        <v>1年</v>
      </c>
      <c r="V249" s="12"/>
      <c r="W249" s="12"/>
      <c r="X249" s="12"/>
      <c r="Y249" s="12"/>
      <c r="Z249" s="14"/>
      <c r="AA249" s="15" t="str">
        <f ca="1">IFERROR(__xludf.DUMMYFUNCTION("""COMPUTED_VALUE"""),"*獨家奈米水離子保濕科技*礦物負離子*4種美髮潤肌模式*速乾吹嘴+集風造型吹嘴+捲髮定型烘罩")</f>
        <v>*獨家奈米水離子保濕科技*礦物負離子*4種美髮潤肌模式*速乾吹嘴+集風造型吹嘴+捲髮定型烘罩</v>
      </c>
    </row>
    <row r="250" spans="1:27" ht="19.5" customHeight="1">
      <c r="A250" s="12" t="str">
        <f ca="1">IFERROR(__xludf.DUMMYFUNCTION("""COMPUTED_VALUE"""),"生活家電")</f>
        <v>生活家電</v>
      </c>
      <c r="B250" s="12" t="str">
        <f ca="1">IFERROR(__xludf.DUMMYFUNCTION("""COMPUTED_VALUE"""),"禾聯")</f>
        <v>禾聯</v>
      </c>
      <c r="C250" s="12" t="str">
        <f ca="1">IFERROR(__xludf.DUMMYFUNCTION("""COMPUTED_VALUE"""),"禾聯")</f>
        <v>禾聯</v>
      </c>
      <c r="D250" s="12" t="str">
        <f ca="1">IFERROR(__xludf.DUMMYFUNCTION("""COMPUTED_VALUE"""),"禾聯奈米銀雙效抑菌DC風扇HDF-14SH71B")</f>
        <v>禾聯奈米銀雙效抑菌DC風扇HDF-14SH71B</v>
      </c>
      <c r="E250" s="12" t="str">
        <f ca="1">IFERROR(__xludf.DUMMYFUNCTION("""COMPUTED_VALUE"""),"HDF-14SH71B")</f>
        <v>HDF-14SH71B</v>
      </c>
      <c r="F250" s="12">
        <f ca="1">IFERROR(__xludf.DUMMYFUNCTION("""COMPUTED_VALUE"""),51008142)</f>
        <v>51008142</v>
      </c>
      <c r="G250" s="12" t="str">
        <f ca="1">IFERROR(__xludf.DUMMYFUNCTION("""COMPUTED_VALUE"""),"IGEM038V")</f>
        <v>IGEM038V</v>
      </c>
      <c r="H250" s="12">
        <f ca="1">IFERROR(__xludf.DUMMYFUNCTION("""COMPUTED_VALUE"""),5990)</f>
        <v>5990</v>
      </c>
      <c r="I250" s="14">
        <f ca="1">IFERROR(__xludf.DUMMYFUNCTION("""COMPUTED_VALUE"""),3490)</f>
        <v>3490</v>
      </c>
      <c r="J250" s="16">
        <f ca="1">IFERROR(__xludf.DUMMYFUNCTION("""COMPUTED_VALUE"""),44927)</f>
        <v>44927</v>
      </c>
      <c r="K250" s="12" t="str">
        <f ca="1">IFERROR(__xludf.DUMMYFUNCTION("""COMPUTED_VALUE"""),"回價")</f>
        <v>回價</v>
      </c>
      <c r="L250" s="12" t="str">
        <f ca="1">IFERROR(__xludf.DUMMYFUNCTION("""COMPUTED_VALUE"""),"上架中")</f>
        <v>上架中</v>
      </c>
      <c r="M250" s="12" t="str">
        <f ca="1">IFERROR(__xludf.DUMMYFUNCTION("""COMPUTED_VALUE"""),"2021/6/1上架，2023/1/1起調漲")</f>
        <v>2021/6/1上架，2023/1/1起調漲</v>
      </c>
      <c r="N250" s="12" t="str">
        <f ca="1">IFERROR(__xludf.DUMMYFUNCTION("""COMPUTED_VALUE"""),"風扇")</f>
        <v>風扇</v>
      </c>
      <c r="O250" s="12" t="str">
        <f ca="1">IFERROR(__xludf.DUMMYFUNCTION("""COMPUTED_VALUE"""),"白")</f>
        <v>白</v>
      </c>
      <c r="P250" s="12" t="str">
        <f ca="1">IFERROR(__xludf.DUMMYFUNCTION("""COMPUTED_VALUE"""),"14吋")</f>
        <v>14吋</v>
      </c>
      <c r="Q250" s="12" t="str">
        <f ca="1">IFERROR(__xludf.DUMMYFUNCTION("""COMPUTED_VALUE"""),"905~1075×420×420mm
")</f>
        <v xml:space="preserve">905~1075×420×420mm
</v>
      </c>
      <c r="R250" s="12" t="str">
        <f ca="1">IFERROR(__xludf.DUMMYFUNCTION("""COMPUTED_VALUE"""),"台灣")</f>
        <v>台灣</v>
      </c>
      <c r="S250" s="12"/>
      <c r="T250" s="12"/>
      <c r="U250" s="12" t="str">
        <f ca="1">IFERROR(__xludf.DUMMYFUNCTION("""COMPUTED_VALUE"""),"1年")</f>
        <v>1年</v>
      </c>
      <c r="V250" s="12" t="str">
        <f ca="1">IFERROR(__xludf.DUMMYFUNCTION("""COMPUTED_VALUE"""),"1年")</f>
        <v>1年</v>
      </c>
      <c r="W250" s="12"/>
      <c r="X250" s="12"/>
      <c r="Y250" s="12"/>
      <c r="Z250" s="14"/>
      <c r="AA250" s="15" t="str">
        <f ca="1">IFERROR(__xludf.DUMMYFUNCTION("""COMPUTED_VALUE"""),"*日本品牌DC變頻馬達*遙控自動擺頭*10檔風量選擇*預約定時設定*遠端遙控功能*蜂鳴提示功能*三種風類模式")</f>
        <v>*日本品牌DC變頻馬達*遙控自動擺頭*10檔風量選擇*預約定時設定*遠端遙控功能*蜂鳴提示功能*三種風類模式</v>
      </c>
    </row>
    <row r="251" spans="1:27" ht="19.5" customHeight="1">
      <c r="A251" s="12" t="str">
        <f ca="1">IFERROR(__xludf.DUMMYFUNCTION("""COMPUTED_VALUE"""),"生活家電")</f>
        <v>生活家電</v>
      </c>
      <c r="B251" s="12" t="str">
        <f ca="1">IFERROR(__xludf.DUMMYFUNCTION("""COMPUTED_VALUE"""),"禾聯")</f>
        <v>禾聯</v>
      </c>
      <c r="C251" s="12" t="str">
        <f ca="1">IFERROR(__xludf.DUMMYFUNCTION("""COMPUTED_VALUE"""),"禾聯")</f>
        <v>禾聯</v>
      </c>
      <c r="D251" s="12" t="str">
        <f ca="1">IFERROR(__xludf.DUMMYFUNCTION("""COMPUTED_VALUE"""),"禾聯14吋微電腦遙控DC直流電風扇HDF-14AH770")</f>
        <v>禾聯14吋微電腦遙控DC直流電風扇HDF-14AH770</v>
      </c>
      <c r="E251" s="12" t="str">
        <f ca="1">IFERROR(__xludf.DUMMYFUNCTION("""COMPUTED_VALUE"""),"HDF-14AH770")</f>
        <v>HDF-14AH770</v>
      </c>
      <c r="F251" s="12">
        <f ca="1">IFERROR(__xludf.DUMMYFUNCTION("""COMPUTED_VALUE"""),51008149)</f>
        <v>51008149</v>
      </c>
      <c r="G251" s="12" t="str">
        <f ca="1">IFERROR(__xludf.DUMMYFUNCTION("""COMPUTED_VALUE"""),"IGEM0606")</f>
        <v>IGEM0606</v>
      </c>
      <c r="H251" s="12">
        <f ca="1">IFERROR(__xludf.DUMMYFUNCTION("""COMPUTED_VALUE"""),1990)</f>
        <v>1990</v>
      </c>
      <c r="I251" s="14">
        <f ca="1">IFERROR(__xludf.DUMMYFUNCTION("""COMPUTED_VALUE"""),1490)</f>
        <v>1490</v>
      </c>
      <c r="J251" s="16">
        <f ca="1">IFERROR(__xludf.DUMMYFUNCTION("""COMPUTED_VALUE"""),45155)</f>
        <v>45155</v>
      </c>
      <c r="K251" s="12" t="str">
        <f ca="1">IFERROR(__xludf.DUMMYFUNCTION("""COMPUTED_VALUE"""),"到貨")</f>
        <v>到貨</v>
      </c>
      <c r="L251" s="12" t="str">
        <f ca="1">IFERROR(__xludf.DUMMYFUNCTION("""COMPUTED_VALUE"""),"上架中")</f>
        <v>上架中</v>
      </c>
      <c r="M251" s="12" t="str">
        <f ca="1">IFERROR(__xludf.DUMMYFUNCTION("""COMPUTED_VALUE"""),"8/17到貨上架，7/17停售下架，7/13專案，7/7停售，6/27專案，6/20停售，2023/5/15短促，2022/3/30上架，2023/1/1起調漲")</f>
        <v>8/17到貨上架，7/17停售下架，7/13專案，7/7停售，6/27專案，6/20停售，2023/5/15短促，2022/3/30上架，2023/1/1起調漲</v>
      </c>
      <c r="N251" s="12" t="str">
        <f ca="1">IFERROR(__xludf.DUMMYFUNCTION("""COMPUTED_VALUE"""),"風扇")</f>
        <v>風扇</v>
      </c>
      <c r="O251" s="12" t="str">
        <f ca="1">IFERROR(__xludf.DUMMYFUNCTION("""COMPUTED_VALUE"""),"白")</f>
        <v>白</v>
      </c>
      <c r="P251" s="12" t="str">
        <f ca="1">IFERROR(__xludf.DUMMYFUNCTION("""COMPUTED_VALUE"""),"14吋")</f>
        <v>14吋</v>
      </c>
      <c r="Q251" s="12" t="str">
        <f ca="1">IFERROR(__xludf.DUMMYFUNCTION("""COMPUTED_VALUE"""),"機體尺寸：720-910x410x380 mm")</f>
        <v>機體尺寸：720-910x410x380 mm</v>
      </c>
      <c r="R251" s="12"/>
      <c r="S251" s="12"/>
      <c r="T251" s="12"/>
      <c r="U251" s="12"/>
      <c r="V251" s="12"/>
      <c r="W251" s="12"/>
      <c r="X251" s="12"/>
      <c r="Y251" s="12"/>
      <c r="Z251" s="14"/>
      <c r="AA251" s="15" t="str">
        <f ca="1">IFERROR(__xludf.DUMMYFUNCTION("""COMPUTED_VALUE"""),"*日本品牌馬達*省電DC變頻馬達*7片式扇葉風感柔順*貼心夜間滅燈功能*三種風模式*自動左右擺頭*12段風速隨心所欲*8小時預約開機/定時關機*迷你遠端遙控")</f>
        <v>*日本品牌馬達*省電DC變頻馬達*7片式扇葉風感柔順*貼心夜間滅燈功能*三種風模式*自動左右擺頭*12段風速隨心所欲*8小時預約開機/定時關機*迷你遠端遙控</v>
      </c>
    </row>
    <row r="252" spans="1:27" ht="19.5" customHeight="1">
      <c r="A252" s="12" t="str">
        <f ca="1">IFERROR(__xludf.DUMMYFUNCTION("""COMPUTED_VALUE"""),"生活家電")</f>
        <v>生活家電</v>
      </c>
      <c r="B252" s="12" t="str">
        <f ca="1">IFERROR(__xludf.DUMMYFUNCTION("""COMPUTED_VALUE"""),"禾聯")</f>
        <v>禾聯</v>
      </c>
      <c r="C252" s="12" t="str">
        <f ca="1">IFERROR(__xludf.DUMMYFUNCTION("""COMPUTED_VALUE"""),"禾聯")</f>
        <v>禾聯</v>
      </c>
      <c r="D252" s="12" t="str">
        <f ca="1">IFERROR(__xludf.DUMMYFUNCTION("""COMPUTED_VALUE"""),"禾聯50L可分離式隔板伸縮提把越野滾輪12/24V行動冰箱HPR-50AP01S")</f>
        <v>禾聯50L可分離式隔板伸縮提把越野滾輪12/24V行動冰箱HPR-50AP01S</v>
      </c>
      <c r="E252" s="12" t="str">
        <f ca="1">IFERROR(__xludf.DUMMYFUNCTION("""COMPUTED_VALUE"""),"HPR-50AP01S")</f>
        <v>HPR-50AP01S</v>
      </c>
      <c r="F252" s="12">
        <f ca="1">IFERROR(__xludf.DUMMYFUNCTION("""COMPUTED_VALUE"""),51008245)</f>
        <v>51008245</v>
      </c>
      <c r="G252" s="12" t="str">
        <f ca="1">IFERROR(__xludf.DUMMYFUNCTION("""COMPUTED_VALUE"""),"IGEM073R")</f>
        <v>IGEM073R</v>
      </c>
      <c r="H252" s="13">
        <f ca="1">IFERROR(__xludf.DUMMYFUNCTION("""COMPUTED_VALUE"""),20900)</f>
        <v>20900</v>
      </c>
      <c r="I252" s="14">
        <f ca="1">IFERROR(__xludf.DUMMYFUNCTION("""COMPUTED_VALUE"""),18900)</f>
        <v>18900</v>
      </c>
      <c r="J252" s="12"/>
      <c r="K252" s="12"/>
      <c r="L252" s="12" t="str">
        <f ca="1">IFERROR(__xludf.DUMMYFUNCTION("""COMPUTED_VALUE"""),"上架中")</f>
        <v>上架中</v>
      </c>
      <c r="M252" s="12" t="str">
        <f ca="1">IFERROR(__xludf.DUMMYFUNCTION("""COMPUTED_VALUE"""),"2023/1/1新機上架")</f>
        <v>2023/1/1新機上架</v>
      </c>
      <c r="N252" s="12" t="str">
        <f ca="1">IFERROR(__xludf.DUMMYFUNCTION("""COMPUTED_VALUE"""),"行動冰箱")</f>
        <v>行動冰箱</v>
      </c>
      <c r="O252" s="12" t="str">
        <f ca="1">IFERROR(__xludf.DUMMYFUNCTION("""COMPUTED_VALUE"""),"黑色")</f>
        <v>黑色</v>
      </c>
      <c r="P252" s="12" t="str">
        <f ca="1">IFERROR(__xludf.DUMMYFUNCTION("""COMPUTED_VALUE"""),"DC 12V/24V  消耗功率:60W 重量:120Kg")</f>
        <v>DC 12V/24V  消耗功率:60W 重量:120Kg</v>
      </c>
      <c r="Q252" s="12" t="str">
        <f ca="1">IFERROR(__xludf.DUMMYFUNCTION("""COMPUTED_VALUE"""),"機體尺寸：506x711x460 mm")</f>
        <v>機體尺寸：506x711x460 mm</v>
      </c>
      <c r="R252" s="12" t="str">
        <f ca="1">IFERROR(__xludf.DUMMYFUNCTION("""COMPUTED_VALUE"""),"中國")</f>
        <v>中國</v>
      </c>
      <c r="S252" s="12"/>
      <c r="T252" s="12"/>
      <c r="U252" s="12" t="str">
        <f ca="1">IFERROR(__xludf.DUMMYFUNCTION("""COMPUTED_VALUE"""),"零件保固1年")</f>
        <v>零件保固1年</v>
      </c>
      <c r="V252" s="12" t="str">
        <f ca="1">IFERROR(__xludf.DUMMYFUNCTION("""COMPUTED_VALUE"""),"3年")</f>
        <v>3年</v>
      </c>
      <c r="W252" s="12"/>
      <c r="X252" s="12"/>
      <c r="Y252" s="12"/>
      <c r="Z252" s="14"/>
      <c r="AA252" s="15" t="str">
        <f ca="1">IFERROR(__xludf.DUMMYFUNCTION("""COMPUTED_VALUE"""),"*活動式雙槽設計*獨立溫控冷藏/冷凍兩用*省力越野大輪*伸縮式拉桿*內置照明燈*節能ECO/速冷MAX雙模式*壓縮機傾協保護")</f>
        <v>*活動式雙槽設計*獨立溫控冷藏/冷凍兩用*省力越野大輪*伸縮式拉桿*內置照明燈*節能ECO/速冷MAX雙模式*壓縮機傾協保護</v>
      </c>
    </row>
    <row r="253" spans="1:27" ht="19.5" customHeight="1">
      <c r="A253" s="12" t="str">
        <f ca="1">IFERROR(__xludf.DUMMYFUNCTION("""COMPUTED_VALUE"""),"生活家電")</f>
        <v>生活家電</v>
      </c>
      <c r="B253" s="12" t="str">
        <f ca="1">IFERROR(__xludf.DUMMYFUNCTION("""COMPUTED_VALUE"""),"禾聯")</f>
        <v>禾聯</v>
      </c>
      <c r="C253" s="12" t="str">
        <f ca="1">IFERROR(__xludf.DUMMYFUNCTION("""COMPUTED_VALUE"""),"禾聯")</f>
        <v>禾聯</v>
      </c>
      <c r="D253" s="12" t="str">
        <f ca="1">IFERROR(__xludf.DUMMYFUNCTION("""COMPUTED_VALUE"""),"禾聯旗艦吸力智能感應高效率吸塵器-雙輪盤配件組 HVC-35SC050+HVK-01SC010")</f>
        <v>禾聯旗艦吸力智能感應高效率吸塵器-雙輪盤配件組 HVC-35SC050+HVK-01SC010</v>
      </c>
      <c r="E253" s="12" t="str">
        <f ca="1">IFERROR(__xludf.DUMMYFUNCTION("""COMPUTED_VALUE"""),"HVC-35SC050+HVK-01SC010")</f>
        <v>HVC-35SC050+HVK-01SC010</v>
      </c>
      <c r="F253" s="12">
        <f ca="1">IFERROR(__xludf.DUMMYFUNCTION("""COMPUTED_VALUE"""),51008247)</f>
        <v>51008247</v>
      </c>
      <c r="G253" s="12" t="str">
        <f ca="1">IFERROR(__xludf.DUMMYFUNCTION("""COMPUTED_VALUE"""),"IGEM073W")</f>
        <v>IGEM073W</v>
      </c>
      <c r="H253" s="13">
        <f ca="1">IFERROR(__xludf.DUMMYFUNCTION("""COMPUTED_VALUE"""),9990)</f>
        <v>9990</v>
      </c>
      <c r="I253" s="14">
        <f ca="1">IFERROR(__xludf.DUMMYFUNCTION("""COMPUTED_VALUE"""),9090)</f>
        <v>9090</v>
      </c>
      <c r="J253" s="12"/>
      <c r="K253" s="12"/>
      <c r="L253" s="12" t="str">
        <f ca="1">IFERROR(__xludf.DUMMYFUNCTION("""COMPUTED_VALUE"""),"上架中")</f>
        <v>上架中</v>
      </c>
      <c r="M253" s="12" t="str">
        <f ca="1">IFERROR(__xludf.DUMMYFUNCTION("""COMPUTED_VALUE"""),"2023/1/1新機上架")</f>
        <v>2023/1/1新機上架</v>
      </c>
      <c r="N253" s="12" t="str">
        <f ca="1">IFERROR(__xludf.DUMMYFUNCTION("""COMPUTED_VALUE"""),"吸塵器")</f>
        <v>吸塵器</v>
      </c>
      <c r="O253" s="12" t="str">
        <f ca="1">IFERROR(__xludf.DUMMYFUNCTION("""COMPUTED_VALUE"""),"銀黑")</f>
        <v>銀黑</v>
      </c>
      <c r="P253" s="12" t="str">
        <f ca="1">IFERROR(__xludf.DUMMYFUNCTION("""COMPUTED_VALUE"""),"DC25.9V  消耗功率:350W")</f>
        <v>DC25.9V  消耗功率:350W</v>
      </c>
      <c r="Q253" s="12" t="str">
        <f ca="1">IFERROR(__xludf.DUMMYFUNCTION("""COMPUTED_VALUE"""),"1125x270x210 mm")</f>
        <v>1125x270x210 mm</v>
      </c>
      <c r="R253" s="12" t="str">
        <f ca="1">IFERROR(__xludf.DUMMYFUNCTION("""COMPUTED_VALUE"""),"中國")</f>
        <v>中國</v>
      </c>
      <c r="S253" s="12"/>
      <c r="T253" s="12"/>
      <c r="U253" s="12" t="str">
        <f ca="1">IFERROR(__xludf.DUMMYFUNCTION("""COMPUTED_VALUE"""),"1年")</f>
        <v>1年</v>
      </c>
      <c r="V253" s="12"/>
      <c r="W253" s="12"/>
      <c r="X253" s="12"/>
      <c r="Y253" s="12"/>
      <c r="Z253" s="14"/>
      <c r="AA253" s="15" t="str">
        <f ca="1">IFERROR(__xludf.DUMMYFUNCTION("""COMPUTED_VALUE"""),"*350W無刷馬達*智慧感應吸力調節*HEPA高效濾網*2500mAh高效鋰電池*互動式顯示器*LED地刷照明")</f>
        <v>*350W無刷馬達*智慧感應吸力調節*HEPA高效濾網*2500mAh高效鋰電池*互動式顯示器*LED地刷照明</v>
      </c>
    </row>
    <row r="254" spans="1:27" ht="19.5" customHeight="1">
      <c r="A254" s="12" t="str">
        <f ca="1">IFERROR(__xludf.DUMMYFUNCTION("""COMPUTED_VALUE"""),"生活家電")</f>
        <v>生活家電</v>
      </c>
      <c r="B254" s="12" t="str">
        <f ca="1">IFERROR(__xludf.DUMMYFUNCTION("""COMPUTED_VALUE"""),"禾聯")</f>
        <v>禾聯</v>
      </c>
      <c r="C254" s="12" t="str">
        <f ca="1">IFERROR(__xludf.DUMMYFUNCTION("""COMPUTED_VALUE"""),"山田家電")</f>
        <v>山田家電</v>
      </c>
      <c r="D254" s="12" t="str">
        <f ca="1">IFERROR(__xludf.DUMMYFUNCTION("""COMPUTED_VALUE"""),"YAMADA多功能抑菌烘衣架YQD-02KW010")</f>
        <v>YAMADA多功能抑菌烘衣架YQD-02KW010</v>
      </c>
      <c r="E254" s="12" t="str">
        <f ca="1">IFERROR(__xludf.DUMMYFUNCTION("""COMPUTED_VALUE"""),"YQD-02KW010")</f>
        <v>YQD-02KW010</v>
      </c>
      <c r="F254" s="12">
        <f ca="1">IFERROR(__xludf.DUMMYFUNCTION("""COMPUTED_VALUE"""),51008143)</f>
        <v>51008143</v>
      </c>
      <c r="G254" s="12" t="str">
        <f ca="1">IFERROR(__xludf.DUMMYFUNCTION("""COMPUTED_VALUE"""),"IGEM0482")</f>
        <v>IGEM0482</v>
      </c>
      <c r="H254" s="12">
        <f ca="1">IFERROR(__xludf.DUMMYFUNCTION("""COMPUTED_VALUE"""),3290)</f>
        <v>3290</v>
      </c>
      <c r="I254" s="14">
        <f ca="1">IFERROR(__xludf.DUMMYFUNCTION("""COMPUTED_VALUE"""),2490)</f>
        <v>2490</v>
      </c>
      <c r="J254" s="12"/>
      <c r="K254" s="12"/>
      <c r="L254" s="12" t="str">
        <f ca="1">IFERROR(__xludf.DUMMYFUNCTION("""COMPUTED_VALUE"""),"上架中")</f>
        <v>上架中</v>
      </c>
      <c r="M254" s="12"/>
      <c r="N254" s="12" t="str">
        <f ca="1">IFERROR(__xludf.DUMMYFUNCTION("""COMPUTED_VALUE"""),"烘被/烘鞋機")</f>
        <v>烘被/烘鞋機</v>
      </c>
      <c r="O254" s="12"/>
      <c r="P254" s="12"/>
      <c r="Q254" s="12" t="str">
        <f ca="1">IFERROR(__xludf.DUMMYFUNCTION("""COMPUTED_VALUE"""),"65x320x179mm")</f>
        <v>65x320x179mm</v>
      </c>
      <c r="R254" s="12"/>
      <c r="S254" s="12"/>
      <c r="T254" s="12"/>
      <c r="U254" s="12" t="str">
        <f ca="1">IFERROR(__xludf.DUMMYFUNCTION("""COMPUTED_VALUE"""),"1年")</f>
        <v>1年</v>
      </c>
      <c r="V254" s="12"/>
      <c r="W254" s="12"/>
      <c r="X254" s="12"/>
      <c r="Y254" s="12"/>
      <c r="Z254" s="14"/>
      <c r="AA254" s="15" t="str">
        <f ca="1">IFERROR(__xludf.DUMMYFUNCTION("""COMPUTED_VALUE"""),"*烘衣烘鞋二合一*3段風量調節*UV殺菌燈*可伸縮衣架*1-8小時定時*多角度使用*附贈貼心收納袋+衣夾")</f>
        <v>*烘衣烘鞋二合一*3段風量調節*UV殺菌燈*可伸縮衣架*1-8小時定時*多角度使用*附贈貼心收納袋+衣夾</v>
      </c>
    </row>
    <row r="255" spans="1:27" ht="19.5" customHeight="1">
      <c r="A255" s="12" t="str">
        <f ca="1">IFERROR(__xludf.DUMMYFUNCTION("""COMPUTED_VALUE"""),"生活家電")</f>
        <v>生活家電</v>
      </c>
      <c r="B255" s="12" t="str">
        <f ca="1">IFERROR(__xludf.DUMMYFUNCTION("""COMPUTED_VALUE"""),"台灣三洋")</f>
        <v>台灣三洋</v>
      </c>
      <c r="C255" s="12" t="str">
        <f ca="1">IFERROR(__xludf.DUMMYFUNCTION("""COMPUTED_VALUE"""),"台灣三洋")</f>
        <v>台灣三洋</v>
      </c>
      <c r="D255" s="12" t="str">
        <f ca="1">IFERROR(__xludf.DUMMYFUNCTION("""COMPUTED_VALUE"""),"台灣三洋DC太陽能扇SBF-10DSE(灰綠)")</f>
        <v>台灣三洋DC太陽能扇SBF-10DSE(灰綠)</v>
      </c>
      <c r="E255" s="12" t="str">
        <f ca="1">IFERROR(__xludf.DUMMYFUNCTION("""COMPUTED_VALUE"""),"SBF-10DSE")</f>
        <v>SBF-10DSE</v>
      </c>
      <c r="F255" s="12">
        <f ca="1">IFERROR(__xludf.DUMMYFUNCTION("""COMPUTED_VALUE"""),51075075)</f>
        <v>51075075</v>
      </c>
      <c r="G255" s="12" t="str">
        <f ca="1">IFERROR(__xludf.DUMMYFUNCTION("""COMPUTED_VALUE"""),"IGEM0852")</f>
        <v>IGEM0852</v>
      </c>
      <c r="H255" s="13">
        <f ca="1">IFERROR(__xludf.DUMMYFUNCTION("""COMPUTED_VALUE"""),2590)</f>
        <v>2590</v>
      </c>
      <c r="I255" s="14">
        <f ca="1">IFERROR(__xludf.DUMMYFUNCTION("""COMPUTED_VALUE"""),2190)</f>
        <v>2190</v>
      </c>
      <c r="J255" s="16">
        <f ca="1">IFERROR(__xludf.DUMMYFUNCTION("""COMPUTED_VALUE"""),45413)</f>
        <v>45413</v>
      </c>
      <c r="K255" s="12" t="str">
        <f ca="1">IFERROR(__xludf.DUMMYFUNCTION("""COMPUTED_VALUE"""),"短促")</f>
        <v>短促</v>
      </c>
      <c r="L255" s="12" t="str">
        <f ca="1">IFERROR(__xludf.DUMMYFUNCTION("""COMPUTED_VALUE"""),"上架中")</f>
        <v>上架中</v>
      </c>
      <c r="M255" s="12" t="str">
        <f ca="1">IFERROR(__xludf.DUMMYFUNCTION("""COMPUTED_VALUE"""),"2024/5/1短促，2023/6/12新機上架")</f>
        <v>2024/5/1短促，2023/6/12新機上架</v>
      </c>
      <c r="N255" s="12" t="str">
        <f ca="1">IFERROR(__xludf.DUMMYFUNCTION("""COMPUTED_VALUE"""),"風扇")</f>
        <v>風扇</v>
      </c>
      <c r="O255" s="12" t="str">
        <f ca="1">IFERROR(__xludf.DUMMYFUNCTION("""COMPUTED_VALUE"""),"灰綠")</f>
        <v>灰綠</v>
      </c>
      <c r="P255" s="12" t="str">
        <f ca="1">IFERROR(__xludf.DUMMYFUNCTION("""COMPUTED_VALUE"""),"太陽能電扇")</f>
        <v>太陽能電扇</v>
      </c>
      <c r="Q255" s="12" t="str">
        <f ca="1">IFERROR(__xludf.DUMMYFUNCTION("""COMPUTED_VALUE"""),"85*315*270mm")</f>
        <v>85*315*270mm</v>
      </c>
      <c r="R255" s="12" t="str">
        <f ca="1">IFERROR(__xludf.DUMMYFUNCTION("""COMPUTED_VALUE"""),"中國")</f>
        <v>中國</v>
      </c>
      <c r="S255" s="12"/>
      <c r="T255" s="12"/>
      <c r="U255" s="12" t="str">
        <f ca="1">IFERROR(__xludf.DUMMYFUNCTION("""COMPUTED_VALUE"""),"1年")</f>
        <v>1年</v>
      </c>
      <c r="V255" s="12" t="str">
        <f ca="1">IFERROR(__xludf.DUMMYFUNCTION("""COMPUTED_VALUE"""),"1年")</f>
        <v>1年</v>
      </c>
      <c r="W255" s="12"/>
      <c r="X255" s="12"/>
      <c r="Y255" s="12"/>
      <c r="Z255" s="14"/>
      <c r="AA255" s="15" t="str">
        <f ca="1">IFERROR(__xludf.DUMMYFUNCTION("""COMPUTED_VALUE"""),"*4段風速+自然風*太陽能充電超環保*持久續航力*輕鬆好攜帶")</f>
        <v>*4段風速+自然風*太陽能充電超環保*持久續航力*輕鬆好攜帶</v>
      </c>
    </row>
    <row r="256" spans="1:27" ht="19.5" customHeight="1">
      <c r="A256" s="12" t="str">
        <f ca="1">IFERROR(__xludf.DUMMYFUNCTION("""COMPUTED_VALUE"""),"生活家電")</f>
        <v>生活家電</v>
      </c>
      <c r="B256" s="12" t="str">
        <f ca="1">IFERROR(__xludf.DUMMYFUNCTION("""COMPUTED_VALUE"""),"台灣三洋")</f>
        <v>台灣三洋</v>
      </c>
      <c r="C256" s="12" t="str">
        <f ca="1">IFERROR(__xludf.DUMMYFUNCTION("""COMPUTED_VALUE"""),"台灣三洋")</f>
        <v>台灣三洋</v>
      </c>
      <c r="D256" s="12" t="str">
        <f ca="1">IFERROR(__xludf.DUMMYFUNCTION("""COMPUTED_VALUE"""),"台灣三洋8吋DC循環扇SBF-C08DU")</f>
        <v>台灣三洋8吋DC循環扇SBF-C08DU</v>
      </c>
      <c r="E256" s="12" t="str">
        <f ca="1">IFERROR(__xludf.DUMMYFUNCTION("""COMPUTED_VALUE"""),"SBF-C08DU")</f>
        <v>SBF-C08DU</v>
      </c>
      <c r="F256" s="12">
        <f ca="1">IFERROR(__xludf.DUMMYFUNCTION("""COMPUTED_VALUE"""),51075076)</f>
        <v>51075076</v>
      </c>
      <c r="G256" s="12" t="str">
        <f ca="1">IFERROR(__xludf.DUMMYFUNCTION("""COMPUTED_VALUE"""),"IGEM0853")</f>
        <v>IGEM0853</v>
      </c>
      <c r="H256" s="13">
        <f ca="1">IFERROR(__xludf.DUMMYFUNCTION("""COMPUTED_VALUE"""),2290)</f>
        <v>2290</v>
      </c>
      <c r="I256" s="14">
        <f ca="1">IFERROR(__xludf.DUMMYFUNCTION("""COMPUTED_VALUE"""),1990)</f>
        <v>1990</v>
      </c>
      <c r="J256" s="16">
        <f ca="1">IFERROR(__xludf.DUMMYFUNCTION("""COMPUTED_VALUE"""),45089)</f>
        <v>45089</v>
      </c>
      <c r="K256" s="12" t="str">
        <f ca="1">IFERROR(__xludf.DUMMYFUNCTION("""COMPUTED_VALUE"""),"新機上架")</f>
        <v>新機上架</v>
      </c>
      <c r="L256" s="12" t="str">
        <f ca="1">IFERROR(__xludf.DUMMYFUNCTION("""COMPUTED_VALUE"""),"上架中")</f>
        <v>上架中</v>
      </c>
      <c r="M256" s="12" t="str">
        <f ca="1">IFERROR(__xludf.DUMMYFUNCTION("""COMPUTED_VALUE"""),"2023/6/12新機上架")</f>
        <v>2023/6/12新機上架</v>
      </c>
      <c r="N256" s="12" t="str">
        <f ca="1">IFERROR(__xludf.DUMMYFUNCTION("""COMPUTED_VALUE"""),"循環扇")</f>
        <v>循環扇</v>
      </c>
      <c r="O256" s="12" t="str">
        <f ca="1">IFERROR(__xludf.DUMMYFUNCTION("""COMPUTED_VALUE"""),"白")</f>
        <v>白</v>
      </c>
      <c r="P256" s="12" t="str">
        <f ca="1">IFERROR(__xludf.DUMMYFUNCTION("""COMPUTED_VALUE"""),"8吋")</f>
        <v>8吋</v>
      </c>
      <c r="Q256" s="12" t="str">
        <f ca="1">IFERROR(__xludf.DUMMYFUNCTION("""COMPUTED_VALUE"""),"675~790*290*290mm")</f>
        <v>675~790*290*290mm</v>
      </c>
      <c r="R256" s="12" t="str">
        <f ca="1">IFERROR(__xludf.DUMMYFUNCTION("""COMPUTED_VALUE"""),"中國")</f>
        <v>中國</v>
      </c>
      <c r="S256" s="12"/>
      <c r="T256" s="12"/>
      <c r="U256" s="12" t="str">
        <f ca="1">IFERROR(__xludf.DUMMYFUNCTION("""COMPUTED_VALUE"""),"1年")</f>
        <v>1年</v>
      </c>
      <c r="V256" s="12" t="str">
        <f ca="1">IFERROR(__xludf.DUMMYFUNCTION("""COMPUTED_VALUE"""),"1年")</f>
        <v>1年</v>
      </c>
      <c r="W256" s="12"/>
      <c r="X256" s="12"/>
      <c r="Y256" s="12"/>
      <c r="Z256" s="14"/>
      <c r="AA256" s="15" t="str">
        <f ca="1">IFERROR(__xludf.DUMMYFUNCTION("""COMPUTED_VALUE"""),"*前後網可拆方便清洗*可拆式底座好收納*雙供電設計*遙控擺頭")</f>
        <v>*前後網可拆方便清洗*可拆式底座好收納*雙供電設計*遙控擺頭</v>
      </c>
    </row>
    <row r="257" spans="1:27" ht="19.5" customHeight="1">
      <c r="A257" s="12" t="str">
        <f ca="1">IFERROR(__xludf.DUMMYFUNCTION("""COMPUTED_VALUE"""),"生活家電")</f>
        <v>生活家電</v>
      </c>
      <c r="B257" s="12" t="str">
        <f ca="1">IFERROR(__xludf.DUMMYFUNCTION("""COMPUTED_VALUE"""),"台灣三洋")</f>
        <v>台灣三洋</v>
      </c>
      <c r="C257" s="12" t="str">
        <f ca="1">IFERROR(__xludf.DUMMYFUNCTION("""COMPUTED_VALUE"""),"台灣三洋")</f>
        <v>台灣三洋</v>
      </c>
      <c r="D257" s="12" t="str">
        <f ca="1">IFERROR(__xludf.DUMMYFUNCTION("""COMPUTED_VALUE"""),"台灣三洋14吋DC變頻遙控定時立扇EF-14DKS")</f>
        <v>台灣三洋14吋DC變頻遙控定時立扇EF-14DKS</v>
      </c>
      <c r="E257" s="12" t="str">
        <f ca="1">IFERROR(__xludf.DUMMYFUNCTION("""COMPUTED_VALUE"""),"EF-14DKS")</f>
        <v>EF-14DKS</v>
      </c>
      <c r="F257" s="12">
        <f ca="1">IFERROR(__xludf.DUMMYFUNCTION("""COMPUTED_VALUE"""),51075077)</f>
        <v>51075077</v>
      </c>
      <c r="G257" s="12" t="str">
        <f ca="1">IFERROR(__xludf.DUMMYFUNCTION("""COMPUTED_VALUE"""),"IGEM0854")</f>
        <v>IGEM0854</v>
      </c>
      <c r="H257" s="13">
        <f ca="1">IFERROR(__xludf.DUMMYFUNCTION("""COMPUTED_VALUE"""),2280)</f>
        <v>2280</v>
      </c>
      <c r="I257" s="14">
        <f ca="1">IFERROR(__xludf.DUMMYFUNCTION("""COMPUTED_VALUE"""),1880)</f>
        <v>1880</v>
      </c>
      <c r="J257" s="16">
        <f ca="1">IFERROR(__xludf.DUMMYFUNCTION("""COMPUTED_VALUE"""),45089)</f>
        <v>45089</v>
      </c>
      <c r="K257" s="12" t="str">
        <f ca="1">IFERROR(__xludf.DUMMYFUNCTION("""COMPUTED_VALUE"""),"新機上架")</f>
        <v>新機上架</v>
      </c>
      <c r="L257" s="12" t="str">
        <f ca="1">IFERROR(__xludf.DUMMYFUNCTION("""COMPUTED_VALUE"""),"上架中")</f>
        <v>上架中</v>
      </c>
      <c r="M257" s="12" t="str">
        <f ca="1">IFERROR(__xludf.DUMMYFUNCTION("""COMPUTED_VALUE"""),"2023/6/12新機上架")</f>
        <v>2023/6/12新機上架</v>
      </c>
      <c r="N257" s="12" t="str">
        <f ca="1">IFERROR(__xludf.DUMMYFUNCTION("""COMPUTED_VALUE"""),"風扇")</f>
        <v>風扇</v>
      </c>
      <c r="O257" s="12" t="str">
        <f ca="1">IFERROR(__xludf.DUMMYFUNCTION("""COMPUTED_VALUE"""),"白")</f>
        <v>白</v>
      </c>
      <c r="P257" s="12" t="str">
        <f ca="1">IFERROR(__xludf.DUMMYFUNCTION("""COMPUTED_VALUE"""),"14吋")</f>
        <v>14吋</v>
      </c>
      <c r="Q257" s="12" t="str">
        <f ca="1">IFERROR(__xludf.DUMMYFUNCTION("""COMPUTED_VALUE"""),"875*420*430mm")</f>
        <v>875*420*430mm</v>
      </c>
      <c r="R257" s="12" t="str">
        <f ca="1">IFERROR(__xludf.DUMMYFUNCTION("""COMPUTED_VALUE"""),"台灣")</f>
        <v>台灣</v>
      </c>
      <c r="S257" s="12"/>
      <c r="T257" s="12"/>
      <c r="U257" s="12" t="str">
        <f ca="1">IFERROR(__xludf.DUMMYFUNCTION("""COMPUTED_VALUE"""),"1年")</f>
        <v>1年</v>
      </c>
      <c r="V257" s="12" t="str">
        <f ca="1">IFERROR(__xludf.DUMMYFUNCTION("""COMPUTED_VALUE"""),"1年")</f>
        <v>1年</v>
      </c>
      <c r="W257" s="12"/>
      <c r="X257" s="12"/>
      <c r="Y257" s="12"/>
      <c r="Z257" s="14"/>
      <c r="AA257" s="15" t="str">
        <f ca="1">IFERROR(__xludf.DUMMYFUNCTION("""COMPUTED_VALUE"""),"*七片歐翼扇葉*無線遙控功能*飛梭式10段風速選擇*金屬中柱")</f>
        <v>*七片歐翼扇葉*無線遙控功能*飛梭式10段風速選擇*金屬中柱</v>
      </c>
    </row>
    <row r="258" spans="1:27" ht="19.5" customHeight="1">
      <c r="A258" s="12" t="str">
        <f ca="1">IFERROR(__xludf.DUMMYFUNCTION("""COMPUTED_VALUE"""),"生活家電")</f>
        <v>生活家電</v>
      </c>
      <c r="B258" s="12" t="str">
        <f ca="1">IFERROR(__xludf.DUMMYFUNCTION("""COMPUTED_VALUE"""),"台灣三洋")</f>
        <v>台灣三洋</v>
      </c>
      <c r="C258" s="12" t="str">
        <f ca="1">IFERROR(__xludf.DUMMYFUNCTION("""COMPUTED_VALUE"""),"台灣三洋")</f>
        <v>台灣三洋</v>
      </c>
      <c r="D258" s="12" t="str">
        <f ca="1">IFERROR(__xludf.DUMMYFUNCTION("""COMPUTED_VALUE"""),"台灣三洋16吋DC變頻遙控定時立扇EF-GA16")</f>
        <v>台灣三洋16吋DC變頻遙控定時立扇EF-GA16</v>
      </c>
      <c r="E258" s="12" t="str">
        <f ca="1">IFERROR(__xludf.DUMMYFUNCTION("""COMPUTED_VALUE"""),"EF-GA16")</f>
        <v>EF-GA16</v>
      </c>
      <c r="F258" s="12">
        <f ca="1">IFERROR(__xludf.DUMMYFUNCTION("""COMPUTED_VALUE"""),51075078)</f>
        <v>51075078</v>
      </c>
      <c r="G258" s="12" t="str">
        <f ca="1">IFERROR(__xludf.DUMMYFUNCTION("""COMPUTED_VALUE"""),"IGEM0855")</f>
        <v>IGEM0855</v>
      </c>
      <c r="H258" s="13">
        <f ca="1">IFERROR(__xludf.DUMMYFUNCTION("""COMPUTED_VALUE"""),2180)</f>
        <v>2180</v>
      </c>
      <c r="I258" s="14">
        <f ca="1">IFERROR(__xludf.DUMMYFUNCTION("""COMPUTED_VALUE"""),1780)</f>
        <v>1780</v>
      </c>
      <c r="J258" s="16">
        <f ca="1">IFERROR(__xludf.DUMMYFUNCTION("""COMPUTED_VALUE"""),45089)</f>
        <v>45089</v>
      </c>
      <c r="K258" s="12" t="str">
        <f ca="1">IFERROR(__xludf.DUMMYFUNCTION("""COMPUTED_VALUE"""),"新機上架")</f>
        <v>新機上架</v>
      </c>
      <c r="L258" s="12" t="str">
        <f ca="1">IFERROR(__xludf.DUMMYFUNCTION("""COMPUTED_VALUE"""),"上架中")</f>
        <v>上架中</v>
      </c>
      <c r="M258" s="12" t="str">
        <f ca="1">IFERROR(__xludf.DUMMYFUNCTION("""COMPUTED_VALUE"""),"2023/6/12新機上架")</f>
        <v>2023/6/12新機上架</v>
      </c>
      <c r="N258" s="12" t="str">
        <f ca="1">IFERROR(__xludf.DUMMYFUNCTION("""COMPUTED_VALUE"""),"風扇")</f>
        <v>風扇</v>
      </c>
      <c r="O258" s="12" t="str">
        <f ca="1">IFERROR(__xludf.DUMMYFUNCTION("""COMPUTED_VALUE"""),"白")</f>
        <v>白</v>
      </c>
      <c r="P258" s="12" t="str">
        <f ca="1">IFERROR(__xludf.DUMMYFUNCTION("""COMPUTED_VALUE"""),"16吋")</f>
        <v>16吋</v>
      </c>
      <c r="Q258" s="12" t="str">
        <f ca="1">IFERROR(__xludf.DUMMYFUNCTION("""COMPUTED_VALUE"""),"890*450*415mm")</f>
        <v>890*450*415mm</v>
      </c>
      <c r="R258" s="12" t="str">
        <f ca="1">IFERROR(__xludf.DUMMYFUNCTION("""COMPUTED_VALUE"""),"台灣")</f>
        <v>台灣</v>
      </c>
      <c r="S258" s="12"/>
      <c r="T258" s="12"/>
      <c r="U258" s="12" t="str">
        <f ca="1">IFERROR(__xludf.DUMMYFUNCTION("""COMPUTED_VALUE"""),"1年")</f>
        <v>1年</v>
      </c>
      <c r="V258" s="12" t="str">
        <f ca="1">IFERROR(__xludf.DUMMYFUNCTION("""COMPUTED_VALUE"""),"1年")</f>
        <v>1年</v>
      </c>
      <c r="W258" s="12"/>
      <c r="X258" s="12"/>
      <c r="Y258" s="12"/>
      <c r="Z258" s="14"/>
      <c r="AA258" s="15" t="str">
        <f ca="1">IFERROR(__xludf.DUMMYFUNCTION("""COMPUTED_VALUE"""),"*五片AS材質扇葉*免彎腰頂端控制*無線遙控功能*金屬中柱")</f>
        <v>*五片AS材質扇葉*免彎腰頂端控制*無線遙控功能*金屬中柱</v>
      </c>
    </row>
    <row r="259" spans="1:27" ht="19.5" customHeight="1">
      <c r="A259" s="12" t="str">
        <f ca="1">IFERROR(__xludf.DUMMYFUNCTION("""COMPUTED_VALUE"""),"廚房家電")</f>
        <v>廚房家電</v>
      </c>
      <c r="B259" s="12" t="str">
        <f ca="1">IFERROR(__xludf.DUMMYFUNCTION("""COMPUTED_VALUE"""),"台灣三洋")</f>
        <v>台灣三洋</v>
      </c>
      <c r="C259" s="12" t="str">
        <f ca="1">IFERROR(__xludf.DUMMYFUNCTION("""COMPUTED_VALUE"""),"台灣三洋")</f>
        <v>台灣三洋</v>
      </c>
      <c r="D259" s="12" t="str">
        <f ca="1">IFERROR(__xludf.DUMMYFUNCTION("""COMPUTED_VALUE"""),"台灣三洋全電壓多功能旅行鍋EC-15WTC(奶茶色)")</f>
        <v>台灣三洋全電壓多功能旅行鍋EC-15WTC(奶茶色)</v>
      </c>
      <c r="E259" s="12" t="str">
        <f ca="1">IFERROR(__xludf.DUMMYFUNCTION("""COMPUTED_VALUE"""),"EC-15WTC")</f>
        <v>EC-15WTC</v>
      </c>
      <c r="F259" s="12">
        <f ca="1">IFERROR(__xludf.DUMMYFUNCTION("""COMPUTED_VALUE"""),51075079)</f>
        <v>51075079</v>
      </c>
      <c r="G259" s="12" t="str">
        <f ca="1">IFERROR(__xludf.DUMMYFUNCTION("""COMPUTED_VALUE"""),"IGEM0856")</f>
        <v>IGEM0856</v>
      </c>
      <c r="H259" s="12">
        <f ca="1">IFERROR(__xludf.DUMMYFUNCTION("""COMPUTED_VALUE"""),2690)</f>
        <v>2690</v>
      </c>
      <c r="I259" s="14">
        <f ca="1">IFERROR(__xludf.DUMMYFUNCTION("""COMPUTED_VALUE"""),2290)</f>
        <v>2290</v>
      </c>
      <c r="J259" s="16">
        <f ca="1">IFERROR(__xludf.DUMMYFUNCTION("""COMPUTED_VALUE"""),45139)</f>
        <v>45139</v>
      </c>
      <c r="K259" s="12" t="str">
        <f ca="1">IFERROR(__xludf.DUMMYFUNCTION("""COMPUTED_VALUE"""),"新機上架")</f>
        <v>新機上架</v>
      </c>
      <c r="L259" s="12" t="str">
        <f ca="1">IFERROR(__xludf.DUMMYFUNCTION("""COMPUTED_VALUE"""),"上架中")</f>
        <v>上架中</v>
      </c>
      <c r="M259" s="12" t="str">
        <f ca="1">IFERROR(__xludf.DUMMYFUNCTION("""COMPUTED_VALUE"""),"2023/8/1新機上架")</f>
        <v>2023/8/1新機上架</v>
      </c>
      <c r="N259" s="12" t="str">
        <f ca="1">IFERROR(__xludf.DUMMYFUNCTION("""COMPUTED_VALUE"""),"美食鍋/料理鍋/快煮鍋")</f>
        <v>美食鍋/料理鍋/快煮鍋</v>
      </c>
      <c r="O259" s="12" t="str">
        <f ca="1">IFERROR(__xludf.DUMMYFUNCTION("""COMPUTED_VALUE"""),"奶茶")</f>
        <v>奶茶</v>
      </c>
      <c r="P259" s="12"/>
      <c r="Q259" s="12" t="str">
        <f ca="1">IFERROR(__xludf.DUMMYFUNCTION("""COMPUTED_VALUE"""),"機身 75*150*110mm
煮鍋 75*175*135mm
煎盤 21*183*143mm")</f>
        <v>機身 75*150*110mm
煮鍋 75*175*135mm
煎盤 21*183*143mm</v>
      </c>
      <c r="R259" s="12" t="str">
        <f ca="1">IFERROR(__xludf.DUMMYFUNCTION("""COMPUTED_VALUE"""),"中國")</f>
        <v>中國</v>
      </c>
      <c r="S259" s="12"/>
      <c r="T259" s="12"/>
      <c r="U259" s="12" t="str">
        <f ca="1">IFERROR(__xludf.DUMMYFUNCTION("""COMPUTED_VALUE"""),"1年")</f>
        <v>1年</v>
      </c>
      <c r="V259" s="12" t="str">
        <f ca="1">IFERROR(__xludf.DUMMYFUNCTION("""COMPUTED_VALUE"""),"1年")</f>
        <v>1年</v>
      </c>
      <c r="W259" s="12"/>
      <c r="X259" s="12"/>
      <c r="Y259" s="12"/>
      <c r="Z259" s="14"/>
      <c r="AA259" s="15" t="str">
        <f ca="1">IFERROR(__xludf.DUMMYFUNCTION("""COMPUTED_VALUE"""),"上蓋把手好拿取*可折疊收納攜帶方便*可當煎烤盤及電煮鍋*通電開啟指示燈*鍋體內部為大金塗層*適用電壓(AC 100~240V)*火力大小可調整
")</f>
        <v xml:space="preserve">上蓋把手好拿取*可折疊收納攜帶方便*可當煎烤盤及電煮鍋*通電開啟指示燈*鍋體內部為大金塗層*適用電壓(AC 100~240V)*火力大小可調整
</v>
      </c>
    </row>
    <row r="260" spans="1:27" ht="19.5" customHeight="1">
      <c r="A260" s="12" t="str">
        <f ca="1">IFERROR(__xludf.DUMMYFUNCTION("""COMPUTED_VALUE"""),"生活家電")</f>
        <v>生活家電</v>
      </c>
      <c r="B260" s="12" t="str">
        <f ca="1">IFERROR(__xludf.DUMMYFUNCTION("""COMPUTED_VALUE"""),"大同")</f>
        <v>大同</v>
      </c>
      <c r="C260" s="12" t="str">
        <f ca="1">IFERROR(__xludf.DUMMYFUNCTION("""COMPUTED_VALUE"""),"大同")</f>
        <v>大同</v>
      </c>
      <c r="D260" s="12" t="str">
        <f ca="1">IFERROR(__xludf.DUMMYFUNCTION("""COMPUTED_VALUE"""),"大同金屬古董扇(黑)TF-D14DA-BK")</f>
        <v>大同金屬古董扇(黑)TF-D14DA-BK</v>
      </c>
      <c r="E260" s="12" t="str">
        <f ca="1">IFERROR(__xludf.DUMMYFUNCTION("""COMPUTED_VALUE"""),"TF-D14DA-BK")</f>
        <v>TF-D14DA-BK</v>
      </c>
      <c r="F260" s="12">
        <f ca="1">IFERROR(__xludf.DUMMYFUNCTION("""COMPUTED_VALUE"""),51012186)</f>
        <v>51012186</v>
      </c>
      <c r="G260" s="12" t="str">
        <f ca="1">IFERROR(__xludf.DUMMYFUNCTION("""COMPUTED_VALUE"""),"IGEM065P")</f>
        <v>IGEM065P</v>
      </c>
      <c r="H260" s="12">
        <f ca="1">IFERROR(__xludf.DUMMYFUNCTION("""COMPUTED_VALUE"""),5490)</f>
        <v>5490</v>
      </c>
      <c r="I260" s="14">
        <f ca="1">IFERROR(__xludf.DUMMYFUNCTION("""COMPUTED_VALUE"""),4780)</f>
        <v>4780</v>
      </c>
      <c r="J260" s="12"/>
      <c r="K260" s="12"/>
      <c r="L260" s="12" t="str">
        <f ca="1">IFERROR(__xludf.DUMMYFUNCTION("""COMPUTED_VALUE"""),"上架中")</f>
        <v>上架中</v>
      </c>
      <c r="M260" s="12" t="str">
        <f ca="1">IFERROR(__xludf.DUMMYFUNCTION("""COMPUTED_VALUE"""),"2022/8月短促、2022/7/1新品上架")</f>
        <v>2022/8月短促、2022/7/1新品上架</v>
      </c>
      <c r="N260" s="12" t="str">
        <f ca="1">IFERROR(__xludf.DUMMYFUNCTION("""COMPUTED_VALUE"""),"風扇")</f>
        <v>風扇</v>
      </c>
      <c r="O260" s="12" t="str">
        <f ca="1">IFERROR(__xludf.DUMMYFUNCTION("""COMPUTED_VALUE"""),"黑")</f>
        <v>黑</v>
      </c>
      <c r="P260" s="12" t="str">
        <f ca="1">IFERROR(__xludf.DUMMYFUNCTION("""COMPUTED_VALUE"""),"14吋")</f>
        <v>14吋</v>
      </c>
      <c r="Q260" s="12" t="str">
        <f ca="1">IFERROR(__xludf.DUMMYFUNCTION("""COMPUTED_VALUE"""),"510(H)*400(W)*300(D) (mm)
")</f>
        <v xml:space="preserve">510(H)*400(W)*300(D) (mm)
</v>
      </c>
      <c r="R260" s="12" t="str">
        <f ca="1">IFERROR(__xludf.DUMMYFUNCTION("""COMPUTED_VALUE"""),"中國")</f>
        <v>中國</v>
      </c>
      <c r="S260" s="12"/>
      <c r="T260" s="12"/>
      <c r="U260" s="22" t="str">
        <f ca="1">IFERROR(__xludf.DUMMYFUNCTION("""COMPUTED_VALUE"""),"1年")</f>
        <v>1年</v>
      </c>
      <c r="V260" s="12"/>
      <c r="W260" s="12"/>
      <c r="X260" s="12"/>
      <c r="Y260" s="12"/>
      <c r="Z260" s="14"/>
      <c r="AA260" s="15" t="str">
        <f ca="1">IFERROR(__xludf.DUMMYFUNCTION("""COMPUTED_VALUE"""),"*經典復古造型 *金屬製電扇搭配鋁合金扇葉 *6段5速*DC直流馬達，節能省電 *定時關按鈕，1、2、4、8小時自由掌握*靜音功能
")</f>
        <v xml:space="preserve">*經典復古造型 *金屬製電扇搭配鋁合金扇葉 *6段5速*DC直流馬達，節能省電 *定時關按鈕，1、2、4、8小時自由掌握*靜音功能
</v>
      </c>
    </row>
    <row r="261" spans="1:27" ht="19.5" customHeight="1">
      <c r="A261" s="12" t="str">
        <f ca="1">IFERROR(__xludf.DUMMYFUNCTION("""COMPUTED_VALUE"""),"生活家電")</f>
        <v>生活家電</v>
      </c>
      <c r="B261" s="12" t="str">
        <f ca="1">IFERROR(__xludf.DUMMYFUNCTION("""COMPUTED_VALUE"""),"大同")</f>
        <v>大同</v>
      </c>
      <c r="C261" s="12" t="str">
        <f ca="1">IFERROR(__xludf.DUMMYFUNCTION("""COMPUTED_VALUE"""),"大同")</f>
        <v>大同</v>
      </c>
      <c r="D261" s="12" t="str">
        <f ca="1">IFERROR(__xludf.DUMMYFUNCTION("""COMPUTED_VALUE"""),"大同金屬古董扇(白)TF-D14DA-W")</f>
        <v>大同金屬古董扇(白)TF-D14DA-W</v>
      </c>
      <c r="E261" s="12" t="str">
        <f ca="1">IFERROR(__xludf.DUMMYFUNCTION("""COMPUTED_VALUE"""),"TF-D14DA-W")</f>
        <v>TF-D14DA-W</v>
      </c>
      <c r="F261" s="12">
        <f ca="1">IFERROR(__xludf.DUMMYFUNCTION("""COMPUTED_VALUE"""),51012187)</f>
        <v>51012187</v>
      </c>
      <c r="G261" s="12" t="str">
        <f ca="1">IFERROR(__xludf.DUMMYFUNCTION("""COMPUTED_VALUE"""),"IGEM065Q")</f>
        <v>IGEM065Q</v>
      </c>
      <c r="H261" s="12">
        <f ca="1">IFERROR(__xludf.DUMMYFUNCTION("""COMPUTED_VALUE"""),5490)</f>
        <v>5490</v>
      </c>
      <c r="I261" s="14">
        <f ca="1">IFERROR(__xludf.DUMMYFUNCTION("""COMPUTED_VALUE"""),4780)</f>
        <v>4780</v>
      </c>
      <c r="J261" s="12"/>
      <c r="K261" s="12"/>
      <c r="L261" s="12" t="str">
        <f ca="1">IFERROR(__xludf.DUMMYFUNCTION("""COMPUTED_VALUE"""),"上架中")</f>
        <v>上架中</v>
      </c>
      <c r="M261" s="12" t="str">
        <f ca="1">IFERROR(__xludf.DUMMYFUNCTION("""COMPUTED_VALUE"""),"2022/8月短促、2022/7/1新品上架")</f>
        <v>2022/8月短促、2022/7/1新品上架</v>
      </c>
      <c r="N261" s="12" t="str">
        <f ca="1">IFERROR(__xludf.DUMMYFUNCTION("""COMPUTED_VALUE"""),"風扇")</f>
        <v>風扇</v>
      </c>
      <c r="O261" s="12" t="str">
        <f ca="1">IFERROR(__xludf.DUMMYFUNCTION("""COMPUTED_VALUE"""),"白")</f>
        <v>白</v>
      </c>
      <c r="P261" s="12" t="str">
        <f ca="1">IFERROR(__xludf.DUMMYFUNCTION("""COMPUTED_VALUE"""),"14吋")</f>
        <v>14吋</v>
      </c>
      <c r="Q261" s="12" t="str">
        <f ca="1">IFERROR(__xludf.DUMMYFUNCTION("""COMPUTED_VALUE"""),"510(H)*400(W)*300(D) (mm)
")</f>
        <v xml:space="preserve">510(H)*400(W)*300(D) (mm)
</v>
      </c>
      <c r="R261" s="12" t="str">
        <f ca="1">IFERROR(__xludf.DUMMYFUNCTION("""COMPUTED_VALUE"""),"中國")</f>
        <v>中國</v>
      </c>
      <c r="S261" s="12"/>
      <c r="T261" s="12"/>
      <c r="U261" s="22" t="str">
        <f ca="1">IFERROR(__xludf.DUMMYFUNCTION("""COMPUTED_VALUE"""),"1年")</f>
        <v>1年</v>
      </c>
      <c r="V261" s="12"/>
      <c r="W261" s="12"/>
      <c r="X261" s="12"/>
      <c r="Y261" s="12"/>
      <c r="Z261" s="14"/>
      <c r="AA261" s="15" t="str">
        <f ca="1">IFERROR(__xludf.DUMMYFUNCTION("""COMPUTED_VALUE"""),"*經典復古造型 *金屬製電扇搭配鋁合金扇葉 *6段5速*DC直流馬達，節能省電 *定時關按鈕，1、2、4、8小時自由掌握*靜音功能
")</f>
        <v xml:space="preserve">*經典復古造型 *金屬製電扇搭配鋁合金扇葉 *6段5速*DC直流馬達，節能省電 *定時關按鈕，1、2、4、8小時自由掌握*靜音功能
</v>
      </c>
    </row>
    <row r="262" spans="1:27" ht="19.5" customHeight="1">
      <c r="A262" s="12" t="str">
        <f ca="1">IFERROR(__xludf.DUMMYFUNCTION("""COMPUTED_VALUE"""),"生活家電")</f>
        <v>生活家電</v>
      </c>
      <c r="B262" s="12" t="str">
        <f ca="1">IFERROR(__xludf.DUMMYFUNCTION("""COMPUTED_VALUE"""),"大同")</f>
        <v>大同</v>
      </c>
      <c r="C262" s="12" t="str">
        <f ca="1">IFERROR(__xludf.DUMMYFUNCTION("""COMPUTED_VALUE"""),"大同")</f>
        <v>大同</v>
      </c>
      <c r="D262" s="12" t="str">
        <f ca="1">IFERROR(__xludf.DUMMYFUNCTION("""COMPUTED_VALUE"""),"大同 9吋DC循環扇TF-J10DH")</f>
        <v>大同 9吋DC循環扇TF-J10DH</v>
      </c>
      <c r="E262" s="12" t="str">
        <f ca="1">IFERROR(__xludf.DUMMYFUNCTION("""COMPUTED_VALUE"""),"TF-J10DH")</f>
        <v>TF-J10DH</v>
      </c>
      <c r="F262" s="12">
        <f ca="1">IFERROR(__xludf.DUMMYFUNCTION("""COMPUTED_VALUE"""),51012247)</f>
        <v>51012247</v>
      </c>
      <c r="G262" s="12" t="str">
        <f ca="1">IFERROR(__xludf.DUMMYFUNCTION("""COMPUTED_VALUE"""),"IGEM1027")</f>
        <v>IGEM1027</v>
      </c>
      <c r="H262" s="13">
        <f ca="1">IFERROR(__xludf.DUMMYFUNCTION("""COMPUTED_VALUE"""),3590)</f>
        <v>3590</v>
      </c>
      <c r="I262" s="18">
        <f ca="1">IFERROR(__xludf.DUMMYFUNCTION("""COMPUTED_VALUE"""),2690)</f>
        <v>2690</v>
      </c>
      <c r="J262" s="16">
        <f ca="1">IFERROR(__xludf.DUMMYFUNCTION("""COMPUTED_VALUE"""),45432)</f>
        <v>45432</v>
      </c>
      <c r="K262" s="12" t="str">
        <f ca="1">IFERROR(__xludf.DUMMYFUNCTION("""COMPUTED_VALUE"""),"新機上架")</f>
        <v>新機上架</v>
      </c>
      <c r="L262" s="12" t="str">
        <f ca="1">IFERROR(__xludf.DUMMYFUNCTION("""COMPUTED_VALUE"""),"上架中")</f>
        <v>上架中</v>
      </c>
      <c r="M262" s="12" t="str">
        <f ca="1">IFERROR(__xludf.DUMMYFUNCTION("""COMPUTED_VALUE"""),"2024/5/20新機上架")</f>
        <v>2024/5/20新機上架</v>
      </c>
      <c r="N262" s="12" t="str">
        <f ca="1">IFERROR(__xludf.DUMMYFUNCTION("""COMPUTED_VALUE"""),"循環扇")</f>
        <v>循環扇</v>
      </c>
      <c r="O262" s="12" t="str">
        <f ca="1">IFERROR(__xludf.DUMMYFUNCTION("""COMPUTED_VALUE"""),"白色")</f>
        <v>白色</v>
      </c>
      <c r="P262" s="12" t="str">
        <f ca="1">IFERROR(__xludf.DUMMYFUNCTION("""COMPUTED_VALUE"""),"9吋")</f>
        <v>9吋</v>
      </c>
      <c r="Q262" s="12" t="str">
        <f ca="1">IFERROR(__xludf.DUMMYFUNCTION("""COMPUTED_VALUE"""),"高678.2~1000 x 寬337 x 深330 (mm)")</f>
        <v>高678.2~1000 x 寬337 x 深330 (mm)</v>
      </c>
      <c r="R262" s="12" t="str">
        <f ca="1">IFERROR(__xludf.DUMMYFUNCTION("""COMPUTED_VALUE"""),"中國")</f>
        <v>中國</v>
      </c>
      <c r="S262" s="12"/>
      <c r="T262" s="12"/>
      <c r="U262" s="22" t="str">
        <f ca="1">IFERROR(__xludf.DUMMYFUNCTION("""COMPUTED_VALUE"""),"1年")</f>
        <v>1年</v>
      </c>
      <c r="V262" s="12"/>
      <c r="W262" s="12"/>
      <c r="X262" s="12"/>
      <c r="Y262" s="12"/>
      <c r="Z262" s="14"/>
      <c r="AA262" s="15" t="str">
        <f ca="1">IFERROR(__xludf.DUMMYFUNCTION("""COMPUTED_VALUE"""),"*負離子清淨功能*左右 30/60/90 度；上下 90 度自動擺頭*32 段風速；6 種風感(暴風、自然風、睡眠、母嬰、智能)*DC 直流馬達；附遙控器*風距 15m*兩種高度選擇")</f>
        <v>*負離子清淨功能*左右 30/60/90 度；上下 90 度自動擺頭*32 段風速；6 種風感(暴風、自然風、睡眠、母嬰、智能)*DC 直流馬達；附遙控器*風距 15m*兩種高度選擇</v>
      </c>
    </row>
    <row r="263" spans="1:27" ht="19.5" customHeight="1">
      <c r="A263" s="12" t="str">
        <f ca="1">IFERROR(__xludf.DUMMYFUNCTION("""COMPUTED_VALUE"""),"生活家電")</f>
        <v>生活家電</v>
      </c>
      <c r="B263" s="12" t="str">
        <f ca="1">IFERROR(__xludf.DUMMYFUNCTION("""COMPUTED_VALUE"""),"大同")</f>
        <v>大同</v>
      </c>
      <c r="C263" s="12" t="str">
        <f ca="1">IFERROR(__xludf.DUMMYFUNCTION("""COMPUTED_VALUE"""),"大同")</f>
        <v>大同</v>
      </c>
      <c r="D263" s="12" t="str">
        <f ca="1">IFERROR(__xludf.DUMMYFUNCTION("""COMPUTED_VALUE"""),"大同 14吋DC直流變頻電扇TF-L14DTA")</f>
        <v>大同 14吋DC直流變頻電扇TF-L14DTA</v>
      </c>
      <c r="E263" s="12" t="str">
        <f ca="1">IFERROR(__xludf.DUMMYFUNCTION("""COMPUTED_VALUE"""),"TF-L14DTA")</f>
        <v>TF-L14DTA</v>
      </c>
      <c r="F263" s="12">
        <f ca="1">IFERROR(__xludf.DUMMYFUNCTION("""COMPUTED_VALUE"""),51012248)</f>
        <v>51012248</v>
      </c>
      <c r="G263" s="12" t="str">
        <f ca="1">IFERROR(__xludf.DUMMYFUNCTION("""COMPUTED_VALUE"""),"IGEM1028")</f>
        <v>IGEM1028</v>
      </c>
      <c r="H263" s="13">
        <f ca="1">IFERROR(__xludf.DUMMYFUNCTION("""COMPUTED_VALUE"""),2190)</f>
        <v>2190</v>
      </c>
      <c r="I263" s="18">
        <f ca="1">IFERROR(__xludf.DUMMYFUNCTION("""COMPUTED_VALUE"""),1890)</f>
        <v>1890</v>
      </c>
      <c r="J263" s="16">
        <f ca="1">IFERROR(__xludf.DUMMYFUNCTION("""COMPUTED_VALUE"""),45432)</f>
        <v>45432</v>
      </c>
      <c r="K263" s="12" t="str">
        <f ca="1">IFERROR(__xludf.DUMMYFUNCTION("""COMPUTED_VALUE"""),"新機上架")</f>
        <v>新機上架</v>
      </c>
      <c r="L263" s="12" t="str">
        <f ca="1">IFERROR(__xludf.DUMMYFUNCTION("""COMPUTED_VALUE"""),"上架中")</f>
        <v>上架中</v>
      </c>
      <c r="M263" s="12" t="str">
        <f ca="1">IFERROR(__xludf.DUMMYFUNCTION("""COMPUTED_VALUE"""),"2024/5/20新機上架")</f>
        <v>2024/5/20新機上架</v>
      </c>
      <c r="N263" s="12" t="str">
        <f ca="1">IFERROR(__xludf.DUMMYFUNCTION("""COMPUTED_VALUE"""),"風扇")</f>
        <v>風扇</v>
      </c>
      <c r="O263" s="12" t="str">
        <f ca="1">IFERROR(__xludf.DUMMYFUNCTION("""COMPUTED_VALUE"""),"白色")</f>
        <v>白色</v>
      </c>
      <c r="P263" s="12" t="str">
        <f ca="1">IFERROR(__xludf.DUMMYFUNCTION("""COMPUTED_VALUE"""),"14吋")</f>
        <v>14吋</v>
      </c>
      <c r="Q263" s="12" t="str">
        <f ca="1">IFERROR(__xludf.DUMMYFUNCTION("""COMPUTED_VALUE"""),"高790~990 x 寬422 x 深400 (mm)")</f>
        <v>高790~990 x 寬422 x 深400 (mm)</v>
      </c>
      <c r="R263" s="12" t="str">
        <f ca="1">IFERROR(__xludf.DUMMYFUNCTION("""COMPUTED_VALUE"""),"中國")</f>
        <v>中國</v>
      </c>
      <c r="S263" s="12"/>
      <c r="T263" s="12"/>
      <c r="U263" s="22" t="str">
        <f ca="1">IFERROR(__xludf.DUMMYFUNCTION("""COMPUTED_VALUE"""),"1年")</f>
        <v>1年</v>
      </c>
      <c r="V263" s="12"/>
      <c r="W263" s="12"/>
      <c r="X263" s="12"/>
      <c r="Y263" s="12"/>
      <c r="Z263" s="14"/>
      <c r="AA263" s="15" t="str">
        <f ca="1">IFERROR(__xludf.DUMMYFUNCTION("""COMPUTED_VALUE"""),"*節能省電超靜音*日本DC直流變頻馬達*平面扇網不佔空間*流線型底座簡約時尚*5片扇葉吹出舒適自然涼風*自然風、舒眠風二種風感模式*7段風速設定*後馬達觸控面板*隨環境自由調整高度*1~8小時可預約開關機*加寬手把設定方便提握*無線遙控功能隨時操控")</f>
        <v>*節能省電超靜音*日本DC直流變頻馬達*平面扇網不佔空間*流線型底座簡約時尚*5片扇葉吹出舒適自然涼風*自然風、舒眠風二種風感模式*7段風速設定*後馬達觸控面板*隨環境自由調整高度*1~8小時可預約開關機*加寬手把設定方便提握*無線遙控功能隨時操控</v>
      </c>
    </row>
    <row r="264" spans="1:27" ht="19.5" customHeight="1">
      <c r="A264" s="12" t="str">
        <f ca="1">IFERROR(__xludf.DUMMYFUNCTION("""COMPUTED_VALUE"""),"生活家電")</f>
        <v>生活家電</v>
      </c>
      <c r="B264" s="12" t="str">
        <f ca="1">IFERROR(__xludf.DUMMYFUNCTION("""COMPUTED_VALUE"""),"大同")</f>
        <v>大同</v>
      </c>
      <c r="C264" s="12" t="str">
        <f ca="1">IFERROR(__xludf.DUMMYFUNCTION("""COMPUTED_VALUE"""),"大同")</f>
        <v>大同</v>
      </c>
      <c r="D264" s="12" t="str">
        <f ca="1">IFERROR(__xludf.DUMMYFUNCTION("""COMPUTED_VALUE"""),"大同 16吋DC直流變頻電扇TF-L16DTA")</f>
        <v>大同 16吋DC直流變頻電扇TF-L16DTA</v>
      </c>
      <c r="E264" s="12" t="str">
        <f ca="1">IFERROR(__xludf.DUMMYFUNCTION("""COMPUTED_VALUE"""),"TF-L16DTA")</f>
        <v>TF-L16DTA</v>
      </c>
      <c r="F264" s="12">
        <f ca="1">IFERROR(__xludf.DUMMYFUNCTION("""COMPUTED_VALUE"""),51012249)</f>
        <v>51012249</v>
      </c>
      <c r="G264" s="12" t="str">
        <f ca="1">IFERROR(__xludf.DUMMYFUNCTION("""COMPUTED_VALUE"""),"IGEM1029")</f>
        <v>IGEM1029</v>
      </c>
      <c r="H264" s="13">
        <f ca="1">IFERROR(__xludf.DUMMYFUNCTION("""COMPUTED_VALUE"""),2290)</f>
        <v>2290</v>
      </c>
      <c r="I264" s="18">
        <f ca="1">IFERROR(__xludf.DUMMYFUNCTION("""COMPUTED_VALUE"""),1990)</f>
        <v>1990</v>
      </c>
      <c r="J264" s="16">
        <f ca="1">IFERROR(__xludf.DUMMYFUNCTION("""COMPUTED_VALUE"""),45587)</f>
        <v>45587</v>
      </c>
      <c r="K264" s="12" t="str">
        <f ca="1">IFERROR(__xludf.DUMMYFUNCTION("""COMPUTED_VALUE"""),"缺貨")</f>
        <v>缺貨</v>
      </c>
      <c r="L264" s="12" t="str">
        <f ca="1">IFERROR(__xludf.DUMMYFUNCTION("""COMPUTED_VALUE"""),"缺貨")</f>
        <v>缺貨</v>
      </c>
      <c r="M264" s="12" t="str">
        <f ca="1">IFERROR(__xludf.DUMMYFUNCTION("""COMPUTED_VALUE"""),"10/22缺貨，2024/5/20新機上架")</f>
        <v>10/22缺貨，2024/5/20新機上架</v>
      </c>
      <c r="N264" s="12" t="str">
        <f ca="1">IFERROR(__xludf.DUMMYFUNCTION("""COMPUTED_VALUE"""),"風扇")</f>
        <v>風扇</v>
      </c>
      <c r="O264" s="12" t="str">
        <f ca="1">IFERROR(__xludf.DUMMYFUNCTION("""COMPUTED_VALUE"""),"白色")</f>
        <v>白色</v>
      </c>
      <c r="P264" s="12" t="str">
        <f ca="1">IFERROR(__xludf.DUMMYFUNCTION("""COMPUTED_VALUE"""),"16吋")</f>
        <v>16吋</v>
      </c>
      <c r="Q264" s="12" t="str">
        <f ca="1">IFERROR(__xludf.DUMMYFUNCTION("""COMPUTED_VALUE"""),"高840~1030 x 寬450 x 深400 (mm)")</f>
        <v>高840~1030 x 寬450 x 深400 (mm)</v>
      </c>
      <c r="R264" s="12" t="str">
        <f ca="1">IFERROR(__xludf.DUMMYFUNCTION("""COMPUTED_VALUE"""),"中國")</f>
        <v>中國</v>
      </c>
      <c r="S264" s="12"/>
      <c r="T264" s="12"/>
      <c r="U264" s="22" t="str">
        <f ca="1">IFERROR(__xludf.DUMMYFUNCTION("""COMPUTED_VALUE"""),"1年")</f>
        <v>1年</v>
      </c>
      <c r="V264" s="12"/>
      <c r="W264" s="12"/>
      <c r="X264" s="12"/>
      <c r="Y264" s="12"/>
      <c r="Z264" s="14"/>
      <c r="AA264" s="15" t="str">
        <f ca="1">IFERROR(__xludf.DUMMYFUNCTION("""COMPUTED_VALUE"""),"*節能省電超靜音*日本DC直流變頻馬達*平面扇網不佔空間*流線型底座簡約時尚*5片扇葉吹出舒適自然涼風*自然風、舒眠風二種風感模式*7段風速設定*後馬達觸控面板*隨環境自由調整高度*1~8小時可預約開關機*加寬手把設定方便提握*無線遙控功能隨時操控")</f>
        <v>*節能省電超靜音*日本DC直流變頻馬達*平面扇網不佔空間*流線型底座簡約時尚*5片扇葉吹出舒適自然涼風*自然風、舒眠風二種風感模式*7段風速設定*後馬達觸控面板*隨環境自由調整高度*1~8小時可預約開關機*加寬手把設定方便提握*無線遙控功能隨時操控</v>
      </c>
    </row>
    <row r="265" spans="1:27" ht="19.5" customHeight="1">
      <c r="A265" s="12" t="str">
        <f ca="1">IFERROR(__xludf.DUMMYFUNCTION("""COMPUTED_VALUE"""),"生活家電")</f>
        <v>生活家電</v>
      </c>
      <c r="B265" s="12" t="str">
        <f ca="1">IFERROR(__xludf.DUMMYFUNCTION("""COMPUTED_VALUE"""),"禾聯")</f>
        <v>禾聯</v>
      </c>
      <c r="C265" s="12" t="str">
        <f ca="1">IFERROR(__xludf.DUMMYFUNCTION("""COMPUTED_VALUE"""),"禾聯")</f>
        <v>禾聯</v>
      </c>
      <c r="D265" s="12" t="str">
        <f ca="1">IFERROR(__xludf.DUMMYFUNCTION("""COMPUTED_VALUE"""),"禾聯瞬熱式ｉ乾淨SPA潔便座 HTS-12TJ010(S)(含基本安裝)")</f>
        <v>禾聯瞬熱式ｉ乾淨SPA潔便座 HTS-12TJ010(S)(含基本安裝)</v>
      </c>
      <c r="E265" s="12" t="str">
        <f ca="1">IFERROR(__xludf.DUMMYFUNCTION("""COMPUTED_VALUE"""),"HTS-12TJ010(S)")</f>
        <v>HTS-12TJ010(S)</v>
      </c>
      <c r="F265" s="12">
        <f ca="1">IFERROR(__xludf.DUMMYFUNCTION("""COMPUTED_VALUE"""),51087292)</f>
        <v>51087292</v>
      </c>
      <c r="G265" s="12" t="str">
        <f ca="1">IFERROR(__xludf.DUMMYFUNCTION("""COMPUTED_VALUE"""),"IGEM0973")</f>
        <v>IGEM0973</v>
      </c>
      <c r="H265" s="13">
        <f ca="1">IFERROR(__xludf.DUMMYFUNCTION("""COMPUTED_VALUE"""),7990)</f>
        <v>7990</v>
      </c>
      <c r="I265" s="18">
        <f ca="1">IFERROR(__xludf.DUMMYFUNCTION("""COMPUTED_VALUE"""),6990)</f>
        <v>6990</v>
      </c>
      <c r="J265" s="16">
        <f ca="1">IFERROR(__xludf.DUMMYFUNCTION("""COMPUTED_VALUE"""),45330)</f>
        <v>45330</v>
      </c>
      <c r="K265" s="12" t="str">
        <f ca="1">IFERROR(__xludf.DUMMYFUNCTION("""COMPUTED_VALUE"""),"新機上架")</f>
        <v>新機上架</v>
      </c>
      <c r="L265" s="12" t="str">
        <f ca="1">IFERROR(__xludf.DUMMYFUNCTION("""COMPUTED_VALUE"""),"上架中")</f>
        <v>上架中</v>
      </c>
      <c r="M265" s="12" t="str">
        <f ca="1">IFERROR(__xludf.DUMMYFUNCTION("""COMPUTED_VALUE"""),"2024/2/8上架")</f>
        <v>2024/2/8上架</v>
      </c>
      <c r="N265" s="12" t="str">
        <f ca="1">IFERROR(__xludf.DUMMYFUNCTION("""COMPUTED_VALUE"""),"免治馬桶")</f>
        <v>免治馬桶</v>
      </c>
      <c r="O265" s="12"/>
      <c r="P265" s="12"/>
      <c r="Q265" s="12" t="str">
        <f ca="1">IFERROR(__xludf.DUMMYFUNCTION("""COMPUTED_VALUE"""),"
445x508x159mm")</f>
        <v xml:space="preserve">
445x508x159mm</v>
      </c>
      <c r="R265" s="12" t="str">
        <f ca="1">IFERROR(__xludf.DUMMYFUNCTION("""COMPUTED_VALUE"""),"中國")</f>
        <v>中國</v>
      </c>
      <c r="S265" s="12"/>
      <c r="T265" s="12"/>
      <c r="U265" s="22" t="str">
        <f ca="1">IFERROR(__xludf.DUMMYFUNCTION("""COMPUTED_VALUE"""),"1年")</f>
        <v>1年</v>
      </c>
      <c r="V265" s="12"/>
      <c r="W265" s="12"/>
      <c r="X265" s="12"/>
      <c r="Y265" s="12"/>
      <c r="Z265" s="14"/>
      <c r="AA265" s="15" t="str">
        <f ca="1">IFERROR(__xludf.DUMMYFUNCTION("""COMPUTED_VALUE"""),"*快速瞬熱式出水*恆溫暖座*有氧輕柔洗淨*SGS、SIAA雙認證抗菌*316不鏽鋼抗菌噴嘴*暖風烘乾*IPX4等級防水*日本除臭炭盒*微光照明 緩降便座*6重安全防護*超高適配馬桶座")</f>
        <v>*快速瞬熱式出水*恆溫暖座*有氧輕柔洗淨*SGS、SIAA雙認證抗菌*316不鏽鋼抗菌噴嘴*暖風烘乾*IPX4等級防水*日本除臭炭盒*微光照明 緩降便座*6重安全防護*超高適配馬桶座</v>
      </c>
    </row>
    <row r="266" spans="1:27" ht="19.5" customHeight="1">
      <c r="A266" s="12" t="str">
        <f ca="1">IFERROR(__xludf.DUMMYFUNCTION("""COMPUTED_VALUE"""),"生活家電")</f>
        <v>生活家電</v>
      </c>
      <c r="B266" s="12" t="str">
        <f ca="1">IFERROR(__xludf.DUMMYFUNCTION("""COMPUTED_VALUE"""),"禾聯")</f>
        <v>禾聯</v>
      </c>
      <c r="C266" s="12" t="str">
        <f ca="1">IFERROR(__xludf.DUMMYFUNCTION("""COMPUTED_VALUE"""),"禾聯")</f>
        <v>禾聯</v>
      </c>
      <c r="D266" s="12" t="str">
        <f ca="1">IFERROR(__xludf.DUMMYFUNCTION("""COMPUTED_VALUE"""),"HERAN禾聯 雙區溫控羊毛絨雙人電熱毯 HEB-12NB05W")</f>
        <v>HERAN禾聯 雙區溫控羊毛絨雙人電熱毯 HEB-12NB05W</v>
      </c>
      <c r="E266" s="12" t="str">
        <f ca="1">IFERROR(__xludf.DUMMYFUNCTION("""COMPUTED_VALUE"""),"HEB-12NB05W")</f>
        <v>HEB-12NB05W</v>
      </c>
      <c r="F266" s="12">
        <f ca="1">IFERROR(__xludf.DUMMYFUNCTION("""COMPUTED_VALUE"""),51087293)</f>
        <v>51087293</v>
      </c>
      <c r="G266" s="12" t="str">
        <f ca="1">IFERROR(__xludf.DUMMYFUNCTION("""COMPUTED_VALUE"""),"IGEM112G")</f>
        <v>IGEM112G</v>
      </c>
      <c r="H266" s="13">
        <f ca="1">IFERROR(__xludf.DUMMYFUNCTION("""COMPUTED_VALUE"""),2190)</f>
        <v>2190</v>
      </c>
      <c r="I266" s="14">
        <f ca="1">IFERROR(__xludf.DUMMYFUNCTION("""COMPUTED_VALUE"""),1990)</f>
        <v>1990</v>
      </c>
      <c r="J266" s="16">
        <f ca="1">IFERROR(__xludf.DUMMYFUNCTION("""COMPUTED_VALUE"""),45700)</f>
        <v>45700</v>
      </c>
      <c r="K266" s="12" t="str">
        <f ca="1">IFERROR(__xludf.DUMMYFUNCTION("""COMPUTED_VALUE"""),"到貨")</f>
        <v>到貨</v>
      </c>
      <c r="L266" s="12" t="str">
        <f ca="1">IFERROR(__xludf.DUMMYFUNCTION("""COMPUTED_VALUE"""),"上架中")</f>
        <v>上架中</v>
      </c>
      <c r="M266" s="12" t="str">
        <f ca="1">IFERROR(__xludf.DUMMYFUNCTION("""COMPUTED_VALUE"""),"2/12少量進貨，售完為止，2025/2/10缺貨(季節限量商品)2024/11/1新機上架")</f>
        <v>2/12少量進貨，售完為止，2025/2/10缺貨(季節限量商品)2024/11/1新機上架</v>
      </c>
      <c r="N266" s="12" t="str">
        <f ca="1">IFERROR(__xludf.DUMMYFUNCTION("""COMPUTED_VALUE"""),"電熱毯")</f>
        <v>電熱毯</v>
      </c>
      <c r="O266" s="12" t="str">
        <f ca="1">IFERROR(__xludf.DUMMYFUNCTION("""COMPUTED_VALUE"""),"白色")</f>
        <v>白色</v>
      </c>
      <c r="P266" s="12"/>
      <c r="Q266" s="12" t="str">
        <f ca="1">IFERROR(__xludf.DUMMYFUNCTION("""COMPUTED_VALUE"""),"1600X1300mm±20(mm)")</f>
        <v>1600X1300mm±20(mm)</v>
      </c>
      <c r="R266" s="12" t="str">
        <f ca="1">IFERROR(__xludf.DUMMYFUNCTION("""COMPUTED_VALUE"""),"中國")</f>
        <v>中國</v>
      </c>
      <c r="S266" s="12"/>
      <c r="T266" s="12"/>
      <c r="U266" s="22" t="str">
        <f ca="1">IFERROR(__xludf.DUMMYFUNCTION("""COMPUTED_VALUE"""),"1年")</f>
        <v>1年</v>
      </c>
      <c r="V266" s="12"/>
      <c r="W266" s="12"/>
      <c r="X266" s="12"/>
      <c r="Y266" s="12"/>
      <c r="Z266" s="14"/>
      <c r="AA266" s="15" t="str">
        <f ca="1">IFERROR(__xludf.DUMMYFUNCTION("""COMPUTED_VALUE"""),"*雙區獨立溫控*WiFi智慧聯網*六段式溫控 恆溫設計*雙螺旋發熱線設計使用更安心*十二小時自動斷電保護設定*過熱安全自動斷電保護*可洗衣機清洗*柔軟親膚材質*四角固定帶 貼心設計")</f>
        <v>*雙區獨立溫控*WiFi智慧聯網*六段式溫控 恆溫設計*雙螺旋發熱線設計使用更安心*十二小時自動斷電保護設定*過熱安全自動斷電保護*可洗衣機清洗*柔軟親膚材質*四角固定帶 貼心設計</v>
      </c>
    </row>
    <row r="267" spans="1:27" ht="19.5" customHeight="1">
      <c r="A267" s="12" t="str">
        <f ca="1">IFERROR(__xludf.DUMMYFUNCTION("""COMPUTED_VALUE"""),"生活家電")</f>
        <v>生活家電</v>
      </c>
      <c r="B267" s="12" t="str">
        <f ca="1">IFERROR(__xludf.DUMMYFUNCTION("""COMPUTED_VALUE"""),"禾聯")</f>
        <v>禾聯</v>
      </c>
      <c r="C267" s="12" t="str">
        <f ca="1">IFERROR(__xludf.DUMMYFUNCTION("""COMPUTED_VALUE"""),"禾聯")</f>
        <v>禾聯</v>
      </c>
      <c r="D267" s="12" t="str">
        <f ca="1">IFERROR(__xludf.DUMMYFUNCTION("""COMPUTED_VALUE"""),"HERAN禾聯 芬多抑菌陶瓷式電暖器HPH-13DH310")</f>
        <v>HERAN禾聯 芬多抑菌陶瓷式電暖器HPH-13DH310</v>
      </c>
      <c r="E267" s="12" t="str">
        <f ca="1">IFERROR(__xludf.DUMMYFUNCTION("""COMPUTED_VALUE"""),"HPH-13DH310")</f>
        <v>HPH-13DH310</v>
      </c>
      <c r="F267" s="12">
        <f ca="1">IFERROR(__xludf.DUMMYFUNCTION("""COMPUTED_VALUE"""),51087294)</f>
        <v>51087294</v>
      </c>
      <c r="G267" s="12" t="str">
        <f ca="1">IFERROR(__xludf.DUMMYFUNCTION("""COMPUTED_VALUE"""),"IGEM112H")</f>
        <v>IGEM112H</v>
      </c>
      <c r="H267" s="13">
        <f ca="1">IFERROR(__xludf.DUMMYFUNCTION("""COMPUTED_VALUE"""),2690)</f>
        <v>2690</v>
      </c>
      <c r="I267" s="14">
        <f ca="1">IFERROR(__xludf.DUMMYFUNCTION("""COMPUTED_VALUE"""),2490)</f>
        <v>2490</v>
      </c>
      <c r="J267" s="16">
        <f ca="1">IFERROR(__xludf.DUMMYFUNCTION("""COMPUTED_VALUE"""),45597)</f>
        <v>45597</v>
      </c>
      <c r="K267" s="12" t="str">
        <f ca="1">IFERROR(__xludf.DUMMYFUNCTION("""COMPUTED_VALUE"""),"新機上架")</f>
        <v>新機上架</v>
      </c>
      <c r="L267" s="12" t="str">
        <f ca="1">IFERROR(__xludf.DUMMYFUNCTION("""COMPUTED_VALUE"""),"上架中")</f>
        <v>上架中</v>
      </c>
      <c r="M267" s="12" t="str">
        <f ca="1">IFERROR(__xludf.DUMMYFUNCTION("""COMPUTED_VALUE"""),"2024/11/1新機上架")</f>
        <v>2024/11/1新機上架</v>
      </c>
      <c r="N267" s="12" t="str">
        <f ca="1">IFERROR(__xludf.DUMMYFUNCTION("""COMPUTED_VALUE"""),"電暖器")</f>
        <v>電暖器</v>
      </c>
      <c r="O267" s="12" t="str">
        <f ca="1">IFERROR(__xludf.DUMMYFUNCTION("""COMPUTED_VALUE"""),"白色")</f>
        <v>白色</v>
      </c>
      <c r="P267" s="12"/>
      <c r="Q267" s="12" t="str">
        <f ca="1">IFERROR(__xludf.DUMMYFUNCTION("""COMPUTED_VALUE"""),"W213 x H530 x D213mm")</f>
        <v>W213 x H530 x D213mm</v>
      </c>
      <c r="R267" s="12" t="str">
        <f ca="1">IFERROR(__xludf.DUMMYFUNCTION("""COMPUTED_VALUE"""),"中國")</f>
        <v>中國</v>
      </c>
      <c r="S267" s="12"/>
      <c r="T267" s="12"/>
      <c r="U267" s="22" t="str">
        <f ca="1">IFERROR(__xludf.DUMMYFUNCTION("""COMPUTED_VALUE"""),"1年")</f>
        <v>1年</v>
      </c>
      <c r="V267" s="12"/>
      <c r="W267" s="12"/>
      <c r="X267" s="12"/>
      <c r="Y267" s="12"/>
      <c r="Z267" s="14"/>
      <c r="AA267" s="15" t="str">
        <f ca="1">IFERROR(__xludf.DUMMYFUNCTION("""COMPUTED_VALUE"""),"*頂部觸控檔位鍵*上下左右擺頭*冷熱兩用 三重檔位*傾倒斷電保護裝置*智慧節能溫控器*3D大廣角擺頭*遙控器操作")</f>
        <v>*頂部觸控檔位鍵*上下左右擺頭*冷熱兩用 三重檔位*傾倒斷電保護裝置*智慧節能溫控器*3D大廣角擺頭*遙控器操作</v>
      </c>
    </row>
    <row r="268" spans="1:27" ht="19.5" customHeight="1">
      <c r="A268" s="12" t="str">
        <f ca="1">IFERROR(__xludf.DUMMYFUNCTION("""COMPUTED_VALUE"""),"生活家電")</f>
        <v>生活家電</v>
      </c>
      <c r="B268" s="12" t="str">
        <f ca="1">IFERROR(__xludf.DUMMYFUNCTION("""COMPUTED_VALUE"""),"昶宏")</f>
        <v>昶宏</v>
      </c>
      <c r="C268" s="12" t="str">
        <f ca="1">IFERROR(__xludf.DUMMYFUNCTION("""COMPUTED_VALUE"""),"NICONICO")</f>
        <v>NICONICO</v>
      </c>
      <c r="D268" s="12" t="str">
        <f ca="1">IFERROR(__xludf.DUMMYFUNCTION("""COMPUTED_VALUE"""),"NICONICO美型折疊式噴氣掛燙機NI-MH926")</f>
        <v>NICONICO美型折疊式噴氣掛燙機NI-MH926</v>
      </c>
      <c r="E268" s="12" t="str">
        <f ca="1">IFERROR(__xludf.DUMMYFUNCTION("""COMPUTED_VALUE"""),"NI-MH926")</f>
        <v>NI-MH926</v>
      </c>
      <c r="F268" s="12">
        <f ca="1">IFERROR(__xludf.DUMMYFUNCTION("""COMPUTED_VALUE"""),51078014)</f>
        <v>51078014</v>
      </c>
      <c r="G268" s="12" t="str">
        <f ca="1">IFERROR(__xludf.DUMMYFUNCTION("""COMPUTED_VALUE"""),"IGEM023F")</f>
        <v>IGEM023F</v>
      </c>
      <c r="H268" s="12">
        <f ca="1">IFERROR(__xludf.DUMMYFUNCTION("""COMPUTED_VALUE"""),1680)</f>
        <v>1680</v>
      </c>
      <c r="I268" s="14">
        <f ca="1">IFERROR(__xludf.DUMMYFUNCTION("""COMPUTED_VALUE"""),1280)</f>
        <v>1280</v>
      </c>
      <c r="J268" s="16">
        <f ca="1">IFERROR(__xludf.DUMMYFUNCTION("""COMPUTED_VALUE"""),45434)</f>
        <v>45434</v>
      </c>
      <c r="K268" s="12" t="str">
        <f ca="1">IFERROR(__xludf.DUMMYFUNCTION("""COMPUTED_VALUE"""),"缺貨")</f>
        <v>缺貨</v>
      </c>
      <c r="L268" s="12" t="str">
        <f ca="1">IFERROR(__xludf.DUMMYFUNCTION("""COMPUTED_VALUE"""),"缺貨")</f>
        <v>缺貨</v>
      </c>
      <c r="M268" s="12" t="str">
        <f ca="1">IFERROR(__xludf.DUMMYFUNCTION("""COMPUTED_VALUE"""),"2024/5/21缺貨，2022/10/5到貨、8/24缺貨、9月中到貨、2021/10/28新品上架")</f>
        <v>2024/5/21缺貨，2022/10/5到貨、8/24缺貨、9月中到貨、2021/10/28新品上架</v>
      </c>
      <c r="N268" s="12" t="str">
        <f ca="1">IFERROR(__xludf.DUMMYFUNCTION("""COMPUTED_VALUE"""),"熨斗/掛燙機")</f>
        <v>熨斗/掛燙機</v>
      </c>
      <c r="O268" s="12" t="str">
        <f ca="1">IFERROR(__xludf.DUMMYFUNCTION("""COMPUTED_VALUE"""),"白色")</f>
        <v>白色</v>
      </c>
      <c r="P268" s="12"/>
      <c r="Q268" s="12" t="str">
        <f ca="1">IFERROR(__xludf.DUMMYFUNCTION("""COMPUTED_VALUE"""),"產品尺寸244x160x73高寬長mm")</f>
        <v>產品尺寸244x160x73高寬長mm</v>
      </c>
      <c r="R268" s="12" t="str">
        <f ca="1">IFERROR(__xludf.DUMMYFUNCTION("""COMPUTED_VALUE"""),"中國")</f>
        <v>中國</v>
      </c>
      <c r="S268" s="12"/>
      <c r="T268" s="12"/>
      <c r="U268" s="12" t="str">
        <f ca="1">IFERROR(__xludf.DUMMYFUNCTION("""COMPUTED_VALUE"""),"1年")</f>
        <v>1年</v>
      </c>
      <c r="V268" s="12"/>
      <c r="W268" s="12"/>
      <c r="X268" s="12"/>
      <c r="Y268" s="12"/>
      <c r="Z268" s="14"/>
      <c r="AA268" s="15" t="str">
        <f ca="1">IFERROR(__xludf.DUMMYFUNCTION("""COMPUTED_VALUE"""),"*摺疊設計，方便攜帶收納掛*燙/平燙二合一*隨手熨燙，小巧易收納*有效消除皺褶，減少異味*快速形成蒸氣，簡單便利*噴氣式直流蒸氣，快速流暢直達衣物*高溫高壓連續蒸氣不間斷，持久穩定*大容量水箱*適用各種布料，深層呵護衣物*附除塵毛刷頭")</f>
        <v>*摺疊設計，方便攜帶收納掛*燙/平燙二合一*隨手熨燙，小巧易收納*有效消除皺褶，減少異味*快速形成蒸氣，簡單便利*噴氣式直流蒸氣，快速流暢直達衣物*高溫高壓連續蒸氣不間斷，持久穩定*大容量水箱*適用各種布料，深層呵護衣物*附除塵毛刷頭</v>
      </c>
    </row>
    <row r="269" spans="1:27" ht="19.5" customHeight="1">
      <c r="A269" s="12" t="str">
        <f ca="1">IFERROR(__xludf.DUMMYFUNCTION("""COMPUTED_VALUE"""),"生活家電")</f>
        <v>生活家電</v>
      </c>
      <c r="B269" s="12" t="str">
        <f ca="1">IFERROR(__xludf.DUMMYFUNCTION("""COMPUTED_VALUE"""),"昶宏")</f>
        <v>昶宏</v>
      </c>
      <c r="C269" s="12" t="str">
        <f ca="1">IFERROR(__xludf.DUMMYFUNCTION("""COMPUTED_VALUE"""),"NICONICO")</f>
        <v>NICONICO</v>
      </c>
      <c r="D269" s="12" t="str">
        <f ca="1">IFERROR(__xludf.DUMMYFUNCTION("""COMPUTED_VALUE"""),"NICONICO美型吹風機NI-IH921(冰川白)")</f>
        <v>NICONICO美型吹風機NI-IH921(冰川白)</v>
      </c>
      <c r="E269" s="12" t="str">
        <f ca="1">IFERROR(__xludf.DUMMYFUNCTION("""COMPUTED_VALUE"""),"NI-IH921(冰川白)")</f>
        <v>NI-IH921(冰川白)</v>
      </c>
      <c r="F269" s="12">
        <f ca="1">IFERROR(__xludf.DUMMYFUNCTION("""COMPUTED_VALUE"""),51078026)</f>
        <v>51078026</v>
      </c>
      <c r="G269" s="12" t="str">
        <f ca="1">IFERROR(__xludf.DUMMYFUNCTION("""COMPUTED_VALUE"""),"IGEM0468")</f>
        <v>IGEM0468</v>
      </c>
      <c r="H269" s="12">
        <f ca="1">IFERROR(__xludf.DUMMYFUNCTION("""COMPUTED_VALUE"""),1980)</f>
        <v>1980</v>
      </c>
      <c r="I269" s="14">
        <f ca="1">IFERROR(__xludf.DUMMYFUNCTION("""COMPUTED_VALUE"""),1280)</f>
        <v>1280</v>
      </c>
      <c r="J269" s="16">
        <f ca="1">IFERROR(__xludf.DUMMYFUNCTION("""COMPUTED_VALUE"""),45321)</f>
        <v>45321</v>
      </c>
      <c r="K269" s="12" t="str">
        <f ca="1">IFERROR(__xludf.DUMMYFUNCTION("""COMPUTED_VALUE"""),"缺貨")</f>
        <v>缺貨</v>
      </c>
      <c r="L269" s="12" t="str">
        <f ca="1">IFERROR(__xludf.DUMMYFUNCTION("""COMPUTED_VALUE"""),"缺貨")</f>
        <v>缺貨</v>
      </c>
      <c r="M269" s="12" t="str">
        <f ca="1">IFERROR(__xludf.DUMMYFUNCTION("""COMPUTED_VALUE"""),"1/30缺貨，4/18到貨1/13缺貨2022/11/1短促2021/8/23新機上架")</f>
        <v>1/30缺貨，4/18到貨1/13缺貨2022/11/1短促2021/8/23新機上架</v>
      </c>
      <c r="N269" s="12" t="str">
        <f ca="1">IFERROR(__xludf.DUMMYFUNCTION("""COMPUTED_VALUE"""),"吹風機/造型整髮器")</f>
        <v>吹風機/造型整髮器</v>
      </c>
      <c r="O269" s="12" t="str">
        <f ca="1">IFERROR(__xludf.DUMMYFUNCTION("""COMPUTED_VALUE"""),"冰川白")</f>
        <v>冰川白</v>
      </c>
      <c r="P269" s="12" t="str">
        <f ca="1">IFERROR(__xludf.DUMMYFUNCTION("""COMPUTED_VALUE"""),"產品重量約604G
包裝尺寸125*149*198mm
包裝重量約1000G")</f>
        <v>產品重量約604G
包裝尺寸125*149*198mm
包裝重量約1000G</v>
      </c>
      <c r="Q269" s="12" t="str">
        <f ca="1">IFERROR(__xludf.DUMMYFUNCTION("""COMPUTED_VALUE"""),"產品尺寸159*71*218mm")</f>
        <v>產品尺寸159*71*218mm</v>
      </c>
      <c r="R269" s="12" t="str">
        <f ca="1">IFERROR(__xludf.DUMMYFUNCTION("""COMPUTED_VALUE"""),"中國")</f>
        <v>中國</v>
      </c>
      <c r="S269" s="12"/>
      <c r="T269" s="12"/>
      <c r="U269" s="12" t="str">
        <f ca="1">IFERROR(__xludf.DUMMYFUNCTION("""COMPUTED_VALUE"""),"1年")</f>
        <v>1年</v>
      </c>
      <c r="V269" s="12"/>
      <c r="W269" s="12"/>
      <c r="X269" s="12"/>
      <c r="Y269" s="12"/>
      <c r="Z269" s="14"/>
      <c r="AA269" s="15" t="str">
        <f ca="1">IFERROR(__xludf.DUMMYFUNCTION("""COMPUTED_VALUE"""),"*高含量負離子，順速抑制靜電，避免損害毛髮*1000W高功率大風量設計*冷風切換可視狀況使用不傷頭皮*專用腳架方便不受限*磁吸式風嘴*過熱保護裝置防止過熱損害髮質")</f>
        <v>*高含量負離子，順速抑制靜電，避免損害毛髮*1000W高功率大風量設計*冷風切換可視狀況使用不傷頭皮*專用腳架方便不受限*磁吸式風嘴*過熱保護裝置防止過熱損害髮質</v>
      </c>
    </row>
    <row r="270" spans="1:27" ht="19.5" customHeight="1">
      <c r="A270" s="12" t="str">
        <f ca="1">IFERROR(__xludf.DUMMYFUNCTION("""COMPUTED_VALUE"""),"生活家電")</f>
        <v>生活家電</v>
      </c>
      <c r="B270" s="12" t="str">
        <f ca="1">IFERROR(__xludf.DUMMYFUNCTION("""COMPUTED_VALUE"""),"昶宏")</f>
        <v>昶宏</v>
      </c>
      <c r="C270" s="12" t="str">
        <f ca="1">IFERROR(__xludf.DUMMYFUNCTION("""COMPUTED_VALUE"""),"NICONICO")</f>
        <v>NICONICO</v>
      </c>
      <c r="D270" s="12" t="str">
        <f ca="1">IFERROR(__xludf.DUMMYFUNCTION("""COMPUTED_VALUE"""),"NICONICO美型吹風機NI-IH921(櫻彩粉)")</f>
        <v>NICONICO美型吹風機NI-IH921(櫻彩粉)</v>
      </c>
      <c r="E270" s="12" t="str">
        <f ca="1">IFERROR(__xludf.DUMMYFUNCTION("""COMPUTED_VALUE"""),"NI-IH921(櫻彩粉)")</f>
        <v>NI-IH921(櫻彩粉)</v>
      </c>
      <c r="F270" s="12">
        <f ca="1">IFERROR(__xludf.DUMMYFUNCTION("""COMPUTED_VALUE"""),51078027)</f>
        <v>51078027</v>
      </c>
      <c r="G270" s="12" t="str">
        <f ca="1">IFERROR(__xludf.DUMMYFUNCTION("""COMPUTED_VALUE"""),"IGEM0469")</f>
        <v>IGEM0469</v>
      </c>
      <c r="H270" s="12">
        <f ca="1">IFERROR(__xludf.DUMMYFUNCTION("""COMPUTED_VALUE"""),1980)</f>
        <v>1980</v>
      </c>
      <c r="I270" s="14">
        <f ca="1">IFERROR(__xludf.DUMMYFUNCTION("""COMPUTED_VALUE"""),1280)</f>
        <v>1280</v>
      </c>
      <c r="J270" s="16">
        <f ca="1">IFERROR(__xludf.DUMMYFUNCTION("""COMPUTED_VALUE"""),45468)</f>
        <v>45468</v>
      </c>
      <c r="K270" s="12" t="str">
        <f ca="1">IFERROR(__xludf.DUMMYFUNCTION("""COMPUTED_VALUE"""),"缺貨")</f>
        <v>缺貨</v>
      </c>
      <c r="L270" s="12" t="str">
        <f ca="1">IFERROR(__xludf.DUMMYFUNCTION("""COMPUTED_VALUE"""),"缺貨")</f>
        <v>缺貨</v>
      </c>
      <c r="M270" s="12" t="str">
        <f ca="1">IFERROR(__xludf.DUMMYFUNCTION("""COMPUTED_VALUE"""),"6/25缺貨，4/18到貨1/13缺貨2022/11/1短促、2022/05/30到貨、2022/3/4缺貨到貨日未定、2021/8/23新機上架")</f>
        <v>6/25缺貨，4/18到貨1/13缺貨2022/11/1短促、2022/05/30到貨、2022/3/4缺貨到貨日未定、2021/8/23新機上架</v>
      </c>
      <c r="N270" s="12" t="str">
        <f ca="1">IFERROR(__xludf.DUMMYFUNCTION("""COMPUTED_VALUE"""),"吹風機/造型整髮器")</f>
        <v>吹風機/造型整髮器</v>
      </c>
      <c r="O270" s="12" t="str">
        <f ca="1">IFERROR(__xludf.DUMMYFUNCTION("""COMPUTED_VALUE"""),"櫻彩粉")</f>
        <v>櫻彩粉</v>
      </c>
      <c r="P270" s="12" t="str">
        <f ca="1">IFERROR(__xludf.DUMMYFUNCTION("""COMPUTED_VALUE"""),"產品重量約604G
包裝尺寸125*149*198mm
包裝重量約1000G")</f>
        <v>產品重量約604G
包裝尺寸125*149*198mm
包裝重量約1000G</v>
      </c>
      <c r="Q270" s="12" t="str">
        <f ca="1">IFERROR(__xludf.DUMMYFUNCTION("""COMPUTED_VALUE"""),"產品尺寸159*71*218mm")</f>
        <v>產品尺寸159*71*218mm</v>
      </c>
      <c r="R270" s="12" t="str">
        <f ca="1">IFERROR(__xludf.DUMMYFUNCTION("""COMPUTED_VALUE"""),"中國")</f>
        <v>中國</v>
      </c>
      <c r="S270" s="12"/>
      <c r="T270" s="12"/>
      <c r="U270" s="12" t="str">
        <f ca="1">IFERROR(__xludf.DUMMYFUNCTION("""COMPUTED_VALUE"""),"1年")</f>
        <v>1年</v>
      </c>
      <c r="V270" s="12"/>
      <c r="W270" s="12"/>
      <c r="X270" s="12"/>
      <c r="Y270" s="12"/>
      <c r="Z270" s="14"/>
      <c r="AA270" s="15" t="str">
        <f ca="1">IFERROR(__xludf.DUMMYFUNCTION("""COMPUTED_VALUE"""),"*高含量負離子，順速抑制靜電，避免損害毛髮*1000W高功率大風量設計*冷風切換可視狀況使用不傷頭皮*專用腳架方便不受限*磁吸式風嘴*過熱保護裝置防止過熱損害髮質")</f>
        <v>*高含量負離子，順速抑制靜電，避免損害毛髮*1000W高功率大風量設計*冷風切換可視狀況使用不傷頭皮*專用腳架方便不受限*磁吸式風嘴*過熱保護裝置防止過熱損害髮質</v>
      </c>
    </row>
    <row r="271" spans="1:27" ht="19.5" customHeight="1">
      <c r="A271" s="12" t="str">
        <f ca="1">IFERROR(__xludf.DUMMYFUNCTION("""COMPUTED_VALUE"""),"生活家電")</f>
        <v>生活家電</v>
      </c>
      <c r="B271" s="12" t="str">
        <f ca="1">IFERROR(__xludf.DUMMYFUNCTION("""COMPUTED_VALUE"""),"昶宏")</f>
        <v>昶宏</v>
      </c>
      <c r="C271" s="12" t="str">
        <f ca="1">IFERROR(__xludf.DUMMYFUNCTION("""COMPUTED_VALUE"""),"NICONICO")</f>
        <v>NICONICO</v>
      </c>
      <c r="D271" s="12" t="str">
        <f ca="1">IFERROR(__xludf.DUMMYFUNCTION("""COMPUTED_VALUE"""),"NICONICO抽取式兩用捕蚊燈NI-EMS1005")</f>
        <v>NICONICO抽取式兩用捕蚊燈NI-EMS1005</v>
      </c>
      <c r="E271" s="12" t="str">
        <f ca="1">IFERROR(__xludf.DUMMYFUNCTION("""COMPUTED_VALUE"""),"NI-EMS1005")</f>
        <v>NI-EMS1005</v>
      </c>
      <c r="F271" s="12">
        <f ca="1">IFERROR(__xludf.DUMMYFUNCTION("""COMPUTED_VALUE"""),51078022)</f>
        <v>51078022</v>
      </c>
      <c r="G271" s="12" t="str">
        <f ca="1">IFERROR(__xludf.DUMMYFUNCTION("""COMPUTED_VALUE"""),"IGEM034I")</f>
        <v>IGEM034I</v>
      </c>
      <c r="H271" s="12">
        <f ca="1">IFERROR(__xludf.DUMMYFUNCTION("""COMPUTED_VALUE"""),1380)</f>
        <v>1380</v>
      </c>
      <c r="I271" s="14">
        <f ca="1">IFERROR(__xludf.DUMMYFUNCTION("""COMPUTED_VALUE"""),888)</f>
        <v>888</v>
      </c>
      <c r="J271" s="16">
        <f ca="1">IFERROR(__xludf.DUMMYFUNCTION("""COMPUTED_VALUE"""),45323)</f>
        <v>45323</v>
      </c>
      <c r="K271" s="12" t="str">
        <f ca="1">IFERROR(__xludf.DUMMYFUNCTION("""COMPUTED_VALUE"""),"短促")</f>
        <v>短促</v>
      </c>
      <c r="L271" s="12" t="str">
        <f ca="1">IFERROR(__xludf.DUMMYFUNCTION("""COMPUTED_VALUE"""),"上架中")</f>
        <v>上架中</v>
      </c>
      <c r="M271" s="12" t="str">
        <f ca="1">IFERROR(__xludf.DUMMYFUNCTION("""COMPUTED_VALUE"""),"2/1短促，2023/3/1-8/31短促2021/6/7新機上架")</f>
        <v>2/1短促，2023/3/1-8/31短促2021/6/7新機上架</v>
      </c>
      <c r="N271" s="12" t="str">
        <f ca="1">IFERROR(__xludf.DUMMYFUNCTION("""COMPUTED_VALUE"""),"捕蚊燈")</f>
        <v>捕蚊燈</v>
      </c>
      <c r="O271" s="12" t="str">
        <f ca="1">IFERROR(__xludf.DUMMYFUNCTION("""COMPUTED_VALUE"""),"綠色")</f>
        <v>綠色</v>
      </c>
      <c r="P271" s="12" t="str">
        <f ca="1">IFERROR(__xludf.DUMMYFUNCTION("""COMPUTED_VALUE"""),"產品尺寸189*58*526
產品重量376g
使用電源:DC5V
消耗功率:蚊拍:1.2W/蚊燈:1W")</f>
        <v>產品尺寸189*58*526
產品重量376g
使用電源:DC5V
消耗功率:蚊拍:1.2W/蚊燈:1W</v>
      </c>
      <c r="Q271" s="12" t="str">
        <f ca="1">IFERROR(__xludf.DUMMYFUNCTION("""COMPUTED_VALUE"""),"產品尺寸189*58*526")</f>
        <v>產品尺寸189*58*526</v>
      </c>
      <c r="R271" s="12" t="str">
        <f ca="1">IFERROR(__xludf.DUMMYFUNCTION("""COMPUTED_VALUE"""),"中國")</f>
        <v>中國</v>
      </c>
      <c r="S271" s="12"/>
      <c r="T271" s="12"/>
      <c r="U271" s="12" t="str">
        <f ca="1">IFERROR(__xludf.DUMMYFUNCTION("""COMPUTED_VALUE"""),"1年")</f>
        <v>1年</v>
      </c>
      <c r="V271" s="12"/>
      <c r="W271" s="12"/>
      <c r="X271" s="12"/>
      <c r="Y271" s="12"/>
      <c r="Z271" s="14"/>
      <c r="AA271" s="15" t="str">
        <f ca="1">IFERROR(__xludf.DUMMYFUNCTION("""COMPUTED_VALUE"""),"*捕蚊燈/電蚊拍 二合一*雙頻UV燈誘蚊*安全三層式密集網*28公分加大電網，捕蚊效率高*2500V電力迅速擊斃蚊蟲")</f>
        <v>*捕蚊燈/電蚊拍 二合一*雙頻UV燈誘蚊*安全三層式密集網*28公分加大電網，捕蚊效率高*2500V電力迅速擊斃蚊蟲</v>
      </c>
    </row>
    <row r="272" spans="1:27" ht="19.5" customHeight="1">
      <c r="A272" s="12" t="str">
        <f ca="1">IFERROR(__xludf.DUMMYFUNCTION("""COMPUTED_VALUE"""),"生活家電")</f>
        <v>生活家電</v>
      </c>
      <c r="B272" s="12" t="str">
        <f ca="1">IFERROR(__xludf.DUMMYFUNCTION("""COMPUTED_VALUE"""),"昶宏")</f>
        <v>昶宏</v>
      </c>
      <c r="C272" s="12" t="str">
        <f ca="1">IFERROR(__xludf.DUMMYFUNCTION("""COMPUTED_VALUE"""),"NICONICO")</f>
        <v>NICONICO</v>
      </c>
      <c r="D272" s="12" t="str">
        <f ca="1">IFERROR(__xludf.DUMMYFUNCTION("""COMPUTED_VALUE"""),"NICONICO強效吸入電擊式捕蚊燈NI-EML1001")</f>
        <v>NICONICO強效吸入電擊式捕蚊燈NI-EML1001</v>
      </c>
      <c r="E272" s="12" t="str">
        <f ca="1">IFERROR(__xludf.DUMMYFUNCTION("""COMPUTED_VALUE"""),"NI-EML1001")</f>
        <v>NI-EML1001</v>
      </c>
      <c r="F272" s="12">
        <f ca="1">IFERROR(__xludf.DUMMYFUNCTION("""COMPUTED_VALUE"""),51078023)</f>
        <v>51078023</v>
      </c>
      <c r="G272" s="12" t="str">
        <f ca="1">IFERROR(__xludf.DUMMYFUNCTION("""COMPUTED_VALUE"""),"IGEM034J")</f>
        <v>IGEM034J</v>
      </c>
      <c r="H272" s="12">
        <f ca="1">IFERROR(__xludf.DUMMYFUNCTION("""COMPUTED_VALUE"""),888)</f>
        <v>888</v>
      </c>
      <c r="I272" s="14">
        <f ca="1">IFERROR(__xludf.DUMMYFUNCTION("""COMPUTED_VALUE"""),799)</f>
        <v>799</v>
      </c>
      <c r="J272" s="16">
        <f ca="1">IFERROR(__xludf.DUMMYFUNCTION("""COMPUTED_VALUE"""),44974)</f>
        <v>44974</v>
      </c>
      <c r="K272" s="12" t="str">
        <f ca="1">IFERROR(__xludf.DUMMYFUNCTION("""COMPUTED_VALUE"""),"到貨")</f>
        <v>到貨</v>
      </c>
      <c r="L272" s="12" t="str">
        <f ca="1">IFERROR(__xludf.DUMMYFUNCTION("""COMPUTED_VALUE"""),"上架中")</f>
        <v>上架中</v>
      </c>
      <c r="M272" s="12" t="str">
        <f ca="1">IFERROR(__xludf.DUMMYFUNCTION("""COMPUTED_VALUE"""),"2023/2/17到貨2/6缺貨，2021/5/10新機")</f>
        <v>2023/2/17到貨2/6缺貨，2021/5/10新機</v>
      </c>
      <c r="N272" s="12" t="str">
        <f ca="1">IFERROR(__xludf.DUMMYFUNCTION("""COMPUTED_VALUE"""),"捕蚊燈")</f>
        <v>捕蚊燈</v>
      </c>
      <c r="O272" s="12" t="str">
        <f ca="1">IFERROR(__xludf.DUMMYFUNCTION("""COMPUTED_VALUE"""),"白色")</f>
        <v>白色</v>
      </c>
      <c r="P272" s="12" t="str">
        <f ca="1">IFERROR(__xludf.DUMMYFUNCTION("""COMPUTED_VALUE"""),"產品尺寸130*130*220
產品重量508g
使用電源:USB
消耗功率:4w")</f>
        <v>產品尺寸130*130*220
產品重量508g
使用電源:USB
消耗功率:4w</v>
      </c>
      <c r="Q272" s="12" t="str">
        <f ca="1">IFERROR(__xludf.DUMMYFUNCTION("""COMPUTED_VALUE"""),"產品尺寸130*130*220")</f>
        <v>產品尺寸130*130*220</v>
      </c>
      <c r="R272" s="12" t="str">
        <f ca="1">IFERROR(__xludf.DUMMYFUNCTION("""COMPUTED_VALUE"""),"中國")</f>
        <v>中國</v>
      </c>
      <c r="S272" s="12"/>
      <c r="T272" s="12"/>
      <c r="U272" s="12" t="str">
        <f ca="1">IFERROR(__xludf.DUMMYFUNCTION("""COMPUTED_VALUE"""),"1年")</f>
        <v>1年</v>
      </c>
      <c r="V272" s="12"/>
      <c r="W272" s="12"/>
      <c r="X272" s="12"/>
      <c r="Y272" s="12"/>
      <c r="Z272" s="14"/>
      <c r="AA272" s="15" t="str">
        <f ca="1">IFERROR(__xludf.DUMMYFUNCTION("""COMPUTED_VALUE"""),"*吸入式+電擊式二合一*睡眠模式電擊式自動停止*UV燈管物理誘蚊無毒無味*瞬間放電2500V，強效電擊*小巧造型、USB供電")</f>
        <v>*吸入式+電擊式二合一*睡眠模式電擊式自動停止*UV燈管物理誘蚊無毒無味*瞬間放電2500V，強效電擊*小巧造型、USB供電</v>
      </c>
    </row>
    <row r="273" spans="1:27" ht="19.5" customHeight="1">
      <c r="A273" s="12" t="str">
        <f ca="1">IFERROR(__xludf.DUMMYFUNCTION("""COMPUTED_VALUE"""),"生活家電")</f>
        <v>生活家電</v>
      </c>
      <c r="B273" s="12" t="str">
        <f ca="1">IFERROR(__xludf.DUMMYFUNCTION("""COMPUTED_VALUE"""),"昶宏")</f>
        <v>昶宏</v>
      </c>
      <c r="C273" s="12" t="str">
        <f ca="1">IFERROR(__xludf.DUMMYFUNCTION("""COMPUTED_VALUE"""),"NICONICO")</f>
        <v>NICONICO</v>
      </c>
      <c r="D273" s="12" t="str">
        <f ca="1">IFERROR(__xludf.DUMMYFUNCTION("""COMPUTED_VALUE"""),"NICONICO360度陀螺循環立扇NI-GS902")</f>
        <v>NICONICO360度陀螺循環立扇NI-GS902</v>
      </c>
      <c r="E273" s="12" t="str">
        <f ca="1">IFERROR(__xludf.DUMMYFUNCTION("""COMPUTED_VALUE"""),"NI-GS902")</f>
        <v>NI-GS902</v>
      </c>
      <c r="F273" s="12">
        <f ca="1">IFERROR(__xludf.DUMMYFUNCTION("""COMPUTED_VALUE"""),51078024)</f>
        <v>51078024</v>
      </c>
      <c r="G273" s="12" t="str">
        <f ca="1">IFERROR(__xludf.DUMMYFUNCTION("""COMPUTED_VALUE"""),"IGEM037V")</f>
        <v>IGEM037V</v>
      </c>
      <c r="H273" s="12">
        <f ca="1">IFERROR(__xludf.DUMMYFUNCTION("""COMPUTED_VALUE"""),2680)</f>
        <v>2680</v>
      </c>
      <c r="I273" s="14">
        <f ca="1">IFERROR(__xludf.DUMMYFUNCTION("""COMPUTED_VALUE"""),1880)</f>
        <v>1880</v>
      </c>
      <c r="J273" s="12"/>
      <c r="K273" s="12"/>
      <c r="L273" s="12" t="str">
        <f ca="1">IFERROR(__xludf.DUMMYFUNCTION("""COMPUTED_VALUE"""),"上架中")</f>
        <v>上架中</v>
      </c>
      <c r="M273" s="12" t="str">
        <f ca="1">IFERROR(__xludf.DUMMYFUNCTION("""COMPUTED_VALUE"""),"2021/03/24回價110/8/16到貨.6/28缺貨.5/13新機上架")</f>
        <v>2021/03/24回價110/8/16到貨.6/28缺貨.5/13新機上架</v>
      </c>
      <c r="N273" s="12" t="str">
        <f ca="1">IFERROR(__xludf.DUMMYFUNCTION("""COMPUTED_VALUE"""),"循環扇")</f>
        <v>循環扇</v>
      </c>
      <c r="O273" s="12" t="str">
        <f ca="1">IFERROR(__xludf.DUMMYFUNCTION("""COMPUTED_VALUE"""),"白色")</f>
        <v>白色</v>
      </c>
      <c r="P273" s="12" t="str">
        <f ca="1">IFERROR(__xludf.DUMMYFUNCTION("""COMPUTED_VALUE"""),"商品尺寸：260(W)x260(D)x654(H)mm
包裝尺寸：635(W)x284(D)x296(H)mm
商品重量：2.1KG
總重量：2.5KG
額定電壓/頻率：110V~60Hz")</f>
        <v>商品尺寸：260(W)x260(D)x654(H)mm
包裝尺寸：635(W)x284(D)x296(H)mm
商品重量：2.1KG
總重量：2.5KG
額定電壓/頻率：110V~60Hz</v>
      </c>
      <c r="Q273" s="12" t="str">
        <f ca="1">IFERROR(__xludf.DUMMYFUNCTION("""COMPUTED_VALUE"""),"產品尺寸260x260x654mm")</f>
        <v>產品尺寸260x260x654mm</v>
      </c>
      <c r="R273" s="12" t="str">
        <f ca="1">IFERROR(__xludf.DUMMYFUNCTION("""COMPUTED_VALUE"""),"中國")</f>
        <v>中國</v>
      </c>
      <c r="S273" s="12"/>
      <c r="T273" s="12"/>
      <c r="U273" s="12" t="str">
        <f ca="1">IFERROR(__xludf.DUMMYFUNCTION("""COMPUTED_VALUE"""),"1年")</f>
        <v>1年</v>
      </c>
      <c r="V273" s="12"/>
      <c r="W273" s="12"/>
      <c r="X273" s="12"/>
      <c r="Y273" s="12"/>
      <c r="Z273" s="14"/>
      <c r="AA273" s="15" t="str">
        <f ca="1">IFERROR(__xludf.DUMMYFUNCTION("""COMPUTED_VALUE"""),"*360度擺頭*三段風速可調(靜音/中/強)*靜音風速檔，安靜好睡眠*高效能柱狀氣流風力集中*搭配冷暖氣，加強循環對流
")</f>
        <v xml:space="preserve">*360度擺頭*三段風速可調(靜音/中/強)*靜音風速檔，安靜好睡眠*高效能柱狀氣流風力集中*搭配冷暖氣，加強循環對流
</v>
      </c>
    </row>
    <row r="274" spans="1:27" ht="19.5" customHeight="1">
      <c r="A274" s="12" t="str">
        <f ca="1">IFERROR(__xludf.DUMMYFUNCTION("""COMPUTED_VALUE"""),"生活家電")</f>
        <v>生活家電</v>
      </c>
      <c r="B274" s="12" t="str">
        <f ca="1">IFERROR(__xludf.DUMMYFUNCTION("""COMPUTED_VALUE"""),"昶宏")</f>
        <v>昶宏</v>
      </c>
      <c r="C274" s="12" t="str">
        <f ca="1">IFERROR(__xludf.DUMMYFUNCTION("""COMPUTED_VALUE"""),"NICONICO")</f>
        <v>NICONICO</v>
      </c>
      <c r="D274" s="12" t="str">
        <f ca="1">IFERROR(__xludf.DUMMYFUNCTION("""COMPUTED_VALUE"""),"NICONICO多用途定時烘物器NI-BS1002(麝香白)")</f>
        <v>NICONICO多用途定時烘物器NI-BS1002(麝香白)</v>
      </c>
      <c r="E274" s="12" t="str">
        <f ca="1">IFERROR(__xludf.DUMMYFUNCTION("""COMPUTED_VALUE"""),"NI-BS1002(麝香白)")</f>
        <v>NI-BS1002(麝香白)</v>
      </c>
      <c r="F274" s="12">
        <f ca="1">IFERROR(__xludf.DUMMYFUNCTION("""COMPUTED_VALUE"""),51078031)</f>
        <v>51078031</v>
      </c>
      <c r="G274" s="12" t="str">
        <f ca="1">IFERROR(__xludf.DUMMYFUNCTION("""COMPUTED_VALUE"""),"IGEM050B")</f>
        <v>IGEM050B</v>
      </c>
      <c r="H274" s="12">
        <f ca="1">IFERROR(__xludf.DUMMYFUNCTION("""COMPUTED_VALUE"""),1280)</f>
        <v>1280</v>
      </c>
      <c r="I274" s="14">
        <f ca="1">IFERROR(__xludf.DUMMYFUNCTION("""COMPUTED_VALUE"""),799)</f>
        <v>799</v>
      </c>
      <c r="J274" s="12"/>
      <c r="K274" s="12"/>
      <c r="L274" s="12" t="str">
        <f ca="1">IFERROR(__xludf.DUMMYFUNCTION("""COMPUTED_VALUE"""),"上架中")</f>
        <v>上架中</v>
      </c>
      <c r="M274" s="12" t="str">
        <f ca="1">IFERROR(__xludf.DUMMYFUNCTION("""COMPUTED_VALUE"""),"2022/10/21降價、2021/11/3新品上架")</f>
        <v>2022/10/21降價、2021/11/3新品上架</v>
      </c>
      <c r="N274" s="12" t="str">
        <f ca="1">IFERROR(__xludf.DUMMYFUNCTION("""COMPUTED_VALUE"""),"烘被/烘鞋機")</f>
        <v>烘被/烘鞋機</v>
      </c>
      <c r="O274" s="12" t="str">
        <f ca="1">IFERROR(__xludf.DUMMYFUNCTION("""COMPUTED_VALUE"""),"麝香白")</f>
        <v>麝香白</v>
      </c>
      <c r="P274" s="12"/>
      <c r="Q274" s="12" t="str">
        <f ca="1">IFERROR(__xludf.DUMMYFUNCTION("""COMPUTED_VALUE"""),"產品尺寸65x27x190mm
產品重量約350G")</f>
        <v>產品尺寸65x27x190mm
產品重量約350G</v>
      </c>
      <c r="R274" s="12" t="str">
        <f ca="1">IFERROR(__xludf.DUMMYFUNCTION("""COMPUTED_VALUE"""),"中國")</f>
        <v>中國</v>
      </c>
      <c r="S274" s="12"/>
      <c r="T274" s="12"/>
      <c r="U274" s="12" t="str">
        <f ca="1">IFERROR(__xludf.DUMMYFUNCTION("""COMPUTED_VALUE"""),"1年")</f>
        <v>1年</v>
      </c>
      <c r="V274" s="12"/>
      <c r="W274" s="12"/>
      <c r="X274" s="12"/>
      <c r="Y274" s="12"/>
      <c r="Z274" s="14"/>
      <c r="AA274" s="15" t="str">
        <f ca="1">IFERROR(__xludf.DUMMYFUNCTION("""COMPUTED_VALUE"""),"*防潮/除臭/烘乾/保暖*360°立體烘乾，快速均勻發熱*PTC陶瓷恆溫加熱，使用更安全*雙面多孔散熱，除濕去味抑制細菌*三檔智能定時，自由選擇*45度斜角設計，電源線不易彎折*多功能用途，各式鞋款、衣襪、手套""")</f>
        <v>*防潮/除臭/烘乾/保暖*360°立體烘乾，快速均勻發熱*PTC陶瓷恆溫加熱，使用更安全*雙面多孔散熱，除濕去味抑制細菌*三檔智能定時，自由選擇*45度斜角設計，電源線不易彎折*多功能用途，各式鞋款、衣襪、手套"</v>
      </c>
    </row>
    <row r="275" spans="1:27" ht="19.5" customHeight="1">
      <c r="A275" s="12" t="str">
        <f ca="1">IFERROR(__xludf.DUMMYFUNCTION("""COMPUTED_VALUE"""),"生活家電")</f>
        <v>生活家電</v>
      </c>
      <c r="B275" s="12" t="str">
        <f ca="1">IFERROR(__xludf.DUMMYFUNCTION("""COMPUTED_VALUE"""),"昶宏")</f>
        <v>昶宏</v>
      </c>
      <c r="C275" s="12" t="str">
        <f ca="1">IFERROR(__xludf.DUMMYFUNCTION("""COMPUTED_VALUE"""),"NICONICO")</f>
        <v>NICONICO</v>
      </c>
      <c r="D275" s="12" t="str">
        <f ca="1">IFERROR(__xludf.DUMMYFUNCTION("""COMPUTED_VALUE"""),"NICONICO美型摺疊烘衣機NI-CD1020(綠)")</f>
        <v>NICONICO美型摺疊烘衣機NI-CD1020(綠)</v>
      </c>
      <c r="E275" s="12" t="str">
        <f ca="1">IFERROR(__xludf.DUMMYFUNCTION("""COMPUTED_VALUE"""),"NI-CD1020")</f>
        <v>NI-CD1020</v>
      </c>
      <c r="F275" s="12">
        <f ca="1">IFERROR(__xludf.DUMMYFUNCTION("""COMPUTED_VALUE"""),51078035)</f>
        <v>51078035</v>
      </c>
      <c r="G275" s="12" t="str">
        <f ca="1">IFERROR(__xludf.DUMMYFUNCTION("""COMPUTED_VALUE"""),"IGEM051J")</f>
        <v>IGEM051J</v>
      </c>
      <c r="H275" s="12">
        <f ca="1">IFERROR(__xludf.DUMMYFUNCTION("""COMPUTED_VALUE"""),4280)</f>
        <v>4280</v>
      </c>
      <c r="I275" s="14">
        <f ca="1">IFERROR(__xludf.DUMMYFUNCTION("""COMPUTED_VALUE"""),2980)</f>
        <v>2980</v>
      </c>
      <c r="J275" s="12"/>
      <c r="K275" s="12"/>
      <c r="L275" s="12" t="str">
        <f ca="1">IFERROR(__xludf.DUMMYFUNCTION("""COMPUTED_VALUE"""),"上架中")</f>
        <v>上架中</v>
      </c>
      <c r="M275" s="12" t="str">
        <f ca="1">IFERROR(__xludf.DUMMYFUNCTION("""COMPUTED_VALUE"""),"2022/3/28到貨、2022/3/11缺貨、2021/12/29新機")</f>
        <v>2022/3/28到貨、2022/3/11缺貨、2021/12/29新機</v>
      </c>
      <c r="N275" s="12" t="str">
        <f ca="1">IFERROR(__xludf.DUMMYFUNCTION("""COMPUTED_VALUE"""),"烘被/烘鞋機")</f>
        <v>烘被/烘鞋機</v>
      </c>
      <c r="O275" s="12" t="str">
        <f ca="1">IFERROR(__xludf.DUMMYFUNCTION("""COMPUTED_VALUE"""),"綠色")</f>
        <v>綠色</v>
      </c>
      <c r="P275" s="12" t="str">
        <f ca="1">IFERROR(__xludf.DUMMYFUNCTION("""COMPUTED_VALUE"""),"產品重量：約1.4kg")</f>
        <v>產品重量：約1.4kg</v>
      </c>
      <c r="Q275" s="12" t="str">
        <f ca="1">IFERROR(__xludf.DUMMYFUNCTION("""COMPUTED_VALUE"""),"產品尺寸：212高*288寬*82深mm
展開含衣罩尺寸：212高*488寬*1110深mm")</f>
        <v>產品尺寸：212高*288寬*82深mm
展開含衣罩尺寸：212高*488寬*1110深mm</v>
      </c>
      <c r="R275" s="12" t="str">
        <f ca="1">IFERROR(__xludf.DUMMYFUNCTION("""COMPUTED_VALUE"""),"中國")</f>
        <v>中國</v>
      </c>
      <c r="S275" s="12"/>
      <c r="T275" s="12"/>
      <c r="U275" s="12" t="str">
        <f ca="1">IFERROR(__xludf.DUMMYFUNCTION("""COMPUTED_VALUE"""),"1年")</f>
        <v>1年</v>
      </c>
      <c r="V275" s="12"/>
      <c r="W275" s="12"/>
      <c r="X275" s="12"/>
      <c r="Y275" s="12"/>
      <c r="Z275" s="14"/>
      <c r="AA275" s="15" t="str">
        <f ca="1">IFERROR(__xludf.DUMMYFUNCTION("""COMPUTED_VALUE"""),"摺疊好收納，輕巧易攜帶
360度熱風循環，恆溫氣流柔和烘衣
雙重UV消毒，有效除菌/除霉/除臭
兩檔溫度模式，搭配各種布料
智能定時可達7小時
懸掛式設計，使用便利
外罩纖維柔韌，高效防風防水
榮獲2021年台灣金點設計大獎")</f>
        <v>摺疊好收納，輕巧易攜帶
360度熱風循環，恆溫氣流柔和烘衣
雙重UV消毒，有效除菌/除霉/除臭
兩檔溫度模式，搭配各種布料
智能定時可達7小時
懸掛式設計，使用便利
外罩纖維柔韌，高效防風防水
榮獲2021年台灣金點設計大獎</v>
      </c>
    </row>
    <row r="276" spans="1:27" ht="19.5" customHeight="1">
      <c r="A276" s="12" t="str">
        <f ca="1">IFERROR(__xludf.DUMMYFUNCTION("""COMPUTED_VALUE"""),"生活家電")</f>
        <v>生活家電</v>
      </c>
      <c r="B276" s="12" t="str">
        <f ca="1">IFERROR(__xludf.DUMMYFUNCTION("""COMPUTED_VALUE"""),"昶宏")</f>
        <v>昶宏</v>
      </c>
      <c r="C276" s="12" t="str">
        <f ca="1">IFERROR(__xludf.DUMMYFUNCTION("""COMPUTED_VALUE"""),"NICONICO")</f>
        <v>NICONICO</v>
      </c>
      <c r="D276" s="12" t="str">
        <f ca="1">IFERROR(__xludf.DUMMYFUNCTION("""COMPUTED_VALUE"""),"NICONICO美型摺疊烘衣機(乳酪色)NI-L2014")</f>
        <v>NICONICO美型摺疊烘衣機(乳酪色)NI-L2014</v>
      </c>
      <c r="E276" s="12" t="str">
        <f ca="1">IFERROR(__xludf.DUMMYFUNCTION("""COMPUTED_VALUE"""),"NI-L2014")</f>
        <v>NI-L2014</v>
      </c>
      <c r="F276" s="12">
        <f ca="1">IFERROR(__xludf.DUMMYFUNCTION("""COMPUTED_VALUE"""),51008167)</f>
        <v>51008167</v>
      </c>
      <c r="G276" s="12" t="str">
        <f ca="1">IFERROR(__xludf.DUMMYFUNCTION("""COMPUTED_VALUE"""),"IGEM0705")</f>
        <v>IGEM0705</v>
      </c>
      <c r="H276" s="13">
        <f ca="1">IFERROR(__xludf.DUMMYFUNCTION("""COMPUTED_VALUE"""),4280)</f>
        <v>4280</v>
      </c>
      <c r="I276" s="14">
        <f ca="1">IFERROR(__xludf.DUMMYFUNCTION("""COMPUTED_VALUE"""),2980)</f>
        <v>2980</v>
      </c>
      <c r="J276" s="12"/>
      <c r="K276" s="12"/>
      <c r="L276" s="12" t="str">
        <f ca="1">IFERROR(__xludf.DUMMYFUNCTION("""COMPUTED_VALUE"""),"上架中")</f>
        <v>上架中</v>
      </c>
      <c r="M276" s="12" t="str">
        <f ca="1">IFERROR(__xludf.DUMMYFUNCTION("""COMPUTED_VALUE"""),"2022/10/11新機")</f>
        <v>2022/10/11新機</v>
      </c>
      <c r="N276" s="12" t="str">
        <f ca="1">IFERROR(__xludf.DUMMYFUNCTION("""COMPUTED_VALUE"""),"烘被/烘鞋機")</f>
        <v>烘被/烘鞋機</v>
      </c>
      <c r="O276" s="12" t="str">
        <f ca="1">IFERROR(__xludf.DUMMYFUNCTION("""COMPUTED_VALUE"""),"乳酪色")</f>
        <v>乳酪色</v>
      </c>
      <c r="P276" s="12" t="str">
        <f ca="1">IFERROR(__xludf.DUMMYFUNCTION("""COMPUTED_VALUE"""),"產品重量：約1.4kg")</f>
        <v>產品重量：約1.4kg</v>
      </c>
      <c r="Q276" s="12" t="str">
        <f ca="1">IFERROR(__xludf.DUMMYFUNCTION("""COMPUTED_VALUE"""),"產品尺寸：82 (H) x 212 (D) x 288 (W) mm
展開尺寸：1110 (H)  x 212 (D) x 488 (W)mm")</f>
        <v>產品尺寸：82 (H) x 212 (D) x 288 (W) mm
展開尺寸：1110 (H)  x 212 (D) x 488 (W)mm</v>
      </c>
      <c r="R276" s="12" t="str">
        <f ca="1">IFERROR(__xludf.DUMMYFUNCTION("""COMPUTED_VALUE"""),"中國")</f>
        <v>中國</v>
      </c>
      <c r="S276" s="12"/>
      <c r="T276" s="12"/>
      <c r="U276" s="12" t="str">
        <f ca="1">IFERROR(__xludf.DUMMYFUNCTION("""COMPUTED_VALUE"""),"1年")</f>
        <v>1年</v>
      </c>
      <c r="V276" s="12"/>
      <c r="W276" s="12"/>
      <c r="X276" s="12"/>
      <c r="Y276" s="12"/>
      <c r="Z276" s="14"/>
      <c r="AA276" s="15" t="str">
        <f ca="1">IFERROR(__xludf.DUMMYFUNCTION("""COMPUTED_VALUE"""),"一開即用無需組裝，省時省力
360度熱風循環，恆溫氣流柔和烘衣
雙重UV消毒，有效除菌/除霉/除臭
兩檔溫度模式，搭配各種布料
智能定時可達7小時
摺疊好收納，輕巧易攜帶
懸掛式設計，使用便利
外罩纖維柔韌，高效防風防水")</f>
        <v>一開即用無需組裝，省時省力
360度熱風循環，恆溫氣流柔和烘衣
雙重UV消毒，有效除菌/除霉/除臭
兩檔溫度模式，搭配各種布料
智能定時可達7小時
摺疊好收納，輕巧易攜帶
懸掛式設計，使用便利
外罩纖維柔韌，高效防風防水</v>
      </c>
    </row>
    <row r="277" spans="1:27" ht="19.5" customHeight="1">
      <c r="A277" s="12" t="str">
        <f ca="1">IFERROR(__xludf.DUMMYFUNCTION("""COMPUTED_VALUE"""),"生活家電")</f>
        <v>生活家電</v>
      </c>
      <c r="B277" s="12" t="str">
        <f ca="1">IFERROR(__xludf.DUMMYFUNCTION("""COMPUTED_VALUE"""),"昶宏")</f>
        <v>昶宏</v>
      </c>
      <c r="C277" s="12" t="str">
        <f ca="1">IFERROR(__xludf.DUMMYFUNCTION("""COMPUTED_VALUE"""),"NICONICO")</f>
        <v>NICONICO</v>
      </c>
      <c r="D277" s="12" t="str">
        <f ca="1">IFERROR(__xludf.DUMMYFUNCTION("""COMPUTED_VALUE"""),"NICONICO觸控調光LED檯燈NI-TL1022")</f>
        <v>NICONICO觸控調光LED檯燈NI-TL1022</v>
      </c>
      <c r="E277" s="12" t="str">
        <f ca="1">IFERROR(__xludf.DUMMYFUNCTION("""COMPUTED_VALUE"""),"NI-TL1022")</f>
        <v>NI-TL1022</v>
      </c>
      <c r="F277" s="12">
        <f ca="1">IFERROR(__xludf.DUMMYFUNCTION("""COMPUTED_VALUE"""),51078038)</f>
        <v>51078038</v>
      </c>
      <c r="G277" s="12" t="str">
        <f ca="1">IFERROR(__xludf.DUMMYFUNCTION("""COMPUTED_VALUE"""),"IGEM057Q")</f>
        <v>IGEM057Q</v>
      </c>
      <c r="H277" s="12">
        <f ca="1">IFERROR(__xludf.DUMMYFUNCTION("""COMPUTED_VALUE"""),699)</f>
        <v>699</v>
      </c>
      <c r="I277" s="14">
        <f ca="1">IFERROR(__xludf.DUMMYFUNCTION("""COMPUTED_VALUE"""),490)</f>
        <v>490</v>
      </c>
      <c r="J277" s="16">
        <f ca="1">IFERROR(__xludf.DUMMYFUNCTION("""COMPUTED_VALUE"""),45707)</f>
        <v>45707</v>
      </c>
      <c r="K277" s="12" t="str">
        <f ca="1">IFERROR(__xludf.DUMMYFUNCTION("""COMPUTED_VALUE"""),"缺貨")</f>
        <v>缺貨</v>
      </c>
      <c r="L277" s="12" t="str">
        <f ca="1">IFERROR(__xludf.DUMMYFUNCTION("""COMPUTED_VALUE"""),"缺貨")</f>
        <v>缺貨</v>
      </c>
      <c r="M277" s="12" t="str">
        <f ca="1">IFERROR(__xludf.DUMMYFUNCTION("""COMPUTED_VALUE"""),"2025/2/19缺貨，2022/3/1新品")</f>
        <v>2025/2/19缺貨，2022/3/1新品</v>
      </c>
      <c r="N277" s="12" t="str">
        <f ca="1">IFERROR(__xludf.DUMMYFUNCTION("""COMPUTED_VALUE"""),"檯燈/燈具/燈飾")</f>
        <v>檯燈/燈具/燈飾</v>
      </c>
      <c r="O277" s="12" t="str">
        <f ca="1">IFERROR(__xludf.DUMMYFUNCTION("""COMPUTED_VALUE"""),"白色")</f>
        <v>白色</v>
      </c>
      <c r="P277" s="12" t="str">
        <f ca="1">IFERROR(__xludf.DUMMYFUNCTION("""COMPUTED_VALUE"""),"重量約248g")</f>
        <v>重量約248g</v>
      </c>
      <c r="Q277" s="12" t="str">
        <f ca="1">IFERROR(__xludf.DUMMYFUNCTION("""COMPUTED_VALUE"""),"產品尺寸
高405mm*寬122*深122
")</f>
        <v xml:space="preserve">產品尺寸
高405mm*寬122*深122
</v>
      </c>
      <c r="R277" s="12" t="str">
        <f ca="1">IFERROR(__xludf.DUMMYFUNCTION("""COMPUTED_VALUE"""),"中國")</f>
        <v>中國</v>
      </c>
      <c r="S277" s="12"/>
      <c r="T277" s="12"/>
      <c r="U277" s="12" t="str">
        <f ca="1">IFERROR(__xludf.DUMMYFUNCTION("""COMPUTED_VALUE"""),"1年")</f>
        <v>1年</v>
      </c>
      <c r="V277" s="12"/>
      <c r="W277" s="12"/>
      <c r="X277" s="12"/>
      <c r="Y277" s="12"/>
      <c r="Z277" s="14"/>
      <c r="AA277" s="15" t="str">
        <f ca="1">IFERROR(__xludf.DUMMYFUNCTION("""COMPUTED_VALUE"""),"雙燈設計，是檯燈也是小夜燈
柔和光線，照射範圍廣分布均勻
三段智能觸控開關，簡單操作
兩用供電方式USB電源線/電池
內置高效鋰電池，停電也都能使用
360度自由調整角度，任意變化
")</f>
        <v xml:space="preserve">雙燈設計，是檯燈也是小夜燈
柔和光線，照射範圍廣分布均勻
三段智能觸控開關，簡單操作
兩用供電方式USB電源線/電池
內置高效鋰電池，停電也都能使用
360度自由調整角度，任意變化
</v>
      </c>
    </row>
    <row r="278" spans="1:27" ht="19.5" customHeight="1">
      <c r="A278" s="12" t="str">
        <f ca="1">IFERROR(__xludf.DUMMYFUNCTION("""COMPUTED_VALUE"""),"生活家電")</f>
        <v>生活家電</v>
      </c>
      <c r="B278" s="12" t="str">
        <f ca="1">IFERROR(__xludf.DUMMYFUNCTION("""COMPUTED_VALUE"""),"昶宏")</f>
        <v>昶宏</v>
      </c>
      <c r="C278" s="12" t="str">
        <f ca="1">IFERROR(__xludf.DUMMYFUNCTION("""COMPUTED_VALUE"""),"NICONICO")</f>
        <v>NICONICO</v>
      </c>
      <c r="D278" s="12" t="str">
        <f ca="1">IFERROR(__xludf.DUMMYFUNCTION("""COMPUTED_VALUE"""),"NICONICO多功能四合一電暖器NI-QD1025")</f>
        <v>NICONICO多功能四合一電暖器NI-QD1025</v>
      </c>
      <c r="E278" s="12" t="str">
        <f ca="1">IFERROR(__xludf.DUMMYFUNCTION("""COMPUTED_VALUE"""),"NI-QD1025")</f>
        <v>NI-QD1025</v>
      </c>
      <c r="F278" s="12">
        <f ca="1">IFERROR(__xludf.DUMMYFUNCTION("""COMPUTED_VALUE"""),51078039)</f>
        <v>51078039</v>
      </c>
      <c r="G278" s="12" t="str">
        <f ca="1">IFERROR(__xludf.DUMMYFUNCTION("""COMPUTED_VALUE"""),"IGEM057R")</f>
        <v>IGEM057R</v>
      </c>
      <c r="H278" s="12">
        <f ca="1">IFERROR(__xludf.DUMMYFUNCTION("""COMPUTED_VALUE"""),4280)</f>
        <v>4280</v>
      </c>
      <c r="I278" s="14">
        <f ca="1">IFERROR(__xludf.DUMMYFUNCTION("""COMPUTED_VALUE"""),2580)</f>
        <v>2580</v>
      </c>
      <c r="J278" s="16">
        <f ca="1">IFERROR(__xludf.DUMMYFUNCTION("""COMPUTED_VALUE"""),45292)</f>
        <v>45292</v>
      </c>
      <c r="K278" s="12" t="str">
        <f ca="1">IFERROR(__xludf.DUMMYFUNCTION("""COMPUTED_VALUE"""),"短促")</f>
        <v>短促</v>
      </c>
      <c r="L278" s="12" t="str">
        <f ca="1">IFERROR(__xludf.DUMMYFUNCTION("""COMPUTED_VALUE"""),"上架中")</f>
        <v>上架中</v>
      </c>
      <c r="M278" s="12" t="str">
        <f ca="1">IFERROR(__xludf.DUMMYFUNCTION("""COMPUTED_VALUE"""),"2024/1/1短促，2022/3/1新品")</f>
        <v>2024/1/1短促，2022/3/1新品</v>
      </c>
      <c r="N278" s="12" t="str">
        <f ca="1">IFERROR(__xludf.DUMMYFUNCTION("""COMPUTED_VALUE"""),"電暖器")</f>
        <v>電暖器</v>
      </c>
      <c r="O278" s="12" t="str">
        <f ca="1">IFERROR(__xludf.DUMMYFUNCTION("""COMPUTED_VALUE"""),"白色")</f>
        <v>白色</v>
      </c>
      <c r="P278" s="12" t="str">
        <f ca="1">IFERROR(__xludf.DUMMYFUNCTION("""COMPUTED_VALUE"""),"重量約1.5kg")</f>
        <v>重量約1.5kg</v>
      </c>
      <c r="Q278" s="12" t="str">
        <f ca="1">IFERROR(__xludf.DUMMYFUNCTION("""COMPUTED_VALUE"""),"產品尺寸
高190mm*寬140*深125
")</f>
        <v xml:space="preserve">產品尺寸
高190mm*寬140*深125
</v>
      </c>
      <c r="R278" s="12" t="str">
        <f ca="1">IFERROR(__xludf.DUMMYFUNCTION("""COMPUTED_VALUE"""),"中國")</f>
        <v>中國</v>
      </c>
      <c r="S278" s="12"/>
      <c r="T278" s="12"/>
      <c r="U278" s="12" t="str">
        <f ca="1">IFERROR(__xludf.DUMMYFUNCTION("""COMPUTED_VALUE"""),"1年")</f>
        <v>1年</v>
      </c>
      <c r="V278" s="12"/>
      <c r="W278" s="12"/>
      <c r="X278" s="12"/>
      <c r="Y278" s="12"/>
      <c r="Z278" s="14"/>
      <c r="AA278" s="15" t="str">
        <f ca="1">IFERROR(__xludf.DUMMYFUNCTION("""COMPUTED_VALUE"""),"一機多功能，暖被/乾衣/烘鞋/保暖
開機快速加熱，採用PTC陶瓷發熱恆溫省電開機
三檔智能定時，二檔風速可調
伸縮導風軟管，可自由拉長延伸
烘被模式除濕烘乾，棉被暖呼呼
烘鞋模式防潮抑菌，乾爽舒適告別鞋臭味
烘衣模式360度熱風循環，柔和烘衣遠離臭霉味
暖風模式PTC陶瓷快速加熱，輕巧不占空間
傾倒自動斷電開關
過熱安全保護裝置
")</f>
        <v xml:space="preserve">一機多功能，暖被/乾衣/烘鞋/保暖
開機快速加熱，採用PTC陶瓷發熱恆溫省電開機
三檔智能定時，二檔風速可調
伸縮導風軟管，可自由拉長延伸
烘被模式除濕烘乾，棉被暖呼呼
烘鞋模式防潮抑菌，乾爽舒適告別鞋臭味
烘衣模式360度熱風循環，柔和烘衣遠離臭霉味
暖風模式PTC陶瓷快速加熱，輕巧不占空間
傾倒自動斷電開關
過熱安全保護裝置
</v>
      </c>
    </row>
    <row r="279" spans="1:27" ht="19.5" customHeight="1">
      <c r="A279" s="12" t="str">
        <f ca="1">IFERROR(__xludf.DUMMYFUNCTION("""COMPUTED_VALUE"""),"生活家電")</f>
        <v>生活家電</v>
      </c>
      <c r="B279" s="12" t="str">
        <f ca="1">IFERROR(__xludf.DUMMYFUNCTION("""COMPUTED_VALUE"""),"昶宏")</f>
        <v>昶宏</v>
      </c>
      <c r="C279" s="12" t="str">
        <f ca="1">IFERROR(__xludf.DUMMYFUNCTION("""COMPUTED_VALUE"""),"NICONICO")</f>
        <v>NICONICO</v>
      </c>
      <c r="D279" s="12" t="str">
        <f ca="1">IFERROR(__xludf.DUMMYFUNCTION("""COMPUTED_VALUE"""),"NICONICO時尚摺疊暖足電暖器NI-WF1023(紅)")</f>
        <v>NICONICO時尚摺疊暖足電暖器NI-WF1023(紅)</v>
      </c>
      <c r="E279" s="12" t="str">
        <f ca="1">IFERROR(__xludf.DUMMYFUNCTION("""COMPUTED_VALUE"""),"NI-WF1023(紅)")</f>
        <v>NI-WF1023(紅)</v>
      </c>
      <c r="F279" s="12">
        <f ca="1">IFERROR(__xludf.DUMMYFUNCTION("""COMPUTED_VALUE"""),51078040)</f>
        <v>51078040</v>
      </c>
      <c r="G279" s="12" t="str">
        <f ca="1">IFERROR(__xludf.DUMMYFUNCTION("""COMPUTED_VALUE"""),"IGEM057S")</f>
        <v>IGEM057S</v>
      </c>
      <c r="H279" s="12">
        <f ca="1">IFERROR(__xludf.DUMMYFUNCTION("""COMPUTED_VALUE"""),3280)</f>
        <v>3280</v>
      </c>
      <c r="I279" s="14">
        <f ca="1">IFERROR(__xludf.DUMMYFUNCTION("""COMPUTED_VALUE"""),1980)</f>
        <v>1980</v>
      </c>
      <c r="J279" s="12"/>
      <c r="K279" s="12"/>
      <c r="L279" s="12" t="str">
        <f ca="1">IFERROR(__xludf.DUMMYFUNCTION("""COMPUTED_VALUE"""),"上架中")</f>
        <v>上架中</v>
      </c>
      <c r="M279" s="12" t="str">
        <f ca="1">IFERROR(__xludf.DUMMYFUNCTION("""COMPUTED_VALUE"""),"2022/3/1新品")</f>
        <v>2022/3/1新品</v>
      </c>
      <c r="N279" s="12" t="str">
        <f ca="1">IFERROR(__xludf.DUMMYFUNCTION("""COMPUTED_VALUE"""),"電暖器")</f>
        <v>電暖器</v>
      </c>
      <c r="O279" s="12" t="str">
        <f ca="1">IFERROR(__xludf.DUMMYFUNCTION("""COMPUTED_VALUE"""),"紅色")</f>
        <v>紅色</v>
      </c>
      <c r="P279" s="12" t="str">
        <f ca="1">IFERROR(__xludf.DUMMYFUNCTION("""COMPUTED_VALUE"""),"重量約1.8kg")</f>
        <v>重量約1.8kg</v>
      </c>
      <c r="Q279" s="12" t="str">
        <f ca="1">IFERROR(__xludf.DUMMYFUNCTION("""COMPUTED_VALUE"""),"摺疊：高90*寬263*深330mm
展開：高45*寬525*深330mm")</f>
        <v>摺疊：高90*寬263*深330mm
展開：高45*寬525*深330mm</v>
      </c>
      <c r="R279" s="12" t="str">
        <f ca="1">IFERROR(__xludf.DUMMYFUNCTION("""COMPUTED_VALUE"""),"中國")</f>
        <v>中國</v>
      </c>
      <c r="S279" s="12"/>
      <c r="T279" s="12"/>
      <c r="U279" s="12" t="str">
        <f ca="1">IFERROR(__xludf.DUMMYFUNCTION("""COMPUTED_VALUE"""),"1年")</f>
        <v>1年</v>
      </c>
      <c r="V279" s="12"/>
      <c r="W279" s="12"/>
      <c r="X279" s="12"/>
      <c r="Y279" s="12"/>
      <c r="Z279" s="14"/>
      <c r="AA279" s="15" t="str">
        <f ca="1">IFERROR(__xludf.DUMMYFUNCTION("""COMPUTED_VALUE"""),"石墨烯導熱，安全熱傳導性能好/循環式加熱，熱量不易流失/遠紅外線熱傳遞，提升範圍/三檔溫控調節，自由選擇/輕巧摺疊易攜帶，隨時使用不拘限/自動斷電過熱保護，使用好放心/靜音安穩，適合各式場合
")</f>
        <v xml:space="preserve">石墨烯導熱，安全熱傳導性能好/循環式加熱，熱量不易流失/遠紅外線熱傳遞，提升範圍/三檔溫控調節，自由選擇/輕巧摺疊易攜帶，隨時使用不拘限/自動斷電過熱保護，使用好放心/靜音安穩，適合各式場合
</v>
      </c>
    </row>
    <row r="280" spans="1:27" ht="19.5" customHeight="1">
      <c r="A280" s="12" t="str">
        <f ca="1">IFERROR(__xludf.DUMMYFUNCTION("""COMPUTED_VALUE"""),"生活家電")</f>
        <v>生活家電</v>
      </c>
      <c r="B280" s="12" t="str">
        <f ca="1">IFERROR(__xludf.DUMMYFUNCTION("""COMPUTED_VALUE"""),"昶宏")</f>
        <v>昶宏</v>
      </c>
      <c r="C280" s="12" t="str">
        <f ca="1">IFERROR(__xludf.DUMMYFUNCTION("""COMPUTED_VALUE"""),"NICONICO")</f>
        <v>NICONICO</v>
      </c>
      <c r="D280" s="12" t="str">
        <f ca="1">IFERROR(__xludf.DUMMYFUNCTION("""COMPUTED_VALUE"""),"NICONICO時尚摺疊暖足電暖器NI-WF1023(綠)")</f>
        <v>NICONICO時尚摺疊暖足電暖器NI-WF1023(綠)</v>
      </c>
      <c r="E280" s="12" t="str">
        <f ca="1">IFERROR(__xludf.DUMMYFUNCTION("""COMPUTED_VALUE"""),"NI-WF1023(綠)")</f>
        <v>NI-WF1023(綠)</v>
      </c>
      <c r="F280" s="12">
        <f ca="1">IFERROR(__xludf.DUMMYFUNCTION("""COMPUTED_VALUE"""),51078041)</f>
        <v>51078041</v>
      </c>
      <c r="G280" s="12" t="str">
        <f ca="1">IFERROR(__xludf.DUMMYFUNCTION("""COMPUTED_VALUE"""),"IGEM057T")</f>
        <v>IGEM057T</v>
      </c>
      <c r="H280" s="12">
        <f ca="1">IFERROR(__xludf.DUMMYFUNCTION("""COMPUTED_VALUE"""),3280)</f>
        <v>3280</v>
      </c>
      <c r="I280" s="14">
        <f ca="1">IFERROR(__xludf.DUMMYFUNCTION("""COMPUTED_VALUE"""),1980)</f>
        <v>1980</v>
      </c>
      <c r="J280" s="12"/>
      <c r="K280" s="12"/>
      <c r="L280" s="12" t="str">
        <f ca="1">IFERROR(__xludf.DUMMYFUNCTION("""COMPUTED_VALUE"""),"上架中")</f>
        <v>上架中</v>
      </c>
      <c r="M280" s="12" t="str">
        <f ca="1">IFERROR(__xludf.DUMMYFUNCTION("""COMPUTED_VALUE"""),"2022/3/1新品")</f>
        <v>2022/3/1新品</v>
      </c>
      <c r="N280" s="12" t="str">
        <f ca="1">IFERROR(__xludf.DUMMYFUNCTION("""COMPUTED_VALUE"""),"電暖器")</f>
        <v>電暖器</v>
      </c>
      <c r="O280" s="12" t="str">
        <f ca="1">IFERROR(__xludf.DUMMYFUNCTION("""COMPUTED_VALUE"""),"綠色")</f>
        <v>綠色</v>
      </c>
      <c r="P280" s="12" t="str">
        <f ca="1">IFERROR(__xludf.DUMMYFUNCTION("""COMPUTED_VALUE"""),"重量約1.8kg")</f>
        <v>重量約1.8kg</v>
      </c>
      <c r="Q280" s="12" t="str">
        <f ca="1">IFERROR(__xludf.DUMMYFUNCTION("""COMPUTED_VALUE"""),"摺疊：高90*寬263*深330mm
展開：高45*寬525*深330mm")</f>
        <v>摺疊：高90*寬263*深330mm
展開：高45*寬525*深330mm</v>
      </c>
      <c r="R280" s="12" t="str">
        <f ca="1">IFERROR(__xludf.DUMMYFUNCTION("""COMPUTED_VALUE"""),"中國")</f>
        <v>中國</v>
      </c>
      <c r="S280" s="12"/>
      <c r="T280" s="12"/>
      <c r="U280" s="12" t="str">
        <f ca="1">IFERROR(__xludf.DUMMYFUNCTION("""COMPUTED_VALUE"""),"1年")</f>
        <v>1年</v>
      </c>
      <c r="V280" s="12"/>
      <c r="W280" s="12"/>
      <c r="X280" s="12"/>
      <c r="Y280" s="12"/>
      <c r="Z280" s="14"/>
      <c r="AA280" s="15" t="str">
        <f ca="1">IFERROR(__xludf.DUMMYFUNCTION("""COMPUTED_VALUE"""),"石墨烯導熱，安全熱傳導性能好/循環式加熱，熱量不易流失/遠紅外線熱傳遞，提升範圍/三檔溫控調節，自由選擇/輕巧摺疊易攜帶，隨時使用不拘限/自動斷電過熱保護，使用好放心/靜音安穩，適合各式場合
")</f>
        <v xml:space="preserve">石墨烯導熱，安全熱傳導性能好/循環式加熱，熱量不易流失/遠紅外線熱傳遞，提升範圍/三檔溫控調節，自由選擇/輕巧摺疊易攜帶，隨時使用不拘限/自動斷電過熱保護，使用好放心/靜音安穩，適合各式場合
</v>
      </c>
    </row>
    <row r="281" spans="1:27" ht="19.5" customHeight="1">
      <c r="A281" s="12" t="str">
        <f ca="1">IFERROR(__xludf.DUMMYFUNCTION("""COMPUTED_VALUE"""),"生活家電")</f>
        <v>生活家電</v>
      </c>
      <c r="B281" s="12" t="str">
        <f ca="1">IFERROR(__xludf.DUMMYFUNCTION("""COMPUTED_VALUE"""),"飛樂")</f>
        <v>飛樂</v>
      </c>
      <c r="C281" s="12" t="str">
        <f ca="1">IFERROR(__xludf.DUMMYFUNCTION("""COMPUTED_VALUE"""),"Arlink")</f>
        <v>Arlink</v>
      </c>
      <c r="D281" s="12" t="str">
        <f ca="1">IFERROR(__xludf.DUMMYFUNCTION("""COMPUTED_VALUE"""),"Arlink金慧熙電動真空棒AK22")</f>
        <v>Arlink金慧熙電動真空棒AK22</v>
      </c>
      <c r="E281" s="12" t="str">
        <f ca="1">IFERROR(__xludf.DUMMYFUNCTION("""COMPUTED_VALUE"""),"AK22")</f>
        <v>AK22</v>
      </c>
      <c r="F281" s="12">
        <f ca="1">IFERROR(__xludf.DUMMYFUNCTION("""COMPUTED_VALUE"""),51080017)</f>
        <v>51080017</v>
      </c>
      <c r="G281" s="12" t="str">
        <f ca="1">IFERROR(__xludf.DUMMYFUNCTION("""COMPUTED_VALUE"""),"IGEM028N")</f>
        <v>IGEM028N</v>
      </c>
      <c r="H281" s="12">
        <f ca="1">IFERROR(__xludf.DUMMYFUNCTION("""COMPUTED_VALUE"""),1680)</f>
        <v>1680</v>
      </c>
      <c r="I281" s="14">
        <f ca="1">IFERROR(__xludf.DUMMYFUNCTION("""COMPUTED_VALUE"""),1080)</f>
        <v>1080</v>
      </c>
      <c r="J281" s="16">
        <f ca="1">IFERROR(__xludf.DUMMYFUNCTION("""COMPUTED_VALUE"""),45323)</f>
        <v>45323</v>
      </c>
      <c r="K281" s="12" t="str">
        <f ca="1">IFERROR(__xludf.DUMMYFUNCTION("""COMPUTED_VALUE"""),"短促")</f>
        <v>短促</v>
      </c>
      <c r="L281" s="12" t="str">
        <f ca="1">IFERROR(__xludf.DUMMYFUNCTION("""COMPUTED_VALUE"""),"上架中")</f>
        <v>上架中</v>
      </c>
      <c r="M281" s="12" t="str">
        <f ca="1">IFERROR(__xludf.DUMMYFUNCTION("""COMPUTED_VALUE"""),"2021/9/1短促，2021/5/20到貨，2021/3/25缺貨，2021/1/1新機上架，2020/12/15-1/15員購")</f>
        <v>2021/9/1短促，2021/5/20到貨，2021/3/25缺貨，2021/1/1新機上架，2020/12/15-1/15員購</v>
      </c>
      <c r="N281" s="12" t="str">
        <f ca="1">IFERROR(__xludf.DUMMYFUNCTION("""COMPUTED_VALUE"""),"真空包裝")</f>
        <v>真空包裝</v>
      </c>
      <c r="O281" s="12" t="str">
        <f ca="1">IFERROR(__xludf.DUMMYFUNCTION("""COMPUTED_VALUE"""),"白")</f>
        <v>白</v>
      </c>
      <c r="P281" s="12" t="str">
        <f ca="1">IFERROR(__xludf.DUMMYFUNCTION("""COMPUTED_VALUE"""),"185g")</f>
        <v>185g</v>
      </c>
      <c r="Q281" s="12" t="str">
        <f ca="1">IFERROR(__xludf.DUMMYFUNCTION("""COMPUTED_VALUE"""),"商品尺寸(本體)：156ｘØ42.5mm")</f>
        <v>商品尺寸(本體)：156ｘØ42.5mm</v>
      </c>
      <c r="R281" s="12" t="str">
        <f ca="1">IFERROR(__xludf.DUMMYFUNCTION("""COMPUTED_VALUE"""),"中國")</f>
        <v>中國</v>
      </c>
      <c r="S281" s="12"/>
      <c r="T281" s="12"/>
      <c r="U281" s="12" t="str">
        <f ca="1">IFERROR(__xludf.DUMMYFUNCTION("""COMPUTED_VALUE"""),"1年")</f>
        <v>1年</v>
      </c>
      <c r="V281" s="12" t="str">
        <f ca="1">IFERROR(__xludf.DUMMYFUNCTION("""COMPUTED_VALUE"""),"1年")</f>
        <v>1年</v>
      </c>
      <c r="W281" s="12"/>
      <c r="X281" s="12" t="str">
        <f ca="1">IFERROR(__xludf.DUMMYFUNCTION("""COMPUTED_VALUE"""),"(114/1/1-2/28)隨貨送8入真空袋")</f>
        <v>(114/1/1-2/28)隨貨送8入真空袋</v>
      </c>
      <c r="Y281" s="12"/>
      <c r="Z281" s="14"/>
      <c r="AA281" s="15" t="str">
        <f ca="1">IFERROR(__xludf.DUMMYFUNCTION("""COMPUTED_VALUE"""),"一鍵真空超方便輕巧185g隨身帶這走食品級認證無毒有保障超靜音設計，噪音低於60分貝")</f>
        <v>一鍵真空超方便輕巧185g隨身帶這走食品級認證無毒有保障超靜音設計，噪音低於60分貝</v>
      </c>
    </row>
    <row r="282" spans="1:27" ht="19.5" customHeight="1">
      <c r="A282" s="12" t="str">
        <f ca="1">IFERROR(__xludf.DUMMYFUNCTION("""COMPUTED_VALUE"""),"生活家電")</f>
        <v>生活家電</v>
      </c>
      <c r="B282" s="12" t="str">
        <f ca="1">IFERROR(__xludf.DUMMYFUNCTION("""COMPUTED_VALUE"""),"中華大雄")</f>
        <v>中華大雄</v>
      </c>
      <c r="C282" s="12" t="str">
        <f ca="1">IFERROR(__xludf.DUMMYFUNCTION("""COMPUTED_VALUE"""),"aiwa")</f>
        <v>aiwa</v>
      </c>
      <c r="D282" s="12" t="str">
        <f ca="1">IFERROR(__xludf.DUMMYFUNCTION("""COMPUTED_VALUE"""),"aiwa兩用手持多功能蒸氣拖把((藍)ARS2101")</f>
        <v>aiwa兩用手持多功能蒸氣拖把((藍)ARS2101</v>
      </c>
      <c r="E282" s="12" t="str">
        <f ca="1">IFERROR(__xludf.DUMMYFUNCTION("""COMPUTED_VALUE"""),"ARS2101")</f>
        <v>ARS2101</v>
      </c>
      <c r="F282" s="12">
        <f ca="1">IFERROR(__xludf.DUMMYFUNCTION("""COMPUTED_VALUE"""),51057078)</f>
        <v>51057078</v>
      </c>
      <c r="G282" s="12" t="str">
        <f ca="1">IFERROR(__xludf.DUMMYFUNCTION("""COMPUTED_VALUE"""),"IGEM052H")</f>
        <v>IGEM052H</v>
      </c>
      <c r="H282" s="12">
        <f ca="1">IFERROR(__xludf.DUMMYFUNCTION("""COMPUTED_VALUE"""),3980)</f>
        <v>3980</v>
      </c>
      <c r="I282" s="14">
        <f ca="1">IFERROR(__xludf.DUMMYFUNCTION("""COMPUTED_VALUE"""),2990)</f>
        <v>2990</v>
      </c>
      <c r="J282" s="16">
        <f ca="1">IFERROR(__xludf.DUMMYFUNCTION("""COMPUTED_VALUE"""),45323)</f>
        <v>45323</v>
      </c>
      <c r="K282" s="12" t="str">
        <f ca="1">IFERROR(__xludf.DUMMYFUNCTION("""COMPUTED_VALUE"""),"回價")</f>
        <v>回價</v>
      </c>
      <c r="L282" s="12" t="str">
        <f ca="1">IFERROR(__xludf.DUMMYFUNCTION("""COMPUTED_VALUE"""),"上架中")</f>
        <v>上架中</v>
      </c>
      <c r="M282" s="12" t="str">
        <f ca="1">IFERROR(__xludf.DUMMYFUNCTION("""COMPUTED_VALUE"""),"(2/21暫時停售，廠商2/29通知可開)2024/2/1回價2023/12/1短促6/1到貨4/28缺貨")</f>
        <v>(2/21暫時停售，廠商2/29通知可開)2024/2/1回價2023/12/1短促6/1到貨4/28缺貨</v>
      </c>
      <c r="N282" s="12" t="str">
        <f ca="1">IFERROR(__xludf.DUMMYFUNCTION("""COMPUTED_VALUE"""),"掃地/拖地機")</f>
        <v>掃地/拖地機</v>
      </c>
      <c r="O282" s="12" t="str">
        <f ca="1">IFERROR(__xludf.DUMMYFUNCTION("""COMPUTED_VALUE"""),"藍")</f>
        <v>藍</v>
      </c>
      <c r="P282" s="12"/>
      <c r="Q282" s="12" t="str">
        <f ca="1">IFERROR(__xludf.DUMMYFUNCTION("""COMPUTED_VALUE"""),"185x100x210mm")</f>
        <v>185x100x210mm</v>
      </c>
      <c r="R282" s="12" t="str">
        <f ca="1">IFERROR(__xludf.DUMMYFUNCTION("""COMPUTED_VALUE"""),"中國")</f>
        <v>中國</v>
      </c>
      <c r="S282" s="12"/>
      <c r="T282" s="12"/>
      <c r="U282" s="12" t="str">
        <f ca="1">IFERROR(__xludf.DUMMYFUNCTION("""COMPUTED_VALUE"""),"1年")</f>
        <v>1年</v>
      </c>
      <c r="V282" s="12"/>
      <c r="W282" s="12"/>
      <c r="X282" s="12"/>
      <c r="Y282" s="12"/>
      <c r="Z282" s="14"/>
      <c r="AA282" s="15" t="str">
        <f ca="1">IFERROR(__xludf.DUMMYFUNCTION("""COMPUTED_VALUE"""),"*大容量0.25L透明水箱*快速產生120C的高溫高壓蒸氣*具有對地板清潔殺菌等功效*具有對窗戶沙發清潔等功效*具有對廚衛清潔殺菌去異味等功效*無段式蒸氣調節可依需要進行蒸氣大小調節*出蒸氣時間:15秒*蒸氣使用時間:10-25分")</f>
        <v>*大容量0.25L透明水箱*快速產生120C的高溫高壓蒸氣*具有對地板清潔殺菌等功效*具有對窗戶沙發清潔等功效*具有對廚衛清潔殺菌去異味等功效*無段式蒸氣調節可依需要進行蒸氣大小調節*出蒸氣時間:15秒*蒸氣使用時間:10-25分</v>
      </c>
    </row>
    <row r="283" spans="1:27" ht="19.5" customHeight="1">
      <c r="A283" s="12" t="str">
        <f ca="1">IFERROR(__xludf.DUMMYFUNCTION("""COMPUTED_VALUE"""),"生活家電")</f>
        <v>生活家電</v>
      </c>
      <c r="B283" s="12" t="str">
        <f ca="1">IFERROR(__xludf.DUMMYFUNCTION("""COMPUTED_VALUE"""),"中華大雄")</f>
        <v>中華大雄</v>
      </c>
      <c r="C283" s="12" t="str">
        <f ca="1">IFERROR(__xludf.DUMMYFUNCTION("""COMPUTED_VALUE"""),"aiwa")</f>
        <v>aiwa</v>
      </c>
      <c r="D283" s="12" t="str">
        <f ca="1">IFERROR(__xludf.DUMMYFUNCTION("""COMPUTED_VALUE"""),"aiwa二合一掛燙平燙機(粉)ASI-230")</f>
        <v>aiwa二合一掛燙平燙機(粉)ASI-230</v>
      </c>
      <c r="E283" s="12" t="str">
        <f ca="1">IFERROR(__xludf.DUMMYFUNCTION("""COMPUTED_VALUE"""),"ASI-230")</f>
        <v>ASI-230</v>
      </c>
      <c r="F283" s="12">
        <f ca="1">IFERROR(__xludf.DUMMYFUNCTION("""COMPUTED_VALUE"""),51057081)</f>
        <v>51057081</v>
      </c>
      <c r="G283" s="12" t="str">
        <f ca="1">IFERROR(__xludf.DUMMYFUNCTION("""COMPUTED_VALUE"""),"IGEM057J")</f>
        <v>IGEM057J</v>
      </c>
      <c r="H283" s="13">
        <f ca="1">IFERROR(__xludf.DUMMYFUNCTION("""COMPUTED_VALUE"""),1490)</f>
        <v>1490</v>
      </c>
      <c r="I283" s="14">
        <f ca="1">IFERROR(__xludf.DUMMYFUNCTION("""COMPUTED_VALUE"""),1190)</f>
        <v>1190</v>
      </c>
      <c r="J283" s="12"/>
      <c r="K283" s="12"/>
      <c r="L283" s="12" t="str">
        <f ca="1">IFERROR(__xludf.DUMMYFUNCTION("""COMPUTED_VALUE"""),"上架中")</f>
        <v>上架中</v>
      </c>
      <c r="M283" s="12"/>
      <c r="N283" s="12" t="str">
        <f ca="1">IFERROR(__xludf.DUMMYFUNCTION("""COMPUTED_VALUE"""),"熨斗/掛燙機")</f>
        <v>熨斗/掛燙機</v>
      </c>
      <c r="O283" s="12" t="str">
        <f ca="1">IFERROR(__xludf.DUMMYFUNCTION("""COMPUTED_VALUE"""),"粉")</f>
        <v>粉</v>
      </c>
      <c r="P283" s="12" t="str">
        <f ca="1">IFERROR(__xludf.DUMMYFUNCTION("""COMPUTED_VALUE"""),"1100W")</f>
        <v>1100W</v>
      </c>
      <c r="Q283" s="12" t="str">
        <f ca="1">IFERROR(__xludf.DUMMYFUNCTION("""COMPUTED_VALUE"""),"226x163x120mm")</f>
        <v>226x163x120mm</v>
      </c>
      <c r="R283" s="12" t="str">
        <f ca="1">IFERROR(__xludf.DUMMYFUNCTION("""COMPUTED_VALUE"""),"中國")</f>
        <v>中國</v>
      </c>
      <c r="S283" s="12"/>
      <c r="T283" s="12"/>
      <c r="U283" s="12" t="str">
        <f ca="1">IFERROR(__xludf.DUMMYFUNCTION("""COMPUTED_VALUE"""),"1年")</f>
        <v>1年</v>
      </c>
      <c r="V283" s="12"/>
      <c r="W283" s="12"/>
      <c r="X283" s="12"/>
      <c r="Y283" s="12"/>
      <c r="Z283" s="14"/>
      <c r="AA283" s="15" t="str">
        <f ca="1">IFERROR(__xludf.DUMMYFUNCTION("""COMPUTED_VALUE"""),"*小巧便攜易收納。*掛燙平燙二合一*高溫大蒸氣,深層滲透衣物*環流加熱設計,迅速沸騰出氣*7孔大噴頭,蒸氣集中有力""
")</f>
        <v xml:space="preserve">*小巧便攜易收納。*掛燙平燙二合一*高溫大蒸氣,深層滲透衣物*環流加熱設計,迅速沸騰出氣*7孔大噴頭,蒸氣集中有力"
</v>
      </c>
    </row>
    <row r="284" spans="1:27" ht="19.5" customHeight="1">
      <c r="A284" s="12" t="str">
        <f ca="1">IFERROR(__xludf.DUMMYFUNCTION("""COMPUTED_VALUE"""),"生活家電")</f>
        <v>生活家電</v>
      </c>
      <c r="B284" s="12" t="str">
        <f ca="1">IFERROR(__xludf.DUMMYFUNCTION("""COMPUTED_VALUE"""),"中華大雄")</f>
        <v>中華大雄</v>
      </c>
      <c r="C284" s="12" t="str">
        <f ca="1">IFERROR(__xludf.DUMMYFUNCTION("""COMPUTED_VALUE"""),"aiwa")</f>
        <v>aiwa</v>
      </c>
      <c r="D284" s="12" t="str">
        <f ca="1">IFERROR(__xludf.DUMMYFUNCTION("""COMPUTED_VALUE"""),"aiwa16吋DC微電腦遙控立扇(白)DF-M1621E")</f>
        <v>aiwa16吋DC微電腦遙控立扇(白)DF-M1621E</v>
      </c>
      <c r="E284" s="12" t="str">
        <f ca="1">IFERROR(__xludf.DUMMYFUNCTION("""COMPUTED_VALUE"""),"DF-M1621E")</f>
        <v>DF-M1621E</v>
      </c>
      <c r="F284" s="12">
        <f ca="1">IFERROR(__xludf.DUMMYFUNCTION("""COMPUTED_VALUE"""),51057177)</f>
        <v>51057177</v>
      </c>
      <c r="G284" s="12" t="str">
        <f ca="1">IFERROR(__xludf.DUMMYFUNCTION("""COMPUTED_VALUE"""),"IGEM0682")</f>
        <v>IGEM0682</v>
      </c>
      <c r="H284" s="13">
        <f ca="1">IFERROR(__xludf.DUMMYFUNCTION("""COMPUTED_VALUE"""),2680)</f>
        <v>2680</v>
      </c>
      <c r="I284" s="14">
        <f ca="1">IFERROR(__xludf.DUMMYFUNCTION("""COMPUTED_VALUE"""),2280)</f>
        <v>2280</v>
      </c>
      <c r="J284" s="16">
        <f ca="1">IFERROR(__xludf.DUMMYFUNCTION("""COMPUTED_VALUE"""),45474)</f>
        <v>45474</v>
      </c>
      <c r="K284" s="12" t="str">
        <f ca="1">IFERROR(__xludf.DUMMYFUNCTION("""COMPUTED_VALUE"""),"短促")</f>
        <v>短促</v>
      </c>
      <c r="L284" s="12" t="str">
        <f ca="1">IFERROR(__xludf.DUMMYFUNCTION("""COMPUTED_VALUE"""),"上架中")</f>
        <v>上架中</v>
      </c>
      <c r="M284" s="12" t="str">
        <f ca="1">IFERROR(__xludf.DUMMYFUNCTION("""COMPUTED_VALUE"""),"(2/21暫時停售，廠商2/29通知可開)")</f>
        <v>(2/21暫時停售，廠商2/29通知可開)</v>
      </c>
      <c r="N284" s="12" t="str">
        <f ca="1">IFERROR(__xludf.DUMMYFUNCTION("""COMPUTED_VALUE"""),"風扇")</f>
        <v>風扇</v>
      </c>
      <c r="O284" s="12" t="str">
        <f ca="1">IFERROR(__xludf.DUMMYFUNCTION("""COMPUTED_VALUE"""),"白")</f>
        <v>白</v>
      </c>
      <c r="P284" s="12" t="str">
        <f ca="1">IFERROR(__xludf.DUMMYFUNCTION("""COMPUTED_VALUE"""),"16吋")</f>
        <v>16吋</v>
      </c>
      <c r="Q284" s="12" t="str">
        <f ca="1">IFERROR(__xludf.DUMMYFUNCTION("""COMPUTED_VALUE"""),"715 x 460 x 220 mm")</f>
        <v>715 x 460 x 220 mm</v>
      </c>
      <c r="R284" s="12" t="str">
        <f ca="1">IFERROR(__xludf.DUMMYFUNCTION("""COMPUTED_VALUE"""),"台灣")</f>
        <v>台灣</v>
      </c>
      <c r="S284" s="12"/>
      <c r="T284" s="12"/>
      <c r="U284" s="12" t="str">
        <f ca="1">IFERROR(__xludf.DUMMYFUNCTION("""COMPUTED_VALUE"""),"1年")</f>
        <v>1年</v>
      </c>
      <c r="V284" s="12" t="str">
        <f ca="1">IFERROR(__xludf.DUMMYFUNCTION("""COMPUTED_VALUE"""),"1年")</f>
        <v>1年</v>
      </c>
      <c r="W284" s="12"/>
      <c r="X284" s="12"/>
      <c r="Y284" s="12"/>
      <c r="Z284" s="14"/>
      <c r="AA284" s="15" t="str">
        <f ca="1">IFERROR(__xludf.DUMMYFUNCTION("""COMPUTED_VALUE"""),"*全包覆式靜音DC直流馬達*6吋五枚扇葉,七段風量設計*1-7 小時超長定時關機功能*ECO依室內溫度自動調節風量*無段式高低升降調整*全功能無線遙控功能
")</f>
        <v xml:space="preserve">*全包覆式靜音DC直流馬達*6吋五枚扇葉,七段風量設計*1-7 小時超長定時關機功能*ECO依室內溫度自動調節風量*無段式高低升降調整*全功能無線遙控功能
</v>
      </c>
    </row>
    <row r="285" spans="1:27" ht="19.5" customHeight="1">
      <c r="A285" s="12" t="str">
        <f ca="1">IFERROR(__xludf.DUMMYFUNCTION("""COMPUTED_VALUE"""),"生活家電")</f>
        <v>生活家電</v>
      </c>
      <c r="B285" s="12" t="str">
        <f ca="1">IFERROR(__xludf.DUMMYFUNCTION("""COMPUTED_VALUE"""),"神腦")</f>
        <v>神腦</v>
      </c>
      <c r="C285" s="12" t="str">
        <f ca="1">IFERROR(__xludf.DUMMYFUNCTION("""COMPUTED_VALUE"""),"LG")</f>
        <v>LG</v>
      </c>
      <c r="D285" s="12" t="str">
        <f ca="1">IFERROR(__xludf.DUMMYFUNCTION("""COMPUTED_VALUE"""),"LG CordZero A9 K+ 系列濕拖無線吸塵器 (寵物家庭) (寂靜灰)A9K-MOP2")</f>
        <v>LG CordZero A9 K+ 系列濕拖無線吸塵器 (寵物家庭) (寂靜灰)A9K-MOP2</v>
      </c>
      <c r="E285" s="12" t="str">
        <f ca="1">IFERROR(__xludf.DUMMYFUNCTION("""COMPUTED_VALUE"""),"A9K-MOP2")</f>
        <v>A9K-MOP2</v>
      </c>
      <c r="F285" s="12">
        <f ca="1">IFERROR(__xludf.DUMMYFUNCTION("""COMPUTED_VALUE"""),51016617)</f>
        <v>51016617</v>
      </c>
      <c r="G285" s="12" t="str">
        <f ca="1">IFERROR(__xludf.DUMMYFUNCTION("""COMPUTED_VALUE"""),"IGEM117T")</f>
        <v>IGEM117T</v>
      </c>
      <c r="H285" s="13">
        <f ca="1">IFERROR(__xludf.DUMMYFUNCTION("""COMPUTED_VALUE"""),16900)</f>
        <v>16900</v>
      </c>
      <c r="I285" s="14">
        <f ca="1">IFERROR(__xludf.DUMMYFUNCTION("""COMPUTED_VALUE"""),16900)</f>
        <v>16900</v>
      </c>
      <c r="J285" s="16">
        <f ca="1">IFERROR(__xludf.DUMMYFUNCTION("""COMPUTED_VALUE"""),45658)</f>
        <v>45658</v>
      </c>
      <c r="K285" s="12" t="str">
        <f ca="1">IFERROR(__xludf.DUMMYFUNCTION("""COMPUTED_VALUE"""),"新機上架")</f>
        <v>新機上架</v>
      </c>
      <c r="L285" s="12" t="str">
        <f ca="1">IFERROR(__xludf.DUMMYFUNCTION("""COMPUTED_VALUE"""),"上架中")</f>
        <v>上架中</v>
      </c>
      <c r="M285" s="12" t="str">
        <f ca="1">IFERROR(__xludf.DUMMYFUNCTION("""COMPUTED_VALUE"""),"2025/1/1上架")</f>
        <v>2025/1/1上架</v>
      </c>
      <c r="N285" s="12" t="str">
        <f ca="1">IFERROR(__xludf.DUMMYFUNCTION("""COMPUTED_VALUE"""),"吸塵器")</f>
        <v>吸塵器</v>
      </c>
      <c r="O285" s="12" t="str">
        <f ca="1">IFERROR(__xludf.DUMMYFUNCTION("""COMPUTED_VALUE"""),"寂靜灰")</f>
        <v>寂靜灰</v>
      </c>
      <c r="P285" s="12"/>
      <c r="Q285" s="12" t="str">
        <f ca="1">IFERROR(__xludf.DUMMYFUNCTION("""COMPUTED_VALUE"""),"1120 x 270 x 260mm")</f>
        <v>1120 x 270 x 260mm</v>
      </c>
      <c r="R285" s="12" t="str">
        <f ca="1">IFERROR(__xludf.DUMMYFUNCTION("""COMPUTED_VALUE"""),"越南")</f>
        <v>越南</v>
      </c>
      <c r="S285" s="12"/>
      <c r="T285" s="12"/>
      <c r="U285" s="12" t="str">
        <f ca="1">IFERROR(__xludf.DUMMYFUNCTION("""COMPUTED_VALUE"""),"2年")</f>
        <v>2年</v>
      </c>
      <c r="V285" s="12" t="str">
        <f ca="1">IFERROR(__xludf.DUMMYFUNCTION("""COMPUTED_VALUE"""),"馬達10年保固")</f>
        <v>馬達10年保固</v>
      </c>
      <c r="W285" s="12"/>
      <c r="X285" s="12"/>
      <c r="Y285" s="12"/>
      <c r="Z285" s="14"/>
      <c r="AA285" s="15" t="str">
        <f ca="1">IFERROR(__xludf.DUMMYFUNCTION("""COMPUTED_VALUE"""),"*吸力提升至220W*集塵壓縮，刮除氣旋上纏繞毛髮，壓扁灰塵，增加集塵量*高速震動除蟎吸頭，每分鐘震動4000次，深層除蟎，不易傷衣料*乾吸濕拖，一次完成*濾網拆洗更方便")</f>
        <v>*吸力提升至220W*集塵壓縮，刮除氣旋上纏繞毛髮，壓扁灰塵，增加集塵量*高速震動除蟎吸頭，每分鐘震動4000次，深層除蟎，不易傷衣料*乾吸濕拖，一次完成*濾網拆洗更方便</v>
      </c>
    </row>
    <row r="286" spans="1:27" ht="19.5" customHeight="1">
      <c r="A286" s="12" t="str">
        <f ca="1">IFERROR(__xludf.DUMMYFUNCTION("""COMPUTED_VALUE"""),"3C")</f>
        <v>3C</v>
      </c>
      <c r="B286" s="12" t="str">
        <f ca="1">IFERROR(__xludf.DUMMYFUNCTION("""COMPUTED_VALUE"""),"神腦")</f>
        <v>神腦</v>
      </c>
      <c r="C286" s="12" t="str">
        <f ca="1">IFERROR(__xludf.DUMMYFUNCTION("""COMPUTED_VALUE"""),"SONY")</f>
        <v>SONY</v>
      </c>
      <c r="D286" s="12" t="str">
        <f ca="1">IFERROR(__xludf.DUMMYFUNCTION("""COMPUTED_VALUE"""),"SONY PS5 Slim新款光碟版主機(CFI-2018A01)")</f>
        <v>SONY PS5 Slim新款光碟版主機(CFI-2018A01)</v>
      </c>
      <c r="E286" s="12" t="str">
        <f ca="1">IFERROR(__xludf.DUMMYFUNCTION("""COMPUTED_VALUE"""),"CFI-2018A01-NEW")</f>
        <v>CFI-2018A01-NEW</v>
      </c>
      <c r="F286" s="12">
        <f ca="1">IFERROR(__xludf.DUMMYFUNCTION("""COMPUTED_VALUE"""),51016408)</f>
        <v>51016408</v>
      </c>
      <c r="G286" s="12" t="str">
        <f ca="1">IFERROR(__xludf.DUMMYFUNCTION("""COMPUTED_VALUE"""),"IGEM095D")</f>
        <v>IGEM095D</v>
      </c>
      <c r="H286" s="13">
        <f ca="1">IFERROR(__xludf.DUMMYFUNCTION("""COMPUTED_VALUE"""),17580)</f>
        <v>17580</v>
      </c>
      <c r="I286" s="18">
        <f ca="1">IFERROR(__xludf.DUMMYFUNCTION("""COMPUTED_VALUE"""),17580)</f>
        <v>17580</v>
      </c>
      <c r="J286" s="16">
        <f ca="1">IFERROR(__xludf.DUMMYFUNCTION("""COMPUTED_VALUE"""),45681)</f>
        <v>45681</v>
      </c>
      <c r="K286" s="12" t="str">
        <f ca="1">IFERROR(__xludf.DUMMYFUNCTION("""COMPUTED_VALUE"""),"回價")</f>
        <v>回價</v>
      </c>
      <c r="L286" s="12" t="str">
        <f ca="1">IFERROR(__xludf.DUMMYFUNCTION("""COMPUTED_VALUE"""),"上架中")</f>
        <v>上架中</v>
      </c>
      <c r="M286" s="12" t="str">
        <f ca="1">IFERROR(__xludf.DUMMYFUNCTION("""COMPUTED_VALUE"""),"1/24回價，2023/12/20新機上架/不享第一重滿額商品卡活動")</f>
        <v>1/24回價，2023/12/20新機上架/不享第一重滿額商品卡活動</v>
      </c>
      <c r="N286" s="12" t="str">
        <f ca="1">IFERROR(__xludf.DUMMYFUNCTION("""COMPUTED_VALUE"""),"PS5主機")</f>
        <v>PS5主機</v>
      </c>
      <c r="O286" s="12" t="str">
        <f ca="1">IFERROR(__xludf.DUMMYFUNCTION("""COMPUTED_VALUE"""),"白")</f>
        <v>白</v>
      </c>
      <c r="P286" s="12"/>
      <c r="Q286" s="12" t="str">
        <f ca="1">IFERROR(__xludf.DUMMYFUNCTION("""COMPUTED_VALUE"""),"外觀尺寸 約358mm x 96mm x 216mm (寬×高×深)(不包括最大突出部位與底座)")</f>
        <v>外觀尺寸 約358mm x 96mm x 216mm (寬×高×深)(不包括最大突出部位與底座)</v>
      </c>
      <c r="R286" s="12" t="str">
        <f ca="1">IFERROR(__xludf.DUMMYFUNCTION("""COMPUTED_VALUE"""),"中國")</f>
        <v>中國</v>
      </c>
      <c r="S286" s="12"/>
      <c r="T286" s="12"/>
      <c r="U286" s="12" t="str">
        <f ca="1">IFERROR(__xludf.DUMMYFUNCTION("""COMPUTED_VALUE"""),"1年")</f>
        <v>1年</v>
      </c>
      <c r="V286" s="12"/>
      <c r="W286" s="12"/>
      <c r="X286" s="12"/>
      <c r="Y286" s="12"/>
      <c r="Z286" s="14"/>
      <c r="AA286" s="15" t="str">
        <f ca="1">IFERROR(__xludf.DUMMYFUNCTION("""COMPUTED_VALUE"""),"*1TB 高容量SSD*新款PS5體積減少了30%以上*光碟版重量減輕了18%*主機護蓋分成四片獨立面板*頂部採用亮面外觀，底部則仍保持霧面設計*直立架另售")</f>
        <v>*1TB 高容量SSD*新款PS5體積減少了30%以上*光碟版重量減輕了18%*主機護蓋分成四片獨立面板*頂部採用亮面外觀，底部則仍保持霧面設計*直立架另售</v>
      </c>
    </row>
    <row r="287" spans="1:27" ht="19.5" customHeight="1">
      <c r="A287" s="12" t="str">
        <f ca="1">IFERROR(__xludf.DUMMYFUNCTION("""COMPUTED_VALUE"""),"3C")</f>
        <v>3C</v>
      </c>
      <c r="B287" s="12" t="str">
        <f ca="1">IFERROR(__xludf.DUMMYFUNCTION("""COMPUTED_VALUE"""),"神腦")</f>
        <v>神腦</v>
      </c>
      <c r="C287" s="12" t="str">
        <f ca="1">IFERROR(__xludf.DUMMYFUNCTION("""COMPUTED_VALUE"""),"SONY")</f>
        <v>SONY</v>
      </c>
      <c r="D287" s="12" t="str">
        <f ca="1">IFERROR(__xludf.DUMMYFUNCTION("""COMPUTED_VALUE"""),"SONY PULSE Explore無線耳塞式耳機_CFI-ZWE1G")</f>
        <v>SONY PULSE Explore無線耳塞式耳機_CFI-ZWE1G</v>
      </c>
      <c r="E287" s="12" t="str">
        <f ca="1">IFERROR(__xludf.DUMMYFUNCTION("""COMPUTED_VALUE"""),"CFI-ZWE1G")</f>
        <v>CFI-ZWE1G</v>
      </c>
      <c r="F287" s="12">
        <f ca="1">IFERROR(__xludf.DUMMYFUNCTION("""COMPUTED_VALUE"""),51016416)</f>
        <v>51016416</v>
      </c>
      <c r="G287" s="12" t="str">
        <f ca="1">IFERROR(__xludf.DUMMYFUNCTION("""COMPUTED_VALUE"""),"IGEM101H")</f>
        <v>IGEM101H</v>
      </c>
      <c r="H287" s="13">
        <f ca="1">IFERROR(__xludf.DUMMYFUNCTION("""COMPUTED_VALUE"""),6480)</f>
        <v>6480</v>
      </c>
      <c r="I287" s="18">
        <f ca="1">IFERROR(__xludf.DUMMYFUNCTION("""COMPUTED_VALUE"""),6480)</f>
        <v>6480</v>
      </c>
      <c r="J287" s="16">
        <f ca="1">IFERROR(__xludf.DUMMYFUNCTION("""COMPUTED_VALUE"""),45681)</f>
        <v>45681</v>
      </c>
      <c r="K287" s="12" t="str">
        <f ca="1">IFERROR(__xludf.DUMMYFUNCTION("""COMPUTED_VALUE"""),"回價")</f>
        <v>回價</v>
      </c>
      <c r="L287" s="12" t="str">
        <f ca="1">IFERROR(__xludf.DUMMYFUNCTION("""COMPUTED_VALUE"""),"上架中")</f>
        <v>上架中</v>
      </c>
      <c r="M287" s="12" t="str">
        <f ca="1">IFERROR(__xludf.DUMMYFUNCTION("""COMPUTED_VALUE"""),"1/24回價，2024/5/14新機上架")</f>
        <v>1/24回價，2024/5/14新機上架</v>
      </c>
      <c r="N287" s="12" t="str">
        <f ca="1">IFERROR(__xludf.DUMMYFUNCTION("""COMPUTED_VALUE"""),"PS5周邊")</f>
        <v>PS5周邊</v>
      </c>
      <c r="O287" s="12" t="str">
        <f ca="1">IFERROR(__xludf.DUMMYFUNCTION("""COMPUTED_VALUE"""),"白色")</f>
        <v>白色</v>
      </c>
      <c r="P287" s="12"/>
      <c r="Q287" s="12" t="str">
        <f ca="1">IFERROR(__xludf.DUMMYFUNCTION("""COMPUTED_VALUE"""),"127*114*75mm")</f>
        <v>127*114*75mm</v>
      </c>
      <c r="R287" s="12" t="str">
        <f ca="1">IFERROR(__xludf.DUMMYFUNCTION("""COMPUTED_VALUE"""),"中國")</f>
        <v>中國</v>
      </c>
      <c r="S287" s="12"/>
      <c r="T287" s="12"/>
      <c r="U287" s="12" t="str">
        <f ca="1">IFERROR(__xludf.DUMMYFUNCTION("""COMPUTED_VALUE"""),"1年")</f>
        <v>1年</v>
      </c>
      <c r="V287" s="12"/>
      <c r="W287" s="12"/>
      <c r="X287" s="12"/>
      <c r="Y287" s="12"/>
      <c r="Z287" s="14"/>
      <c r="AA287" s="15" t="str">
        <f ca="1">IFERROR(__xludf.DUMMYFUNCTION("""COMPUTED_VALUE"""),"*最長可使用 5 小時的電量*整合型麥克風*次世代AI強化雜訊抑制*PRO級平面振膜單體技術")</f>
        <v>*最長可使用 5 小時的電量*整合型麥克風*次世代AI強化雜訊抑制*PRO級平面振膜單體技術</v>
      </c>
    </row>
    <row r="288" spans="1:27" ht="19.5" customHeight="1">
      <c r="A288" s="12" t="str">
        <f ca="1">IFERROR(__xludf.DUMMYFUNCTION("""COMPUTED_VALUE"""),"3C")</f>
        <v>3C</v>
      </c>
      <c r="B288" s="12" t="str">
        <f ca="1">IFERROR(__xludf.DUMMYFUNCTION("""COMPUTED_VALUE"""),"神腦")</f>
        <v>神腦</v>
      </c>
      <c r="C288" s="12" t="str">
        <f ca="1">IFERROR(__xludf.DUMMYFUNCTION("""COMPUTED_VALUE"""),"SONY")</f>
        <v>SONY</v>
      </c>
      <c r="D288" s="12" t="str">
        <f ca="1">IFERROR(__xludf.DUMMYFUNCTION("""COMPUTED_VALUE"""),"SONY PULSE Elite無線耳機組_CFI-ZWH2G")</f>
        <v>SONY PULSE Elite無線耳機組_CFI-ZWH2G</v>
      </c>
      <c r="E288" s="12" t="str">
        <f ca="1">IFERROR(__xludf.DUMMYFUNCTION("""COMPUTED_VALUE"""),"CFI-ZWH2G")</f>
        <v>CFI-ZWH2G</v>
      </c>
      <c r="F288" s="12">
        <f ca="1">IFERROR(__xludf.DUMMYFUNCTION("""COMPUTED_VALUE"""),51016417)</f>
        <v>51016417</v>
      </c>
      <c r="G288" s="12" t="str">
        <f ca="1">IFERROR(__xludf.DUMMYFUNCTION("""COMPUTED_VALUE"""),"IGEM101I")</f>
        <v>IGEM101I</v>
      </c>
      <c r="H288" s="13">
        <f ca="1">IFERROR(__xludf.DUMMYFUNCTION("""COMPUTED_VALUE"""),4680)</f>
        <v>4680</v>
      </c>
      <c r="I288" s="18">
        <f ca="1">IFERROR(__xludf.DUMMYFUNCTION("""COMPUTED_VALUE"""),4680)</f>
        <v>4680</v>
      </c>
      <c r="J288" s="16">
        <f ca="1">IFERROR(__xludf.DUMMYFUNCTION("""COMPUTED_VALUE"""),45586)</f>
        <v>45586</v>
      </c>
      <c r="K288" s="12" t="str">
        <f ca="1">IFERROR(__xludf.DUMMYFUNCTION("""COMPUTED_VALUE"""),"缺貨")</f>
        <v>缺貨</v>
      </c>
      <c r="L288" s="12" t="str">
        <f ca="1">IFERROR(__xludf.DUMMYFUNCTION("""COMPUTED_VALUE"""),"缺貨")</f>
        <v>缺貨</v>
      </c>
      <c r="M288" s="12" t="str">
        <f ca="1">IFERROR(__xludf.DUMMYFUNCTION("""COMPUTED_VALUE"""),"2024/5/14新機上架")</f>
        <v>2024/5/14新機上架</v>
      </c>
      <c r="N288" s="12" t="str">
        <f ca="1">IFERROR(__xludf.DUMMYFUNCTION("""COMPUTED_VALUE"""),"PS5周邊")</f>
        <v>PS5周邊</v>
      </c>
      <c r="O288" s="12" t="str">
        <f ca="1">IFERROR(__xludf.DUMMYFUNCTION("""COMPUTED_VALUE"""),"白色")</f>
        <v>白色</v>
      </c>
      <c r="P288" s="12"/>
      <c r="Q288" s="12" t="str">
        <f ca="1">IFERROR(__xludf.DUMMYFUNCTION("""COMPUTED_VALUE"""),"220*150*250mm")</f>
        <v>220*150*250mm</v>
      </c>
      <c r="R288" s="12" t="str">
        <f ca="1">IFERROR(__xludf.DUMMYFUNCTION("""COMPUTED_VALUE"""),"中國")</f>
        <v>中國</v>
      </c>
      <c r="S288" s="12"/>
      <c r="T288" s="12"/>
      <c r="U288" s="12" t="str">
        <f ca="1">IFERROR(__xludf.DUMMYFUNCTION("""COMPUTED_VALUE"""),"1年")</f>
        <v>1年</v>
      </c>
      <c r="V288" s="12"/>
      <c r="W288" s="12"/>
      <c r="X288" s="12"/>
      <c r="Y288" s="12"/>
      <c r="Z288" s="14"/>
      <c r="AA288" s="15" t="str">
        <f ca="1">IFERROR(__xludf.DUMMYFUNCTION("""COMPUTED_VALUE"""),"*採用平面振膜單體*隱藏式伸縮式麥克風*次世代AI強化雜訊抑制*PRO級平面振膜單體技術")</f>
        <v>*採用平面振膜單體*隱藏式伸縮式麥克風*次世代AI強化雜訊抑制*PRO級平面振膜單體技術</v>
      </c>
    </row>
    <row r="289" spans="1:27" ht="19.5" customHeight="1">
      <c r="A289" s="12" t="str">
        <f ca="1">IFERROR(__xludf.DUMMYFUNCTION("""COMPUTED_VALUE"""),"3C")</f>
        <v>3C</v>
      </c>
      <c r="B289" s="12" t="str">
        <f ca="1">IFERROR(__xludf.DUMMYFUNCTION("""COMPUTED_VALUE"""),"神腦")</f>
        <v>神腦</v>
      </c>
      <c r="C289" s="12" t="str">
        <f ca="1">IFERROR(__xludf.DUMMYFUNCTION("""COMPUTED_VALUE"""),"SONY")</f>
        <v>SONY</v>
      </c>
      <c r="D289" s="12" t="str">
        <f ca="1">IFERROR(__xludf.DUMMYFUNCTION("""COMPUTED_VALUE"""),"SONY PS5 遊戲片-跑車浪漫旅7 中文版")</f>
        <v>SONY PS5 遊戲片-跑車浪漫旅7 中文版</v>
      </c>
      <c r="E289" s="12" t="str">
        <f ca="1">IFERROR(__xludf.DUMMYFUNCTION("""COMPUTED_VALUE"""),"跑車浪漫旅7")</f>
        <v>跑車浪漫旅7</v>
      </c>
      <c r="F289" s="12">
        <f ca="1">IFERROR(__xludf.DUMMYFUNCTION("""COMPUTED_VALUE"""),51016421)</f>
        <v>51016421</v>
      </c>
      <c r="G289" s="12" t="str">
        <f ca="1">IFERROR(__xludf.DUMMYFUNCTION("""COMPUTED_VALUE"""),"IGEM101M")</f>
        <v>IGEM101M</v>
      </c>
      <c r="H289" s="13">
        <f ca="1">IFERROR(__xludf.DUMMYFUNCTION("""COMPUTED_VALUE"""),1990)</f>
        <v>1990</v>
      </c>
      <c r="I289" s="18">
        <f ca="1">IFERROR(__xludf.DUMMYFUNCTION("""COMPUTED_VALUE"""),1990)</f>
        <v>1990</v>
      </c>
      <c r="J289" s="16">
        <f ca="1">IFERROR(__xludf.DUMMYFUNCTION("""COMPUTED_VALUE"""),45681)</f>
        <v>45681</v>
      </c>
      <c r="K289" s="12" t="str">
        <f ca="1">IFERROR(__xludf.DUMMYFUNCTION("""COMPUTED_VALUE"""),"回價")</f>
        <v>回價</v>
      </c>
      <c r="L289" s="12" t="str">
        <f ca="1">IFERROR(__xludf.DUMMYFUNCTION("""COMPUTED_VALUE"""),"上架中")</f>
        <v>上架中</v>
      </c>
      <c r="M289" s="12" t="str">
        <f ca="1">IFERROR(__xludf.DUMMYFUNCTION("""COMPUTED_VALUE"""),"1/24回價，2024/5/14新機上架")</f>
        <v>1/24回價，2024/5/14新機上架</v>
      </c>
      <c r="N289" s="12" t="str">
        <f ca="1">IFERROR(__xludf.DUMMYFUNCTION("""COMPUTED_VALUE"""),"PS5遊戲")</f>
        <v>PS5遊戲</v>
      </c>
      <c r="O289" s="12"/>
      <c r="P289" s="12"/>
      <c r="Q289" s="12" t="str">
        <f ca="1">IFERROR(__xludf.DUMMYFUNCTION("""COMPUTED_VALUE"""),"170*130*12mm")</f>
        <v>170*130*12mm</v>
      </c>
      <c r="R289" s="12" t="str">
        <f ca="1">IFERROR(__xludf.DUMMYFUNCTION("""COMPUTED_VALUE"""),"中國")</f>
        <v>中國</v>
      </c>
      <c r="S289" s="12"/>
      <c r="T289" s="12"/>
      <c r="U289" s="12" t="str">
        <f ca="1">IFERROR(__xludf.DUMMYFUNCTION("""COMPUTED_VALUE"""),"無保固")</f>
        <v>無保固</v>
      </c>
      <c r="V289" s="12"/>
      <c r="W289" s="12"/>
      <c r="X289" s="12"/>
      <c r="Y289" s="12"/>
      <c r="Z289" s="14"/>
      <c r="AA289" s="15" t="str">
        <f ca="1">IFERROR(__xludf.DUMMYFUNCTION("""COMPUTED_VALUE"""),"*汽車收藏、調校、塗裝編輯*傳奇賽道、天氣模擬、Scape*從系統到內容都進行了大幅改良")</f>
        <v>*汽車收藏、調校、塗裝編輯*傳奇賽道、天氣模擬、Scape*從系統到內容都進行了大幅改良</v>
      </c>
    </row>
    <row r="290" spans="1:27" ht="19.5" customHeight="1">
      <c r="A290" s="12" t="str">
        <f ca="1">IFERROR(__xludf.DUMMYFUNCTION("""COMPUTED_VALUE"""),"3C")</f>
        <v>3C</v>
      </c>
      <c r="B290" s="12" t="str">
        <f ca="1">IFERROR(__xludf.DUMMYFUNCTION("""COMPUTED_VALUE"""),"神腦")</f>
        <v>神腦</v>
      </c>
      <c r="C290" s="12" t="str">
        <f ca="1">IFERROR(__xludf.DUMMYFUNCTION("""COMPUTED_VALUE"""),"SONY")</f>
        <v>SONY</v>
      </c>
      <c r="D290" s="12" t="str">
        <f ca="1">IFERROR(__xludf.DUMMYFUNCTION("""COMPUTED_VALUE"""),"SONY PS5 Slim數位版主機(CFI-2018B01)")</f>
        <v>SONY PS5 Slim數位版主機(CFI-2018B01)</v>
      </c>
      <c r="E290" s="12" t="str">
        <f ca="1">IFERROR(__xludf.DUMMYFUNCTION("""COMPUTED_VALUE"""),"CFI-2018B01")</f>
        <v>CFI-2018B01</v>
      </c>
      <c r="F290" s="12">
        <f ca="1">IFERROR(__xludf.DUMMYFUNCTION("""COMPUTED_VALUE"""),51016502)</f>
        <v>51016502</v>
      </c>
      <c r="G290" s="12" t="str">
        <f ca="1">IFERROR(__xludf.DUMMYFUNCTION("""COMPUTED_VALUE"""),"IGEM109G")</f>
        <v>IGEM109G</v>
      </c>
      <c r="H290" s="13">
        <f ca="1">IFERROR(__xludf.DUMMYFUNCTION("""COMPUTED_VALUE"""),14580)</f>
        <v>14580</v>
      </c>
      <c r="I290" s="18">
        <f ca="1">IFERROR(__xludf.DUMMYFUNCTION("""COMPUTED_VALUE"""),14580)</f>
        <v>14580</v>
      </c>
      <c r="J290" s="16">
        <f ca="1">IFERROR(__xludf.DUMMYFUNCTION("""COMPUTED_VALUE"""),45695)</f>
        <v>45695</v>
      </c>
      <c r="K290" s="12" t="str">
        <f ca="1">IFERROR(__xludf.DUMMYFUNCTION("""COMPUTED_VALUE"""),"缺貨")</f>
        <v>缺貨</v>
      </c>
      <c r="L290" s="12" t="str">
        <f ca="1">IFERROR(__xludf.DUMMYFUNCTION("""COMPUTED_VALUE"""),"缺貨")</f>
        <v>缺貨</v>
      </c>
      <c r="M290" s="12" t="str">
        <f ca="1">IFERROR(__xludf.DUMMYFUNCTION("""COMPUTED_VALUE"""),"1/24回價，不享第一重滿額商品卡活動,2024/8/22新機上架")</f>
        <v>1/24回價，不享第一重滿額商品卡活動,2024/8/22新機上架</v>
      </c>
      <c r="N290" s="12" t="str">
        <f ca="1">IFERROR(__xludf.DUMMYFUNCTION("""COMPUTED_VALUE"""),"PS5主機")</f>
        <v>PS5主機</v>
      </c>
      <c r="O290" s="12" t="str">
        <f ca="1">IFERROR(__xludf.DUMMYFUNCTION("""COMPUTED_VALUE"""),"白色")</f>
        <v>白色</v>
      </c>
      <c r="P290" s="12"/>
      <c r="Q290" s="12" t="str">
        <f ca="1">IFERROR(__xludf.DUMMYFUNCTION("""COMPUTED_VALUE"""),"約358 × 80 × 216mm")</f>
        <v>約358 × 80 × 216mm</v>
      </c>
      <c r="R290" s="12" t="str">
        <f ca="1">IFERROR(__xludf.DUMMYFUNCTION("""COMPUTED_VALUE"""),"中國")</f>
        <v>中國</v>
      </c>
      <c r="S290" s="12"/>
      <c r="T290" s="12"/>
      <c r="U290" s="12" t="str">
        <f ca="1">IFERROR(__xludf.DUMMYFUNCTION("""COMPUTED_VALUE"""),"1年")</f>
        <v>1年</v>
      </c>
      <c r="V290" s="12"/>
      <c r="W290" s="12"/>
      <c r="X290" s="12"/>
      <c r="Y290" s="12"/>
      <c r="Z290" s="14"/>
      <c r="AA290" s="15" t="str">
        <f ca="1">IFERROR(__xludf.DUMMYFUNCTION("""COMPUTED_VALUE"""),"*1TB 高容量SSD*次世代超高速硬碟讀取*主機體積縮小 30%，重量減輕了24%*主機護蓋分成四片獨立面板，頂部採用亮面外觀")</f>
        <v>*1TB 高容量SSD*次世代超高速硬碟讀取*主機體積縮小 30%，重量減輕了24%*主機護蓋分成四片獨立面板，頂部採用亮面外觀</v>
      </c>
    </row>
    <row r="291" spans="1:27" ht="19.5" customHeight="1">
      <c r="A291" s="12" t="str">
        <f ca="1">IFERROR(__xludf.DUMMYFUNCTION("""COMPUTED_VALUE"""),"3C")</f>
        <v>3C</v>
      </c>
      <c r="B291" s="12" t="str">
        <f ca="1">IFERROR(__xludf.DUMMYFUNCTION("""COMPUTED_VALUE"""),"神腦")</f>
        <v>神腦</v>
      </c>
      <c r="C291" s="12" t="str">
        <f ca="1">IFERROR(__xludf.DUMMYFUNCTION("""COMPUTED_VALUE"""),"SONY")</f>
        <v>SONY</v>
      </c>
      <c r="D291" s="12" t="str">
        <f ca="1">IFERROR(__xludf.DUMMYFUNCTION("""COMPUTED_VALUE"""),"SONY PS5 DualSense 無線控制器(星塵紅)")</f>
        <v>SONY PS5 DualSense 無線控制器(星塵紅)</v>
      </c>
      <c r="E291" s="12" t="str">
        <f ca="1">IFERROR(__xludf.DUMMYFUNCTION("""COMPUTED_VALUE"""),"CFI-ZCT1G02")</f>
        <v>CFI-ZCT1G02</v>
      </c>
      <c r="F291" s="12">
        <f ca="1">IFERROR(__xludf.DUMMYFUNCTION("""COMPUTED_VALUE"""),51016503)</f>
        <v>51016503</v>
      </c>
      <c r="G291" s="12" t="str">
        <f ca="1">IFERROR(__xludf.DUMMYFUNCTION("""COMPUTED_VALUE"""),"IGEM109H")</f>
        <v>IGEM109H</v>
      </c>
      <c r="H291" s="13">
        <f ca="1">IFERROR(__xludf.DUMMYFUNCTION("""COMPUTED_VALUE"""),2280)</f>
        <v>2280</v>
      </c>
      <c r="I291" s="14">
        <f ca="1">IFERROR(__xludf.DUMMYFUNCTION("""COMPUTED_VALUE"""),2280)</f>
        <v>2280</v>
      </c>
      <c r="J291" s="16">
        <f ca="1">IFERROR(__xludf.DUMMYFUNCTION("""COMPUTED_VALUE"""),45681)</f>
        <v>45681</v>
      </c>
      <c r="K291" s="12" t="str">
        <f ca="1">IFERROR(__xludf.DUMMYFUNCTION("""COMPUTED_VALUE"""),"回價")</f>
        <v>回價</v>
      </c>
      <c r="L291" s="12" t="str">
        <f ca="1">IFERROR(__xludf.DUMMYFUNCTION("""COMPUTED_VALUE"""),"上架中")</f>
        <v>上架中</v>
      </c>
      <c r="M291" s="12" t="str">
        <f ca="1">IFERROR(__xludf.DUMMYFUNCTION("""COMPUTED_VALUE"""),"1/24回價，2024/8/22新機上架")</f>
        <v>1/24回價，2024/8/22新機上架</v>
      </c>
      <c r="N291" s="12" t="str">
        <f ca="1">IFERROR(__xludf.DUMMYFUNCTION("""COMPUTED_VALUE"""),"PS5周邊")</f>
        <v>PS5周邊</v>
      </c>
      <c r="O291" s="12" t="str">
        <f ca="1">IFERROR(__xludf.DUMMYFUNCTION("""COMPUTED_VALUE"""),"星塵紅")</f>
        <v>星塵紅</v>
      </c>
      <c r="P291" s="12"/>
      <c r="Q291" s="12" t="str">
        <f ca="1">IFERROR(__xludf.DUMMYFUNCTION("""COMPUTED_VALUE"""),"約160mm x 66mm x 106mm (不包括最大突出部位)")</f>
        <v>約160mm x 66mm x 106mm (不包括最大突出部位)</v>
      </c>
      <c r="R291" s="12" t="str">
        <f ca="1">IFERROR(__xludf.DUMMYFUNCTION("""COMPUTED_VALUE"""),"中國")</f>
        <v>中國</v>
      </c>
      <c r="S291" s="12"/>
      <c r="T291" s="12"/>
      <c r="U291" s="12" t="str">
        <f ca="1">IFERROR(__xludf.DUMMYFUNCTION("""COMPUTED_VALUE"""),"1年")</f>
        <v>1年</v>
      </c>
      <c r="V291" s="12"/>
      <c r="W291" s="12"/>
      <c r="X291" s="12"/>
      <c r="Y291" s="12"/>
      <c r="Z291" s="14"/>
      <c r="AA291" s="15" t="str">
        <f ca="1">IFERROR(__xludf.DUMMYFUNCTION("""COMPUTED_VALUE"""),"*刺激您的感官體驗*自適應扳機*觸覺回饋*探索嶄新遊戲領域")</f>
        <v>*刺激您的感官體驗*自適應扳機*觸覺回饋*探索嶄新遊戲領域</v>
      </c>
    </row>
    <row r="292" spans="1:27" ht="19.5" customHeight="1">
      <c r="A292" s="12" t="str">
        <f ca="1">IFERROR(__xludf.DUMMYFUNCTION("""COMPUTED_VALUE"""),"3C")</f>
        <v>3C</v>
      </c>
      <c r="B292" s="12" t="str">
        <f ca="1">IFERROR(__xludf.DUMMYFUNCTION("""COMPUTED_VALUE"""),"神腦")</f>
        <v>神腦</v>
      </c>
      <c r="C292" s="12" t="str">
        <f ca="1">IFERROR(__xludf.DUMMYFUNCTION("""COMPUTED_VALUE"""),"SONY")</f>
        <v>SONY</v>
      </c>
      <c r="D292" s="12" t="str">
        <f ca="1">IFERROR(__xludf.DUMMYFUNCTION("""COMPUTED_VALUE"""),"SONY PS5 DualSense 無線控制器(深灰迷彩)")</f>
        <v>SONY PS5 DualSense 無線控制器(深灰迷彩)</v>
      </c>
      <c r="E292" s="12" t="str">
        <f ca="1">IFERROR(__xludf.DUMMYFUNCTION("""COMPUTED_VALUE"""),"CFI-ZCT1G06")</f>
        <v>CFI-ZCT1G06</v>
      </c>
      <c r="F292" s="12">
        <f ca="1">IFERROR(__xludf.DUMMYFUNCTION("""COMPUTED_VALUE"""),51016505)</f>
        <v>51016505</v>
      </c>
      <c r="G292" s="12" t="str">
        <f ca="1">IFERROR(__xludf.DUMMYFUNCTION("""COMPUTED_VALUE"""),"IGEM109J")</f>
        <v>IGEM109J</v>
      </c>
      <c r="H292" s="13">
        <f ca="1">IFERROR(__xludf.DUMMYFUNCTION("""COMPUTED_VALUE"""),2280)</f>
        <v>2280</v>
      </c>
      <c r="I292" s="14">
        <f ca="1">IFERROR(__xludf.DUMMYFUNCTION("""COMPUTED_VALUE"""),2280)</f>
        <v>2280</v>
      </c>
      <c r="J292" s="16">
        <f ca="1">IFERROR(__xludf.DUMMYFUNCTION("""COMPUTED_VALUE"""),45681)</f>
        <v>45681</v>
      </c>
      <c r="K292" s="12" t="str">
        <f ca="1">IFERROR(__xludf.DUMMYFUNCTION("""COMPUTED_VALUE"""),"回價")</f>
        <v>回價</v>
      </c>
      <c r="L292" s="12" t="str">
        <f ca="1">IFERROR(__xludf.DUMMYFUNCTION("""COMPUTED_VALUE"""),"上架中")</f>
        <v>上架中</v>
      </c>
      <c r="M292" s="12" t="str">
        <f ca="1">IFERROR(__xludf.DUMMYFUNCTION("""COMPUTED_VALUE"""),"1/24回價，2024/8/22新機上架")</f>
        <v>1/24回價，2024/8/22新機上架</v>
      </c>
      <c r="N292" s="12" t="str">
        <f ca="1">IFERROR(__xludf.DUMMYFUNCTION("""COMPUTED_VALUE"""),"PS5周邊")</f>
        <v>PS5周邊</v>
      </c>
      <c r="O292" s="12" t="str">
        <f ca="1">IFERROR(__xludf.DUMMYFUNCTION("""COMPUTED_VALUE"""),"深灰迷彩")</f>
        <v>深灰迷彩</v>
      </c>
      <c r="P292" s="12"/>
      <c r="Q292" s="12" t="str">
        <f ca="1">IFERROR(__xludf.DUMMYFUNCTION("""COMPUTED_VALUE"""),"約160mm x 66mm x 106mm (不包括最大突出部位)")</f>
        <v>約160mm x 66mm x 106mm (不包括最大突出部位)</v>
      </c>
      <c r="R292" s="12" t="str">
        <f ca="1">IFERROR(__xludf.DUMMYFUNCTION("""COMPUTED_VALUE"""),"中國")</f>
        <v>中國</v>
      </c>
      <c r="S292" s="12"/>
      <c r="T292" s="12"/>
      <c r="U292" s="12" t="str">
        <f ca="1">IFERROR(__xludf.DUMMYFUNCTION("""COMPUTED_VALUE"""),"1年")</f>
        <v>1年</v>
      </c>
      <c r="V292" s="12"/>
      <c r="W292" s="12"/>
      <c r="X292" s="12"/>
      <c r="Y292" s="12"/>
      <c r="Z292" s="14"/>
      <c r="AA292" s="15" t="str">
        <f ca="1">IFERROR(__xludf.DUMMYFUNCTION("""COMPUTED_VALUE"""),"*刺激您的感官體驗*自適應扳機*觸覺回饋*探索嶄新遊戲領域")</f>
        <v>*刺激您的感官體驗*自適應扳機*觸覺回饋*探索嶄新遊戲領域</v>
      </c>
    </row>
    <row r="293" spans="1:27" ht="19.5" customHeight="1">
      <c r="A293" s="12" t="str">
        <f ca="1">IFERROR(__xludf.DUMMYFUNCTION("""COMPUTED_VALUE"""),"3C")</f>
        <v>3C</v>
      </c>
      <c r="B293" s="12" t="str">
        <f ca="1">IFERROR(__xludf.DUMMYFUNCTION("""COMPUTED_VALUE"""),"神腦")</f>
        <v>神腦</v>
      </c>
      <c r="C293" s="12" t="str">
        <f ca="1">IFERROR(__xludf.DUMMYFUNCTION("""COMPUTED_VALUE"""),"SONY")</f>
        <v>SONY</v>
      </c>
      <c r="D293" s="12" t="str">
        <f ca="1">IFERROR(__xludf.DUMMYFUNCTION("""COMPUTED_VALUE"""),"SONY PS5 遊戲片-Astro Bot 太空機器人 中文版")</f>
        <v>SONY PS5 遊戲片-Astro Bot 太空機器人 中文版</v>
      </c>
      <c r="E293" s="12" t="str">
        <f ca="1">IFERROR(__xludf.DUMMYFUNCTION("""COMPUTED_VALUE"""),"太空機器人 ")</f>
        <v xml:space="preserve">太空機器人 </v>
      </c>
      <c r="F293" s="12">
        <f ca="1">IFERROR(__xludf.DUMMYFUNCTION("""COMPUTED_VALUE"""),51016506)</f>
        <v>51016506</v>
      </c>
      <c r="G293" s="12" t="str">
        <f ca="1">IFERROR(__xludf.DUMMYFUNCTION("""COMPUTED_VALUE"""),"IGEM109K")</f>
        <v>IGEM109K</v>
      </c>
      <c r="H293" s="13">
        <f ca="1">IFERROR(__xludf.DUMMYFUNCTION("""COMPUTED_VALUE"""),1790)</f>
        <v>1790</v>
      </c>
      <c r="I293" s="14">
        <f ca="1">IFERROR(__xludf.DUMMYFUNCTION("""COMPUTED_VALUE"""),1790)</f>
        <v>1790</v>
      </c>
      <c r="J293" s="16">
        <f ca="1">IFERROR(__xludf.DUMMYFUNCTION("""COMPUTED_VALUE"""),45594)</f>
        <v>45594</v>
      </c>
      <c r="K293" s="12" t="str">
        <f ca="1">IFERROR(__xludf.DUMMYFUNCTION("""COMPUTED_VALUE"""),"缺貨")</f>
        <v>缺貨</v>
      </c>
      <c r="L293" s="12" t="str">
        <f ca="1">IFERROR(__xludf.DUMMYFUNCTION("""COMPUTED_VALUE"""),"缺貨")</f>
        <v>缺貨</v>
      </c>
      <c r="M293" s="12" t="str">
        <f ca="1">IFERROR(__xludf.DUMMYFUNCTION("""COMPUTED_VALUE"""),"2024/9/6新機上架")</f>
        <v>2024/9/6新機上架</v>
      </c>
      <c r="N293" s="12" t="str">
        <f ca="1">IFERROR(__xludf.DUMMYFUNCTION("""COMPUTED_VALUE"""),"PS5遊戲")</f>
        <v>PS5遊戲</v>
      </c>
      <c r="O293" s="12"/>
      <c r="P293" s="12"/>
      <c r="Q293" s="12" t="str">
        <f ca="1">IFERROR(__xludf.DUMMYFUNCTION("""COMPUTED_VALUE"""),"170*130*12mm
")</f>
        <v xml:space="preserve">170*130*12mm
</v>
      </c>
      <c r="R293" s="12" t="str">
        <f ca="1">IFERROR(__xludf.DUMMYFUNCTION("""COMPUTED_VALUE"""),"中國")</f>
        <v>中國</v>
      </c>
      <c r="S293" s="12"/>
      <c r="T293" s="12"/>
      <c r="U293" s="12" t="str">
        <f ca="1">IFERROR(__xludf.DUMMYFUNCTION("""COMPUTED_VALUE"""),"無保固")</f>
        <v>無保固</v>
      </c>
      <c r="V293" s="12"/>
      <c r="W293" s="12"/>
      <c r="X293" s="12"/>
      <c r="Y293" s="12"/>
      <c r="Z293" s="14"/>
      <c r="AA293" s="15" t="str">
        <f ca="1">IFERROR(__xludf.DUMMYFUNCTION("""COMPUTED_VALUE"""),"玩家能探索6個星系和80多個關卡，尋找Astro四散的船員。抓緊Dual Speeder，深入體驗每個獨特的星球有茂密叢林、沙灘、炙熱火山，
還有其他令人驚豔的地點，如巨大沙漏或歌唱樹的樹冠！")</f>
        <v>玩家能探索6個星系和80多個關卡，尋找Astro四散的船員。抓緊Dual Speeder，深入體驗每個獨特的星球有茂密叢林、沙灘、炙熱火山，
還有其他令人驚豔的地點，如巨大沙漏或歌唱樹的樹冠！</v>
      </c>
    </row>
    <row r="294" spans="1:27" ht="19.5" customHeight="1">
      <c r="A294" s="12" t="str">
        <f ca="1">IFERROR(__xludf.DUMMYFUNCTION("""COMPUTED_VALUE"""),"3C")</f>
        <v>3C</v>
      </c>
      <c r="B294" s="12" t="str">
        <f ca="1">IFERROR(__xludf.DUMMYFUNCTION("""COMPUTED_VALUE"""),"神腦")</f>
        <v>神腦</v>
      </c>
      <c r="C294" s="12" t="str">
        <f ca="1">IFERROR(__xludf.DUMMYFUNCTION("""COMPUTED_VALUE"""),"SONY")</f>
        <v>SONY</v>
      </c>
      <c r="D294" s="12" t="str">
        <f ca="1">IFERROR(__xludf.DUMMYFUNCTION("""COMPUTED_VALUE"""),"SONY PS5 Slim數位版主機+PlayStation Portal遙控遊玩機")</f>
        <v>SONY PS5 Slim數位版主機+PlayStation Portal遙控遊玩機</v>
      </c>
      <c r="E294" s="12" t="str">
        <f ca="1">IFERROR(__xludf.DUMMYFUNCTION("""COMPUTED_VALUE"""),"數位版主機組合")</f>
        <v>數位版主機組合</v>
      </c>
      <c r="F294" s="12">
        <f ca="1">IFERROR(__xludf.DUMMYFUNCTION("""COMPUTED_VALUE"""),51016516)</f>
        <v>51016516</v>
      </c>
      <c r="G294" s="12" t="str">
        <f ca="1">IFERROR(__xludf.DUMMYFUNCTION("""COMPUTED_VALUE"""),"IGEM1105")</f>
        <v>IGEM1105</v>
      </c>
      <c r="H294" s="13">
        <f ca="1">IFERROR(__xludf.DUMMYFUNCTION("""COMPUTED_VALUE"""),21060)</f>
        <v>21060</v>
      </c>
      <c r="I294" s="18">
        <f ca="1">IFERROR(__xludf.DUMMYFUNCTION("""COMPUTED_VALUE"""),21060)</f>
        <v>21060</v>
      </c>
      <c r="J294" s="16">
        <f ca="1">IFERROR(__xludf.DUMMYFUNCTION("""COMPUTED_VALUE"""),45594)</f>
        <v>45594</v>
      </c>
      <c r="K294" s="12" t="str">
        <f ca="1">IFERROR(__xludf.DUMMYFUNCTION("""COMPUTED_VALUE"""),"缺貨")</f>
        <v>缺貨</v>
      </c>
      <c r="L294" s="12" t="str">
        <f ca="1">IFERROR(__xludf.DUMMYFUNCTION("""COMPUTED_VALUE"""),"缺貨")</f>
        <v>缺貨</v>
      </c>
      <c r="M294" s="12" t="str">
        <f ca="1">IFERROR(__xludf.DUMMYFUNCTION("""COMPUTED_VALUE"""),"不享第一重滿額商品卡活動, 2024/9/4新機上架 (極少量)")</f>
        <v>不享第一重滿額商品卡活動, 2024/9/4新機上架 (極少量)</v>
      </c>
      <c r="N294" s="12" t="str">
        <f ca="1">IFERROR(__xludf.DUMMYFUNCTION("""COMPUTED_VALUE"""),"PS5主機")</f>
        <v>PS5主機</v>
      </c>
      <c r="O294" s="12" t="str">
        <f ca="1">IFERROR(__xludf.DUMMYFUNCTION("""COMPUTED_VALUE"""),"主機:白
遙控遊玩機:X")</f>
        <v>主機:白
遙控遊玩機:X</v>
      </c>
      <c r="P294" s="12" t="str">
        <f ca="1">IFERROR(__xludf.DUMMYFUNCTION("""COMPUTED_VALUE"""),"主機:X
 遙控遊玩機:X")</f>
        <v>主機:X
 遙控遊玩機:X</v>
      </c>
      <c r="Q294" s="12" t="str">
        <f ca="1">IFERROR(__xludf.DUMMYFUNCTION("""COMPUTED_VALUE"""),"主機:80 × 358 × 216mm (不包括最大突出部位與底座)
 遙控遊玩機:106 x 160 x 66 mm")</f>
        <v>主機:80 × 358 × 216mm (不包括最大突出部位與底座)
 遙控遊玩機:106 x 160 x 66 mm</v>
      </c>
      <c r="R294" s="12" t="str">
        <f ca="1">IFERROR(__xludf.DUMMYFUNCTION("""COMPUTED_VALUE"""),"中國")</f>
        <v>中國</v>
      </c>
      <c r="S294" s="12"/>
      <c r="T294" s="12"/>
      <c r="U294" s="12" t="str">
        <f ca="1">IFERROR(__xludf.DUMMYFUNCTION("""COMPUTED_VALUE"""),"主機:1年
遙控遊玩機:1年")</f>
        <v>主機:1年
遙控遊玩機:1年</v>
      </c>
      <c r="V294" s="12"/>
      <c r="W294" s="12"/>
      <c r="X294" s="12"/>
      <c r="Y294" s="12"/>
      <c r="Z294" s="14"/>
      <c r="AA294" s="15" t="str">
        <f ca="1">IFERROR(__xludf.DUMMYFUNCTION("""COMPUTED_VALUE"""),"主機:*1TB 高容量SSD*次世代超高速硬碟讀取*主機體積縮小 30%，重量減輕了24%*主機護蓋分成四片獨立面板，頂部採用亮面外觀
 遙控遊玩機:*無需電視不必到客廳即可開始遊玩*美麗的8吋LCD螢幕*支援60FPS 1080p解析*遊玩您的遊戲收藏")</f>
        <v>主機:*1TB 高容量SSD*次世代超高速硬碟讀取*主機體積縮小 30%，重量減輕了24%*主機護蓋分成四片獨立面板，頂部採用亮面外觀
 遙控遊玩機:*無需電視不必到客廳即可開始遊玩*美麗的8吋LCD螢幕*支援60FPS 1080p解析*遊玩您的遊戲收藏</v>
      </c>
    </row>
    <row r="295" spans="1:27" ht="19.5" customHeight="1">
      <c r="A295" s="12" t="str">
        <f ca="1">IFERROR(__xludf.DUMMYFUNCTION("""COMPUTED_VALUE"""),"3C")</f>
        <v>3C</v>
      </c>
      <c r="B295" s="12" t="str">
        <f ca="1">IFERROR(__xludf.DUMMYFUNCTION("""COMPUTED_VALUE"""),"神腦")</f>
        <v>神腦</v>
      </c>
      <c r="C295" s="12" t="str">
        <f ca="1">IFERROR(__xludf.DUMMYFUNCTION("""COMPUTED_VALUE"""),"SONY")</f>
        <v>SONY</v>
      </c>
      <c r="D295" s="12" t="str">
        <f ca="1">IFERROR(__xludf.DUMMYFUNCTION("""COMPUTED_VALUE"""),"SONY PS5 Slim光碟版主機+PlayStation Portal遙控遊玩機")</f>
        <v>SONY PS5 Slim光碟版主機+PlayStation Portal遙控遊玩機</v>
      </c>
      <c r="E295" s="12" t="str">
        <f ca="1">IFERROR(__xludf.DUMMYFUNCTION("""COMPUTED_VALUE"""),"光碟版主機組合")</f>
        <v>光碟版主機組合</v>
      </c>
      <c r="F295" s="12">
        <f ca="1">IFERROR(__xludf.DUMMYFUNCTION("""COMPUTED_VALUE"""),51016517)</f>
        <v>51016517</v>
      </c>
      <c r="G295" s="12" t="str">
        <f ca="1">IFERROR(__xludf.DUMMYFUNCTION("""COMPUTED_VALUE"""),"IGEM1106")</f>
        <v>IGEM1106</v>
      </c>
      <c r="H295" s="13">
        <f ca="1">IFERROR(__xludf.DUMMYFUNCTION("""COMPUTED_VALUE"""),24060)</f>
        <v>24060</v>
      </c>
      <c r="I295" s="18">
        <f ca="1">IFERROR(__xludf.DUMMYFUNCTION("""COMPUTED_VALUE"""),24060)</f>
        <v>24060</v>
      </c>
      <c r="J295" s="16">
        <f ca="1">IFERROR(__xludf.DUMMYFUNCTION("""COMPUTED_VALUE"""),45594)</f>
        <v>45594</v>
      </c>
      <c r="K295" s="12" t="str">
        <f ca="1">IFERROR(__xludf.DUMMYFUNCTION("""COMPUTED_VALUE"""),"缺貨")</f>
        <v>缺貨</v>
      </c>
      <c r="L295" s="12" t="str">
        <f ca="1">IFERROR(__xludf.DUMMYFUNCTION("""COMPUTED_VALUE"""),"缺貨")</f>
        <v>缺貨</v>
      </c>
      <c r="M295" s="12" t="str">
        <f ca="1">IFERROR(__xludf.DUMMYFUNCTION("""COMPUTED_VALUE"""),"不享第一重滿額商品卡活動, 2024/9/4新機上架 (極少量)")</f>
        <v>不享第一重滿額商品卡活動, 2024/9/4新機上架 (極少量)</v>
      </c>
      <c r="N295" s="12" t="str">
        <f ca="1">IFERROR(__xludf.DUMMYFUNCTION("""COMPUTED_VALUE"""),"PS5主機")</f>
        <v>PS5主機</v>
      </c>
      <c r="O295" s="12" t="str">
        <f ca="1">IFERROR(__xludf.DUMMYFUNCTION("""COMPUTED_VALUE"""),"""主機:白
遙控遊玩機:X""")</f>
        <v>"主機:白
遙控遊玩機:X"</v>
      </c>
      <c r="P295" s="12" t="str">
        <f ca="1">IFERROR(__xludf.DUMMYFUNCTION("""COMPUTED_VALUE"""),"主機:X
 遙控遊玩機:X")</f>
        <v>主機:X
 遙控遊玩機:X</v>
      </c>
      <c r="Q295" s="12" t="str">
        <f ca="1">IFERROR(__xludf.DUMMYFUNCTION("""COMPUTED_VALUE"""),"主機:外觀尺寸 約96mm x 358mm x 216mm(不包括最大突出部位與底座)
 遙控遊玩機:106 x 160 x 66 mm")</f>
        <v>主機:外觀尺寸 約96mm x 358mm x 216mm(不包括最大突出部位與底座)
 遙控遊玩機:106 x 160 x 66 mm</v>
      </c>
      <c r="R295" s="12" t="str">
        <f ca="1">IFERROR(__xludf.DUMMYFUNCTION("""COMPUTED_VALUE"""),"中國")</f>
        <v>中國</v>
      </c>
      <c r="S295" s="12"/>
      <c r="T295" s="12"/>
      <c r="U295" s="12" t="str">
        <f ca="1">IFERROR(__xludf.DUMMYFUNCTION("""COMPUTED_VALUE"""),"主機:1年
遙控遊玩機:1年")</f>
        <v>主機:1年
遙控遊玩機:1年</v>
      </c>
      <c r="V295" s="12"/>
      <c r="W295" s="12"/>
      <c r="X295" s="12"/>
      <c r="Y295" s="12"/>
      <c r="Z295" s="14"/>
      <c r="AA295" s="15" t="str">
        <f ca="1">IFERROR(__xludf.DUMMYFUNCTION("""COMPUTED_VALUE"""),"主機:*1TB 高容量SSD*新款PS5體積減少了30%以上*光碟版重量減輕了18%*主機護蓋分成四片獨立面板*頂部採用亮面外觀，底部則仍保持霧面設計*直立架另售
 遙控遊玩機:*無需電視不必到客廳即可開始遊玩*美麗的8吋LCD螢幕*支援60FPS 1080p解析*遊玩您的遊戲收藏")</f>
        <v>主機:*1TB 高容量SSD*新款PS5體積減少了30%以上*光碟版重量減輕了18%*主機護蓋分成四片獨立面板*頂部採用亮面外觀，底部則仍保持霧面設計*直立架另售
 遙控遊玩機:*無需電視不必到客廳即可開始遊玩*美麗的8吋LCD螢幕*支援60FPS 1080p解析*遊玩您的遊戲收藏</v>
      </c>
    </row>
    <row r="296" spans="1:27" ht="19.5" customHeight="1">
      <c r="A296" s="12" t="str">
        <f ca="1">IFERROR(__xludf.DUMMYFUNCTION("""COMPUTED_VALUE"""),"3C")</f>
        <v>3C</v>
      </c>
      <c r="B296" s="12" t="str">
        <f ca="1">IFERROR(__xludf.DUMMYFUNCTION("""COMPUTED_VALUE"""),"神腦")</f>
        <v>神腦</v>
      </c>
      <c r="C296" s="12" t="str">
        <f ca="1">IFERROR(__xludf.DUMMYFUNCTION("""COMPUTED_VALUE"""),"SONY")</f>
        <v>SONY</v>
      </c>
      <c r="D296" s="12" t="str">
        <f ca="1">IFERROR(__xludf.DUMMYFUNCTION("""COMPUTED_VALUE"""),"SONY PS5 遊戲片-Until Dawn直到黎明 中文版")</f>
        <v>SONY PS5 遊戲片-Until Dawn直到黎明 中文版</v>
      </c>
      <c r="E296" s="12" t="str">
        <f ca="1">IFERROR(__xludf.DUMMYFUNCTION("""COMPUTED_VALUE"""),"直到黎明")</f>
        <v>直到黎明</v>
      </c>
      <c r="F296" s="12">
        <f ca="1">IFERROR(__xludf.DUMMYFUNCTION("""COMPUTED_VALUE"""),51040038)</f>
        <v>51040038</v>
      </c>
      <c r="G296" s="12" t="str">
        <f ca="1">IFERROR(__xludf.DUMMYFUNCTION("""COMPUTED_VALUE"""),"IGEM114V")</f>
        <v>IGEM114V</v>
      </c>
      <c r="H296" s="13">
        <f ca="1">IFERROR(__xludf.DUMMYFUNCTION("""COMPUTED_VALUE"""),1790)</f>
        <v>1790</v>
      </c>
      <c r="I296" s="18">
        <f ca="1">IFERROR(__xludf.DUMMYFUNCTION("""COMPUTED_VALUE"""),1790)</f>
        <v>1790</v>
      </c>
      <c r="J296" s="16">
        <f ca="1">IFERROR(__xludf.DUMMYFUNCTION("""COMPUTED_VALUE"""),45674)</f>
        <v>45674</v>
      </c>
      <c r="K296" s="12" t="str">
        <f ca="1">IFERROR(__xludf.DUMMYFUNCTION("""COMPUTED_VALUE"""),"缺貨")</f>
        <v>缺貨</v>
      </c>
      <c r="L296" s="12" t="str">
        <f ca="1">IFERROR(__xludf.DUMMYFUNCTION("""COMPUTED_VALUE"""),"缺貨")</f>
        <v>缺貨</v>
      </c>
      <c r="M296" s="12" t="str">
        <f ca="1">IFERROR(__xludf.DUMMYFUNCTION("""COMPUTED_VALUE"""),"12/1新機上架")</f>
        <v>12/1新機上架</v>
      </c>
      <c r="N296" s="12" t="str">
        <f ca="1">IFERROR(__xludf.DUMMYFUNCTION("""COMPUTED_VALUE"""),"PS5遊戲")</f>
        <v>PS5遊戲</v>
      </c>
      <c r="O296" s="12"/>
      <c r="P296" s="12"/>
      <c r="Q296" s="12" t="str">
        <f ca="1">IFERROR(__xludf.DUMMYFUNCTION("""COMPUTED_VALUE"""),"170*130*12mm")</f>
        <v>170*130*12mm</v>
      </c>
      <c r="R296" s="12" t="str">
        <f ca="1">IFERROR(__xludf.DUMMYFUNCTION("""COMPUTED_VALUE"""),"中國")</f>
        <v>中國</v>
      </c>
      <c r="S296" s="12"/>
      <c r="T296" s="12"/>
      <c r="U296" s="12" t="str">
        <f ca="1">IFERROR(__xludf.DUMMYFUNCTION("""COMPUTED_VALUE"""),"無保固")</f>
        <v>無保固</v>
      </c>
      <c r="V296" s="12"/>
      <c r="W296" s="12"/>
      <c r="X296" s="12"/>
      <c r="Y296" s="12"/>
      <c r="Z296" s="14"/>
      <c r="AA296" s="15" t="str">
        <f ca="1">IFERROR(__xludf.DUMMYFUNCTION("""COMPUTED_VALUE"""),"當八個朋友回到一年前其中兩人失蹤的偏僻小屋時，恐懼更加冰冷，他們的山間隱居地陷入了一場無法逃脫的噩夢。讓自己沉浸在虛幻引擎5 中以令人驚嘆的視覺效果從頭開始重建的扣人心弦的恐怖恐怖遊戲中。的一切都不像看起來的那麼令人興奮。在這款為 PS5 主機重建和增強的開創性恐怖經典遊戲中，直面恐懼並決定八名倖存者的命運。")</f>
        <v>當八個朋友回到一年前其中兩人失蹤的偏僻小屋時，恐懼更加冰冷，他們的山間隱居地陷入了一場無法逃脫的噩夢。讓自己沉浸在虛幻引擎5 中以令人驚嘆的視覺效果從頭開始重建的扣人心弦的恐怖恐怖遊戲中。的一切都不像看起來的那麼令人興奮。在這款為 PS5 主機重建和增強的開創性恐怖經典遊戲中，直面恐懼並決定八名倖存者的命運。</v>
      </c>
    </row>
    <row r="297" spans="1:27" ht="19.5" customHeight="1">
      <c r="A297" s="12" t="str">
        <f ca="1">IFERROR(__xludf.DUMMYFUNCTION("""COMPUTED_VALUE"""),"3C")</f>
        <v>3C</v>
      </c>
      <c r="B297" s="12" t="str">
        <f ca="1">IFERROR(__xludf.DUMMYFUNCTION("""COMPUTED_VALUE"""),"神腦")</f>
        <v>神腦</v>
      </c>
      <c r="C297" s="12" t="str">
        <f ca="1">IFERROR(__xludf.DUMMYFUNCTION("""COMPUTED_VALUE"""),"SONY")</f>
        <v>SONY</v>
      </c>
      <c r="D297" s="12" t="str">
        <f ca="1">IFERROR(__xludf.DUMMYFUNCTION("""COMPUTED_VALUE"""),"SONY PS5 遊戲片-地平線：期待黎明 中文重製版")</f>
        <v>SONY PS5 遊戲片-地平線：期待黎明 中文重製版</v>
      </c>
      <c r="E297" s="12" t="str">
        <f ca="1">IFERROR(__xludf.DUMMYFUNCTION("""COMPUTED_VALUE"""),"地平線：期待黎明")</f>
        <v>地平線：期待黎明</v>
      </c>
      <c r="F297" s="12">
        <f ca="1">IFERROR(__xludf.DUMMYFUNCTION("""COMPUTED_VALUE"""),51040040)</f>
        <v>51040040</v>
      </c>
      <c r="G297" s="12" t="str">
        <f ca="1">IFERROR(__xludf.DUMMYFUNCTION("""COMPUTED_VALUE"""),"IGEM114X")</f>
        <v>IGEM114X</v>
      </c>
      <c r="H297" s="13">
        <f ca="1">IFERROR(__xludf.DUMMYFUNCTION("""COMPUTED_VALUE"""),1490)</f>
        <v>1490</v>
      </c>
      <c r="I297" s="18">
        <f ca="1">IFERROR(__xludf.DUMMYFUNCTION("""COMPUTED_VALUE"""),1490)</f>
        <v>1490</v>
      </c>
      <c r="J297" s="16">
        <f ca="1">IFERROR(__xludf.DUMMYFUNCTION("""COMPUTED_VALUE"""),45674)</f>
        <v>45674</v>
      </c>
      <c r="K297" s="12" t="str">
        <f ca="1">IFERROR(__xludf.DUMMYFUNCTION("""COMPUTED_VALUE"""),"缺貨")</f>
        <v>缺貨</v>
      </c>
      <c r="L297" s="12" t="str">
        <f ca="1">IFERROR(__xludf.DUMMYFUNCTION("""COMPUTED_VALUE"""),"缺貨")</f>
        <v>缺貨</v>
      </c>
      <c r="M297" s="12" t="str">
        <f ca="1">IFERROR(__xludf.DUMMYFUNCTION("""COMPUTED_VALUE"""),"12/1新機上架")</f>
        <v>12/1新機上架</v>
      </c>
      <c r="N297" s="12" t="str">
        <f ca="1">IFERROR(__xludf.DUMMYFUNCTION("""COMPUTED_VALUE"""),"PS5遊戲")</f>
        <v>PS5遊戲</v>
      </c>
      <c r="O297" s="12"/>
      <c r="P297" s="12"/>
      <c r="Q297" s="12" t="str">
        <f ca="1">IFERROR(__xludf.DUMMYFUNCTION("""COMPUTED_VALUE"""),"170*130*12mm")</f>
        <v>170*130*12mm</v>
      </c>
      <c r="R297" s="12" t="str">
        <f ca="1">IFERROR(__xludf.DUMMYFUNCTION("""COMPUTED_VALUE"""),"中國")</f>
        <v>中國</v>
      </c>
      <c r="S297" s="12"/>
      <c r="T297" s="12"/>
      <c r="U297" s="12" t="str">
        <f ca="1">IFERROR(__xludf.DUMMYFUNCTION("""COMPUTED_VALUE"""),"無保固")</f>
        <v>無保固</v>
      </c>
      <c r="V297" s="12"/>
      <c r="W297" s="12"/>
      <c r="X297" s="12"/>
      <c r="Y297" s="12"/>
      <c r="Z297" s="14"/>
      <c r="AA297" s="15" t="str">
        <f ca="1">IFERROR(__xludf.DUMMYFUNCTION("""COMPUTED_VALUE"""),"亞蘿伊一起踏上逼真得令人屏息的壯闊征途，在一個由機器宰制的遙遠未來世界中奮戰。《Horizon Zero Dawn》是榮獲多項獎項的動作角色扮演遊戲，這款重製版發揮PlayStation®5主機的功能和潛力，以更高的逼真度栩栩如生地呈現亞蘿伊的世界中眾所喜愛的荒野。")</f>
        <v>亞蘿伊一起踏上逼真得令人屏息的壯闊征途，在一個由機器宰制的遙遠未來世界中奮戰。《Horizon Zero Dawn》是榮獲多項獎項的動作角色扮演遊戲，這款重製版發揮PlayStation®5主機的功能和潛力，以更高的逼真度栩栩如生地呈現亞蘿伊的世界中眾所喜愛的荒野。</v>
      </c>
    </row>
    <row r="298" spans="1:27" ht="19.5" customHeight="1">
      <c r="A298" s="12" t="str">
        <f ca="1">IFERROR(__xludf.DUMMYFUNCTION("""COMPUTED_VALUE"""),"3C")</f>
        <v>3C</v>
      </c>
      <c r="B298" s="12" t="str">
        <f ca="1">IFERROR(__xludf.DUMMYFUNCTION("""COMPUTED_VALUE"""),"神腦")</f>
        <v>神腦</v>
      </c>
      <c r="C298" s="12" t="str">
        <f ca="1">IFERROR(__xludf.DUMMYFUNCTION("""COMPUTED_VALUE"""),"SONY")</f>
        <v>SONY</v>
      </c>
      <c r="D298" s="12" t="str">
        <f ca="1">IFERROR(__xludf.DUMMYFUNCTION("""COMPUTED_VALUE"""),"SONY PS5 Pro主機(CFI-7022B01)")</f>
        <v>SONY PS5 Pro主機(CFI-7022B01)</v>
      </c>
      <c r="E298" s="12" t="str">
        <f ca="1">IFERROR(__xludf.DUMMYFUNCTION("""COMPUTED_VALUE"""),"CFI-7022B01")</f>
        <v>CFI-7022B01</v>
      </c>
      <c r="F298" s="12">
        <f ca="1">IFERROR(__xludf.DUMMYFUNCTION("""COMPUTED_VALUE"""),51016639)</f>
        <v>51016639</v>
      </c>
      <c r="G298" s="12" t="str">
        <f ca="1">IFERROR(__xludf.DUMMYFUNCTION("""COMPUTED_VALUE"""),"IGEM119V")</f>
        <v>IGEM119V</v>
      </c>
      <c r="H298" s="13">
        <f ca="1">IFERROR(__xludf.DUMMYFUNCTION("""COMPUTED_VALUE"""),24280)</f>
        <v>24280</v>
      </c>
      <c r="I298" s="18">
        <f ca="1">IFERROR(__xludf.DUMMYFUNCTION("""COMPUTED_VALUE"""),24280)</f>
        <v>24280</v>
      </c>
      <c r="J298" s="16">
        <f ca="1">IFERROR(__xludf.DUMMYFUNCTION("""COMPUTED_VALUE"""),45693)</f>
        <v>45693</v>
      </c>
      <c r="K298" s="12" t="str">
        <f ca="1">IFERROR(__xludf.DUMMYFUNCTION("""COMPUTED_VALUE"""),"新機上架")</f>
        <v>新機上架</v>
      </c>
      <c r="L298" s="12" t="str">
        <f ca="1">IFERROR(__xludf.DUMMYFUNCTION("""COMPUTED_VALUE"""),"上架中")</f>
        <v>上架中</v>
      </c>
      <c r="M298" s="12" t="str">
        <f ca="1">IFERROR(__xludf.DUMMYFUNCTION("""COMPUTED_VALUE"""),"2025/2/5上架")</f>
        <v>2025/2/5上架</v>
      </c>
      <c r="N298" s="12" t="str">
        <f ca="1">IFERROR(__xludf.DUMMYFUNCTION("""COMPUTED_VALUE"""),"PS5主機")</f>
        <v>PS5主機</v>
      </c>
      <c r="O298" s="12" t="str">
        <f ca="1">IFERROR(__xludf.DUMMYFUNCTION("""COMPUTED_VALUE"""),"白")</f>
        <v>白</v>
      </c>
      <c r="P298" s="12" t="str">
        <f ca="1">IFERROR(__xludf.DUMMYFUNCTION("""COMPUTED_VALUE"""),"主機：
CPU：x86-64 AMD Ryzen Zen2 8 核心／16 執行緒
GPU：16.7 TFLOPS, AMD Radeon RDNA-based 圖像引擎
記憶體:
GDDR6 16GB
DDR5 2GB
儲存空間:2TB SSD")</f>
        <v>主機：
CPU：x86-64 AMD Ryzen Zen2 8 核心／16 執行緒
GPU：16.7 TFLOPS, AMD Radeon RDNA-based 圖像引擎
記憶體:
GDDR6 16GB
DDR5 2GB
儲存空間:2TB SSD</v>
      </c>
      <c r="Q298" s="12" t="str">
        <f ca="1">IFERROR(__xludf.DUMMYFUNCTION("""COMPUTED_VALUE"""),"約388 x 89 x 216 (mm)")</f>
        <v>約388 x 89 x 216 (mm)</v>
      </c>
      <c r="R298" s="12" t="str">
        <f ca="1">IFERROR(__xludf.DUMMYFUNCTION("""COMPUTED_VALUE"""),"中國")</f>
        <v>中國</v>
      </c>
      <c r="S298" s="12"/>
      <c r="T298" s="12"/>
      <c r="U298" s="12" t="str">
        <f ca="1">IFERROR(__xludf.DUMMYFUNCTION("""COMPUTED_VALUE"""),"1年")</f>
        <v>1年</v>
      </c>
      <c r="V298" s="12"/>
      <c r="W298" s="12"/>
      <c r="X298" s="12"/>
      <c r="Y298" s="12"/>
      <c r="Z298" s="14"/>
      <c r="AA298" s="15" t="str">
        <f ca="1">IFERROR(__xludf.DUMMYFUNCTION("""COMPUTED_VALUE"""),"*2TB 高容量SSD*導入AI智能學習光譜超解析技術*新一代更強大的光線追蹤處理架構*不含光碟機")</f>
        <v>*2TB 高容量SSD*導入AI智能學習光譜超解析技術*新一代更強大的光線追蹤處理架構*不含光碟機</v>
      </c>
    </row>
    <row r="299" spans="1:27" ht="19.5" customHeight="1">
      <c r="A299" s="12" t="str">
        <f ca="1">IFERROR(__xludf.DUMMYFUNCTION("""COMPUTED_VALUE"""),"3C")</f>
        <v>3C</v>
      </c>
      <c r="B299" s="12" t="str">
        <f ca="1">IFERROR(__xludf.DUMMYFUNCTION("""COMPUTED_VALUE"""),"神腦")</f>
        <v>神腦</v>
      </c>
      <c r="C299" s="12" t="str">
        <f ca="1">IFERROR(__xludf.DUMMYFUNCTION("""COMPUTED_VALUE"""),"SONY")</f>
        <v>SONY</v>
      </c>
      <c r="D299" s="12" t="str">
        <f ca="1">IFERROR(__xludf.DUMMYFUNCTION("""COMPUTED_VALUE"""),"SONY PS5 遊戲片-黑神話：悟空 中文豪華版")</f>
        <v>SONY PS5 遊戲片-黑神話：悟空 中文豪華版</v>
      </c>
      <c r="E299" s="12" t="str">
        <f ca="1">IFERROR(__xludf.DUMMYFUNCTION("""COMPUTED_VALUE"""),"黑神話：悟空")</f>
        <v>黑神話：悟空</v>
      </c>
      <c r="F299" s="12">
        <f ca="1">IFERROR(__xludf.DUMMYFUNCTION("""COMPUTED_VALUE"""),51016640)</f>
        <v>51016640</v>
      </c>
      <c r="G299" s="12" t="str">
        <f ca="1">IFERROR(__xludf.DUMMYFUNCTION("""COMPUTED_VALUE"""),"IGEM119W")</f>
        <v>IGEM119W</v>
      </c>
      <c r="H299" s="13">
        <f ca="1">IFERROR(__xludf.DUMMYFUNCTION("""COMPUTED_VALUE"""),1590)</f>
        <v>1590</v>
      </c>
      <c r="I299" s="18">
        <f ca="1">IFERROR(__xludf.DUMMYFUNCTION("""COMPUTED_VALUE"""),1590)</f>
        <v>1590</v>
      </c>
      <c r="J299" s="16">
        <f ca="1">IFERROR(__xludf.DUMMYFUNCTION("""COMPUTED_VALUE"""),45694)</f>
        <v>45694</v>
      </c>
      <c r="K299" s="12" t="str">
        <f ca="1">IFERROR(__xludf.DUMMYFUNCTION("""COMPUTED_VALUE"""),"缺貨")</f>
        <v>缺貨</v>
      </c>
      <c r="L299" s="12" t="str">
        <f ca="1">IFERROR(__xludf.DUMMYFUNCTION("""COMPUTED_VALUE"""),"缺貨")</f>
        <v>缺貨</v>
      </c>
      <c r="M299" s="12" t="str">
        <f ca="1">IFERROR(__xludf.DUMMYFUNCTION("""COMPUTED_VALUE"""),"2025/2/5上架")</f>
        <v>2025/2/5上架</v>
      </c>
      <c r="N299" s="12" t="str">
        <f ca="1">IFERROR(__xludf.DUMMYFUNCTION("""COMPUTED_VALUE"""),"PS5遊戲")</f>
        <v>PS5遊戲</v>
      </c>
      <c r="O299" s="12"/>
      <c r="P299" s="12" t="str">
        <f ca="1">IFERROR(__xludf.DUMMYFUNCTION("""COMPUTED_VALUE"""),"動作遊戲")</f>
        <v>動作遊戲</v>
      </c>
      <c r="Q299" s="12" t="str">
        <f ca="1">IFERROR(__xludf.DUMMYFUNCTION("""COMPUTED_VALUE"""),"170*130*12mm")</f>
        <v>170*130*12mm</v>
      </c>
      <c r="R299" s="12" t="str">
        <f ca="1">IFERROR(__xludf.DUMMYFUNCTION("""COMPUTED_VALUE"""),"中國")</f>
        <v>中國</v>
      </c>
      <c r="S299" s="12"/>
      <c r="T299" s="12"/>
      <c r="U299" s="12" t="str">
        <f ca="1">IFERROR(__xludf.DUMMYFUNCTION("""COMPUTED_VALUE"""),"無保固")</f>
        <v>無保固</v>
      </c>
      <c r="V299" s="12"/>
      <c r="W299" s="12"/>
      <c r="X299" s="12"/>
      <c r="Y299" s="12"/>
      <c r="Z299" s="14"/>
      <c r="AA299" s="15" t="str">
        <f ca="1">IFERROR(__xludf.DUMMYFUNCTION("""COMPUTED_VALUE"""),"以中國神話為背景的遊戲
 取材自中國古典小說西遊記
 充滿危險與驚奇的西游之路")</f>
        <v>以中國神話為背景的遊戲
 取材自中國古典小說西遊記
 充滿危險與驚奇的西游之路</v>
      </c>
    </row>
    <row r="300" spans="1:27" ht="19.5" customHeight="1">
      <c r="A300" s="12" t="str">
        <f ca="1">IFERROR(__xludf.DUMMYFUNCTION("""COMPUTED_VALUE"""),"空氣清淨機")</f>
        <v>空氣清淨機</v>
      </c>
      <c r="B300" s="12" t="str">
        <f ca="1">IFERROR(__xludf.DUMMYFUNCTION("""COMPUTED_VALUE"""),"神腦")</f>
        <v>神腦</v>
      </c>
      <c r="C300" s="12" t="str">
        <f ca="1">IFERROR(__xludf.DUMMYFUNCTION("""COMPUTED_VALUE"""),"Dyson")</f>
        <v>Dyson</v>
      </c>
      <c r="D300" s="12" t="str">
        <f ca="1">IFERROR(__xludf.DUMMYFUNCTION("""COMPUTED_VALUE"""),"Dyson Purifier Hot+Cool™ Gen1 三合一涼暖空氣清淨機 HP10")</f>
        <v>Dyson Purifier Hot+Cool™ Gen1 三合一涼暖空氣清淨機 HP10</v>
      </c>
      <c r="E300" s="12" t="str">
        <f ca="1">IFERROR(__xludf.DUMMYFUNCTION("""COMPUTED_VALUE"""),"HP10")</f>
        <v>HP10</v>
      </c>
      <c r="F300" s="12">
        <f ca="1">IFERROR(__xludf.DUMMYFUNCTION("""COMPUTED_VALUE"""),51016637)</f>
        <v>51016637</v>
      </c>
      <c r="G300" s="12" t="str">
        <f ca="1">IFERROR(__xludf.DUMMYFUNCTION("""COMPUTED_VALUE"""),"IGEM119P")</f>
        <v>IGEM119P</v>
      </c>
      <c r="H300" s="13">
        <f ca="1">IFERROR(__xludf.DUMMYFUNCTION("""COMPUTED_VALUE"""),20900)</f>
        <v>20900</v>
      </c>
      <c r="I300" s="14">
        <f ca="1">IFERROR(__xludf.DUMMYFUNCTION("""COMPUTED_VALUE"""),14100)</f>
        <v>14100</v>
      </c>
      <c r="J300" s="16">
        <f ca="1">IFERROR(__xludf.DUMMYFUNCTION("""COMPUTED_VALUE"""),45692)</f>
        <v>45692</v>
      </c>
      <c r="K300" s="12" t="str">
        <f ca="1">IFERROR(__xludf.DUMMYFUNCTION("""COMPUTED_VALUE"""),"新機上架")</f>
        <v>新機上架</v>
      </c>
      <c r="L300" s="12" t="str">
        <f ca="1">IFERROR(__xludf.DUMMYFUNCTION("""COMPUTED_VALUE"""),"上架中")</f>
        <v>上架中</v>
      </c>
      <c r="M300" s="12" t="str">
        <f ca="1">IFERROR(__xludf.DUMMYFUNCTION("""COMPUTED_VALUE"""),"2025/2/4新機上架")</f>
        <v>2025/2/4新機上架</v>
      </c>
      <c r="N300" s="12" t="str">
        <f ca="1">IFERROR(__xludf.DUMMYFUNCTION("""COMPUTED_VALUE"""),"清淨機")</f>
        <v>清淨機</v>
      </c>
      <c r="O300" s="12"/>
      <c r="P300" s="12" t="str">
        <f ca="1">IFERROR(__xludf.DUMMYFUNCTION("""COMPUTED_VALUE"""),"不限坪數")</f>
        <v>不限坪數</v>
      </c>
      <c r="Q300" s="12" t="str">
        <f ca="1">IFERROR(__xludf.DUMMYFUNCTION("""COMPUTED_VALUE"""),"高765 x 寬205 x 深131 (mm)")</f>
        <v>高765 x 寬205 x 深131 (mm)</v>
      </c>
      <c r="R300" s="12" t="str">
        <f ca="1">IFERROR(__xludf.DUMMYFUNCTION("""COMPUTED_VALUE"""),"馬來西亞")</f>
        <v>馬來西亞</v>
      </c>
      <c r="S300" s="12">
        <f ca="1">IFERROR(__xludf.DUMMYFUNCTION("""COMPUTED_VALUE"""),5)</f>
        <v>5</v>
      </c>
      <c r="T300" s="12"/>
      <c r="U300" s="12" t="str">
        <f ca="1">IFERROR(__xludf.DUMMYFUNCTION("""COMPUTED_VALUE"""),"2年")</f>
        <v>2年</v>
      </c>
      <c r="V300" s="12"/>
      <c r="W300" s="12"/>
      <c r="X300" s="12"/>
      <c r="Y300" s="12"/>
      <c r="Z300" s="14"/>
      <c r="AA300" s="15" t="str">
        <f ca="1">IFERROR(__xludf.DUMMYFUNCTION("""COMPUTED_VALUE"""),"*自動感應、捕捉並鎖住污染物。 排出更潔淨的空氣*吹送暖風或涼風 全室淨化，可淨化 99.95% 小至 PM0.1 的微粒*一機多功：清淨機、暖風扇、涼風扇、循環扇，四種功能一台搞定，省空間，免收納，全年淨化空氣*自動感應：PM2.5/PM10感應器即時分析並診斷空氣中的污染物，並在 LCD 上顯示結果。")</f>
        <v>*自動感應、捕捉並鎖住污染物。 排出更潔淨的空氣*吹送暖風或涼風 全室淨化，可淨化 99.95% 小至 PM0.1 的微粒*一機多功：清淨機、暖風扇、涼風扇、循環扇，四種功能一台搞定，省空間，免收納，全年淨化空氣*自動感應：PM2.5/PM10感應器即時分析並診斷空氣中的污染物，並在 LCD 上顯示結果。</v>
      </c>
    </row>
    <row r="301" spans="1:27" ht="19.5" customHeight="1">
      <c r="A301" s="12" t="str">
        <f ca="1">IFERROR(__xludf.DUMMYFUNCTION("""COMPUTED_VALUE"""),"空氣清淨機")</f>
        <v>空氣清淨機</v>
      </c>
      <c r="B301" s="12" t="str">
        <f ca="1">IFERROR(__xludf.DUMMYFUNCTION("""COMPUTED_VALUE"""),"神腦")</f>
        <v>神腦</v>
      </c>
      <c r="C301" s="12" t="str">
        <f ca="1">IFERROR(__xludf.DUMMYFUNCTION("""COMPUTED_VALUE"""),"LG")</f>
        <v>LG</v>
      </c>
      <c r="D301" s="12" t="str">
        <f ca="1">IFERROR(__xludf.DUMMYFUNCTION("""COMPUTED_VALUE"""),"LG PuriCare360°空氣清淨機-單層(銀色)AS651DSS0")</f>
        <v>LG PuriCare360°空氣清淨機-單層(銀色)AS651DSS0</v>
      </c>
      <c r="E301" s="12" t="str">
        <f ca="1">IFERROR(__xludf.DUMMYFUNCTION("""COMPUTED_VALUE"""),"AS651DSS0")</f>
        <v>AS651DSS0</v>
      </c>
      <c r="F301" s="12">
        <f ca="1">IFERROR(__xludf.DUMMYFUNCTION("""COMPUTED_VALUE"""),51016621)</f>
        <v>51016621</v>
      </c>
      <c r="G301" s="12" t="str">
        <f ca="1">IFERROR(__xludf.DUMMYFUNCTION("""COMPUTED_VALUE"""),"IGEM117X")</f>
        <v>IGEM117X</v>
      </c>
      <c r="H301" s="13">
        <f ca="1">IFERROR(__xludf.DUMMYFUNCTION("""COMPUTED_VALUE"""),26800)</f>
        <v>26800</v>
      </c>
      <c r="I301" s="14">
        <f ca="1">IFERROR(__xludf.DUMMYFUNCTION("""COMPUTED_VALUE"""),20900)</f>
        <v>20900</v>
      </c>
      <c r="J301" s="16">
        <f ca="1">IFERROR(__xludf.DUMMYFUNCTION("""COMPUTED_VALUE"""),45658)</f>
        <v>45658</v>
      </c>
      <c r="K301" s="12" t="str">
        <f ca="1">IFERROR(__xludf.DUMMYFUNCTION("""COMPUTED_VALUE"""),"新機上架")</f>
        <v>新機上架</v>
      </c>
      <c r="L301" s="12" t="str">
        <f ca="1">IFERROR(__xludf.DUMMYFUNCTION("""COMPUTED_VALUE"""),"上架中")</f>
        <v>上架中</v>
      </c>
      <c r="M301" s="12" t="str">
        <f ca="1">IFERROR(__xludf.DUMMYFUNCTION("""COMPUTED_VALUE"""),"2025/1/1上架")</f>
        <v>2025/1/1上架</v>
      </c>
      <c r="N301" s="12" t="str">
        <f ca="1">IFERROR(__xludf.DUMMYFUNCTION("""COMPUTED_VALUE"""),"空氣清淨機")</f>
        <v>空氣清淨機</v>
      </c>
      <c r="O301" s="12" t="str">
        <f ca="1">IFERROR(__xludf.DUMMYFUNCTION("""COMPUTED_VALUE"""),"銀")</f>
        <v>銀</v>
      </c>
      <c r="P301" s="12" t="str">
        <f ca="1">IFERROR(__xludf.DUMMYFUNCTION("""COMPUTED_VALUE"""),"10-18坪")</f>
        <v>10-18坪</v>
      </c>
      <c r="Q301" s="12" t="str">
        <f ca="1">IFERROR(__xludf.DUMMYFUNCTION("""COMPUTED_VALUE"""),"高597*寬360*深360(mm)")</f>
        <v>高597*寬360*深360(mm)</v>
      </c>
      <c r="R301" s="12" t="str">
        <f ca="1">IFERROR(__xludf.DUMMYFUNCTION("""COMPUTED_VALUE"""),"韓國")</f>
        <v>韓國</v>
      </c>
      <c r="S301" s="12"/>
      <c r="T301" s="12"/>
      <c r="U301" s="22" t="str">
        <f ca="1">IFERROR(__xludf.DUMMYFUNCTION("""COMPUTED_VALUE"""),"2年")</f>
        <v>2年</v>
      </c>
      <c r="V301" s="22" t="str">
        <f ca="1">IFERROR(__xludf.DUMMYFUNCTION("""COMPUTED_VALUE"""),"10年")</f>
        <v>10年</v>
      </c>
      <c r="W301" s="12"/>
      <c r="X301" s="12"/>
      <c r="Y301" s="12"/>
      <c r="Z301" s="14"/>
      <c r="AA301" s="15" t="str">
        <f ca="1">IFERROR(__xludf.DUMMYFUNCTION("""COMPUTED_VALUE"""),"*360°空氣淨化*清淨循環扇*寵物照護模式增強下層吸力*五合一高效率濾網：升級HEPA13醫療級濾網、毛髮專用濾網（可拆洗式）、光觸媒濾網*PM1.0懸浮微粒感應器及異味感應器")</f>
        <v>*360°空氣淨化*清淨循環扇*寵物照護模式增強下層吸力*五合一高效率濾網：升級HEPA13醫療級濾網、毛髮專用濾網（可拆洗式）、光觸媒濾網*PM1.0懸浮微粒感應器及異味感應器</v>
      </c>
    </row>
    <row r="302" spans="1:27" ht="19.5" customHeight="1">
      <c r="A302" s="12" t="str">
        <f ca="1">IFERROR(__xludf.DUMMYFUNCTION("""COMPUTED_VALUE"""),"空氣清淨機")</f>
        <v>空氣清淨機</v>
      </c>
      <c r="B302" s="12" t="str">
        <f ca="1">IFERROR(__xludf.DUMMYFUNCTION("""COMPUTED_VALUE"""),"神腦")</f>
        <v>神腦</v>
      </c>
      <c r="C302" s="12" t="str">
        <f ca="1">IFERROR(__xludf.DUMMYFUNCTION("""COMPUTED_VALUE"""),"LG")</f>
        <v>LG</v>
      </c>
      <c r="D302" s="12" t="str">
        <f ca="1">IFERROR(__xludf.DUMMYFUNCTION("""COMPUTED_VALUE"""),"LG PuriCare360°空氣清淨機-雙層(銀色)AS101DSS0")</f>
        <v>LG PuriCare360°空氣清淨機-雙層(銀色)AS101DSS0</v>
      </c>
      <c r="E302" s="12" t="str">
        <f ca="1">IFERROR(__xludf.DUMMYFUNCTION("""COMPUTED_VALUE"""),"AS101DSS0")</f>
        <v>AS101DSS0</v>
      </c>
      <c r="F302" s="12">
        <f ca="1">IFERROR(__xludf.DUMMYFUNCTION("""COMPUTED_VALUE"""),51016622)</f>
        <v>51016622</v>
      </c>
      <c r="G302" s="12" t="str">
        <f ca="1">IFERROR(__xludf.DUMMYFUNCTION("""COMPUTED_VALUE"""),"IGEM117Y")</f>
        <v>IGEM117Y</v>
      </c>
      <c r="H302" s="13">
        <f ca="1">IFERROR(__xludf.DUMMYFUNCTION("""COMPUTED_VALUE"""),38800)</f>
        <v>38800</v>
      </c>
      <c r="I302" s="14">
        <f ca="1">IFERROR(__xludf.DUMMYFUNCTION("""COMPUTED_VALUE"""),30900)</f>
        <v>30900</v>
      </c>
      <c r="J302" s="16">
        <f ca="1">IFERROR(__xludf.DUMMYFUNCTION("""COMPUTED_VALUE"""),45658)</f>
        <v>45658</v>
      </c>
      <c r="K302" s="12" t="str">
        <f ca="1">IFERROR(__xludf.DUMMYFUNCTION("""COMPUTED_VALUE"""),"新機上架")</f>
        <v>新機上架</v>
      </c>
      <c r="L302" s="12" t="str">
        <f ca="1">IFERROR(__xludf.DUMMYFUNCTION("""COMPUTED_VALUE"""),"上架中")</f>
        <v>上架中</v>
      </c>
      <c r="M302" s="12" t="str">
        <f ca="1">IFERROR(__xludf.DUMMYFUNCTION("""COMPUTED_VALUE"""),"2025/1/1上架")</f>
        <v>2025/1/1上架</v>
      </c>
      <c r="N302" s="12" t="str">
        <f ca="1">IFERROR(__xludf.DUMMYFUNCTION("""COMPUTED_VALUE"""),"空氣清淨機")</f>
        <v>空氣清淨機</v>
      </c>
      <c r="O302" s="12" t="str">
        <f ca="1">IFERROR(__xludf.DUMMYFUNCTION("""COMPUTED_VALUE"""),"銀")</f>
        <v>銀</v>
      </c>
      <c r="P302" s="12" t="str">
        <f ca="1">IFERROR(__xludf.DUMMYFUNCTION("""COMPUTED_VALUE"""),"17-28坪")</f>
        <v>17-28坪</v>
      </c>
      <c r="Q302" s="12" t="str">
        <f ca="1">IFERROR(__xludf.DUMMYFUNCTION("""COMPUTED_VALUE"""),"高1073*寬373*深373(mm)")</f>
        <v>高1073*寬373*深373(mm)</v>
      </c>
      <c r="R302" s="12" t="str">
        <f ca="1">IFERROR(__xludf.DUMMYFUNCTION("""COMPUTED_VALUE"""),"韓國")</f>
        <v>韓國</v>
      </c>
      <c r="S302" s="12"/>
      <c r="T302" s="12"/>
      <c r="U302" s="22" t="str">
        <f ca="1">IFERROR(__xludf.DUMMYFUNCTION("""COMPUTED_VALUE"""),"2年")</f>
        <v>2年</v>
      </c>
      <c r="V302" s="22" t="str">
        <f ca="1">IFERROR(__xludf.DUMMYFUNCTION("""COMPUTED_VALUE"""),"10年")</f>
        <v>10年</v>
      </c>
      <c r="W302" s="12"/>
      <c r="X302" s="12"/>
      <c r="Y302" s="12"/>
      <c r="Z302" s="14"/>
      <c r="AA302" s="15" t="str">
        <f ca="1">IFERROR(__xludf.DUMMYFUNCTION("""COMPUTED_VALUE"""),"*360°空氣淨化*清淨循環扇*寵物照護模式增強下層吸力*五合一高效率濾網：升級HEPA13醫療級濾網、毛髮專用濾網（可拆洗式）、光觸媒濾網*PM1.0懸浮微粒感應器及異味感應器")</f>
        <v>*360°空氣淨化*清淨循環扇*寵物照護模式增強下層吸力*五合一高效率濾網：升級HEPA13醫療級濾網、毛髮專用濾網（可拆洗式）、光觸媒濾網*PM1.0懸浮微粒感應器及異味感應器</v>
      </c>
    </row>
    <row r="303" spans="1:27" ht="19.5" customHeight="1">
      <c r="A303" s="12" t="str">
        <f ca="1">IFERROR(__xludf.DUMMYFUNCTION("""COMPUTED_VALUE"""),"空氣清淨機")</f>
        <v>空氣清淨機</v>
      </c>
      <c r="B303" s="12" t="str">
        <f ca="1">IFERROR(__xludf.DUMMYFUNCTION("""COMPUTED_VALUE"""),"神腦")</f>
        <v>神腦</v>
      </c>
      <c r="C303" s="12" t="str">
        <f ca="1">IFERROR(__xludf.DUMMYFUNCTION("""COMPUTED_VALUE"""),"LG")</f>
        <v>LG</v>
      </c>
      <c r="D303" s="12" t="str">
        <f ca="1">IFERROR(__xludf.DUMMYFUNCTION("""COMPUTED_VALUE"""),"LG PuriCare  AeroFurniture 新淨几 空氣清淨機 (雪梨白) AS201PWU0")</f>
        <v>LG PuriCare  AeroFurniture 新淨几 空氣清淨機 (雪梨白) AS201PWU0</v>
      </c>
      <c r="E303" s="12" t="str">
        <f ca="1">IFERROR(__xludf.DUMMYFUNCTION("""COMPUTED_VALUE"""),"AS201PWU0")</f>
        <v>AS201PWU0</v>
      </c>
      <c r="F303" s="12">
        <f ca="1">IFERROR(__xludf.DUMMYFUNCTION("""COMPUTED_VALUE"""),51016623)</f>
        <v>51016623</v>
      </c>
      <c r="G303" s="12" t="str">
        <f ca="1">IFERROR(__xludf.DUMMYFUNCTION("""COMPUTED_VALUE"""),"IGEM117Z")</f>
        <v>IGEM117Z</v>
      </c>
      <c r="H303" s="13">
        <f ca="1">IFERROR(__xludf.DUMMYFUNCTION("""COMPUTED_VALUE"""),15900)</f>
        <v>15900</v>
      </c>
      <c r="I303" s="14">
        <f ca="1">IFERROR(__xludf.DUMMYFUNCTION("""COMPUTED_VALUE"""),13900)</f>
        <v>13900</v>
      </c>
      <c r="J303" s="16">
        <f ca="1">IFERROR(__xludf.DUMMYFUNCTION("""COMPUTED_VALUE"""),45658)</f>
        <v>45658</v>
      </c>
      <c r="K303" s="12" t="str">
        <f ca="1">IFERROR(__xludf.DUMMYFUNCTION("""COMPUTED_VALUE"""),"新機上架")</f>
        <v>新機上架</v>
      </c>
      <c r="L303" s="12" t="str">
        <f ca="1">IFERROR(__xludf.DUMMYFUNCTION("""COMPUTED_VALUE"""),"上架中")</f>
        <v>上架中</v>
      </c>
      <c r="M303" s="12" t="str">
        <f ca="1">IFERROR(__xludf.DUMMYFUNCTION("""COMPUTED_VALUE"""),"2025/1/1上架")</f>
        <v>2025/1/1上架</v>
      </c>
      <c r="N303" s="12" t="str">
        <f ca="1">IFERROR(__xludf.DUMMYFUNCTION("""COMPUTED_VALUE"""),"空氣清淨機")</f>
        <v>空氣清淨機</v>
      </c>
      <c r="O303" s="12" t="str">
        <f ca="1">IFERROR(__xludf.DUMMYFUNCTION("""COMPUTED_VALUE"""),"雪梨白")</f>
        <v>雪梨白</v>
      </c>
      <c r="P303" s="12"/>
      <c r="Q303" s="12" t="str">
        <f ca="1">IFERROR(__xludf.DUMMYFUNCTION("""COMPUTED_VALUE"""),"550*410*410 mm")</f>
        <v>550*410*410 mm</v>
      </c>
      <c r="R303" s="12" t="str">
        <f ca="1">IFERROR(__xludf.DUMMYFUNCTION("""COMPUTED_VALUE"""),"韓國")</f>
        <v>韓國</v>
      </c>
      <c r="S303" s="12"/>
      <c r="T303" s="12"/>
      <c r="U303" s="22" t="str">
        <f ca="1">IFERROR(__xludf.DUMMYFUNCTION("""COMPUTED_VALUE"""),"2年")</f>
        <v>2年</v>
      </c>
      <c r="V303" s="22" t="str">
        <f ca="1">IFERROR(__xludf.DUMMYFUNCTION("""COMPUTED_VALUE"""),"馬達10年保固")</f>
        <v>馬達10年保固</v>
      </c>
      <c r="W303" s="12"/>
      <c r="X303" s="12"/>
      <c r="Y303" s="12"/>
      <c r="Z303" s="14"/>
      <c r="AA303" s="15" t="str">
        <f ca="1">IFERROR(__xludf.DUMMYFUNCTION("""COMPUTED_VALUE"""),"*邊桌設計 + 空氣清淨機*360˚ 空氣淨化：360˚ HEPA 濾網，UVnano™ 技術*無線充電*氣氛燈*低噪音*ThinQ APP智慧操控")</f>
        <v>*邊桌設計 + 空氣清淨機*360˚ 空氣淨化：360˚ HEPA 濾網，UVnano™ 技術*無線充電*氣氛燈*低噪音*ThinQ APP智慧操控</v>
      </c>
    </row>
    <row r="304" spans="1:27" ht="19.5" customHeight="1">
      <c r="A304" s="12" t="str">
        <f ca="1">IFERROR(__xludf.DUMMYFUNCTION("""COMPUTED_VALUE"""),"空氣清淨機")</f>
        <v>空氣清淨機</v>
      </c>
      <c r="B304" s="12" t="str">
        <f ca="1">IFERROR(__xludf.DUMMYFUNCTION("""COMPUTED_VALUE"""),"神腦")</f>
        <v>神腦</v>
      </c>
      <c r="C304" s="12" t="str">
        <f ca="1">IFERROR(__xludf.DUMMYFUNCTION("""COMPUTED_VALUE"""),"LG")</f>
        <v>LG</v>
      </c>
      <c r="D304" s="12" t="str">
        <f ca="1">IFERROR(__xludf.DUMMYFUNCTION("""COMPUTED_VALUE"""),"LG PuriCare AeroFurniture 新淨几 空氣清淨機 (倫敦紅) AS201PRU0")</f>
        <v>LG PuriCare AeroFurniture 新淨几 空氣清淨機 (倫敦紅) AS201PRU0</v>
      </c>
      <c r="E304" s="12" t="str">
        <f ca="1">IFERROR(__xludf.DUMMYFUNCTION("""COMPUTED_VALUE"""),"AS201PRU0")</f>
        <v>AS201PRU0</v>
      </c>
      <c r="F304" s="12">
        <f ca="1">IFERROR(__xludf.DUMMYFUNCTION("""COMPUTED_VALUE"""),51016624)</f>
        <v>51016624</v>
      </c>
      <c r="G304" s="12" t="str">
        <f ca="1">IFERROR(__xludf.DUMMYFUNCTION("""COMPUTED_VALUE"""),"IGEM1181")</f>
        <v>IGEM1181</v>
      </c>
      <c r="H304" s="13">
        <f ca="1">IFERROR(__xludf.DUMMYFUNCTION("""COMPUTED_VALUE"""),15900)</f>
        <v>15900</v>
      </c>
      <c r="I304" s="14">
        <f ca="1">IFERROR(__xludf.DUMMYFUNCTION("""COMPUTED_VALUE"""),13900)</f>
        <v>13900</v>
      </c>
      <c r="J304" s="16">
        <f ca="1">IFERROR(__xludf.DUMMYFUNCTION("""COMPUTED_VALUE"""),45658)</f>
        <v>45658</v>
      </c>
      <c r="K304" s="12" t="str">
        <f ca="1">IFERROR(__xludf.DUMMYFUNCTION("""COMPUTED_VALUE"""),"新機上架")</f>
        <v>新機上架</v>
      </c>
      <c r="L304" s="12" t="str">
        <f ca="1">IFERROR(__xludf.DUMMYFUNCTION("""COMPUTED_VALUE"""),"上架中")</f>
        <v>上架中</v>
      </c>
      <c r="M304" s="12" t="str">
        <f ca="1">IFERROR(__xludf.DUMMYFUNCTION("""COMPUTED_VALUE"""),"2025/1/1上架")</f>
        <v>2025/1/1上架</v>
      </c>
      <c r="N304" s="12" t="str">
        <f ca="1">IFERROR(__xludf.DUMMYFUNCTION("""COMPUTED_VALUE"""),"空氣清淨機")</f>
        <v>空氣清淨機</v>
      </c>
      <c r="O304" s="12" t="str">
        <f ca="1">IFERROR(__xludf.DUMMYFUNCTION("""COMPUTED_VALUE"""),"倫敦紅")</f>
        <v>倫敦紅</v>
      </c>
      <c r="P304" s="12"/>
      <c r="Q304" s="12" t="str">
        <f ca="1">IFERROR(__xludf.DUMMYFUNCTION("""COMPUTED_VALUE"""),"550*410*410 mm")</f>
        <v>550*410*410 mm</v>
      </c>
      <c r="R304" s="12" t="str">
        <f ca="1">IFERROR(__xludf.DUMMYFUNCTION("""COMPUTED_VALUE"""),"韓國")</f>
        <v>韓國</v>
      </c>
      <c r="S304" s="12"/>
      <c r="T304" s="12"/>
      <c r="U304" s="22" t="str">
        <f ca="1">IFERROR(__xludf.DUMMYFUNCTION("""COMPUTED_VALUE"""),"2年")</f>
        <v>2年</v>
      </c>
      <c r="V304" s="22" t="str">
        <f ca="1">IFERROR(__xludf.DUMMYFUNCTION("""COMPUTED_VALUE"""),"馬達10年保固")</f>
        <v>馬達10年保固</v>
      </c>
      <c r="W304" s="12"/>
      <c r="X304" s="12"/>
      <c r="Y304" s="12"/>
      <c r="Z304" s="14"/>
      <c r="AA304" s="15" t="str">
        <f ca="1">IFERROR(__xludf.DUMMYFUNCTION("""COMPUTED_VALUE"""),"*邊桌設計 + 空氣清淨機*360˚ 空氣淨化：360˚ HEPA 濾網，UVnano™ 技術*無線充電*氣氛燈*低噪音*ThinQ APP智慧操控")</f>
        <v>*邊桌設計 + 空氣清淨機*360˚ 空氣淨化：360˚ HEPA 濾網，UVnano™ 技術*無線充電*氣氛燈*低噪音*ThinQ APP智慧操控</v>
      </c>
    </row>
    <row r="305" spans="1:27" ht="19.5" customHeight="1">
      <c r="A305" s="12" t="str">
        <f ca="1">IFERROR(__xludf.DUMMYFUNCTION("""COMPUTED_VALUE"""),"空氣清淨機")</f>
        <v>空氣清淨機</v>
      </c>
      <c r="B305" s="12" t="str">
        <f ca="1">IFERROR(__xludf.DUMMYFUNCTION("""COMPUTED_VALUE"""),"神腦")</f>
        <v>神腦</v>
      </c>
      <c r="C305" s="12" t="str">
        <f ca="1">IFERROR(__xludf.DUMMYFUNCTION("""COMPUTED_VALUE"""),"LG")</f>
        <v>LG</v>
      </c>
      <c r="D305" s="12" t="str">
        <f ca="1">IFERROR(__xludf.DUMMYFUNCTION("""COMPUTED_VALUE"""),"LG PuriCare 超淨化大白空氣清淨機 AS601HWG0")</f>
        <v>LG PuriCare 超淨化大白空氣清淨機 AS601HWG0</v>
      </c>
      <c r="E305" s="12" t="str">
        <f ca="1">IFERROR(__xludf.DUMMYFUNCTION("""COMPUTED_VALUE"""),"AS601HWG0")</f>
        <v>AS601HWG0</v>
      </c>
      <c r="F305" s="12">
        <f ca="1">IFERROR(__xludf.DUMMYFUNCTION("""COMPUTED_VALUE"""),51016625)</f>
        <v>51016625</v>
      </c>
      <c r="G305" s="12" t="str">
        <f ca="1">IFERROR(__xludf.DUMMYFUNCTION("""COMPUTED_VALUE"""),"IGEM1182")</f>
        <v>IGEM1182</v>
      </c>
      <c r="H305" s="13">
        <f ca="1">IFERROR(__xludf.DUMMYFUNCTION("""COMPUTED_VALUE"""),12900)</f>
        <v>12900</v>
      </c>
      <c r="I305" s="14">
        <f ca="1">IFERROR(__xludf.DUMMYFUNCTION("""COMPUTED_VALUE"""),8990)</f>
        <v>8990</v>
      </c>
      <c r="J305" s="16">
        <f ca="1">IFERROR(__xludf.DUMMYFUNCTION("""COMPUTED_VALUE"""),45658)</f>
        <v>45658</v>
      </c>
      <c r="K305" s="12" t="str">
        <f ca="1">IFERROR(__xludf.DUMMYFUNCTION("""COMPUTED_VALUE"""),"新機上架")</f>
        <v>新機上架</v>
      </c>
      <c r="L305" s="12" t="str">
        <f ca="1">IFERROR(__xludf.DUMMYFUNCTION("""COMPUTED_VALUE"""),"上架中")</f>
        <v>上架中</v>
      </c>
      <c r="M305" s="12" t="str">
        <f ca="1">IFERROR(__xludf.DUMMYFUNCTION("""COMPUTED_VALUE"""),"2025/1/1上架")</f>
        <v>2025/1/1上架</v>
      </c>
      <c r="N305" s="12" t="str">
        <f ca="1">IFERROR(__xludf.DUMMYFUNCTION("""COMPUTED_VALUE"""),"空氣清淨機")</f>
        <v>空氣清淨機</v>
      </c>
      <c r="O305" s="12" t="str">
        <f ca="1">IFERROR(__xludf.DUMMYFUNCTION("""COMPUTED_VALUE"""),"白色")</f>
        <v>白色</v>
      </c>
      <c r="P305" s="12"/>
      <c r="Q305" s="12" t="str">
        <f ca="1">IFERROR(__xludf.DUMMYFUNCTION("""COMPUTED_VALUE"""),"591*411*411 mm")</f>
        <v>591*411*411 mm</v>
      </c>
      <c r="R305" s="12" t="str">
        <f ca="1">IFERROR(__xludf.DUMMYFUNCTION("""COMPUTED_VALUE"""),"中國")</f>
        <v>中國</v>
      </c>
      <c r="S305" s="12"/>
      <c r="T305" s="13" t="str">
        <f ca="1">IFERROR(__xludf.DUMMYFUNCTION("""COMPUTED_VALUE"""),"1級能效")</f>
        <v>1級能效</v>
      </c>
      <c r="U305" s="22" t="str">
        <f ca="1">IFERROR(__xludf.DUMMYFUNCTION("""COMPUTED_VALUE"""),"2年")</f>
        <v>2年</v>
      </c>
      <c r="V305" s="22" t="str">
        <f ca="1">IFERROR(__xludf.DUMMYFUNCTION("""COMPUTED_VALUE"""),"馬達2年保固")</f>
        <v>馬達2年保固</v>
      </c>
      <c r="W305" s="12"/>
      <c r="X305" s="12"/>
      <c r="Y305" s="12"/>
      <c r="Z305" s="14"/>
      <c r="AA305" s="15" t="str">
        <f ca="1">IFERROR(__xludf.DUMMYFUNCTION("""COMPUTED_VALUE"""),"*高效CADR值480，適用18坪*能源效率1級，高效省電*抗敏HEPA濾網，去除過敏原、灰塵及有害氣體，提供純淨好空氣*奈米離子淨化，減少細菌滋生*ThinQ WiFi 遠端操控，智慧好方便")</f>
        <v>*高效CADR值480，適用18坪*能源效率1級，高效省電*抗敏HEPA濾網，去除過敏原、灰塵及有害氣體，提供純淨好空氣*奈米離子淨化，減少細菌滋生*ThinQ WiFi 遠端操控，智慧好方便</v>
      </c>
    </row>
    <row r="306" spans="1:27" ht="19.5" customHeight="1">
      <c r="A306" s="12" t="str">
        <f ca="1">IFERROR(__xludf.DUMMYFUNCTION("""COMPUTED_VALUE"""),"生活家電")</f>
        <v>生活家電</v>
      </c>
      <c r="B306" s="12" t="str">
        <f ca="1">IFERROR(__xludf.DUMMYFUNCTION("""COMPUTED_VALUE"""),"神腦")</f>
        <v>神腦</v>
      </c>
      <c r="C306" s="12" t="str">
        <f ca="1">IFERROR(__xludf.DUMMYFUNCTION("""COMPUTED_VALUE"""),"Dyson")</f>
        <v>Dyson</v>
      </c>
      <c r="D306" s="12" t="str">
        <f ca="1">IFERROR(__xludf.DUMMYFUNCTION("""COMPUTED_VALUE"""),"Dyson V12s 乾濕全能洗地吸塵器 Origin Submarine")</f>
        <v>Dyson V12s 乾濕全能洗地吸塵器 Origin Submarine</v>
      </c>
      <c r="E306" s="12" t="str">
        <f ca="1">IFERROR(__xludf.DUMMYFUNCTION("""COMPUTED_VALUE"""),"SV49 V12sOrigin Submarine")</f>
        <v>SV49 V12sOrigin Submarine</v>
      </c>
      <c r="F306" s="12">
        <f ca="1">IFERROR(__xludf.DUMMYFUNCTION("""COMPUTED_VALUE"""),51016570)</f>
        <v>51016570</v>
      </c>
      <c r="G306" s="12" t="str">
        <f ca="1">IFERROR(__xludf.DUMMYFUNCTION("""COMPUTED_VALUE"""),"IGEM1144")</f>
        <v>IGEM1144</v>
      </c>
      <c r="H306" s="12">
        <f ca="1">IFERROR(__xludf.DUMMYFUNCTION("""COMPUTED_VALUE"""),25900)</f>
        <v>25900</v>
      </c>
      <c r="I306" s="14">
        <f ca="1">IFERROR(__xludf.DUMMYFUNCTION("""COMPUTED_VALUE"""),19999)</f>
        <v>19999</v>
      </c>
      <c r="J306" s="16">
        <f ca="1">IFERROR(__xludf.DUMMYFUNCTION("""COMPUTED_VALUE"""),45616)</f>
        <v>45616</v>
      </c>
      <c r="K306" s="12" t="str">
        <f ca="1">IFERROR(__xludf.DUMMYFUNCTION("""COMPUTED_VALUE"""),"新機上架")</f>
        <v>新機上架</v>
      </c>
      <c r="L306" s="12" t="str">
        <f ca="1">IFERROR(__xludf.DUMMYFUNCTION("""COMPUTED_VALUE"""),"上架中")</f>
        <v>上架中</v>
      </c>
      <c r="M306" s="12" t="str">
        <f ca="1">IFERROR(__xludf.DUMMYFUNCTION("""COMPUTED_VALUE"""),"AM09")</f>
        <v>AM09</v>
      </c>
      <c r="N306" s="12" t="str">
        <f ca="1">IFERROR(__xludf.DUMMYFUNCTION("""COMPUTED_VALUE"""),"吸塵器")</f>
        <v>吸塵器</v>
      </c>
      <c r="O306" s="12" t="str">
        <f ca="1">IFERROR(__xludf.DUMMYFUNCTION("""COMPUTED_VALUE"""),"銀灰色")</f>
        <v>銀灰色</v>
      </c>
      <c r="P306" s="12" t="str">
        <f ca="1">IFERROR(__xludf.DUMMYFUNCTION("""COMPUTED_VALUE"""),"商品尺寸mm	252mm x 250 mm x 1234mm
商品淨重包含鋁管	fluffy head 2.2kg / submarine head 3.2kg
商品毛重包含外箱及配件	6.77kg
電源	29.4伏特鋰電池
馬達	Hyperdymuim馬達
功率	500W
集塵桶材質/容量	聚碳酸酯/0.35L
功率模式	強效模式120 AW 中段模式20 AW 節能模式10 AW
模式1 (節能吸力)	60分鐘
模式2 (中段吸力)	30分鐘
模式3 (強效吸力)	5分鐘
充電時"&amp;"間	4小時
配件	輕量軟質碳纖維滾筒吸頭／Submarine™ 洗地滾筒吸頭／無纏結椎型吸頭／二合一組合吸頭／低處轉接頭／隙縫吸頭／床墊吸頭／可拆式硬管／電池／充電器／充電壁掛底")</f>
        <v>商品尺寸mm	252mm x 250 mm x 1234mm
商品淨重包含鋁管	fluffy head 2.2kg / submarine head 3.2kg
商品毛重包含外箱及配件	6.77kg
電源	29.4伏特鋰電池
馬達	Hyperdymuim馬達
功率	500W
集塵桶材質/容量	聚碳酸酯/0.35L
功率模式	強效模式120 AW 中段模式20 AW 節能模式10 AW
模式1 (節能吸力)	60分鐘
模式2 (中段吸力)	30分鐘
模式3 (強效吸力)	5分鐘
充電時間	4小時
配件	輕量軟質碳纖維滾筒吸頭／Submarine™ 洗地滾筒吸頭／無纏結椎型吸頭／二合一組合吸頭／低處轉接頭／隙縫吸頭／床墊吸頭／可拆式硬管／電池／充電器／充電壁掛底</v>
      </c>
      <c r="Q306" s="12" t="str">
        <f ca="1">IFERROR(__xludf.DUMMYFUNCTION("""COMPUTED_VALUE"""),"252x 250x 1234mm")</f>
        <v>252x 250x 1234mm</v>
      </c>
      <c r="R306" s="12" t="str">
        <f ca="1">IFERROR(__xludf.DUMMYFUNCTION("""COMPUTED_VALUE"""),"馬來西亞")</f>
        <v>馬來西亞</v>
      </c>
      <c r="S306" s="12"/>
      <c r="T306" s="12"/>
      <c r="U306" s="12" t="str">
        <f ca="1">IFERROR(__xludf.DUMMYFUNCTION("""COMPUTED_VALUE"""),"2年")</f>
        <v>2年</v>
      </c>
      <c r="V306" s="12"/>
      <c r="W306" s="12"/>
      <c r="X306" s="12"/>
      <c r="Y306" s="12"/>
      <c r="Z306" s="14"/>
      <c r="AA306" s="15" t="str">
        <f ca="1">IFERROR(__xludf.DUMMYFUNCTION("""COMPUTED_VALUE"""),"*Dyson Submarine™ 洗地滾筒吸頭*Slim Fluffy™輕量軟質碳纖維滾筒吸頭*採用無纏結科技的無纏結錐形吸*Dyson Hyperdymium™ 馬達的轉速可高達122,000rpm，提供強勁的吸力，全面深層潔淨*使用時間長達60分鐘*多層過濾系統*單鍵電源控制
")</f>
        <v xml:space="preserve">*Dyson Submarine™ 洗地滾筒吸頭*Slim Fluffy™輕量軟質碳纖維滾筒吸頭*採用無纏結科技的無纏結錐形吸*Dyson Hyperdymium™ 馬達的轉速可高達122,000rpm，提供強勁的吸力，全面深層潔淨*使用時間長達60分鐘*多層過濾系統*單鍵電源控制
</v>
      </c>
    </row>
    <row r="307" spans="1:27" ht="19.5" customHeight="1">
      <c r="A307" s="12" t="str">
        <f ca="1">IFERROR(__xludf.DUMMYFUNCTION("""COMPUTED_VALUE"""),"生活家電")</f>
        <v>生活家電</v>
      </c>
      <c r="B307" s="12" t="str">
        <f ca="1">IFERROR(__xludf.DUMMYFUNCTION("""COMPUTED_VALUE"""),"神腦")</f>
        <v>神腦</v>
      </c>
      <c r="C307" s="12" t="str">
        <f ca="1">IFERROR(__xludf.DUMMYFUNCTION("""COMPUTED_VALUE"""),"Dyson")</f>
        <v>Dyson</v>
      </c>
      <c r="D307" s="12" t="str">
        <f ca="1">IFERROR(__xludf.DUMMYFUNCTION("""COMPUTED_VALUE"""),"Dyson Hot+Cool 涼暖風扇 AM09")</f>
        <v>Dyson Hot+Cool 涼暖風扇 AM09</v>
      </c>
      <c r="E307" s="12" t="str">
        <f ca="1">IFERROR(__xludf.DUMMYFUNCTION("""COMPUTED_VALUE"""),"AM09")</f>
        <v>AM09</v>
      </c>
      <c r="F307" s="12">
        <f ca="1">IFERROR(__xludf.DUMMYFUNCTION("""COMPUTED_VALUE"""),51016571)</f>
        <v>51016571</v>
      </c>
      <c r="G307" s="12" t="str">
        <f ca="1">IFERROR(__xludf.DUMMYFUNCTION("""COMPUTED_VALUE"""),"IGEM1145")</f>
        <v>IGEM1145</v>
      </c>
      <c r="H307" s="12">
        <f ca="1">IFERROR(__xludf.DUMMYFUNCTION("""COMPUTED_VALUE"""),16900)</f>
        <v>16900</v>
      </c>
      <c r="I307" s="14">
        <f ca="1">IFERROR(__xludf.DUMMYFUNCTION("""COMPUTED_VALUE"""),11900)</f>
        <v>11900</v>
      </c>
      <c r="J307" s="16">
        <f ca="1">IFERROR(__xludf.DUMMYFUNCTION("""COMPUTED_VALUE"""),45616)</f>
        <v>45616</v>
      </c>
      <c r="K307" s="12" t="str">
        <f ca="1">IFERROR(__xludf.DUMMYFUNCTION("""COMPUTED_VALUE"""),"新機上架")</f>
        <v>新機上架</v>
      </c>
      <c r="L307" s="12" t="str">
        <f ca="1">IFERROR(__xludf.DUMMYFUNCTION("""COMPUTED_VALUE"""),"上架中")</f>
        <v>上架中</v>
      </c>
      <c r="M307" s="12" t="str">
        <f ca="1">IFERROR(__xludf.DUMMYFUNCTION("""COMPUTED_VALUE"""),"113/11/20新機上架")</f>
        <v>113/11/20新機上架</v>
      </c>
      <c r="N307" s="12" t="str">
        <f ca="1">IFERROR(__xludf.DUMMYFUNCTION("""COMPUTED_VALUE"""),"風扇")</f>
        <v>風扇</v>
      </c>
      <c r="O307" s="12" t="str">
        <f ca="1">IFERROR(__xludf.DUMMYFUNCTION("""COMPUTED_VALUE"""),"白色")</f>
        <v>白色</v>
      </c>
      <c r="P307" s="12" t="str">
        <f ca="1">IFERROR(__xludf.DUMMYFUNCTION("""COMPUTED_VALUE"""),"商品尺寸(mm)        595x153x204mm(HxDxW) 
包裝尺寸(mm)        616X181X217mm(HxDxW) 
商品淨重(g)        2.7kg
商品毛重(g)        4kg
配件        搖控器
電源        110V / 60 Hz
消耗功率        ""涼風 30W
暖風1200W""
最快風速 (冷風/集中模式)        3 公尺/秒
最快風速 (冷風/擴散模式)        2.8 公尺/秒
最大風量 (冷風/集中"&amp;"模式)        186公升/秒   ±15%
最大風量 (冷風/擴散模式)        157公升/秒   ±15%
風量倍速        最大可達6倍風
待機功率        &lt;0.5瓦
電線長度        1.8公尺
定時區間        15min、30min、45min、1hr~9hr")</f>
        <v>商品尺寸(mm)        595x153x204mm(HxDxW) 
包裝尺寸(mm)        616X181X217mm(HxDxW) 
商品淨重(g)        2.7kg
商品毛重(g)        4kg
配件        搖控器
電源        110V / 60 Hz
消耗功率        "涼風 30W
暖風1200W"
最快風速 (冷風/集中模式)        3 公尺/秒
最快風速 (冷風/擴散模式)        2.8 公尺/秒
最大風量 (冷風/集中模式)        186公升/秒   ±15%
最大風量 (冷風/擴散模式)        157公升/秒   ±15%
風量倍速        最大可達6倍風
待機功率        &lt;0.5瓦
電線長度        1.8公尺
定時區間        15min、30min、45min、1hr~9hr</v>
      </c>
      <c r="Q307" s="12" t="str">
        <f ca="1">IFERROR(__xludf.DUMMYFUNCTION("""COMPUTED_VALUE"""),"595x204x153mm(HxWxD) ")</f>
        <v xml:space="preserve">595x204x153mm(HxWxD) </v>
      </c>
      <c r="R307" s="12" t="str">
        <f ca="1">IFERROR(__xludf.DUMMYFUNCTION("""COMPUTED_VALUE"""),"馬來西亞")</f>
        <v>馬來西亞</v>
      </c>
      <c r="S307" s="12"/>
      <c r="T307" s="12"/>
      <c r="U307" s="12" t="str">
        <f ca="1">IFERROR(__xludf.DUMMYFUNCTION("""COMPUTED_VALUE"""),"2年")</f>
        <v>2年</v>
      </c>
      <c r="V307" s="12"/>
      <c r="W307" s="12"/>
      <c r="X307" s="12"/>
      <c r="Y307" s="12"/>
      <c r="Z307" s="14"/>
      <c r="AA307" s="15" t="str">
        <f ca="1">IFERROR(__xludf.DUMMYFUNCTION("""COMPUTED_VALUE"""),"*四季適用,全室循環,涼風暖風二合一*戴森氣流倍增暖房技術，快速暖房，柔順均溫，噴射出舒適柔和的暖風，更快速均勻暖房。""	*採用PTC Ceremic 陶瓷加熱，安全無需擔心產生焦味。*LED室內恆溫裝置(精準設定1°~37°)，可精準設定加熱至理想室溫。*獨家自動感溫系統，室內溫度加熱至設定溫度時，即會自動停止運轉，當感測到室內溫度低於設定溫度時，即會再度啟動。*可設定左右來回擺動，上下傾斜，更快速循環室內空氣暖房。*無扇葉安全，搭載傾倒自動斷電模式，無明顯可觸及的加熱裝置。*遠端遙控器，遠端操作所有"&amp;"能功能(上下擺動除外)*清理容易且輕巧方便好攜帶，適合不同室內空間使用。		")</f>
        <v xml:space="preserve">*四季適用,全室循環,涼風暖風二合一*戴森氣流倍增暖房技術，快速暖房，柔順均溫，噴射出舒適柔和的暖風，更快速均勻暖房。"	*採用PTC Ceremic 陶瓷加熱，安全無需擔心產生焦味。*LED室內恆溫裝置(精準設定1°~37°)，可精準設定加熱至理想室溫。*獨家自動感溫系統，室內溫度加熱至設定溫度時，即會自動停止運轉，當感測到室內溫度低於設定溫度時，即會再度啟動。*可設定左右來回擺動，上下傾斜，更快速循環室內空氣暖房。*無扇葉安全，搭載傾倒自動斷電模式，無明顯可觸及的加熱裝置。*遠端遙控器，遠端操作所有能功能(上下擺動除外)*清理容易且輕巧方便好攜帶，適合不同室內空間使用。		</v>
      </c>
    </row>
    <row r="308" spans="1:27" ht="19.5" customHeight="1">
      <c r="A308" s="12" t="str">
        <f ca="1">IFERROR(__xludf.DUMMYFUNCTION("""COMPUTED_VALUE"""),"生活家電")</f>
        <v>生活家電</v>
      </c>
      <c r="B308" s="12" t="str">
        <f ca="1">IFERROR(__xludf.DUMMYFUNCTION("""COMPUTED_VALUE"""),"神腦")</f>
        <v>神腦</v>
      </c>
      <c r="C308" s="12" t="str">
        <f ca="1">IFERROR(__xludf.DUMMYFUNCTION("""COMPUTED_VALUE"""),"Dyson")</f>
        <v>Dyson</v>
      </c>
      <c r="D308" s="12" t="str">
        <f ca="1">IFERROR(__xludf.DUMMYFUNCTION("""COMPUTED_VALUE"""),"Dyson Supersonic Nural 吹風機 HD16 綠松石色")</f>
        <v>Dyson Supersonic Nural 吹風機 HD16 綠松石色</v>
      </c>
      <c r="E308" s="12" t="str">
        <f ca="1">IFERROR(__xludf.DUMMYFUNCTION("""COMPUTED_VALUE"""),"HD16")</f>
        <v>HD16</v>
      </c>
      <c r="F308" s="12">
        <f ca="1">IFERROR(__xludf.DUMMYFUNCTION("""COMPUTED_VALUE"""),51016574)</f>
        <v>51016574</v>
      </c>
      <c r="G308" s="12" t="str">
        <f ca="1">IFERROR(__xludf.DUMMYFUNCTION("""COMPUTED_VALUE"""),"IGEM114C")</f>
        <v>IGEM114C</v>
      </c>
      <c r="H308" s="12">
        <f ca="1">IFERROR(__xludf.DUMMYFUNCTION("""COMPUTED_VALUE"""),14600)</f>
        <v>14600</v>
      </c>
      <c r="I308" s="14">
        <f ca="1">IFERROR(__xludf.DUMMYFUNCTION("""COMPUTED_VALUE"""),13999)</f>
        <v>13999</v>
      </c>
      <c r="J308" s="16">
        <f ca="1">IFERROR(__xludf.DUMMYFUNCTION("""COMPUTED_VALUE"""),45640)</f>
        <v>45640</v>
      </c>
      <c r="K308" s="12" t="str">
        <f ca="1">IFERROR(__xludf.DUMMYFUNCTION("""COMPUTED_VALUE"""),"新機上架")</f>
        <v>新機上架</v>
      </c>
      <c r="L308" s="12" t="str">
        <f ca="1">IFERROR(__xludf.DUMMYFUNCTION("""COMPUTED_VALUE"""),"上架中")</f>
        <v>上架中</v>
      </c>
      <c r="M308" s="12" t="str">
        <f ca="1">IFERROR(__xludf.DUMMYFUNCTION("""COMPUTED_VALUE"""),"113/12/14新機上架")</f>
        <v>113/12/14新機上架</v>
      </c>
      <c r="N308" s="12" t="str">
        <f ca="1">IFERROR(__xludf.DUMMYFUNCTION("""COMPUTED_VALUE"""),"吹風機/造型整髮器")</f>
        <v>吹風機/造型整髮器</v>
      </c>
      <c r="O308" s="12" t="str">
        <f ca="1">IFERROR(__xludf.DUMMYFUNCTION("""COMPUTED_VALUE"""),"綠松石")</f>
        <v>綠松石</v>
      </c>
      <c r="P308" s="12" t="str">
        <f ca="1">IFERROR(__xludf.DUMMYFUNCTION("""COMPUTED_VALUE"""),"電壓：110V 
額定功率(W)：1400W
商品尺寸 (mm) (HxDxW) ：77 x 288 x 97
商品淨重(kg)：800 g
商品毛重(kg)：2.36 kg
製造國：菲律賓
風量設置：三段式精準氣流設定
高—快速乾髮和造型
中—溫和標準乾髮
低—輕柔乾髮及擴散效果	
溫度設置：四段式精準溫度設定
100°C—快速乾髮和造型
80°C—適合標準乾髮
60°C—適合溫和乾髮及擴散效果
28°C—持續冷風，為您的造型定型
瞬間冷風：開關下藍色按鈕
電線長度：2."&amp;"8公尺
負離子：有助減少頭髮的靜電")</f>
        <v>電壓：110V 
額定功率(W)：1400W
商品尺寸 (mm) (HxDxW) ：77 x 288 x 97
商品淨重(kg)：800 g
商品毛重(kg)：2.36 kg
製造國：菲律賓
風量設置：三段式精準氣流設定
高—快速乾髮和造型
中—溫和標準乾髮
低—輕柔乾髮及擴散效果	
溫度設置：四段式精準溫度設定
100°C—快速乾髮和造型
80°C—適合標準乾髮
60°C—適合溫和乾髮及擴散效果
28°C—持續冷風，為您的造型定型
瞬間冷風：開關下藍色按鈕
電線長度：2.8公尺
負離子：有助減少頭髮的靜電</v>
      </c>
      <c r="Q308" s="12" t="str">
        <f ca="1">IFERROR(__xludf.DUMMYFUNCTION("""COMPUTED_VALUE"""),"77 x 97x 288  (HxWxD)")</f>
        <v>77 x 97x 288  (HxWxD)</v>
      </c>
      <c r="R308" s="12" t="str">
        <f ca="1">IFERROR(__xludf.DUMMYFUNCTION("""COMPUTED_VALUE"""),"菲律賓")</f>
        <v>菲律賓</v>
      </c>
      <c r="S308" s="12"/>
      <c r="T308" s="12"/>
      <c r="U308" s="12" t="str">
        <f ca="1">IFERROR(__xludf.DUMMYFUNCTION("""COMPUTED_VALUE"""),"機器與電線保固兩年，配件保固一年")</f>
        <v>機器與電線保固兩年，配件保固一年</v>
      </c>
      <c r="V308" s="12"/>
      <c r="W308" s="12"/>
      <c r="X308" s="12"/>
      <c r="Y308" s="12"/>
      <c r="Z308" s="14"/>
      <c r="AA308" s="15" t="str">
        <f ca="1">IFERROR(__xludf.DUMMYFUNCTION("""COMPUTED_VALUE"""),"*智能快速乾髮Dyson V9 數位馬達( Hyperdymium™ 馬達)*智慧溫控科技、保護頭髮自然光澤*Air Multiplier™氣流倍增技術*平衡設計、輕盈手感*靜音設計*頭髮科學*多元磁性配件*濾網設計")</f>
        <v>*智能快速乾髮Dyson V9 數位馬達( Hyperdymium™ 馬達)*智慧溫控科技、保護頭髮自然光澤*Air Multiplier™氣流倍增技術*平衡設計、輕盈手感*靜音設計*頭髮科學*多元磁性配件*濾網設計</v>
      </c>
    </row>
    <row r="309" spans="1:27" ht="19.5" customHeight="1">
      <c r="A309" s="12" t="str">
        <f ca="1">IFERROR(__xludf.DUMMYFUNCTION("""COMPUTED_VALUE"""),"生活家電")</f>
        <v>生活家電</v>
      </c>
      <c r="B309" s="12" t="str">
        <f ca="1">IFERROR(__xludf.DUMMYFUNCTION("""COMPUTED_VALUE"""),"神腦")</f>
        <v>神腦</v>
      </c>
      <c r="C309" s="12" t="str">
        <f ca="1">IFERROR(__xludf.DUMMYFUNCTION("""COMPUTED_VALUE"""),"Dyson")</f>
        <v>Dyson</v>
      </c>
      <c r="D309" s="12" t="str">
        <f ca="1">IFERROR(__xludf.DUMMYFUNCTION("""COMPUTED_VALUE"""),"Dyson Supersonic 吹風機 HD08平裝版")</f>
        <v>Dyson Supersonic 吹風機 HD08平裝版</v>
      </c>
      <c r="E309" s="12" t="str">
        <f ca="1">IFERROR(__xludf.DUMMYFUNCTION("""COMPUTED_VALUE"""),"HD08平裝版")</f>
        <v>HD08平裝版</v>
      </c>
      <c r="F309" s="12">
        <f ca="1">IFERROR(__xludf.DUMMYFUNCTION("""COMPUTED_VALUE"""),51016575)</f>
        <v>51016575</v>
      </c>
      <c r="G309" s="12" t="str">
        <f ca="1">IFERROR(__xludf.DUMMYFUNCTION("""COMPUTED_VALUE"""),"IGEM114D")</f>
        <v>IGEM114D</v>
      </c>
      <c r="H309" s="12">
        <f ca="1">IFERROR(__xludf.DUMMYFUNCTION("""COMPUTED_VALUE"""),12900)</f>
        <v>12900</v>
      </c>
      <c r="I309" s="14">
        <f ca="1">IFERROR(__xludf.DUMMYFUNCTION("""COMPUTED_VALUE"""),9088)</f>
        <v>9088</v>
      </c>
      <c r="J309" s="16">
        <f ca="1">IFERROR(__xludf.DUMMYFUNCTION("""COMPUTED_VALUE"""),45678)</f>
        <v>45678</v>
      </c>
      <c r="K309" s="12" t="str">
        <f ca="1">IFERROR(__xludf.DUMMYFUNCTION("""COMPUTED_VALUE"""),"短促")</f>
        <v>短促</v>
      </c>
      <c r="L309" s="12" t="str">
        <f ca="1">IFERROR(__xludf.DUMMYFUNCTION("""COMPUTED_VALUE"""),"上架中")</f>
        <v>上架中</v>
      </c>
      <c r="M309" s="12" t="str">
        <f ca="1">IFERROR(__xludf.DUMMYFUNCTION("""COMPUTED_VALUE"""),"114/1/21短促，113/12/14新機上架")</f>
        <v>114/1/21短促，113/12/14新機上架</v>
      </c>
      <c r="N309" s="12" t="str">
        <f ca="1">IFERROR(__xludf.DUMMYFUNCTION("""COMPUTED_VALUE"""),"吹風機/造型整髮器")</f>
        <v>吹風機/造型整髮器</v>
      </c>
      <c r="O309" s="12" t="str">
        <f ca="1">IFERROR(__xludf.DUMMYFUNCTION("""COMPUTED_VALUE"""),"紅色")</f>
        <v>紅色</v>
      </c>
      <c r="P309" s="12" t="str">
        <f ca="1">IFERROR(__xludf.DUMMYFUNCTION("""COMPUTED_VALUE"""),"商品尺寸(mm)    77 x 245 x 97mm (HxDxW)
商品淨重(kg)    800 g
商品毛重(kg)    2.01 kg
建議售價(含稅)    NT$12,900
配件    造型集風吹嘴、 抗毛躁吹嘴、柔和乾髮吹嘴
功 能 
電源    110V
最大消費電力(w)    1400W
風量設置    3段式: 高速風量, 中速風量, 低速風量
溫度設置    4段式:100℃(快速吹乾), 80℃(一般吹乾), 60℃(頭皮吹乾), 28℃(冷風模式)
瞬"&amp;"間冷風    開關下藍色按鈕
電線長度    2.8公尺
負離子    有助減少頭髮的靜電")</f>
        <v>商品尺寸(mm)    77 x 245 x 97mm (HxDxW)
商品淨重(kg)    800 g
商品毛重(kg)    2.01 kg
建議售價(含稅)    NT$12,900
配件    造型集風吹嘴、 抗毛躁吹嘴、柔和乾髮吹嘴
功 能 
電源    110V
最大消費電力(w)    1400W
風量設置    3段式: 高速風量, 中速風量, 低速風量
溫度設置    4段式:100℃(快速吹乾), 80℃(一般吹乾), 60℃(頭皮吹乾), 28℃(冷風模式)
瞬間冷風    開關下藍色按鈕
電線長度    2.8公尺
負離子    有助減少頭髮的靜電</v>
      </c>
      <c r="Q309" s="12" t="str">
        <f ca="1">IFERROR(__xludf.DUMMYFUNCTION("""COMPUTED_VALUE"""),"77  x 97x 245mm (HxWxD)")</f>
        <v>77  x 97x 245mm (HxWxD)</v>
      </c>
      <c r="R309" s="12" t="str">
        <f ca="1">IFERROR(__xludf.DUMMYFUNCTION("""COMPUTED_VALUE"""),"菲律賓")</f>
        <v>菲律賓</v>
      </c>
      <c r="S309" s="12"/>
      <c r="T309" s="12"/>
      <c r="U309" s="12" t="str">
        <f ca="1">IFERROR(__xludf.DUMMYFUNCTION("""COMPUTED_VALUE"""),"機器與電線保固兩年，配件保固一年")</f>
        <v>機器與電線保固兩年，配件保固一年</v>
      </c>
      <c r="V309" s="12"/>
      <c r="W309" s="12"/>
      <c r="X309" s="12"/>
      <c r="Y309" s="12"/>
      <c r="Z309" s="14"/>
      <c r="AA309" s="15" t="str">
        <f ca="1">IFERROR(__xludf.DUMMYFUNCTION("""COMPUTED_VALUE"""),"*全新款 Dyson Supersonic™ Origin 吹風機  瑰麗紅色*配備可快速乾髮的強效數位馬達*搭配智慧溫控科技，有助於保護頭髮的天然光澤*創造柔順光澤秀髮。適用於受損髮及毛躁髮質*小資必敗 入門首選")</f>
        <v>*全新款 Dyson Supersonic™ Origin 吹風機  瑰麗紅色*配備可快速乾髮的強效數位馬達*搭配智慧溫控科技，有助於保護頭髮的天然光澤*創造柔順光澤秀髮。適用於受損髮及毛躁髮質*小資必敗 入門首選</v>
      </c>
    </row>
    <row r="310" spans="1:27" ht="19.5" customHeight="1">
      <c r="A310" s="12" t="str">
        <f ca="1">IFERROR(__xludf.DUMMYFUNCTION("""COMPUTED_VALUE"""),"生活家電")</f>
        <v>生活家電</v>
      </c>
      <c r="B310" s="12" t="str">
        <f ca="1">IFERROR(__xludf.DUMMYFUNCTION("""COMPUTED_VALUE"""),"神腦")</f>
        <v>神腦</v>
      </c>
      <c r="C310" s="12" t="str">
        <f ca="1">IFERROR(__xludf.DUMMYFUNCTION("""COMPUTED_VALUE"""),"Electrolux")</f>
        <v>Electrolux</v>
      </c>
      <c r="D310" s="12" t="str">
        <f ca="1">IFERROR(__xludf.DUMMYFUNCTION("""COMPUTED_VALUE"""),"伊萊克斯 WQ61-1EDB Well Q6 二合一無線吸塵器")</f>
        <v>伊萊克斯 WQ61-1EDB Well Q6 二合一無線吸塵器</v>
      </c>
      <c r="E310" s="12" t="str">
        <f ca="1">IFERROR(__xludf.DUMMYFUNCTION("""COMPUTED_VALUE"""),"WQ61-1EDB")</f>
        <v>WQ61-1EDB</v>
      </c>
      <c r="F310" s="12">
        <f ca="1">IFERROR(__xludf.DUMMYFUNCTION("""COMPUTED_VALUE"""),51008160)</f>
        <v>51008160</v>
      </c>
      <c r="G310" s="12" t="str">
        <f ca="1">IFERROR(__xludf.DUMMYFUNCTION("""COMPUTED_VALUE"""),"IGEM069X")</f>
        <v>IGEM069X</v>
      </c>
      <c r="H310" s="13">
        <f ca="1">IFERROR(__xludf.DUMMYFUNCTION("""COMPUTED_VALUE"""),8990)</f>
        <v>8990</v>
      </c>
      <c r="I310" s="18">
        <f ca="1">IFERROR(__xludf.DUMMYFUNCTION("""COMPUTED_VALUE"""),5490)</f>
        <v>5490</v>
      </c>
      <c r="J310" s="16">
        <f ca="1">IFERROR(__xludf.DUMMYFUNCTION("""COMPUTED_VALUE"""),45692)</f>
        <v>45692</v>
      </c>
      <c r="K310" s="12" t="str">
        <f ca="1">IFERROR(__xludf.DUMMYFUNCTION("""COMPUTED_VALUE"""),"短促")</f>
        <v>短促</v>
      </c>
      <c r="L310" s="12" t="str">
        <f ca="1">IFERROR(__xludf.DUMMYFUNCTION("""COMPUTED_VALUE"""),"上架中")</f>
        <v>上架中</v>
      </c>
      <c r="M310" s="12" t="str">
        <f ca="1">IFERROR(__xludf.DUMMYFUNCTION("""COMPUTED_VALUE"""),"114/2/4短促，5/15到貨，3/28缺貨")</f>
        <v>114/2/4短促，5/15到貨，3/28缺貨</v>
      </c>
      <c r="N310" s="12" t="str">
        <f ca="1">IFERROR(__xludf.DUMMYFUNCTION("""COMPUTED_VALUE"""),"吸塵器")</f>
        <v>吸塵器</v>
      </c>
      <c r="O310" s="12"/>
      <c r="P310" s="12"/>
      <c r="Q310" s="12" t="str">
        <f ca="1">IFERROR(__xludf.DUMMYFUNCTION("""COMPUTED_VALUE"""),"258 x 140 x 1105")</f>
        <v>258 x 140 x 1105</v>
      </c>
      <c r="R310" s="12" t="str">
        <f ca="1">IFERROR(__xludf.DUMMYFUNCTION("""COMPUTED_VALUE"""),"中國")</f>
        <v>中國</v>
      </c>
      <c r="S310" s="12"/>
      <c r="T310" s="12"/>
      <c r="U310" s="12" t="str">
        <f ca="1">IFERROR(__xludf.DUMMYFUNCTION("""COMPUTED_VALUE"""),"2年")</f>
        <v>2年</v>
      </c>
      <c r="V310" s="12"/>
      <c r="W310" s="12" t="str">
        <f ca="1">IFERROR(__xludf.DUMMYFUNCTION("""COMPUTED_VALUE"""),"1.說明書(含保固卡)   2.充電座   3.電源線   4.小毛刷吸頭   5.軟毛刷吸頭   6.高處/狹縫清潔伸縮吸頭   7.轉彎吸頭")</f>
        <v>1.說明書(含保固卡)   2.充電座   3.電源線   4.小毛刷吸頭   5.軟毛刷吸頭   6.高處/狹縫清潔伸縮吸頭   7.轉彎吸頭</v>
      </c>
      <c r="X310" s="12"/>
      <c r="Y310" s="12"/>
      <c r="Z310" s="14"/>
      <c r="AA310" s="15" t="str">
        <f ca="1">IFERROR(__xludf.DUMMYFUNCTION("""COMPUTED_VALUE"""),"*機身嵌入延伸配件隨吸隨換 *濾網採五重高效過濾設計 *使用時間長達45分鐘 *全新毛髮截斷科技")</f>
        <v>*機身嵌入延伸配件隨吸隨換 *濾網採五重高效過濾設計 *使用時間長達45分鐘 *全新毛髮截斷科技</v>
      </c>
    </row>
    <row r="311" spans="1:27" ht="19.5" customHeight="1">
      <c r="A311" s="12" t="str">
        <f ca="1">IFERROR(__xludf.DUMMYFUNCTION("""COMPUTED_VALUE"""),"生活家電")</f>
        <v>生活家電</v>
      </c>
      <c r="B311" s="12" t="str">
        <f ca="1">IFERROR(__xludf.DUMMYFUNCTION("""COMPUTED_VALUE"""),"神腦")</f>
        <v>神腦</v>
      </c>
      <c r="C311" s="12" t="str">
        <f ca="1">IFERROR(__xludf.DUMMYFUNCTION("""COMPUTED_VALUE"""),"Electrolux")</f>
        <v>Electrolux</v>
      </c>
      <c r="D311" s="12" t="str">
        <f ca="1">IFERROR(__xludf.DUMMYFUNCTION("""COMPUTED_VALUE"""),"伊萊克斯 WQ71-ANIMA Well Q7 無線吸塵器 勃艮第酒紅")</f>
        <v>伊萊克斯 WQ71-ANIMA Well Q7 無線吸塵器 勃艮第酒紅</v>
      </c>
      <c r="E311" s="12" t="str">
        <f ca="1">IFERROR(__xludf.DUMMYFUNCTION("""COMPUTED_VALUE"""),"WQ71-ANIMA")</f>
        <v>WQ71-ANIMA</v>
      </c>
      <c r="F311" s="12">
        <f ca="1">IFERROR(__xludf.DUMMYFUNCTION("""COMPUTED_VALUE"""),51008161)</f>
        <v>51008161</v>
      </c>
      <c r="G311" s="12" t="str">
        <f ca="1">IFERROR(__xludf.DUMMYFUNCTION("""COMPUTED_VALUE"""),"IGEM069Y")</f>
        <v>IGEM069Y</v>
      </c>
      <c r="H311" s="13">
        <f ca="1">IFERROR(__xludf.DUMMYFUNCTION("""COMPUTED_VALUE"""),9900)</f>
        <v>9900</v>
      </c>
      <c r="I311" s="18">
        <f ca="1">IFERROR(__xludf.DUMMYFUNCTION("""COMPUTED_VALUE"""),6990)</f>
        <v>6990</v>
      </c>
      <c r="J311" s="16">
        <f ca="1">IFERROR(__xludf.DUMMYFUNCTION("""COMPUTED_VALUE"""),45103)</f>
        <v>45103</v>
      </c>
      <c r="K311" s="12" t="str">
        <f ca="1">IFERROR(__xludf.DUMMYFUNCTION("""COMPUTED_VALUE"""),"到貨")</f>
        <v>到貨</v>
      </c>
      <c r="L311" s="12" t="str">
        <f ca="1">IFERROR(__xludf.DUMMYFUNCTION("""COMPUTED_VALUE"""),"上架中")</f>
        <v>上架中</v>
      </c>
      <c r="M311" s="12" t="str">
        <f ca="1">IFERROR(__xludf.DUMMYFUNCTION("""COMPUTED_VALUE"""),"6/26限量供應，6/17缺貨")</f>
        <v>6/26限量供應，6/17缺貨</v>
      </c>
      <c r="N311" s="12" t="str">
        <f ca="1">IFERROR(__xludf.DUMMYFUNCTION("""COMPUTED_VALUE"""),"吸塵器")</f>
        <v>吸塵器</v>
      </c>
      <c r="O311" s="12"/>
      <c r="P311" s="12"/>
      <c r="Q311" s="12" t="str">
        <f ca="1">IFERROR(__xludf.DUMMYFUNCTION("""COMPUTED_VALUE"""),"258 x 140 x 1105")</f>
        <v>258 x 140 x 1105</v>
      </c>
      <c r="R311" s="12" t="str">
        <f ca="1">IFERROR(__xludf.DUMMYFUNCTION("""COMPUTED_VALUE"""),"中國")</f>
        <v>中國</v>
      </c>
      <c r="S311" s="12"/>
      <c r="T311" s="12"/>
      <c r="U311" s="12" t="str">
        <f ca="1">IFERROR(__xludf.DUMMYFUNCTION("""COMPUTED_VALUE"""),"2年")</f>
        <v>2年</v>
      </c>
      <c r="V311" s="12"/>
      <c r="W311" s="12"/>
      <c r="X311" s="12"/>
      <c r="Y311" s="12"/>
      <c r="Z311" s="14"/>
      <c r="AA311" s="15" t="str">
        <f ca="1">IFERROR(__xludf.DUMMYFUNCTION("""COMPUTED_VALUE"""),"*獨家專利毛髮截斷科技吸頭 *機身嵌入配件設計，取用便利 *標配纖維布料電動吸頭 *旋風式系統超強吸力，灰塵再滿，集塵力仍不減 *全新自動毛髮截斷科技，免開機，輕踩就啟動 *勃艮第酒紅色，亮眼獨特，質感超群*內含充電座、小毛刷吸頭、纖維布料電動吸頭、高處/狹縫清潔伸縮吸頭")</f>
        <v>*獨家專利毛髮截斷科技吸頭 *機身嵌入配件設計，取用便利 *標配纖維布料電動吸頭 *旋風式系統超強吸力，灰塵再滿，集塵力仍不減 *全新自動毛髮截斷科技，免開機，輕踩就啟動 *勃艮第酒紅色，亮眼獨特，質感超群*內含充電座、小毛刷吸頭、纖維布料電動吸頭、高處/狹縫清潔伸縮吸頭</v>
      </c>
    </row>
    <row r="312" spans="1:27" ht="19.5" customHeight="1">
      <c r="A312" s="12" t="str">
        <f ca="1">IFERROR(__xludf.DUMMYFUNCTION("""COMPUTED_VALUE"""),"冰箱")</f>
        <v>冰箱</v>
      </c>
      <c r="B312" s="12" t="str">
        <f ca="1">IFERROR(__xludf.DUMMYFUNCTION("""COMPUTED_VALUE"""),"順發")</f>
        <v>順發</v>
      </c>
      <c r="C312" s="12" t="str">
        <f ca="1">IFERROR(__xludf.DUMMYFUNCTION("""COMPUTED_VALUE"""),"SAMSUNG")</f>
        <v>SAMSUNG</v>
      </c>
      <c r="D312" s="12" t="str">
        <f ca="1">IFERROR(__xludf.DUMMYFUNCTION("""COMPUTED_VALUE"""),"三星237L雙門變頻時尚銀冰箱_RT22M4015S8/TW")</f>
        <v>三星237L雙門變頻時尚銀冰箱_RT22M4015S8/TW</v>
      </c>
      <c r="E312" s="12" t="str">
        <f ca="1">IFERROR(__xludf.DUMMYFUNCTION("""COMPUTED_VALUE"""),"RT22M4015S8/TW")</f>
        <v>RT22M4015S8/TW</v>
      </c>
      <c r="F312" s="12">
        <f ca="1">IFERROR(__xludf.DUMMYFUNCTION("""COMPUTED_VALUE"""),51095214)</f>
        <v>51095214</v>
      </c>
      <c r="G312" s="12" t="str">
        <f ca="1">IFERROR(__xludf.DUMMYFUNCTION("""COMPUTED_VALUE"""),"IGEM01R8")</f>
        <v>IGEM01R8</v>
      </c>
      <c r="H312" s="12">
        <f ca="1">IFERROR(__xludf.DUMMYFUNCTION("""COMPUTED_VALUE"""),17900)</f>
        <v>17900</v>
      </c>
      <c r="I312" s="14">
        <f ca="1">IFERROR(__xludf.DUMMYFUNCTION("""COMPUTED_VALUE"""),12900)</f>
        <v>12900</v>
      </c>
      <c r="J312" s="12"/>
      <c r="K312" s="12"/>
      <c r="L312" s="12" t="str">
        <f ca="1">IFERROR(__xludf.DUMMYFUNCTION("""COMPUTED_VALUE"""),"上架中")</f>
        <v>上架中</v>
      </c>
      <c r="M312" s="12" t="str">
        <f ca="1">IFERROR(__xludf.DUMMYFUNCTION("""COMPUTED_VALUE"""),"2021/10/7上架")</f>
        <v>2021/10/7上架</v>
      </c>
      <c r="N312" s="12" t="str">
        <f ca="1">IFERROR(__xludf.DUMMYFUNCTION("""COMPUTED_VALUE"""),"雙門變頻")</f>
        <v>雙門變頻</v>
      </c>
      <c r="O312" s="12" t="str">
        <f ca="1">IFERROR(__xludf.DUMMYFUNCTION("""COMPUTED_VALUE"""),"時尚銀")</f>
        <v>時尚銀</v>
      </c>
      <c r="P312" s="12" t="str">
        <f ca="1">IFERROR(__xludf.DUMMYFUNCTION("""COMPUTED_VALUE"""),"237L")</f>
        <v>237L</v>
      </c>
      <c r="Q312" s="12" t="str">
        <f ca="1">IFERROR(__xludf.DUMMYFUNCTION("""COMPUTED_VALUE"""),"1545*555*637mm")</f>
        <v>1545*555*637mm</v>
      </c>
      <c r="R312" s="12" t="str">
        <f ca="1">IFERROR(__xludf.DUMMYFUNCTION("""COMPUTED_VALUE"""),"越南")</f>
        <v>越南</v>
      </c>
      <c r="S312" s="12"/>
      <c r="T312" s="13" t="str">
        <f ca="1">IFERROR(__xludf.DUMMYFUNCTION("""COMPUTED_VALUE"""),"1級能效")</f>
        <v>1級能效</v>
      </c>
      <c r="U312" s="12" t="str">
        <f ca="1">IFERROR(__xludf.DUMMYFUNCTION("""COMPUTED_VALUE"""),"1年")</f>
        <v>1年</v>
      </c>
      <c r="V312" s="12" t="str">
        <f ca="1">IFERROR(__xludf.DUMMYFUNCTION("""COMPUTED_VALUE"""),"10年")</f>
        <v>10年</v>
      </c>
      <c r="W312" s="12"/>
      <c r="X312" s="12" t="str">
        <f ca="1">IFERROR(__xludf.DUMMYFUNCTION("""COMPUTED_VALUE"""),"(114/1/1~2/28)隨貨送雙扣乾濕雙用盒3件組 (805T27)")</f>
        <v>(114/1/1~2/28)隨貨送雙扣乾濕雙用盒3件組 (805T27)</v>
      </c>
      <c r="Y312" s="12">
        <f ca="1">IFERROR(__xludf.DUMMYFUNCTION("""COMPUTED_VALUE"""),237)</f>
        <v>237</v>
      </c>
      <c r="Z312" s="14" t="str">
        <f ca="1">IFERROR(__xludf.DUMMYFUNCTION("""COMPUTED_VALUE"""),"1200")</f>
        <v>1200</v>
      </c>
      <c r="AA312" s="15" t="str">
        <f ca="1">IFERROR(__xludf.DUMMYFUNCTION("""COMPUTED_VALUE"""),"*數位變頻科技*環繞式氣流全方位冷卻，確保內部均溫*EasySlide滑動式層架*極窄美型")</f>
        <v>*數位變頻科技*環繞式氣流全方位冷卻，確保內部均溫*EasySlide滑動式層架*極窄美型</v>
      </c>
    </row>
    <row r="313" spans="1:27" ht="19.5" customHeight="1">
      <c r="A313" s="12" t="str">
        <f ca="1">IFERROR(__xludf.DUMMYFUNCTION("""COMPUTED_VALUE"""),"冰箱")</f>
        <v>冰箱</v>
      </c>
      <c r="B313" s="12" t="str">
        <f ca="1">IFERROR(__xludf.DUMMYFUNCTION("""COMPUTED_VALUE"""),"順發")</f>
        <v>順發</v>
      </c>
      <c r="C313" s="12" t="str">
        <f ca="1">IFERROR(__xludf.DUMMYFUNCTION("""COMPUTED_VALUE"""),"SAMSUNG")</f>
        <v>SAMSUNG</v>
      </c>
      <c r="D313" s="12" t="str">
        <f ca="1">IFERROR(__xludf.DUMMYFUNCTION("""COMPUTED_VALUE"""),"Samsung_466L雙門變頻冰箱(雙色)_764807_RT47CB662A8ATW")</f>
        <v>Samsung_466L雙門變頻冰箱(雙色)_764807_RT47CB662A8ATW</v>
      </c>
      <c r="E313" s="12" t="str">
        <f ca="1">IFERROR(__xludf.DUMMYFUNCTION("""COMPUTED_VALUE"""),"RT47CB662A8ATW")</f>
        <v>RT47CB662A8ATW</v>
      </c>
      <c r="F313" s="12">
        <f ca="1">IFERROR(__xludf.DUMMYFUNCTION("""COMPUTED_VALUE"""),51095729)</f>
        <v>51095729</v>
      </c>
      <c r="G313" s="12" t="str">
        <f ca="1">IFERROR(__xludf.DUMMYFUNCTION("""COMPUTED_VALUE"""),"IGEM093Q")</f>
        <v>IGEM093Q</v>
      </c>
      <c r="H313" s="12">
        <f ca="1">IFERROR(__xludf.DUMMYFUNCTION("""COMPUTED_VALUE"""),32900)</f>
        <v>32900</v>
      </c>
      <c r="I313" s="14">
        <f ca="1">IFERROR(__xludf.DUMMYFUNCTION("""COMPUTED_VALUE"""),23900)</f>
        <v>23900</v>
      </c>
      <c r="J313" s="16">
        <f ca="1">IFERROR(__xludf.DUMMYFUNCTION("""COMPUTED_VALUE"""),45413)</f>
        <v>45413</v>
      </c>
      <c r="K313" s="12" t="str">
        <f ca="1">IFERROR(__xludf.DUMMYFUNCTION("""COMPUTED_VALUE"""),"短促")</f>
        <v>短促</v>
      </c>
      <c r="L313" s="12" t="str">
        <f ca="1">IFERROR(__xludf.DUMMYFUNCTION("""COMPUTED_VALUE"""),"上架中")</f>
        <v>上架中</v>
      </c>
      <c r="M313" s="12" t="str">
        <f ca="1">IFERROR(__xludf.DUMMYFUNCTION("""COMPUTED_VALUE"""),"12/1新機上架")</f>
        <v>12/1新機上架</v>
      </c>
      <c r="N313" s="12" t="str">
        <f ca="1">IFERROR(__xludf.DUMMYFUNCTION("""COMPUTED_VALUE"""),"雙門變頻")</f>
        <v>雙門變頻</v>
      </c>
      <c r="O313" s="12" t="str">
        <f ca="1">IFERROR(__xludf.DUMMYFUNCTION("""COMPUTED_VALUE"""),"雙色
 上:梔子白 
 下:永夜藍")</f>
        <v>雙色
 上:梔子白 
 下:永夜藍</v>
      </c>
      <c r="P313" s="12" t="str">
        <f ca="1">IFERROR(__xludf.DUMMYFUNCTION("""COMPUTED_VALUE"""),"466L")</f>
        <v>466L</v>
      </c>
      <c r="Q313" s="12" t="str">
        <f ca="1">IFERROR(__xludf.DUMMYFUNCTION("""COMPUTED_VALUE"""),"1825x700x717(mm)")</f>
        <v>1825x700x717(mm)</v>
      </c>
      <c r="R313" s="12" t="str">
        <f ca="1">IFERROR(__xludf.DUMMYFUNCTION("""COMPUTED_VALUE"""),"泰國")</f>
        <v>泰國</v>
      </c>
      <c r="S313" s="12" t="str">
        <f ca="1">IFERROR(__xludf.DUMMYFUNCTION("""COMPUTED_VALUE"""),"V")</f>
        <v>V</v>
      </c>
      <c r="T313" s="13" t="str">
        <f ca="1">IFERROR(__xludf.DUMMYFUNCTION("""COMPUTED_VALUE"""),"1級能效")</f>
        <v>1級能效</v>
      </c>
      <c r="U313" s="12" t="str">
        <f ca="1">IFERROR(__xludf.DUMMYFUNCTION("""COMPUTED_VALUE"""),"1年")</f>
        <v>1年</v>
      </c>
      <c r="V313" s="12" t="str">
        <f ca="1">IFERROR(__xludf.DUMMYFUNCTION("""COMPUTED_VALUE"""),"20年")</f>
        <v>20年</v>
      </c>
      <c r="W313" s="12"/>
      <c r="X313" s="12" t="str">
        <f ca="1">IFERROR(__xludf.DUMMYFUNCTION("""COMPUTED_VALUE"""),"(114/1/1~2/28)隨貨送雙扣乾濕雙用盒3件組 (805T27)")</f>
        <v>(114/1/1~2/28)隨貨送雙扣乾濕雙用盒3件組 (805T27)</v>
      </c>
      <c r="Y313" s="12">
        <f ca="1">IFERROR(__xludf.DUMMYFUNCTION("""COMPUTED_VALUE"""),466)</f>
        <v>466</v>
      </c>
      <c r="Z313" s="14" t="str">
        <f ca="1">IFERROR(__xludf.DUMMYFUNCTION("""COMPUTED_VALUE"""),"2000")</f>
        <v>2000</v>
      </c>
      <c r="AA313" s="15" t="str">
        <f ca="1">IFERROR(__xludf.DUMMYFUNCTION("""COMPUTED_VALUE"""),"*環繞式冷卻系統: 均勻冷卻, 長效保鮮*數位變頻壓縮機 20 年保固*SmartThings AI 智慧節能模式*Optimal Fresh Zone 獨立保鮮室*活性碳濾淨除臭*隱藏式操作面板")</f>
        <v>*環繞式冷卻系統: 均勻冷卻, 長效保鮮*數位變頻壓縮機 20 年保固*SmartThings AI 智慧節能模式*Optimal Fresh Zone 獨立保鮮室*活性碳濾淨除臭*隱藏式操作面板</v>
      </c>
    </row>
    <row r="314" spans="1:27" ht="19.5" customHeight="1">
      <c r="A314" s="12" t="str">
        <f ca="1">IFERROR(__xludf.DUMMYFUNCTION("""COMPUTED_VALUE"""),"冰箱")</f>
        <v>冰箱</v>
      </c>
      <c r="B314" s="12" t="str">
        <f ca="1">IFERROR(__xludf.DUMMYFUNCTION("""COMPUTED_VALUE"""),"順發")</f>
        <v>順發</v>
      </c>
      <c r="C314" s="12" t="str">
        <f ca="1">IFERROR(__xludf.DUMMYFUNCTION("""COMPUTED_VALUE"""),"MITSUBISHI")</f>
        <v>MITSUBISHI</v>
      </c>
      <c r="D314" s="12" t="str">
        <f ca="1">IFERROR(__xludf.DUMMYFUNCTION("""COMPUTED_VALUE"""),"三菱288L雙門變頻冰箱(太空銀)_764598_MR-FC31EP-SSL-C")</f>
        <v>三菱288L雙門變頻冰箱(太空銀)_764598_MR-FC31EP-SSL-C</v>
      </c>
      <c r="E314" s="12" t="str">
        <f ca="1">IFERROR(__xludf.DUMMYFUNCTION("""COMPUTED_VALUE"""),"MR-FC31EP-SSL-C")</f>
        <v>MR-FC31EP-SSL-C</v>
      </c>
      <c r="F314" s="12">
        <f ca="1">IFERROR(__xludf.DUMMYFUNCTION("""COMPUTED_VALUE"""),51095331)</f>
        <v>51095331</v>
      </c>
      <c r="G314" s="12" t="str">
        <f ca="1">IFERROR(__xludf.DUMMYFUNCTION("""COMPUTED_VALUE"""),"IGEM031B")</f>
        <v>IGEM031B</v>
      </c>
      <c r="H314" s="12">
        <f ca="1">IFERROR(__xludf.DUMMYFUNCTION("""COMPUTED_VALUE"""),18900)</f>
        <v>18900</v>
      </c>
      <c r="I314" s="14">
        <f ca="1">IFERROR(__xludf.DUMMYFUNCTION("""COMPUTED_VALUE"""),17955)</f>
        <v>17955</v>
      </c>
      <c r="J314" s="16">
        <f ca="1">IFERROR(__xludf.DUMMYFUNCTION("""COMPUTED_VALUE"""),45383)</f>
        <v>45383</v>
      </c>
      <c r="K314" s="12" t="str">
        <f ca="1">IFERROR(__xludf.DUMMYFUNCTION("""COMPUTED_VALUE"""),"回價")</f>
        <v>回價</v>
      </c>
      <c r="L314" s="12" t="str">
        <f ca="1">IFERROR(__xludf.DUMMYFUNCTION("""COMPUTED_VALUE"""),"上架中")</f>
        <v>上架中</v>
      </c>
      <c r="M314" s="12" t="str">
        <f ca="1">IFERROR(__xludf.DUMMYFUNCTION("""COMPUTED_VALUE"""),"2021/1/18到貨")</f>
        <v>2021/1/18到貨</v>
      </c>
      <c r="N314" s="12" t="str">
        <f ca="1">IFERROR(__xludf.DUMMYFUNCTION("""COMPUTED_VALUE"""),"雙門變頻")</f>
        <v>雙門變頻</v>
      </c>
      <c r="O314" s="12" t="str">
        <f ca="1">IFERROR(__xludf.DUMMYFUNCTION("""COMPUTED_VALUE"""),"太空銀")</f>
        <v>太空銀</v>
      </c>
      <c r="P314" s="12" t="str">
        <f ca="1">IFERROR(__xludf.DUMMYFUNCTION("""COMPUTED_VALUE"""),"288L")</f>
        <v>288L</v>
      </c>
      <c r="Q314" s="12" t="str">
        <f ca="1">IFERROR(__xludf.DUMMYFUNCTION("""COMPUTED_VALUE"""),"1693*555*662mm")</f>
        <v>1693*555*662mm</v>
      </c>
      <c r="R314" s="12" t="str">
        <f ca="1">IFERROR(__xludf.DUMMYFUNCTION("""COMPUTED_VALUE"""),"泰國")</f>
        <v>泰國</v>
      </c>
      <c r="S314" s="12" t="str">
        <f ca="1">IFERROR(__xludf.DUMMYFUNCTION("""COMPUTED_VALUE"""),"V")</f>
        <v>V</v>
      </c>
      <c r="T314" s="13" t="str">
        <f ca="1">IFERROR(__xludf.DUMMYFUNCTION("""COMPUTED_VALUE"""),"1級能效")</f>
        <v>1級能效</v>
      </c>
      <c r="U314" s="12" t="str">
        <f ca="1">IFERROR(__xludf.DUMMYFUNCTION("""COMPUTED_VALUE"""),"1年")</f>
        <v>1年</v>
      </c>
      <c r="V314" s="12" t="str">
        <f ca="1">IFERROR(__xludf.DUMMYFUNCTION("""COMPUTED_VALUE"""),"1年/3年")</f>
        <v>1年/3年</v>
      </c>
      <c r="W314" s="12"/>
      <c r="X314" s="12" t="str">
        <f ca="1">IFERROR(__xludf.DUMMYFUNCTION("""COMPUTED_VALUE"""),"(114/1/1~2/28)隨貨送雙扣乾濕雙用盒3件組 (805T27)")</f>
        <v>(114/1/1~2/28)隨貨送雙扣乾濕雙用盒3件組 (805T27)</v>
      </c>
      <c r="Y314" s="12">
        <f ca="1">IFERROR(__xludf.DUMMYFUNCTION("""COMPUTED_VALUE"""),288)</f>
        <v>288</v>
      </c>
      <c r="Z314" s="14" t="str">
        <f ca="1">IFERROR(__xludf.DUMMYFUNCTION("""COMPUTED_VALUE"""),"1200")</f>
        <v>1200</v>
      </c>
      <c r="AA314" s="15" t="str">
        <f ca="1">IFERROR(__xludf.DUMMYFUNCTION("""COMPUTED_VALUE"""),"*NEUROFUZZY智能變頻壓縮機*強化玻璃層架*庫內混和抗菌材質*門邊萬用盒+大寬幅門邊架")</f>
        <v>*NEUROFUZZY智能變頻壓縮機*強化玻璃層架*庫內混和抗菌材質*門邊萬用盒+大寬幅門邊架</v>
      </c>
    </row>
    <row r="315" spans="1:27" ht="19.5" customHeight="1">
      <c r="A315" s="12" t="str">
        <f ca="1">IFERROR(__xludf.DUMMYFUNCTION("""COMPUTED_VALUE"""),"冰箱")</f>
        <v>冰箱</v>
      </c>
      <c r="B315" s="12" t="str">
        <f ca="1">IFERROR(__xludf.DUMMYFUNCTION("""COMPUTED_VALUE"""),"順發")</f>
        <v>順發</v>
      </c>
      <c r="C315" s="12" t="str">
        <f ca="1">IFERROR(__xludf.DUMMYFUNCTION("""COMPUTED_VALUE"""),"MITSUBISHI")</f>
        <v>MITSUBISHI</v>
      </c>
      <c r="D315" s="12" t="str">
        <f ca="1">IFERROR(__xludf.DUMMYFUNCTION("""COMPUTED_VALUE"""),"三菱450L三門變頻冰箱(白)_764599_MR-CGX45EP-GWH-C")</f>
        <v>三菱450L三門變頻冰箱(白)_764599_MR-CGX45EP-GWH-C</v>
      </c>
      <c r="E315" s="12" t="str">
        <f ca="1">IFERROR(__xludf.DUMMYFUNCTION("""COMPUTED_VALUE"""),"MR-CGX45EP-GWH-C")</f>
        <v>MR-CGX45EP-GWH-C</v>
      </c>
      <c r="F315" s="12">
        <f ca="1">IFERROR(__xludf.DUMMYFUNCTION("""COMPUTED_VALUE"""),51095332)</f>
        <v>51095332</v>
      </c>
      <c r="G315" s="12" t="str">
        <f ca="1">IFERROR(__xludf.DUMMYFUNCTION("""COMPUTED_VALUE"""),"IGEM031C")</f>
        <v>IGEM031C</v>
      </c>
      <c r="H315" s="12">
        <f ca="1">IFERROR(__xludf.DUMMYFUNCTION("""COMPUTED_VALUE"""),39900)</f>
        <v>39900</v>
      </c>
      <c r="I315" s="14">
        <f ca="1">IFERROR(__xludf.DUMMYFUNCTION("""COMPUTED_VALUE"""),37907)</f>
        <v>37907</v>
      </c>
      <c r="J315" s="21">
        <f ca="1">IFERROR(__xludf.DUMMYFUNCTION("""COMPUTED_VALUE"""),45383)</f>
        <v>45383</v>
      </c>
      <c r="K315" s="12" t="str">
        <f ca="1">IFERROR(__xludf.DUMMYFUNCTION("""COMPUTED_VALUE"""),"回價")</f>
        <v>回價</v>
      </c>
      <c r="L315" s="12" t="str">
        <f ca="1">IFERROR(__xludf.DUMMYFUNCTION("""COMPUTED_VALUE"""),"上架中")</f>
        <v>上架中</v>
      </c>
      <c r="M315" s="12"/>
      <c r="N315" s="12" t="str">
        <f ca="1">IFERROR(__xludf.DUMMYFUNCTION("""COMPUTED_VALUE"""),"三門變頻")</f>
        <v>三門變頻</v>
      </c>
      <c r="O315" s="12" t="str">
        <f ca="1">IFERROR(__xludf.DUMMYFUNCTION("""COMPUTED_VALUE"""),"純淨白")</f>
        <v>純淨白</v>
      </c>
      <c r="P315" s="12" t="str">
        <f ca="1">IFERROR(__xludf.DUMMYFUNCTION("""COMPUTED_VALUE"""),"450L")</f>
        <v>450L</v>
      </c>
      <c r="Q315" s="12" t="str">
        <f ca="1">IFERROR(__xludf.DUMMYFUNCTION("""COMPUTED_VALUE"""),"1798*699*709mm")</f>
        <v>1798*699*709mm</v>
      </c>
      <c r="R315" s="12" t="str">
        <f ca="1">IFERROR(__xludf.DUMMYFUNCTION("""COMPUTED_VALUE"""),"泰國")</f>
        <v>泰國</v>
      </c>
      <c r="S315" s="12" t="str">
        <f ca="1">IFERROR(__xludf.DUMMYFUNCTION("""COMPUTED_VALUE"""),"v")</f>
        <v>v</v>
      </c>
      <c r="T315" s="13" t="str">
        <f ca="1">IFERROR(__xludf.DUMMYFUNCTION("""COMPUTED_VALUE"""),"1級能效")</f>
        <v>1級能效</v>
      </c>
      <c r="U315" s="12" t="str">
        <f ca="1">IFERROR(__xludf.DUMMYFUNCTION("""COMPUTED_VALUE"""),"1年")</f>
        <v>1年</v>
      </c>
      <c r="V315" s="12" t="str">
        <f ca="1">IFERROR(__xludf.DUMMYFUNCTION("""COMPUTED_VALUE"""),"1年/3年")</f>
        <v>1年/3年</v>
      </c>
      <c r="W315" s="12"/>
      <c r="X315" s="12" t="str">
        <f ca="1">IFERROR(__xludf.DUMMYFUNCTION("""COMPUTED_VALUE"""),"(114/1/1~2/28)隨貨送雙扣乾濕雙用盒3件組 (805T27)")</f>
        <v>(114/1/1~2/28)隨貨送雙扣乾濕雙用盒3件組 (805T27)</v>
      </c>
      <c r="Y315" s="12">
        <f ca="1">IFERROR(__xludf.DUMMYFUNCTION("""COMPUTED_VALUE"""),450)</f>
        <v>450</v>
      </c>
      <c r="Z315" s="14" t="str">
        <f ca="1">IFERROR(__xludf.DUMMYFUNCTION("""COMPUTED_VALUE"""),"2000")</f>
        <v>2000</v>
      </c>
      <c r="AA315" s="15" t="str">
        <f ca="1">IFERROR(__xludf.DUMMYFUNCTION("""COMPUTED_VALUE"""),"*NEUROFUZZY智能變頻壓縮機*強化玻璃鏡面及強化玻璃層架*自動製冰室(可水洗)*超冰保鮮-3˚C~0˚C不結凍獨家技術*光能量蔬果室*開門警鈴")</f>
        <v>*NEUROFUZZY智能變頻壓縮機*強化玻璃鏡面及強化玻璃層架*自動製冰室(可水洗)*超冰保鮮-3˚C~0˚C不結凍獨家技術*光能量蔬果室*開門警鈴</v>
      </c>
    </row>
    <row r="316" spans="1:27" ht="19.5" customHeight="1">
      <c r="A316" s="12" t="str">
        <f ca="1">IFERROR(__xludf.DUMMYFUNCTION("""COMPUTED_VALUE"""),"冰箱")</f>
        <v>冰箱</v>
      </c>
      <c r="B316" s="12" t="str">
        <f ca="1">IFERROR(__xludf.DUMMYFUNCTION("""COMPUTED_VALUE"""),"大同")</f>
        <v>大同</v>
      </c>
      <c r="C316" s="12" t="str">
        <f ca="1">IFERROR(__xludf.DUMMYFUNCTION("""COMPUTED_VALUE"""),"PANASONIC")</f>
        <v>PANASONIC</v>
      </c>
      <c r="D316" s="12" t="str">
        <f ca="1">IFERROR(__xludf.DUMMYFUNCTION("""COMPUTED_VALUE"""),"PANASONIC_650公升雙門玻璃變頻冰箱_NR-B651TG-T(曜石棕)")</f>
        <v>PANASONIC_650公升雙門玻璃變頻冰箱_NR-B651TG-T(曜石棕)</v>
      </c>
      <c r="E316" s="12" t="str">
        <f ca="1">IFERROR(__xludf.DUMMYFUNCTION("""COMPUTED_VALUE"""),"NR-B651TG-T")</f>
        <v>NR-B651TG-T</v>
      </c>
      <c r="F316" s="12">
        <f ca="1">IFERROR(__xludf.DUMMYFUNCTION("""COMPUTED_VALUE"""),51012144)</f>
        <v>51012144</v>
      </c>
      <c r="G316" s="12" t="str">
        <f ca="1">IFERROR(__xludf.DUMMYFUNCTION("""COMPUTED_VALUE"""),"IGEM037B")</f>
        <v>IGEM037B</v>
      </c>
      <c r="H316" s="12">
        <f ca="1">IFERROR(__xludf.DUMMYFUNCTION("""COMPUTED_VALUE"""),36500)</f>
        <v>36500</v>
      </c>
      <c r="I316" s="14">
        <f ca="1">IFERROR(__xludf.DUMMYFUNCTION("""COMPUTED_VALUE"""),33945)</f>
        <v>33945</v>
      </c>
      <c r="J316" s="12"/>
      <c r="K316" s="12"/>
      <c r="L316" s="12" t="str">
        <f ca="1">IFERROR(__xludf.DUMMYFUNCTION("""COMPUTED_VALUE"""),"上架中")</f>
        <v>上架中</v>
      </c>
      <c r="M316" s="12" t="str">
        <f ca="1">IFERROR(__xludf.DUMMYFUNCTION("""COMPUTED_VALUE"""),"客訂機種，請先洽大同確認貨況")</f>
        <v>客訂機種，請先洽大同確認貨況</v>
      </c>
      <c r="N316" s="12" t="str">
        <f ca="1">IFERROR(__xludf.DUMMYFUNCTION("""COMPUTED_VALUE"""),"雙門變頻")</f>
        <v>雙門變頻</v>
      </c>
      <c r="O316" s="12" t="str">
        <f ca="1">IFERROR(__xludf.DUMMYFUNCTION("""COMPUTED_VALUE"""),"曜石棕")</f>
        <v>曜石棕</v>
      </c>
      <c r="P316" s="12" t="str">
        <f ca="1">IFERROR(__xludf.DUMMYFUNCTION("""COMPUTED_VALUE"""),"650L")</f>
        <v>650L</v>
      </c>
      <c r="Q316" s="12" t="str">
        <f ca="1">IFERROR(__xludf.DUMMYFUNCTION("""COMPUTED_VALUE"""),"1830*805*780mm")</f>
        <v>1830*805*780mm</v>
      </c>
      <c r="R316" s="12" t="str">
        <f ca="1">IFERROR(__xludf.DUMMYFUNCTION("""COMPUTED_VALUE"""),"台灣")</f>
        <v>台灣</v>
      </c>
      <c r="S316" s="12" t="str">
        <f ca="1">IFERROR(__xludf.DUMMYFUNCTION("""COMPUTED_VALUE"""),"V")</f>
        <v>V</v>
      </c>
      <c r="T316" s="13" t="str">
        <f ca="1">IFERROR(__xludf.DUMMYFUNCTION("""COMPUTED_VALUE"""),"1級能效")</f>
        <v>1級能效</v>
      </c>
      <c r="U316" s="12" t="str">
        <f ca="1">IFERROR(__xludf.DUMMYFUNCTION("""COMPUTED_VALUE"""),"1年")</f>
        <v>1年</v>
      </c>
      <c r="V316" s="12" t="str">
        <f ca="1">IFERROR(__xludf.DUMMYFUNCTION("""COMPUTED_VALUE"""),"5年")</f>
        <v>5年</v>
      </c>
      <c r="W316" s="12" t="str">
        <f ca="1">IFERROR(__xludf.DUMMYFUNCTION("""COMPUTED_VALUE"""),"(10/1~114/2/28)隨貨送SP-2503-PR(德國Othello可微波不鏽鋼保鮮盒三件組)")</f>
        <v>(10/1~114/2/28)隨貨送SP-2503-PR(德國Othello可微波不鏽鋼保鮮盒三件組)</v>
      </c>
      <c r="X316" s="12"/>
      <c r="Y316" s="12">
        <f ca="1">IFERROR(__xludf.DUMMYFUNCTION("""COMPUTED_VALUE"""),650)</f>
        <v>650</v>
      </c>
      <c r="Z316" s="14" t="str">
        <f ca="1">IFERROR(__xludf.DUMMYFUNCTION("""COMPUTED_VALUE"""),"2000")</f>
        <v>2000</v>
      </c>
      <c r="AA316" s="15" t="str">
        <f ca="1">IFERROR(__xludf.DUMMYFUNCTION("""COMPUTED_VALUE"""),"*200L冷凍空間*有效容積650L*ECONAVI智慧節能*Ag銀抑菌*觸控面板")</f>
        <v>*200L冷凍空間*有效容積650L*ECONAVI智慧節能*Ag銀抑菌*觸控面板</v>
      </c>
    </row>
    <row r="317" spans="1:27" ht="19.5" customHeight="1">
      <c r="A317" s="12" t="str">
        <f ca="1">IFERROR(__xludf.DUMMYFUNCTION("""COMPUTED_VALUE"""),"冰箱")</f>
        <v>冰箱</v>
      </c>
      <c r="B317" s="12" t="str">
        <f ca="1">IFERROR(__xludf.DUMMYFUNCTION("""COMPUTED_VALUE"""),"大同")</f>
        <v>大同</v>
      </c>
      <c r="C317" s="12" t="str">
        <f ca="1">IFERROR(__xludf.DUMMYFUNCTION("""COMPUTED_VALUE"""),"PANASONIC")</f>
        <v>PANASONIC</v>
      </c>
      <c r="D317" s="12" t="str">
        <f ca="1">IFERROR(__xludf.DUMMYFUNCTION("""COMPUTED_VALUE"""),"PANASONIC_650公升雙門玻璃變頻冰箱_NR-B651TG-N(翡翠金)")</f>
        <v>PANASONIC_650公升雙門玻璃變頻冰箱_NR-B651TG-N(翡翠金)</v>
      </c>
      <c r="E317" s="12" t="str">
        <f ca="1">IFERROR(__xludf.DUMMYFUNCTION("""COMPUTED_VALUE"""),"NR-B651TG-N")</f>
        <v>NR-B651TG-N</v>
      </c>
      <c r="F317" s="12">
        <f ca="1">IFERROR(__xludf.DUMMYFUNCTION("""COMPUTED_VALUE"""),51012145)</f>
        <v>51012145</v>
      </c>
      <c r="G317" s="12" t="str">
        <f ca="1">IFERROR(__xludf.DUMMYFUNCTION("""COMPUTED_VALUE"""),"IGEM037C")</f>
        <v>IGEM037C</v>
      </c>
      <c r="H317" s="12">
        <f ca="1">IFERROR(__xludf.DUMMYFUNCTION("""COMPUTED_VALUE"""),36500)</f>
        <v>36500</v>
      </c>
      <c r="I317" s="14">
        <f ca="1">IFERROR(__xludf.DUMMYFUNCTION("""COMPUTED_VALUE"""),33945)</f>
        <v>33945</v>
      </c>
      <c r="J317" s="12"/>
      <c r="K317" s="12"/>
      <c r="L317" s="12" t="str">
        <f ca="1">IFERROR(__xludf.DUMMYFUNCTION("""COMPUTED_VALUE"""),"上架中")</f>
        <v>上架中</v>
      </c>
      <c r="M317" s="12" t="str">
        <f ca="1">IFERROR(__xludf.DUMMYFUNCTION("""COMPUTED_VALUE"""),"客訂機種，請先洽大同確認貨況")</f>
        <v>客訂機種，請先洽大同確認貨況</v>
      </c>
      <c r="N317" s="12" t="str">
        <f ca="1">IFERROR(__xludf.DUMMYFUNCTION("""COMPUTED_VALUE"""),"雙門變頻")</f>
        <v>雙門變頻</v>
      </c>
      <c r="O317" s="12" t="str">
        <f ca="1">IFERROR(__xludf.DUMMYFUNCTION("""COMPUTED_VALUE"""),"翡翠金")</f>
        <v>翡翠金</v>
      </c>
      <c r="P317" s="12" t="str">
        <f ca="1">IFERROR(__xludf.DUMMYFUNCTION("""COMPUTED_VALUE"""),"650L")</f>
        <v>650L</v>
      </c>
      <c r="Q317" s="12" t="str">
        <f ca="1">IFERROR(__xludf.DUMMYFUNCTION("""COMPUTED_VALUE"""),"1830*805*780mm")</f>
        <v>1830*805*780mm</v>
      </c>
      <c r="R317" s="12" t="str">
        <f ca="1">IFERROR(__xludf.DUMMYFUNCTION("""COMPUTED_VALUE"""),"台灣")</f>
        <v>台灣</v>
      </c>
      <c r="S317" s="12" t="str">
        <f ca="1">IFERROR(__xludf.DUMMYFUNCTION("""COMPUTED_VALUE"""),"V")</f>
        <v>V</v>
      </c>
      <c r="T317" s="13" t="str">
        <f ca="1">IFERROR(__xludf.DUMMYFUNCTION("""COMPUTED_VALUE"""),"1級能效")</f>
        <v>1級能效</v>
      </c>
      <c r="U317" s="12" t="str">
        <f ca="1">IFERROR(__xludf.DUMMYFUNCTION("""COMPUTED_VALUE"""),"1年")</f>
        <v>1年</v>
      </c>
      <c r="V317" s="12" t="str">
        <f ca="1">IFERROR(__xludf.DUMMYFUNCTION("""COMPUTED_VALUE"""),"5年")</f>
        <v>5年</v>
      </c>
      <c r="W317" s="12" t="str">
        <f ca="1">IFERROR(__xludf.DUMMYFUNCTION("""COMPUTED_VALUE"""),"(10/1~114/2/28)隨貨送SP-2503-PR(德國Othello可微波不鏽鋼保鮮盒三件組)")</f>
        <v>(10/1~114/2/28)隨貨送SP-2503-PR(德國Othello可微波不鏽鋼保鮮盒三件組)</v>
      </c>
      <c r="X317" s="12"/>
      <c r="Y317" s="12">
        <f ca="1">IFERROR(__xludf.DUMMYFUNCTION("""COMPUTED_VALUE"""),650)</f>
        <v>650</v>
      </c>
      <c r="Z317" s="14" t="str">
        <f ca="1">IFERROR(__xludf.DUMMYFUNCTION("""COMPUTED_VALUE"""),"2000")</f>
        <v>2000</v>
      </c>
      <c r="AA317" s="15" t="str">
        <f ca="1">IFERROR(__xludf.DUMMYFUNCTION("""COMPUTED_VALUE"""),"*200L冷凍空間*有效容積650L*ECONAVI智慧節能*Ag銀抑菌*觸控面板")</f>
        <v>*200L冷凍空間*有效容積650L*ECONAVI智慧節能*Ag銀抑菌*觸控面板</v>
      </c>
    </row>
    <row r="318" spans="1:27" ht="19.5" customHeight="1">
      <c r="A318" s="12" t="str">
        <f ca="1">IFERROR(__xludf.DUMMYFUNCTION("""COMPUTED_VALUE"""),"冰箱")</f>
        <v>冰箱</v>
      </c>
      <c r="B318" s="12" t="str">
        <f ca="1">IFERROR(__xludf.DUMMYFUNCTION("""COMPUTED_VALUE"""),"大同")</f>
        <v>大同</v>
      </c>
      <c r="C318" s="12" t="str">
        <f ca="1">IFERROR(__xludf.DUMMYFUNCTION("""COMPUTED_VALUE"""),"PANASONIC")</f>
        <v>PANASONIC</v>
      </c>
      <c r="D318" s="12" t="str">
        <f ca="1">IFERROR(__xludf.DUMMYFUNCTION("""COMPUTED_VALUE"""),"PANASONIC_580公升雙門玻璃變頻冰箱_NR-B582TG-T(曜石棕)")</f>
        <v>PANASONIC_580公升雙門玻璃變頻冰箱_NR-B582TG-T(曜石棕)</v>
      </c>
      <c r="E318" s="12" t="str">
        <f ca="1">IFERROR(__xludf.DUMMYFUNCTION("""COMPUTED_VALUE"""),"NR-B582TG-T")</f>
        <v>NR-B582TG-T</v>
      </c>
      <c r="F318" s="12">
        <f ca="1">IFERROR(__xludf.DUMMYFUNCTION("""COMPUTED_VALUE"""),51012178)</f>
        <v>51012178</v>
      </c>
      <c r="G318" s="12" t="str">
        <f ca="1">IFERROR(__xludf.DUMMYFUNCTION("""COMPUTED_VALUE"""),"IGEM057Y")</f>
        <v>IGEM057Y</v>
      </c>
      <c r="H318" s="12">
        <f ca="1">IFERROR(__xludf.DUMMYFUNCTION("""COMPUTED_VALUE"""),34090)</f>
        <v>34090</v>
      </c>
      <c r="I318" s="14">
        <f ca="1">IFERROR(__xludf.DUMMYFUNCTION("""COMPUTED_VALUE"""),31704)</f>
        <v>31704</v>
      </c>
      <c r="J318" s="12"/>
      <c r="K318" s="12"/>
      <c r="L318" s="12" t="str">
        <f ca="1">IFERROR(__xludf.DUMMYFUNCTION("""COMPUTED_VALUE"""),"上架中")</f>
        <v>上架中</v>
      </c>
      <c r="M318" s="12" t="str">
        <f ca="1">IFERROR(__xludf.DUMMYFUNCTION("""COMPUTED_VALUE"""),"客訂機種，請先洽大同確認貨況")</f>
        <v>客訂機種，請先洽大同確認貨況</v>
      </c>
      <c r="N318" s="12" t="str">
        <f ca="1">IFERROR(__xludf.DUMMYFUNCTION("""COMPUTED_VALUE"""),"雙門變頻")</f>
        <v>雙門變頻</v>
      </c>
      <c r="O318" s="12" t="str">
        <f ca="1">IFERROR(__xludf.DUMMYFUNCTION("""COMPUTED_VALUE"""),"曜石棕")</f>
        <v>曜石棕</v>
      </c>
      <c r="P318" s="12" t="str">
        <f ca="1">IFERROR(__xludf.DUMMYFUNCTION("""COMPUTED_VALUE"""),"579L")</f>
        <v>579L</v>
      </c>
      <c r="Q318" s="12" t="str">
        <f ca="1">IFERROR(__xludf.DUMMYFUNCTION("""COMPUTED_VALUE"""),"高1830x寬775x深780mm")</f>
        <v>高1830x寬775x深780mm</v>
      </c>
      <c r="R318" s="12" t="str">
        <f ca="1">IFERROR(__xludf.DUMMYFUNCTION("""COMPUTED_VALUE"""),"台灣")</f>
        <v>台灣</v>
      </c>
      <c r="S318" s="12" t="str">
        <f ca="1">IFERROR(__xludf.DUMMYFUNCTION("""COMPUTED_VALUE"""),"V")</f>
        <v>V</v>
      </c>
      <c r="T318" s="13" t="str">
        <f ca="1">IFERROR(__xludf.DUMMYFUNCTION("""COMPUTED_VALUE"""),"1級能效")</f>
        <v>1級能效</v>
      </c>
      <c r="U318" s="12" t="str">
        <f ca="1">IFERROR(__xludf.DUMMYFUNCTION("""COMPUTED_VALUE"""),"1年")</f>
        <v>1年</v>
      </c>
      <c r="V318" s="12" t="str">
        <f ca="1">IFERROR(__xludf.DUMMYFUNCTION("""COMPUTED_VALUE"""),"5年")</f>
        <v>5年</v>
      </c>
      <c r="W318" s="12" t="str">
        <f ca="1">IFERROR(__xludf.DUMMYFUNCTION("""COMPUTED_VALUE"""),"(10/1~114/2/28)隨貨送SP-2503-PR(德國Othello可微波不鏽鋼保鮮盒三件組)")</f>
        <v>(10/1~114/2/28)隨貨送SP-2503-PR(德國Othello可微波不鏽鋼保鮮盒三件組)</v>
      </c>
      <c r="X318" s="12"/>
      <c r="Y318" s="12">
        <f ca="1">IFERROR(__xludf.DUMMYFUNCTION("""COMPUTED_VALUE"""),580)</f>
        <v>580</v>
      </c>
      <c r="Z318" s="14" t="str">
        <f ca="1">IFERROR(__xludf.DUMMYFUNCTION("""COMPUTED_VALUE"""),"2000")</f>
        <v>2000</v>
      </c>
      <c r="AA318" s="15" t="str">
        <f ca="1">IFERROR(__xludf.DUMMYFUNCTION("""COMPUTED_VALUE"""),"*超大冷凍室佔比30%*急速冷凍行程(2倍速)*超大瓶罐輕鬆放入-瓶棚大容量設計*即鮮魚肉保鮮室(約1度C)*活動式製冰盒*冷凍、冷藏室LED燈*全室高耐重玻璃層架(耐重100kg)*Ag銀離子抑菌")</f>
        <v>*超大冷凍室佔比30%*急速冷凍行程(2倍速)*超大瓶罐輕鬆放入-瓶棚大容量設計*即鮮魚肉保鮮室(約1度C)*活動式製冰盒*冷凍、冷藏室LED燈*全室高耐重玻璃層架(耐重100kg)*Ag銀離子抑菌</v>
      </c>
    </row>
    <row r="319" spans="1:27" ht="19.5" customHeight="1">
      <c r="A319" s="12" t="str">
        <f ca="1">IFERROR(__xludf.DUMMYFUNCTION("""COMPUTED_VALUE"""),"冰箱")</f>
        <v>冰箱</v>
      </c>
      <c r="B319" s="12" t="str">
        <f ca="1">IFERROR(__xludf.DUMMYFUNCTION("""COMPUTED_VALUE"""),"大同")</f>
        <v>大同</v>
      </c>
      <c r="C319" s="12" t="str">
        <f ca="1">IFERROR(__xludf.DUMMYFUNCTION("""COMPUTED_VALUE"""),"PANASONIC")</f>
        <v>PANASONIC</v>
      </c>
      <c r="D319" s="12" t="str">
        <f ca="1">IFERROR(__xludf.DUMMYFUNCTION("""COMPUTED_VALUE"""),"PANASONIC_580公升雙門玻璃變頻冰箱_NR-B582TG-N(翡翠金)")</f>
        <v>PANASONIC_580公升雙門玻璃變頻冰箱_NR-B582TG-N(翡翠金)</v>
      </c>
      <c r="E319" s="12" t="str">
        <f ca="1">IFERROR(__xludf.DUMMYFUNCTION("""COMPUTED_VALUE"""),"NR-B582TG-N")</f>
        <v>NR-B582TG-N</v>
      </c>
      <c r="F319" s="12">
        <f ca="1">IFERROR(__xludf.DUMMYFUNCTION("""COMPUTED_VALUE"""),51012179)</f>
        <v>51012179</v>
      </c>
      <c r="G319" s="12" t="str">
        <f ca="1">IFERROR(__xludf.DUMMYFUNCTION("""COMPUTED_VALUE"""),"IGEM057Z")</f>
        <v>IGEM057Z</v>
      </c>
      <c r="H319" s="12">
        <f ca="1">IFERROR(__xludf.DUMMYFUNCTION("""COMPUTED_VALUE"""),34090)</f>
        <v>34090</v>
      </c>
      <c r="I319" s="14">
        <f ca="1">IFERROR(__xludf.DUMMYFUNCTION("""COMPUTED_VALUE"""),31704)</f>
        <v>31704</v>
      </c>
      <c r="J319" s="12"/>
      <c r="K319" s="12"/>
      <c r="L319" s="12" t="str">
        <f ca="1">IFERROR(__xludf.DUMMYFUNCTION("""COMPUTED_VALUE"""),"上架中")</f>
        <v>上架中</v>
      </c>
      <c r="M319" s="12" t="str">
        <f ca="1">IFERROR(__xludf.DUMMYFUNCTION("""COMPUTED_VALUE"""),"客訂機種，請先洽大同確認貨況")</f>
        <v>客訂機種，請先洽大同確認貨況</v>
      </c>
      <c r="N319" s="12" t="str">
        <f ca="1">IFERROR(__xludf.DUMMYFUNCTION("""COMPUTED_VALUE"""),"雙門變頻")</f>
        <v>雙門變頻</v>
      </c>
      <c r="O319" s="12" t="str">
        <f ca="1">IFERROR(__xludf.DUMMYFUNCTION("""COMPUTED_VALUE"""),"翡翠金")</f>
        <v>翡翠金</v>
      </c>
      <c r="P319" s="12" t="str">
        <f ca="1">IFERROR(__xludf.DUMMYFUNCTION("""COMPUTED_VALUE"""),"579L")</f>
        <v>579L</v>
      </c>
      <c r="Q319" s="12" t="str">
        <f ca="1">IFERROR(__xludf.DUMMYFUNCTION("""COMPUTED_VALUE"""),"高1830x寬775x深780mm")</f>
        <v>高1830x寬775x深780mm</v>
      </c>
      <c r="R319" s="12" t="str">
        <f ca="1">IFERROR(__xludf.DUMMYFUNCTION("""COMPUTED_VALUE"""),"台灣")</f>
        <v>台灣</v>
      </c>
      <c r="S319" s="12" t="str">
        <f ca="1">IFERROR(__xludf.DUMMYFUNCTION("""COMPUTED_VALUE"""),"V")</f>
        <v>V</v>
      </c>
      <c r="T319" s="13" t="str">
        <f ca="1">IFERROR(__xludf.DUMMYFUNCTION("""COMPUTED_VALUE"""),"1級能效")</f>
        <v>1級能效</v>
      </c>
      <c r="U319" s="12" t="str">
        <f ca="1">IFERROR(__xludf.DUMMYFUNCTION("""COMPUTED_VALUE"""),"1年")</f>
        <v>1年</v>
      </c>
      <c r="V319" s="12" t="str">
        <f ca="1">IFERROR(__xludf.DUMMYFUNCTION("""COMPUTED_VALUE"""),"5年")</f>
        <v>5年</v>
      </c>
      <c r="W319" s="12" t="str">
        <f ca="1">IFERROR(__xludf.DUMMYFUNCTION("""COMPUTED_VALUE"""),"(10/1~114/2/28)隨貨送SP-2503-PR(德國Othello可微波不鏽鋼保鮮盒三件組)")</f>
        <v>(10/1~114/2/28)隨貨送SP-2503-PR(德國Othello可微波不鏽鋼保鮮盒三件組)</v>
      </c>
      <c r="X319" s="12"/>
      <c r="Y319" s="12">
        <f ca="1">IFERROR(__xludf.DUMMYFUNCTION("""COMPUTED_VALUE"""),580)</f>
        <v>580</v>
      </c>
      <c r="Z319" s="14" t="str">
        <f ca="1">IFERROR(__xludf.DUMMYFUNCTION("""COMPUTED_VALUE"""),"2000")</f>
        <v>2000</v>
      </c>
      <c r="AA319" s="15" t="str">
        <f ca="1">IFERROR(__xludf.DUMMYFUNCTION("""COMPUTED_VALUE"""),"*超大冷凍室佔比30%*急速冷凍行程(2倍速)*超大瓶罐輕鬆放入-瓶棚大容量設計*即鮮魚肉保鮮室(約1度C)*活動式製冰盒*冷凍、冷藏室LED燈*全室高耐重玻璃層架(耐重100kg)*Ag銀離子抑菌")</f>
        <v>*超大冷凍室佔比30%*急速冷凍行程(2倍速)*超大瓶罐輕鬆放入-瓶棚大容量設計*即鮮魚肉保鮮室(約1度C)*活動式製冰盒*冷凍、冷藏室LED燈*全室高耐重玻璃層架(耐重100kg)*Ag銀離子抑菌</v>
      </c>
    </row>
    <row r="320" spans="1:27" ht="19.5" customHeight="1">
      <c r="A320" s="12" t="str">
        <f ca="1">IFERROR(__xludf.DUMMYFUNCTION("""COMPUTED_VALUE"""),"冰箱")</f>
        <v>冰箱</v>
      </c>
      <c r="B320" s="12" t="str">
        <f ca="1">IFERROR(__xludf.DUMMYFUNCTION("""COMPUTED_VALUE"""),"大同")</f>
        <v>大同</v>
      </c>
      <c r="C320" s="12" t="str">
        <f ca="1">IFERROR(__xludf.DUMMYFUNCTION("""COMPUTED_VALUE"""),"PANASONIC")</f>
        <v>PANASONIC</v>
      </c>
      <c r="D320" s="12" t="str">
        <f ca="1">IFERROR(__xludf.DUMMYFUNCTION("""COMPUTED_VALUE"""),"PANASONIC_[鋼板系列]650公升雙門變頻冰箱_NR-B651TV-S(晶漾銀)")</f>
        <v>PANASONIC_[鋼板系列]650公升雙門變頻冰箱_NR-B651TV-S(晶漾銀)</v>
      </c>
      <c r="E320" s="12" t="str">
        <f ca="1">IFERROR(__xludf.DUMMYFUNCTION("""COMPUTED_VALUE"""),"NR-B651TV-S")</f>
        <v>NR-B651TV-S</v>
      </c>
      <c r="F320" s="12">
        <f ca="1">IFERROR(__xludf.DUMMYFUNCTION("""COMPUTED_VALUE"""),51012138)</f>
        <v>51012138</v>
      </c>
      <c r="G320" s="12" t="str">
        <f ca="1">IFERROR(__xludf.DUMMYFUNCTION("""COMPUTED_VALUE"""),"IGEM0376")</f>
        <v>IGEM0376</v>
      </c>
      <c r="H320" s="12">
        <f ca="1">IFERROR(__xludf.DUMMYFUNCTION("""COMPUTED_VALUE"""),33500)</f>
        <v>33500</v>
      </c>
      <c r="I320" s="14">
        <f ca="1">IFERROR(__xludf.DUMMYFUNCTION("""COMPUTED_VALUE"""),31155)</f>
        <v>31155</v>
      </c>
      <c r="J320" s="12"/>
      <c r="K320" s="12"/>
      <c r="L320" s="12" t="str">
        <f ca="1">IFERROR(__xludf.DUMMYFUNCTION("""COMPUTED_VALUE"""),"上架中")</f>
        <v>上架中</v>
      </c>
      <c r="M320" s="12" t="str">
        <f ca="1">IFERROR(__xludf.DUMMYFUNCTION("""COMPUTED_VALUE"""),"客訂機種，請先洽大同確認貨況")</f>
        <v>客訂機種，請先洽大同確認貨況</v>
      </c>
      <c r="N320" s="12" t="str">
        <f ca="1">IFERROR(__xludf.DUMMYFUNCTION("""COMPUTED_VALUE"""),"雙門變頻")</f>
        <v>雙門變頻</v>
      </c>
      <c r="O320" s="12" t="str">
        <f ca="1">IFERROR(__xludf.DUMMYFUNCTION("""COMPUTED_VALUE"""),"晶漾銀")</f>
        <v>晶漾銀</v>
      </c>
      <c r="P320" s="12" t="str">
        <f ca="1">IFERROR(__xludf.DUMMYFUNCTION("""COMPUTED_VALUE"""),"650L")</f>
        <v>650L</v>
      </c>
      <c r="Q320" s="12" t="str">
        <f ca="1">IFERROR(__xludf.DUMMYFUNCTION("""COMPUTED_VALUE"""),"高1830x寬805x深780mm")</f>
        <v>高1830x寬805x深780mm</v>
      </c>
      <c r="R320" s="12" t="str">
        <f ca="1">IFERROR(__xludf.DUMMYFUNCTION("""COMPUTED_VALUE"""),"台灣")</f>
        <v>台灣</v>
      </c>
      <c r="S320" s="12" t="str">
        <f ca="1">IFERROR(__xludf.DUMMYFUNCTION("""COMPUTED_VALUE"""),"V")</f>
        <v>V</v>
      </c>
      <c r="T320" s="13" t="str">
        <f ca="1">IFERROR(__xludf.DUMMYFUNCTION("""COMPUTED_VALUE"""),"1級能效")</f>
        <v>1級能效</v>
      </c>
      <c r="U320" s="12" t="str">
        <f ca="1">IFERROR(__xludf.DUMMYFUNCTION("""COMPUTED_VALUE"""),"1年")</f>
        <v>1年</v>
      </c>
      <c r="V320" s="12" t="str">
        <f ca="1">IFERROR(__xludf.DUMMYFUNCTION("""COMPUTED_VALUE"""),"5年")</f>
        <v>5年</v>
      </c>
      <c r="W320" s="12" t="str">
        <f ca="1">IFERROR(__xludf.DUMMYFUNCTION("""COMPUTED_VALUE"""),"(10/1~114/2/28)隨貨送SP-2503-PR(德國Othello可微波不鏽鋼保鮮盒三件組)")</f>
        <v>(10/1~114/2/28)隨貨送SP-2503-PR(德國Othello可微波不鏽鋼保鮮盒三件組)</v>
      </c>
      <c r="X320" s="12"/>
      <c r="Y320" s="12">
        <f ca="1">IFERROR(__xludf.DUMMYFUNCTION("""COMPUTED_VALUE"""),650)</f>
        <v>650</v>
      </c>
      <c r="Z320" s="14" t="str">
        <f ca="1">IFERROR(__xludf.DUMMYFUNCTION("""COMPUTED_VALUE"""),"2000")</f>
        <v>2000</v>
      </c>
      <c r="AA320" s="15" t="str">
        <f ca="1">IFERROR(__xludf.DUMMYFUNCTION("""COMPUTED_VALUE"""),"*超大冷凍室佔比30%*急速冷凍行程(2倍速)*超大瓶罐輕鬆放入-瓶棚大容量設計*即鮮魚肉保鮮室(約1度C)*活動式製冰盒*冷凍、冷藏室LED燈*全室高耐重玻璃層架(耐重100kg)*Ag銀離子抑菌")</f>
        <v>*超大冷凍室佔比30%*急速冷凍行程(2倍速)*超大瓶罐輕鬆放入-瓶棚大容量設計*即鮮魚肉保鮮室(約1度C)*活動式製冰盒*冷凍、冷藏室LED燈*全室高耐重玻璃層架(耐重100kg)*Ag銀離子抑菌</v>
      </c>
    </row>
    <row r="321" spans="1:27" ht="19.5" customHeight="1">
      <c r="A321" s="12" t="str">
        <f ca="1">IFERROR(__xludf.DUMMYFUNCTION("""COMPUTED_VALUE"""),"冰箱")</f>
        <v>冰箱</v>
      </c>
      <c r="B321" s="12" t="str">
        <f ca="1">IFERROR(__xludf.DUMMYFUNCTION("""COMPUTED_VALUE"""),"大同")</f>
        <v>大同</v>
      </c>
      <c r="C321" s="12" t="str">
        <f ca="1">IFERROR(__xludf.DUMMYFUNCTION("""COMPUTED_VALUE"""),"PANASONIC")</f>
        <v>PANASONIC</v>
      </c>
      <c r="D321" s="12" t="str">
        <f ca="1">IFERROR(__xludf.DUMMYFUNCTION("""COMPUTED_VALUE"""),"PANASONIC_[鋼板系列]650公升雙門變頻冰箱_NR-B651TV-K(晶漾黑)")</f>
        <v>PANASONIC_[鋼板系列]650公升雙門變頻冰箱_NR-B651TV-K(晶漾黑)</v>
      </c>
      <c r="E321" s="12" t="str">
        <f ca="1">IFERROR(__xludf.DUMMYFUNCTION("""COMPUTED_VALUE"""),"NR-B651TV-K")</f>
        <v>NR-B651TV-K</v>
      </c>
      <c r="F321" s="12">
        <f ca="1">IFERROR(__xludf.DUMMYFUNCTION("""COMPUTED_VALUE"""),51012139)</f>
        <v>51012139</v>
      </c>
      <c r="G321" s="12" t="str">
        <f ca="1">IFERROR(__xludf.DUMMYFUNCTION("""COMPUTED_VALUE"""),"IGEM0377")</f>
        <v>IGEM0377</v>
      </c>
      <c r="H321" s="12">
        <f ca="1">IFERROR(__xludf.DUMMYFUNCTION("""COMPUTED_VALUE"""),33500)</f>
        <v>33500</v>
      </c>
      <c r="I321" s="14">
        <f ca="1">IFERROR(__xludf.DUMMYFUNCTION("""COMPUTED_VALUE"""),31155)</f>
        <v>31155</v>
      </c>
      <c r="J321" s="12"/>
      <c r="K321" s="12"/>
      <c r="L321" s="12" t="str">
        <f ca="1">IFERROR(__xludf.DUMMYFUNCTION("""COMPUTED_VALUE"""),"上架中")</f>
        <v>上架中</v>
      </c>
      <c r="M321" s="12" t="str">
        <f ca="1">IFERROR(__xludf.DUMMYFUNCTION("""COMPUTED_VALUE"""),"客訂機種，請先洽大同確認貨況")</f>
        <v>客訂機種，請先洽大同確認貨況</v>
      </c>
      <c r="N321" s="12" t="str">
        <f ca="1">IFERROR(__xludf.DUMMYFUNCTION("""COMPUTED_VALUE"""),"雙門變頻")</f>
        <v>雙門變頻</v>
      </c>
      <c r="O321" s="12" t="str">
        <f ca="1">IFERROR(__xludf.DUMMYFUNCTION("""COMPUTED_VALUE"""),"晶漾黑")</f>
        <v>晶漾黑</v>
      </c>
      <c r="P321" s="12" t="str">
        <f ca="1">IFERROR(__xludf.DUMMYFUNCTION("""COMPUTED_VALUE"""),"650L")</f>
        <v>650L</v>
      </c>
      <c r="Q321" s="12" t="str">
        <f ca="1">IFERROR(__xludf.DUMMYFUNCTION("""COMPUTED_VALUE"""),"高1830x寬805x深780mm")</f>
        <v>高1830x寬805x深780mm</v>
      </c>
      <c r="R321" s="12" t="str">
        <f ca="1">IFERROR(__xludf.DUMMYFUNCTION("""COMPUTED_VALUE"""),"台灣")</f>
        <v>台灣</v>
      </c>
      <c r="S321" s="12" t="str">
        <f ca="1">IFERROR(__xludf.DUMMYFUNCTION("""COMPUTED_VALUE"""),"V")</f>
        <v>V</v>
      </c>
      <c r="T321" s="13" t="str">
        <f ca="1">IFERROR(__xludf.DUMMYFUNCTION("""COMPUTED_VALUE"""),"1級能效")</f>
        <v>1級能效</v>
      </c>
      <c r="U321" s="12" t="str">
        <f ca="1">IFERROR(__xludf.DUMMYFUNCTION("""COMPUTED_VALUE"""),"1年")</f>
        <v>1年</v>
      </c>
      <c r="V321" s="12" t="str">
        <f ca="1">IFERROR(__xludf.DUMMYFUNCTION("""COMPUTED_VALUE"""),"5年")</f>
        <v>5年</v>
      </c>
      <c r="W321" s="12" t="str">
        <f ca="1">IFERROR(__xludf.DUMMYFUNCTION("""COMPUTED_VALUE"""),"(10/1~114/2/28)隨貨送SP-2503-PR(德國Othello可微波不鏽鋼保鮮盒三件組)")</f>
        <v>(10/1~114/2/28)隨貨送SP-2503-PR(德國Othello可微波不鏽鋼保鮮盒三件組)</v>
      </c>
      <c r="X321" s="12"/>
      <c r="Y321" s="12">
        <f ca="1">IFERROR(__xludf.DUMMYFUNCTION("""COMPUTED_VALUE"""),650)</f>
        <v>650</v>
      </c>
      <c r="Z321" s="14" t="str">
        <f ca="1">IFERROR(__xludf.DUMMYFUNCTION("""COMPUTED_VALUE"""),"2000")</f>
        <v>2000</v>
      </c>
      <c r="AA321" s="15" t="str">
        <f ca="1">IFERROR(__xludf.DUMMYFUNCTION("""COMPUTED_VALUE"""),"*超大冷凍室佔比30%*急速冷凍行程(2倍速)*超大瓶罐輕鬆放入-瓶棚大容量設計*即鮮魚肉保鮮室(約1度C)*活動式製冰盒*冷凍、冷藏室LED燈*全室高耐重玻璃層架(耐重100kg)*Ag銀離子抑菌")</f>
        <v>*超大冷凍室佔比30%*急速冷凍行程(2倍速)*超大瓶罐輕鬆放入-瓶棚大容量設計*即鮮魚肉保鮮室(約1度C)*活動式製冰盒*冷凍、冷藏室LED燈*全室高耐重玻璃層架(耐重100kg)*Ag銀離子抑菌</v>
      </c>
    </row>
    <row r="322" spans="1:27" ht="19.5" customHeight="1">
      <c r="A322" s="12" t="str">
        <f ca="1">IFERROR(__xludf.DUMMYFUNCTION("""COMPUTED_VALUE"""),"冰箱")</f>
        <v>冰箱</v>
      </c>
      <c r="B322" s="12" t="str">
        <f ca="1">IFERROR(__xludf.DUMMYFUNCTION("""COMPUTED_VALUE"""),"大同")</f>
        <v>大同</v>
      </c>
      <c r="C322" s="12" t="str">
        <f ca="1">IFERROR(__xludf.DUMMYFUNCTION("""COMPUTED_VALUE"""),"Panasonic")</f>
        <v>Panasonic</v>
      </c>
      <c r="D322" s="12" t="str">
        <f ca="1">IFERROR(__xludf.DUMMYFUNCTION("""COMPUTED_VALUE"""),"Panasonic_變頻498L玻璃雙門冰箱(翡翠白)_NR-B493TG-W")</f>
        <v>Panasonic_變頻498L玻璃雙門冰箱(翡翠白)_NR-B493TG-W</v>
      </c>
      <c r="E322" s="12" t="str">
        <f ca="1">IFERROR(__xludf.DUMMYFUNCTION("""COMPUTED_VALUE"""),"NR-B493TG-W")</f>
        <v>NR-B493TG-W</v>
      </c>
      <c r="F322" s="12">
        <f ca="1">IFERROR(__xludf.DUMMYFUNCTION("""COMPUTED_VALUE"""),51089421)</f>
        <v>51089421</v>
      </c>
      <c r="G322" s="12" t="str">
        <f ca="1">IFERROR(__xludf.DUMMYFUNCTION("""COMPUTED_VALUE"""),"IGEM070G")</f>
        <v>IGEM070G</v>
      </c>
      <c r="H322" s="13">
        <f ca="1">IFERROR(__xludf.DUMMYFUNCTION("""COMPUTED_VALUE"""),30590)</f>
        <v>30590</v>
      </c>
      <c r="I322" s="18">
        <f ca="1">IFERROR(__xludf.DUMMYFUNCTION("""COMPUTED_VALUE"""),27531)</f>
        <v>27531</v>
      </c>
      <c r="J322" s="21">
        <f ca="1">IFERROR(__xludf.DUMMYFUNCTION("""COMPUTED_VALUE"""),44927)</f>
        <v>44927</v>
      </c>
      <c r="K322" s="12" t="str">
        <f ca="1">IFERROR(__xludf.DUMMYFUNCTION("""COMPUTED_VALUE"""),"回價")</f>
        <v>回價</v>
      </c>
      <c r="L322" s="12" t="str">
        <f ca="1">IFERROR(__xludf.DUMMYFUNCTION("""COMPUTED_VALUE"""),"上架中")</f>
        <v>上架中</v>
      </c>
      <c r="M322" s="12" t="str">
        <f ca="1">IFERROR(__xludf.DUMMYFUNCTION("""COMPUTED_VALUE"""),"正常供貨")</f>
        <v>正常供貨</v>
      </c>
      <c r="N322" s="12" t="str">
        <f ca="1">IFERROR(__xludf.DUMMYFUNCTION("""COMPUTED_VALUE"""),"雙門變頻")</f>
        <v>雙門變頻</v>
      </c>
      <c r="O322" s="12" t="str">
        <f ca="1">IFERROR(__xludf.DUMMYFUNCTION("""COMPUTED_VALUE"""),"翡翠白")</f>
        <v>翡翠白</v>
      </c>
      <c r="P322" s="12" t="str">
        <f ca="1">IFERROR(__xludf.DUMMYFUNCTION("""COMPUTED_VALUE"""),"496L")</f>
        <v>496L</v>
      </c>
      <c r="Q322" s="12" t="str">
        <f ca="1">IFERROR(__xludf.DUMMYFUNCTION("""COMPUTED_VALUE"""),"高1834 X 寬695 X 深780 mm")</f>
        <v>高1834 X 寬695 X 深780 mm</v>
      </c>
      <c r="R322" s="12" t="str">
        <f ca="1">IFERROR(__xludf.DUMMYFUNCTION("""COMPUTED_VALUE"""),"台灣")</f>
        <v>台灣</v>
      </c>
      <c r="S322" s="12" t="str">
        <f ca="1">IFERROR(__xludf.DUMMYFUNCTION("""COMPUTED_VALUE"""),"V")</f>
        <v>V</v>
      </c>
      <c r="T322" s="13" t="str">
        <f ca="1">IFERROR(__xludf.DUMMYFUNCTION("""COMPUTED_VALUE"""),"1級能效")</f>
        <v>1級能效</v>
      </c>
      <c r="U322" s="12" t="str">
        <f ca="1">IFERROR(__xludf.DUMMYFUNCTION("""COMPUTED_VALUE"""),"1年")</f>
        <v>1年</v>
      </c>
      <c r="V322" s="12"/>
      <c r="W322" s="12" t="str">
        <f ca="1">IFERROR(__xludf.DUMMYFUNCTION("""COMPUTED_VALUE"""),"(10/1~114/2/28)隨貨送SP-2503-PR(德國Othello可微波不鏽鋼保鮮盒三件組)")</f>
        <v>(10/1~114/2/28)隨貨送SP-2503-PR(德國Othello可微波不鏽鋼保鮮盒三件組)</v>
      </c>
      <c r="X322" s="12"/>
      <c r="Y322" s="12">
        <f ca="1">IFERROR(__xludf.DUMMYFUNCTION("""COMPUTED_VALUE"""),498)</f>
        <v>498</v>
      </c>
      <c r="Z322" s="14" t="str">
        <f ca="1">IFERROR(__xludf.DUMMYFUNCTION("""COMPUTED_VALUE"""),"2000")</f>
        <v>2000</v>
      </c>
      <c r="AA322" s="15" t="str">
        <f ca="1">IFERROR(__xludf.DUMMYFUNCTION("""COMPUTED_VALUE"""),"蔬果室/冷凍室/瓶棚大容量設計●活動式製冰盒●冷凍/冷藏LED燈●全室高耐重玻璃層架")</f>
        <v>蔬果室/冷凍室/瓶棚大容量設計●活動式製冰盒●冷凍/冷藏LED燈●全室高耐重玻璃層架</v>
      </c>
    </row>
    <row r="323" spans="1:27" ht="19.5" customHeight="1">
      <c r="A323" s="12" t="str">
        <f ca="1">IFERROR(__xludf.DUMMYFUNCTION("""COMPUTED_VALUE"""),"冰箱")</f>
        <v>冰箱</v>
      </c>
      <c r="B323" s="12" t="str">
        <f ca="1">IFERROR(__xludf.DUMMYFUNCTION("""COMPUTED_VALUE"""),"大同")</f>
        <v>大同</v>
      </c>
      <c r="C323" s="12" t="str">
        <f ca="1">IFERROR(__xludf.DUMMYFUNCTION("""COMPUTED_VALUE"""),"Panasonic")</f>
        <v>Panasonic</v>
      </c>
      <c r="D323" s="12" t="str">
        <f ca="1">IFERROR(__xludf.DUMMYFUNCTION("""COMPUTED_VALUE"""),"Panasonic_變頻498L玻璃雙門冰箱(曜石棕)_NR-B493TG-T")</f>
        <v>Panasonic_變頻498L玻璃雙門冰箱(曜石棕)_NR-B493TG-T</v>
      </c>
      <c r="E323" s="12" t="str">
        <f ca="1">IFERROR(__xludf.DUMMYFUNCTION("""COMPUTED_VALUE"""),"NR-B493TG-T")</f>
        <v>NR-B493TG-T</v>
      </c>
      <c r="F323" s="12">
        <f ca="1">IFERROR(__xludf.DUMMYFUNCTION("""COMPUTED_VALUE"""),51089422)</f>
        <v>51089422</v>
      </c>
      <c r="G323" s="12" t="str">
        <f ca="1">IFERROR(__xludf.DUMMYFUNCTION("""COMPUTED_VALUE"""),"IGEM070H")</f>
        <v>IGEM070H</v>
      </c>
      <c r="H323" s="13">
        <f ca="1">IFERROR(__xludf.DUMMYFUNCTION("""COMPUTED_VALUE"""),30590)</f>
        <v>30590</v>
      </c>
      <c r="I323" s="18">
        <f ca="1">IFERROR(__xludf.DUMMYFUNCTION("""COMPUTED_VALUE"""),27531)</f>
        <v>27531</v>
      </c>
      <c r="J323" s="21">
        <f ca="1">IFERROR(__xludf.DUMMYFUNCTION("""COMPUTED_VALUE"""),44927)</f>
        <v>44927</v>
      </c>
      <c r="K323" s="12" t="str">
        <f ca="1">IFERROR(__xludf.DUMMYFUNCTION("""COMPUTED_VALUE"""),"回價")</f>
        <v>回價</v>
      </c>
      <c r="L323" s="12" t="str">
        <f ca="1">IFERROR(__xludf.DUMMYFUNCTION("""COMPUTED_VALUE"""),"上架中")</f>
        <v>上架中</v>
      </c>
      <c r="M323" s="12" t="str">
        <f ca="1">IFERROR(__xludf.DUMMYFUNCTION("""COMPUTED_VALUE"""),"正常供貨")</f>
        <v>正常供貨</v>
      </c>
      <c r="N323" s="12" t="str">
        <f ca="1">IFERROR(__xludf.DUMMYFUNCTION("""COMPUTED_VALUE"""),"雙門變頻")</f>
        <v>雙門變頻</v>
      </c>
      <c r="O323" s="12" t="str">
        <f ca="1">IFERROR(__xludf.DUMMYFUNCTION("""COMPUTED_VALUE"""),"曜石棕")</f>
        <v>曜石棕</v>
      </c>
      <c r="P323" s="12" t="str">
        <f ca="1">IFERROR(__xludf.DUMMYFUNCTION("""COMPUTED_VALUE"""),"496L")</f>
        <v>496L</v>
      </c>
      <c r="Q323" s="12" t="str">
        <f ca="1">IFERROR(__xludf.DUMMYFUNCTION("""COMPUTED_VALUE"""),"高1834 X 寬695 X 深780 mm")</f>
        <v>高1834 X 寬695 X 深780 mm</v>
      </c>
      <c r="R323" s="12" t="str">
        <f ca="1">IFERROR(__xludf.DUMMYFUNCTION("""COMPUTED_VALUE"""),"台灣")</f>
        <v>台灣</v>
      </c>
      <c r="S323" s="12" t="str">
        <f ca="1">IFERROR(__xludf.DUMMYFUNCTION("""COMPUTED_VALUE"""),"V")</f>
        <v>V</v>
      </c>
      <c r="T323" s="13" t="str">
        <f ca="1">IFERROR(__xludf.DUMMYFUNCTION("""COMPUTED_VALUE"""),"1級能效")</f>
        <v>1級能效</v>
      </c>
      <c r="U323" s="12" t="str">
        <f ca="1">IFERROR(__xludf.DUMMYFUNCTION("""COMPUTED_VALUE"""),"1年")</f>
        <v>1年</v>
      </c>
      <c r="V323" s="12"/>
      <c r="W323" s="12" t="str">
        <f ca="1">IFERROR(__xludf.DUMMYFUNCTION("""COMPUTED_VALUE"""),"(10/1~114/2/28)隨貨送SP-2503-PR(德國Othello可微波不鏽鋼保鮮盒三件組)")</f>
        <v>(10/1~114/2/28)隨貨送SP-2503-PR(德國Othello可微波不鏽鋼保鮮盒三件組)</v>
      </c>
      <c r="X323" s="12"/>
      <c r="Y323" s="12">
        <f ca="1">IFERROR(__xludf.DUMMYFUNCTION("""COMPUTED_VALUE"""),498)</f>
        <v>498</v>
      </c>
      <c r="Z323" s="14" t="str">
        <f ca="1">IFERROR(__xludf.DUMMYFUNCTION("""COMPUTED_VALUE"""),"2000")</f>
        <v>2000</v>
      </c>
      <c r="AA323" s="15" t="str">
        <f ca="1">IFERROR(__xludf.DUMMYFUNCTION("""COMPUTED_VALUE"""),"蔬果室/冷凍室/瓶棚大容量設計●活動式製冰盒●冷凍/冷藏LED燈●全室高耐重玻璃層架")</f>
        <v>蔬果室/冷凍室/瓶棚大容量設計●活動式製冰盒●冷凍/冷藏LED燈●全室高耐重玻璃層架</v>
      </c>
    </row>
    <row r="324" spans="1:27" ht="19.5" customHeight="1">
      <c r="A324" s="12" t="str">
        <f ca="1">IFERROR(__xludf.DUMMYFUNCTION("""COMPUTED_VALUE"""),"冰箱")</f>
        <v>冰箱</v>
      </c>
      <c r="B324" s="12" t="str">
        <f ca="1">IFERROR(__xludf.DUMMYFUNCTION("""COMPUTED_VALUE"""),"大同")</f>
        <v>大同</v>
      </c>
      <c r="C324" s="12" t="str">
        <f ca="1">IFERROR(__xludf.DUMMYFUNCTION("""COMPUTED_VALUE"""),"Panasonic")</f>
        <v>Panasonic</v>
      </c>
      <c r="D324" s="12" t="str">
        <f ca="1">IFERROR(__xludf.DUMMYFUNCTION("""COMPUTED_VALUE"""),"Panasonic_變頻498L鋼板雙門冰箱(晶漾銀)_NR-B493TV-S")</f>
        <v>Panasonic_變頻498L鋼板雙門冰箱(晶漾銀)_NR-B493TV-S</v>
      </c>
      <c r="E324" s="12" t="str">
        <f ca="1">IFERROR(__xludf.DUMMYFUNCTION("""COMPUTED_VALUE"""),"NR-B493TV-S")</f>
        <v>NR-B493TV-S</v>
      </c>
      <c r="F324" s="12">
        <f ca="1">IFERROR(__xludf.DUMMYFUNCTION("""COMPUTED_VALUE"""),51089431)</f>
        <v>51089431</v>
      </c>
      <c r="G324" s="12" t="str">
        <f ca="1">IFERROR(__xludf.DUMMYFUNCTION("""COMPUTED_VALUE"""),"IGEM070Q")</f>
        <v>IGEM070Q</v>
      </c>
      <c r="H324" s="13">
        <f ca="1">IFERROR(__xludf.DUMMYFUNCTION("""COMPUTED_VALUE"""),27590)</f>
        <v>27590</v>
      </c>
      <c r="I324" s="18">
        <f ca="1">IFERROR(__xludf.DUMMYFUNCTION("""COMPUTED_VALUE"""),25659)</f>
        <v>25659</v>
      </c>
      <c r="J324" s="12"/>
      <c r="K324" s="12"/>
      <c r="L324" s="12" t="str">
        <f ca="1">IFERROR(__xludf.DUMMYFUNCTION("""COMPUTED_VALUE"""),"上架中")</f>
        <v>上架中</v>
      </c>
      <c r="M324" s="12" t="str">
        <f ca="1">IFERROR(__xludf.DUMMYFUNCTION("""COMPUTED_VALUE"""),"客訂機種，請先洽大同確認貨況")</f>
        <v>客訂機種，請先洽大同確認貨況</v>
      </c>
      <c r="N324" s="12" t="str">
        <f ca="1">IFERROR(__xludf.DUMMYFUNCTION("""COMPUTED_VALUE"""),"雙門變頻")</f>
        <v>雙門變頻</v>
      </c>
      <c r="O324" s="12" t="str">
        <f ca="1">IFERROR(__xludf.DUMMYFUNCTION("""COMPUTED_VALUE"""),"晶漾銀")</f>
        <v>晶漾銀</v>
      </c>
      <c r="P324" s="12" t="str">
        <f ca="1">IFERROR(__xludf.DUMMYFUNCTION("""COMPUTED_VALUE"""),"498L")</f>
        <v>498L</v>
      </c>
      <c r="Q324" s="12" t="str">
        <f ca="1">IFERROR(__xludf.DUMMYFUNCTION("""COMPUTED_VALUE"""),"高1834 X 寬695 X 深780 mm")</f>
        <v>高1834 X 寬695 X 深780 mm</v>
      </c>
      <c r="R324" s="12" t="str">
        <f ca="1">IFERROR(__xludf.DUMMYFUNCTION("""COMPUTED_VALUE"""),"台灣")</f>
        <v>台灣</v>
      </c>
      <c r="S324" s="12" t="str">
        <f ca="1">IFERROR(__xludf.DUMMYFUNCTION("""COMPUTED_VALUE"""),"V")</f>
        <v>V</v>
      </c>
      <c r="T324" s="13" t="str">
        <f ca="1">IFERROR(__xludf.DUMMYFUNCTION("""COMPUTED_VALUE"""),"1級能效")</f>
        <v>1級能效</v>
      </c>
      <c r="U324" s="12" t="str">
        <f ca="1">IFERROR(__xludf.DUMMYFUNCTION("""COMPUTED_VALUE"""),"1年")</f>
        <v>1年</v>
      </c>
      <c r="V324" s="12"/>
      <c r="W324" s="12" t="str">
        <f ca="1">IFERROR(__xludf.DUMMYFUNCTION("""COMPUTED_VALUE"""),"(10/1~114/2/28)隨貨送SP-2503-PR(德國Othello可微波不鏽鋼保鮮盒三件組)")</f>
        <v>(10/1~114/2/28)隨貨送SP-2503-PR(德國Othello可微波不鏽鋼保鮮盒三件組)</v>
      </c>
      <c r="X324" s="12"/>
      <c r="Y324" s="12">
        <f ca="1">IFERROR(__xludf.DUMMYFUNCTION("""COMPUTED_VALUE"""),498)</f>
        <v>498</v>
      </c>
      <c r="Z324" s="14" t="str">
        <f ca="1">IFERROR(__xludf.DUMMYFUNCTION("""COMPUTED_VALUE"""),"2000")</f>
        <v>2000</v>
      </c>
      <c r="AA324" s="15" t="str">
        <f ca="1">IFERROR(__xludf.DUMMYFUNCTION("""COMPUTED_VALUE"""),"●冷凍室/蔬果室/瓶棚大容量設計●活動式製冰盒●冷凍/冷藏LED燈●全室高耐重玻璃層架")</f>
        <v>●冷凍室/蔬果室/瓶棚大容量設計●活動式製冰盒●冷凍/冷藏LED燈●全室高耐重玻璃層架</v>
      </c>
    </row>
    <row r="325" spans="1:27" ht="19.5" customHeight="1">
      <c r="A325" s="12" t="str">
        <f ca="1">IFERROR(__xludf.DUMMYFUNCTION("""COMPUTED_VALUE"""),"冰箱")</f>
        <v>冰箱</v>
      </c>
      <c r="B325" s="12" t="str">
        <f ca="1">IFERROR(__xludf.DUMMYFUNCTION("""COMPUTED_VALUE"""),"大同")</f>
        <v>大同</v>
      </c>
      <c r="C325" s="12" t="str">
        <f ca="1">IFERROR(__xludf.DUMMYFUNCTION("""COMPUTED_VALUE"""),"Panasonic")</f>
        <v>Panasonic</v>
      </c>
      <c r="D325" s="12" t="str">
        <f ca="1">IFERROR(__xludf.DUMMYFUNCTION("""COMPUTED_VALUE"""),"Panasonic_變頻498L鋼板雙門冰箱(晶漾黑)_NR-B493TV-K")</f>
        <v>Panasonic_變頻498L鋼板雙門冰箱(晶漾黑)_NR-B493TV-K</v>
      </c>
      <c r="E325" s="12" t="str">
        <f ca="1">IFERROR(__xludf.DUMMYFUNCTION("""COMPUTED_VALUE"""),"NR-B493TV-K")</f>
        <v>NR-B493TV-K</v>
      </c>
      <c r="F325" s="12">
        <f ca="1">IFERROR(__xludf.DUMMYFUNCTION("""COMPUTED_VALUE"""),51089432)</f>
        <v>51089432</v>
      </c>
      <c r="G325" s="12" t="str">
        <f ca="1">IFERROR(__xludf.DUMMYFUNCTION("""COMPUTED_VALUE"""),"IGEM070R")</f>
        <v>IGEM070R</v>
      </c>
      <c r="H325" s="13">
        <f ca="1">IFERROR(__xludf.DUMMYFUNCTION("""COMPUTED_VALUE"""),27590)</f>
        <v>27590</v>
      </c>
      <c r="I325" s="18">
        <f ca="1">IFERROR(__xludf.DUMMYFUNCTION("""COMPUTED_VALUE"""),25659)</f>
        <v>25659</v>
      </c>
      <c r="J325" s="12"/>
      <c r="K325" s="12"/>
      <c r="L325" s="12" t="str">
        <f ca="1">IFERROR(__xludf.DUMMYFUNCTION("""COMPUTED_VALUE"""),"上架中")</f>
        <v>上架中</v>
      </c>
      <c r="M325" s="12" t="str">
        <f ca="1">IFERROR(__xludf.DUMMYFUNCTION("""COMPUTED_VALUE"""),"客訂機種，請先洽大同確認貨況")</f>
        <v>客訂機種，請先洽大同確認貨況</v>
      </c>
      <c r="N325" s="12" t="str">
        <f ca="1">IFERROR(__xludf.DUMMYFUNCTION("""COMPUTED_VALUE"""),"雙門變頻")</f>
        <v>雙門變頻</v>
      </c>
      <c r="O325" s="12" t="str">
        <f ca="1">IFERROR(__xludf.DUMMYFUNCTION("""COMPUTED_VALUE"""),"晶漾黑")</f>
        <v>晶漾黑</v>
      </c>
      <c r="P325" s="12" t="str">
        <f ca="1">IFERROR(__xludf.DUMMYFUNCTION("""COMPUTED_VALUE"""),"498L")</f>
        <v>498L</v>
      </c>
      <c r="Q325" s="12" t="str">
        <f ca="1">IFERROR(__xludf.DUMMYFUNCTION("""COMPUTED_VALUE"""),"高1834 X 寬695 X 深780 mm")</f>
        <v>高1834 X 寬695 X 深780 mm</v>
      </c>
      <c r="R325" s="12" t="str">
        <f ca="1">IFERROR(__xludf.DUMMYFUNCTION("""COMPUTED_VALUE"""),"台灣")</f>
        <v>台灣</v>
      </c>
      <c r="S325" s="12" t="str">
        <f ca="1">IFERROR(__xludf.DUMMYFUNCTION("""COMPUTED_VALUE"""),"V")</f>
        <v>V</v>
      </c>
      <c r="T325" s="13" t="str">
        <f ca="1">IFERROR(__xludf.DUMMYFUNCTION("""COMPUTED_VALUE"""),"1級能效")</f>
        <v>1級能效</v>
      </c>
      <c r="U325" s="12" t="str">
        <f ca="1">IFERROR(__xludf.DUMMYFUNCTION("""COMPUTED_VALUE"""),"1年")</f>
        <v>1年</v>
      </c>
      <c r="V325" s="12"/>
      <c r="W325" s="12" t="str">
        <f ca="1">IFERROR(__xludf.DUMMYFUNCTION("""COMPUTED_VALUE"""),"(10/1~114/2/28)隨貨送SP-2503-PR(德國Othello可微波不鏽鋼保鮮盒三件組)")</f>
        <v>(10/1~114/2/28)隨貨送SP-2503-PR(德國Othello可微波不鏽鋼保鮮盒三件組)</v>
      </c>
      <c r="X325" s="12"/>
      <c r="Y325" s="12">
        <f ca="1">IFERROR(__xludf.DUMMYFUNCTION("""COMPUTED_VALUE"""),498)</f>
        <v>498</v>
      </c>
      <c r="Z325" s="14" t="str">
        <f ca="1">IFERROR(__xludf.DUMMYFUNCTION("""COMPUTED_VALUE"""),"2000")</f>
        <v>2000</v>
      </c>
      <c r="AA325" s="15" t="str">
        <f ca="1">IFERROR(__xludf.DUMMYFUNCTION("""COMPUTED_VALUE"""),"●冷凍室/蔬果室/瓶棚大容量設計●活動式製冰盒●冷凍/冷藏LED燈●全室高耐重玻璃層架")</f>
        <v>●冷凍室/蔬果室/瓶棚大容量設計●活動式製冰盒●冷凍/冷藏LED燈●全室高耐重玻璃層架</v>
      </c>
    </row>
    <row r="326" spans="1:27" ht="19.5" customHeight="1">
      <c r="A326" s="12" t="str">
        <f ca="1">IFERROR(__xludf.DUMMYFUNCTION("""COMPUTED_VALUE"""),"冰箱")</f>
        <v>冰箱</v>
      </c>
      <c r="B326" s="12" t="str">
        <f ca="1">IFERROR(__xludf.DUMMYFUNCTION("""COMPUTED_VALUE"""),"大同")</f>
        <v>大同</v>
      </c>
      <c r="C326" s="12" t="str">
        <f ca="1">IFERROR(__xludf.DUMMYFUNCTION("""COMPUTED_VALUE"""),"Panasonic")</f>
        <v>Panasonic</v>
      </c>
      <c r="D326" s="12" t="str">
        <f ca="1">IFERROR(__xludf.DUMMYFUNCTION("""COMPUTED_VALUE"""),"Panasonic_國際變頻絲絨鋼板三門冰箱500L(夜幕黑)_NR-C505XV-B")</f>
        <v>Panasonic_國際變頻絲絨鋼板三門冰箱500L(夜幕黑)_NR-C505XV-B</v>
      </c>
      <c r="E326" s="12" t="str">
        <f ca="1">IFERROR(__xludf.DUMMYFUNCTION("""COMPUTED_VALUE"""),"NR-C505XV-B")</f>
        <v>NR-C505XV-B</v>
      </c>
      <c r="F326" s="12">
        <f ca="1">IFERROR(__xludf.DUMMYFUNCTION("""COMPUTED_VALUE"""),51081410)</f>
        <v>51081410</v>
      </c>
      <c r="G326" s="12" t="str">
        <f ca="1">IFERROR(__xludf.DUMMYFUNCTION("""COMPUTED_VALUE"""),"IGEM113E")</f>
        <v>IGEM113E</v>
      </c>
      <c r="H326" s="13">
        <f ca="1">IFERROR(__xludf.DUMMYFUNCTION("""COMPUTED_VALUE"""),40300)</f>
        <v>40300</v>
      </c>
      <c r="I326" s="18">
        <f ca="1">IFERROR(__xludf.DUMMYFUNCTION("""COMPUTED_VALUE"""),38285)</f>
        <v>38285</v>
      </c>
      <c r="J326" s="21">
        <f ca="1">IFERROR(__xludf.DUMMYFUNCTION("""COMPUTED_VALUE"""),45597)</f>
        <v>45597</v>
      </c>
      <c r="K326" s="12" t="str">
        <f ca="1">IFERROR(__xludf.DUMMYFUNCTION("""COMPUTED_VALUE"""),"新機上架")</f>
        <v>新機上架</v>
      </c>
      <c r="L326" s="12" t="str">
        <f ca="1">IFERROR(__xludf.DUMMYFUNCTION("""COMPUTED_VALUE"""),"上架中")</f>
        <v>上架中</v>
      </c>
      <c r="M326" s="12" t="str">
        <f ca="1">IFERROR(__xludf.DUMMYFUNCTION("""COMPUTED_VALUE"""),"客訂機種，請先洽大同確認貨況")</f>
        <v>客訂機種，請先洽大同確認貨況</v>
      </c>
      <c r="N326" s="12" t="str">
        <f ca="1">IFERROR(__xludf.DUMMYFUNCTION("""COMPUTED_VALUE"""),"三門變頻")</f>
        <v>三門變頻</v>
      </c>
      <c r="O326" s="12" t="str">
        <f ca="1">IFERROR(__xludf.DUMMYFUNCTION("""COMPUTED_VALUE"""),"夜幕黑")</f>
        <v>夜幕黑</v>
      </c>
      <c r="P326" s="12" t="str">
        <f ca="1">IFERROR(__xludf.DUMMYFUNCTION("""COMPUTED_VALUE"""),"500L")</f>
        <v>500L</v>
      </c>
      <c r="Q326" s="12" t="str">
        <f ca="1">IFERROR(__xludf.DUMMYFUNCTION("""COMPUTED_VALUE"""),"1834×725×695mm")</f>
        <v>1834×725×695mm</v>
      </c>
      <c r="R326" s="12" t="str">
        <f ca="1">IFERROR(__xludf.DUMMYFUNCTION("""COMPUTED_VALUE"""),"台灣")</f>
        <v>台灣</v>
      </c>
      <c r="S326" s="12" t="str">
        <f ca="1">IFERROR(__xludf.DUMMYFUNCTION("""COMPUTED_VALUE"""),"V")</f>
        <v>V</v>
      </c>
      <c r="T326" s="13" t="str">
        <f ca="1">IFERROR(__xludf.DUMMYFUNCTION("""COMPUTED_VALUE"""),"1級能效")</f>
        <v>1級能效</v>
      </c>
      <c r="U326" s="12" t="str">
        <f ca="1">IFERROR(__xludf.DUMMYFUNCTION("""COMPUTED_VALUE"""),"1年")</f>
        <v>1年</v>
      </c>
      <c r="V326" s="12" t="str">
        <f ca="1">IFERROR(__xludf.DUMMYFUNCTION("""COMPUTED_VALUE"""),"3年")</f>
        <v>3年</v>
      </c>
      <c r="W326" s="12"/>
      <c r="X326" s="12"/>
      <c r="Y326" s="12">
        <f ca="1">IFERROR(__xludf.DUMMYFUNCTION("""COMPUTED_VALUE"""),500)</f>
        <v>500</v>
      </c>
      <c r="Z326" s="14" t="str">
        <f ca="1">IFERROR(__xludf.DUMMYFUNCTION("""COMPUTED_VALUE"""),"2000")</f>
        <v>2000</v>
      </c>
      <c r="AA326"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27" spans="1:27" ht="19.5" customHeight="1">
      <c r="A327" s="12" t="str">
        <f ca="1">IFERROR(__xludf.DUMMYFUNCTION("""COMPUTED_VALUE"""),"冰箱")</f>
        <v>冰箱</v>
      </c>
      <c r="B327" s="12" t="str">
        <f ca="1">IFERROR(__xludf.DUMMYFUNCTION("""COMPUTED_VALUE"""),"大同")</f>
        <v>大同</v>
      </c>
      <c r="C327" s="12" t="str">
        <f ca="1">IFERROR(__xludf.DUMMYFUNCTION("""COMPUTED_VALUE"""),"Panasonic")</f>
        <v>Panasonic</v>
      </c>
      <c r="D327" s="12" t="str">
        <f ca="1">IFERROR(__xludf.DUMMYFUNCTION("""COMPUTED_VALUE"""),"Panasonic_國際變頻絲絨鋼板三門冰箱500L(雪霧白)_NR-C505XV-W")</f>
        <v>Panasonic_國際變頻絲絨鋼板三門冰箱500L(雪霧白)_NR-C505XV-W</v>
      </c>
      <c r="E327" s="12" t="str">
        <f ca="1">IFERROR(__xludf.DUMMYFUNCTION("""COMPUTED_VALUE"""),"NR-C505XV-W")</f>
        <v>NR-C505XV-W</v>
      </c>
      <c r="F327" s="12">
        <f ca="1">IFERROR(__xludf.DUMMYFUNCTION("""COMPUTED_VALUE"""),51081411)</f>
        <v>51081411</v>
      </c>
      <c r="G327" s="12" t="str">
        <f ca="1">IFERROR(__xludf.DUMMYFUNCTION("""COMPUTED_VALUE"""),"IGEM113F")</f>
        <v>IGEM113F</v>
      </c>
      <c r="H327" s="13">
        <f ca="1">IFERROR(__xludf.DUMMYFUNCTION("""COMPUTED_VALUE"""),40300)</f>
        <v>40300</v>
      </c>
      <c r="I327" s="18">
        <f ca="1">IFERROR(__xludf.DUMMYFUNCTION("""COMPUTED_VALUE"""),38285)</f>
        <v>38285</v>
      </c>
      <c r="J327" s="21">
        <f ca="1">IFERROR(__xludf.DUMMYFUNCTION("""COMPUTED_VALUE"""),45597)</f>
        <v>45597</v>
      </c>
      <c r="K327" s="12" t="str">
        <f ca="1">IFERROR(__xludf.DUMMYFUNCTION("""COMPUTED_VALUE"""),"新機上架")</f>
        <v>新機上架</v>
      </c>
      <c r="L327" s="12" t="str">
        <f ca="1">IFERROR(__xludf.DUMMYFUNCTION("""COMPUTED_VALUE"""),"上架中")</f>
        <v>上架中</v>
      </c>
      <c r="M327" s="12" t="str">
        <f ca="1">IFERROR(__xludf.DUMMYFUNCTION("""COMPUTED_VALUE"""),"客訂機種，請先洽大同確認貨況")</f>
        <v>客訂機種，請先洽大同確認貨況</v>
      </c>
      <c r="N327" s="12" t="str">
        <f ca="1">IFERROR(__xludf.DUMMYFUNCTION("""COMPUTED_VALUE"""),"三門變頻")</f>
        <v>三門變頻</v>
      </c>
      <c r="O327" s="12" t="str">
        <f ca="1">IFERROR(__xludf.DUMMYFUNCTION("""COMPUTED_VALUE"""),"雪霧白")</f>
        <v>雪霧白</v>
      </c>
      <c r="P327" s="12" t="str">
        <f ca="1">IFERROR(__xludf.DUMMYFUNCTION("""COMPUTED_VALUE"""),"500L")</f>
        <v>500L</v>
      </c>
      <c r="Q327" s="12" t="str">
        <f ca="1">IFERROR(__xludf.DUMMYFUNCTION("""COMPUTED_VALUE"""),"1834×725×695mm")</f>
        <v>1834×725×695mm</v>
      </c>
      <c r="R327" s="12" t="str">
        <f ca="1">IFERROR(__xludf.DUMMYFUNCTION("""COMPUTED_VALUE"""),"台灣")</f>
        <v>台灣</v>
      </c>
      <c r="S327" s="12" t="str">
        <f ca="1">IFERROR(__xludf.DUMMYFUNCTION("""COMPUTED_VALUE"""),"V")</f>
        <v>V</v>
      </c>
      <c r="T327" s="13" t="str">
        <f ca="1">IFERROR(__xludf.DUMMYFUNCTION("""COMPUTED_VALUE"""),"1級能效")</f>
        <v>1級能效</v>
      </c>
      <c r="U327" s="12" t="str">
        <f ca="1">IFERROR(__xludf.DUMMYFUNCTION("""COMPUTED_VALUE"""),"1年")</f>
        <v>1年</v>
      </c>
      <c r="V327" s="12" t="str">
        <f ca="1">IFERROR(__xludf.DUMMYFUNCTION("""COMPUTED_VALUE"""),"3年")</f>
        <v>3年</v>
      </c>
      <c r="W327" s="12"/>
      <c r="X327" s="12"/>
      <c r="Y327" s="12">
        <f ca="1">IFERROR(__xludf.DUMMYFUNCTION("""COMPUTED_VALUE"""),500)</f>
        <v>500</v>
      </c>
      <c r="Z327" s="14" t="str">
        <f ca="1">IFERROR(__xludf.DUMMYFUNCTION("""COMPUTED_VALUE"""),"2000")</f>
        <v>2000</v>
      </c>
      <c r="AA327"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28" spans="1:27" ht="19.5" customHeight="1">
      <c r="A328" s="12" t="str">
        <f ca="1">IFERROR(__xludf.DUMMYFUNCTION("""COMPUTED_VALUE"""),"冰箱")</f>
        <v>冰箱</v>
      </c>
      <c r="B328" s="12" t="str">
        <f ca="1">IFERROR(__xludf.DUMMYFUNCTION("""COMPUTED_VALUE"""),"大同")</f>
        <v>大同</v>
      </c>
      <c r="C328" s="12" t="str">
        <f ca="1">IFERROR(__xludf.DUMMYFUNCTION("""COMPUTED_VALUE"""),"Panasonic")</f>
        <v>Panasonic</v>
      </c>
      <c r="D328" s="12" t="str">
        <f ca="1">IFERROR(__xludf.DUMMYFUNCTION("""COMPUTED_VALUE"""),"Panasonic_國際變頻絲絨鋼板三門冰箱610L(夜幕黑)_NR-C615XV-B")</f>
        <v>Panasonic_國際變頻絲絨鋼板三門冰箱610L(夜幕黑)_NR-C615XV-B</v>
      </c>
      <c r="E328" s="12" t="str">
        <f ca="1">IFERROR(__xludf.DUMMYFUNCTION("""COMPUTED_VALUE"""),"NR-C615XV-B")</f>
        <v>NR-C615XV-B</v>
      </c>
      <c r="F328" s="12">
        <f ca="1">IFERROR(__xludf.DUMMYFUNCTION("""COMPUTED_VALUE"""),51081412)</f>
        <v>51081412</v>
      </c>
      <c r="G328" s="12" t="str">
        <f ca="1">IFERROR(__xludf.DUMMYFUNCTION("""COMPUTED_VALUE"""),"IGEM113G")</f>
        <v>IGEM113G</v>
      </c>
      <c r="H328" s="13">
        <f ca="1">IFERROR(__xludf.DUMMYFUNCTION("""COMPUTED_VALUE"""),41300)</f>
        <v>41300</v>
      </c>
      <c r="I328" s="18">
        <f ca="1">IFERROR(__xludf.DUMMYFUNCTION("""COMPUTED_VALUE"""),39235)</f>
        <v>39235</v>
      </c>
      <c r="J328" s="21">
        <f ca="1">IFERROR(__xludf.DUMMYFUNCTION("""COMPUTED_VALUE"""),45597)</f>
        <v>45597</v>
      </c>
      <c r="K328" s="12" t="str">
        <f ca="1">IFERROR(__xludf.DUMMYFUNCTION("""COMPUTED_VALUE"""),"新機上架")</f>
        <v>新機上架</v>
      </c>
      <c r="L328" s="12" t="str">
        <f ca="1">IFERROR(__xludf.DUMMYFUNCTION("""COMPUTED_VALUE"""),"上架中")</f>
        <v>上架中</v>
      </c>
      <c r="M328" s="12" t="str">
        <f ca="1">IFERROR(__xludf.DUMMYFUNCTION("""COMPUTED_VALUE"""),"客訂機種，請先洽大同確認貨況")</f>
        <v>客訂機種，請先洽大同確認貨況</v>
      </c>
      <c r="N328" s="12" t="str">
        <f ca="1">IFERROR(__xludf.DUMMYFUNCTION("""COMPUTED_VALUE"""),"三門變頻")</f>
        <v>三門變頻</v>
      </c>
      <c r="O328" s="12" t="str">
        <f ca="1">IFERROR(__xludf.DUMMYFUNCTION("""COMPUTED_VALUE"""),"夜幕黑")</f>
        <v>夜幕黑</v>
      </c>
      <c r="P328" s="12" t="str">
        <f ca="1">IFERROR(__xludf.DUMMYFUNCTION("""COMPUTED_VALUE"""),"610L")</f>
        <v>610L</v>
      </c>
      <c r="Q328" s="12" t="str">
        <f ca="1">IFERROR(__xludf.DUMMYFUNCTION("""COMPUTED_VALUE"""),"1834×775×780mm")</f>
        <v>1834×775×780mm</v>
      </c>
      <c r="R328" s="12" t="str">
        <f ca="1">IFERROR(__xludf.DUMMYFUNCTION("""COMPUTED_VALUE"""),"台灣")</f>
        <v>台灣</v>
      </c>
      <c r="S328" s="12" t="str">
        <f ca="1">IFERROR(__xludf.DUMMYFUNCTION("""COMPUTED_VALUE"""),"V")</f>
        <v>V</v>
      </c>
      <c r="T328" s="13" t="str">
        <f ca="1">IFERROR(__xludf.DUMMYFUNCTION("""COMPUTED_VALUE"""),"1級能效")</f>
        <v>1級能效</v>
      </c>
      <c r="U328" s="12" t="str">
        <f ca="1">IFERROR(__xludf.DUMMYFUNCTION("""COMPUTED_VALUE"""),"1年")</f>
        <v>1年</v>
      </c>
      <c r="V328" s="12" t="str">
        <f ca="1">IFERROR(__xludf.DUMMYFUNCTION("""COMPUTED_VALUE"""),"3年")</f>
        <v>3年</v>
      </c>
      <c r="W328" s="12"/>
      <c r="X328" s="12"/>
      <c r="Y328" s="12">
        <f ca="1">IFERROR(__xludf.DUMMYFUNCTION("""COMPUTED_VALUE"""),610)</f>
        <v>610</v>
      </c>
      <c r="Z328" s="14" t="str">
        <f ca="1">IFERROR(__xludf.DUMMYFUNCTION("""COMPUTED_VALUE"""),"2000")</f>
        <v>2000</v>
      </c>
      <c r="AA328"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29" spans="1:27" ht="19.5" customHeight="1">
      <c r="A329" s="12" t="str">
        <f ca="1">IFERROR(__xludf.DUMMYFUNCTION("""COMPUTED_VALUE"""),"冰箱")</f>
        <v>冰箱</v>
      </c>
      <c r="B329" s="12" t="str">
        <f ca="1">IFERROR(__xludf.DUMMYFUNCTION("""COMPUTED_VALUE"""),"大同")</f>
        <v>大同</v>
      </c>
      <c r="C329" s="12" t="str">
        <f ca="1">IFERROR(__xludf.DUMMYFUNCTION("""COMPUTED_VALUE"""),"Panasonic")</f>
        <v>Panasonic</v>
      </c>
      <c r="D329" s="12" t="str">
        <f ca="1">IFERROR(__xludf.DUMMYFUNCTION("""COMPUTED_VALUE"""),"Panasonic_國際變頻絲絨鋼板三門冰箱610L(雪霧白)_NR-C615XV-W")</f>
        <v>Panasonic_國際變頻絲絨鋼板三門冰箱610L(雪霧白)_NR-C615XV-W</v>
      </c>
      <c r="E329" s="12" t="str">
        <f ca="1">IFERROR(__xludf.DUMMYFUNCTION("""COMPUTED_VALUE"""),"NR-C615XV-W")</f>
        <v>NR-C615XV-W</v>
      </c>
      <c r="F329" s="12">
        <f ca="1">IFERROR(__xludf.DUMMYFUNCTION("""COMPUTED_VALUE"""),51081413)</f>
        <v>51081413</v>
      </c>
      <c r="G329" s="12" t="str">
        <f ca="1">IFERROR(__xludf.DUMMYFUNCTION("""COMPUTED_VALUE"""),"IGEM113H")</f>
        <v>IGEM113H</v>
      </c>
      <c r="H329" s="13">
        <f ca="1">IFERROR(__xludf.DUMMYFUNCTION("""COMPUTED_VALUE"""),41300)</f>
        <v>41300</v>
      </c>
      <c r="I329" s="18">
        <f ca="1">IFERROR(__xludf.DUMMYFUNCTION("""COMPUTED_VALUE"""),39235)</f>
        <v>39235</v>
      </c>
      <c r="J329" s="21">
        <f ca="1">IFERROR(__xludf.DUMMYFUNCTION("""COMPUTED_VALUE"""),45597)</f>
        <v>45597</v>
      </c>
      <c r="K329" s="12" t="str">
        <f ca="1">IFERROR(__xludf.DUMMYFUNCTION("""COMPUTED_VALUE"""),"新機上架")</f>
        <v>新機上架</v>
      </c>
      <c r="L329" s="12" t="str">
        <f ca="1">IFERROR(__xludf.DUMMYFUNCTION("""COMPUTED_VALUE"""),"上架中")</f>
        <v>上架中</v>
      </c>
      <c r="M329" s="12" t="str">
        <f ca="1">IFERROR(__xludf.DUMMYFUNCTION("""COMPUTED_VALUE"""),"客訂機種，請先洽大同確認貨況")</f>
        <v>客訂機種，請先洽大同確認貨況</v>
      </c>
      <c r="N329" s="12" t="str">
        <f ca="1">IFERROR(__xludf.DUMMYFUNCTION("""COMPUTED_VALUE"""),"三門變頻")</f>
        <v>三門變頻</v>
      </c>
      <c r="O329" s="12" t="str">
        <f ca="1">IFERROR(__xludf.DUMMYFUNCTION("""COMPUTED_VALUE"""),"雪霧白")</f>
        <v>雪霧白</v>
      </c>
      <c r="P329" s="12" t="str">
        <f ca="1">IFERROR(__xludf.DUMMYFUNCTION("""COMPUTED_VALUE"""),"610L")</f>
        <v>610L</v>
      </c>
      <c r="Q329" s="12" t="str">
        <f ca="1">IFERROR(__xludf.DUMMYFUNCTION("""COMPUTED_VALUE"""),"1834×775×780mm")</f>
        <v>1834×775×780mm</v>
      </c>
      <c r="R329" s="12" t="str">
        <f ca="1">IFERROR(__xludf.DUMMYFUNCTION("""COMPUTED_VALUE"""),"台灣")</f>
        <v>台灣</v>
      </c>
      <c r="S329" s="12" t="str">
        <f ca="1">IFERROR(__xludf.DUMMYFUNCTION("""COMPUTED_VALUE"""),"V")</f>
        <v>V</v>
      </c>
      <c r="T329" s="13" t="str">
        <f ca="1">IFERROR(__xludf.DUMMYFUNCTION("""COMPUTED_VALUE"""),"1級能效")</f>
        <v>1級能效</v>
      </c>
      <c r="U329" s="12" t="str">
        <f ca="1">IFERROR(__xludf.DUMMYFUNCTION("""COMPUTED_VALUE"""),"1年")</f>
        <v>1年</v>
      </c>
      <c r="V329" s="12" t="str">
        <f ca="1">IFERROR(__xludf.DUMMYFUNCTION("""COMPUTED_VALUE"""),"3年")</f>
        <v>3年</v>
      </c>
      <c r="W329" s="12"/>
      <c r="X329" s="12"/>
      <c r="Y329" s="12">
        <f ca="1">IFERROR(__xludf.DUMMYFUNCTION("""COMPUTED_VALUE"""),610)</f>
        <v>610</v>
      </c>
      <c r="Z329" s="14" t="str">
        <f ca="1">IFERROR(__xludf.DUMMYFUNCTION("""COMPUTED_VALUE"""),"2000")</f>
        <v>2000</v>
      </c>
      <c r="AA329"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0" spans="1:27" ht="19.5" customHeight="1">
      <c r="A330" s="12" t="str">
        <f ca="1">IFERROR(__xludf.DUMMYFUNCTION("""COMPUTED_VALUE"""),"冰箱")</f>
        <v>冰箱</v>
      </c>
      <c r="B330" s="12" t="str">
        <f ca="1">IFERROR(__xludf.DUMMYFUNCTION("""COMPUTED_VALUE"""),"大同")</f>
        <v>大同</v>
      </c>
      <c r="C330" s="12" t="str">
        <f ca="1">IFERROR(__xludf.DUMMYFUNCTION("""COMPUTED_VALUE"""),"Panasonic")</f>
        <v>Panasonic</v>
      </c>
      <c r="D330" s="12" t="str">
        <f ca="1">IFERROR(__xludf.DUMMYFUNCTION("""COMPUTED_VALUE"""),"Panasonic_國際變頻絲絨鋼板四門冰箱500L(夜幕黑)_NR-D505XV-B")</f>
        <v>Panasonic_國際變頻絲絨鋼板四門冰箱500L(夜幕黑)_NR-D505XV-B</v>
      </c>
      <c r="E330" s="12" t="str">
        <f ca="1">IFERROR(__xludf.DUMMYFUNCTION("""COMPUTED_VALUE"""),"NR-D505XV-B")</f>
        <v>NR-D505XV-B</v>
      </c>
      <c r="F330" s="12">
        <f ca="1">IFERROR(__xludf.DUMMYFUNCTION("""COMPUTED_VALUE"""),51081414)</f>
        <v>51081414</v>
      </c>
      <c r="G330" s="12" t="str">
        <f ca="1">IFERROR(__xludf.DUMMYFUNCTION("""COMPUTED_VALUE"""),"IGEM113I")</f>
        <v>IGEM113I</v>
      </c>
      <c r="H330" s="13">
        <f ca="1">IFERROR(__xludf.DUMMYFUNCTION("""COMPUTED_VALUE"""),42300)</f>
        <v>42300</v>
      </c>
      <c r="I330" s="18">
        <f ca="1">IFERROR(__xludf.DUMMYFUNCTION("""COMPUTED_VALUE"""),40185)</f>
        <v>40185</v>
      </c>
      <c r="J330" s="21">
        <f ca="1">IFERROR(__xludf.DUMMYFUNCTION("""COMPUTED_VALUE"""),45597)</f>
        <v>45597</v>
      </c>
      <c r="K330" s="12" t="str">
        <f ca="1">IFERROR(__xludf.DUMMYFUNCTION("""COMPUTED_VALUE"""),"新機上架")</f>
        <v>新機上架</v>
      </c>
      <c r="L330" s="12" t="str">
        <f ca="1">IFERROR(__xludf.DUMMYFUNCTION("""COMPUTED_VALUE"""),"上架中")</f>
        <v>上架中</v>
      </c>
      <c r="M330" s="12" t="str">
        <f ca="1">IFERROR(__xludf.DUMMYFUNCTION("""COMPUTED_VALUE"""),"客訂機種，請先洽大同確認貨況")</f>
        <v>客訂機種，請先洽大同確認貨況</v>
      </c>
      <c r="N330" s="12" t="str">
        <f ca="1">IFERROR(__xludf.DUMMYFUNCTION("""COMPUTED_VALUE"""),"四門變頻")</f>
        <v>四門變頻</v>
      </c>
      <c r="O330" s="12" t="str">
        <f ca="1">IFERROR(__xludf.DUMMYFUNCTION("""COMPUTED_VALUE"""),"夜幕黑")</f>
        <v>夜幕黑</v>
      </c>
      <c r="P330" s="12" t="str">
        <f ca="1">IFERROR(__xludf.DUMMYFUNCTION("""COMPUTED_VALUE"""),"500L")</f>
        <v>500L</v>
      </c>
      <c r="Q330" s="12" t="str">
        <f ca="1">IFERROR(__xludf.DUMMYFUNCTION("""COMPUTED_VALUE"""),"1834×725×695mm")</f>
        <v>1834×725×695mm</v>
      </c>
      <c r="R330" s="12" t="str">
        <f ca="1">IFERROR(__xludf.DUMMYFUNCTION("""COMPUTED_VALUE"""),"台灣")</f>
        <v>台灣</v>
      </c>
      <c r="S330" s="12" t="str">
        <f ca="1">IFERROR(__xludf.DUMMYFUNCTION("""COMPUTED_VALUE"""),"V")</f>
        <v>V</v>
      </c>
      <c r="T330" s="13" t="str">
        <f ca="1">IFERROR(__xludf.DUMMYFUNCTION("""COMPUTED_VALUE"""),"1級能效")</f>
        <v>1級能效</v>
      </c>
      <c r="U330" s="12" t="str">
        <f ca="1">IFERROR(__xludf.DUMMYFUNCTION("""COMPUTED_VALUE"""),"1年")</f>
        <v>1年</v>
      </c>
      <c r="V330" s="12" t="str">
        <f ca="1">IFERROR(__xludf.DUMMYFUNCTION("""COMPUTED_VALUE"""),"3年")</f>
        <v>3年</v>
      </c>
      <c r="W330" s="12"/>
      <c r="X330" s="12"/>
      <c r="Y330" s="12">
        <f ca="1">IFERROR(__xludf.DUMMYFUNCTION("""COMPUTED_VALUE"""),500)</f>
        <v>500</v>
      </c>
      <c r="Z330" s="14" t="str">
        <f ca="1">IFERROR(__xludf.DUMMYFUNCTION("""COMPUTED_VALUE"""),"2000")</f>
        <v>2000</v>
      </c>
      <c r="AA330"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1" spans="1:27" ht="19.5" customHeight="1">
      <c r="A331" s="12" t="str">
        <f ca="1">IFERROR(__xludf.DUMMYFUNCTION("""COMPUTED_VALUE"""),"冰箱")</f>
        <v>冰箱</v>
      </c>
      <c r="B331" s="12" t="str">
        <f ca="1">IFERROR(__xludf.DUMMYFUNCTION("""COMPUTED_VALUE"""),"大同")</f>
        <v>大同</v>
      </c>
      <c r="C331" s="12" t="str">
        <f ca="1">IFERROR(__xludf.DUMMYFUNCTION("""COMPUTED_VALUE"""),"Panasonic")</f>
        <v>Panasonic</v>
      </c>
      <c r="D331" s="12" t="str">
        <f ca="1">IFERROR(__xludf.DUMMYFUNCTION("""COMPUTED_VALUE"""),"Panasonic_國際變頻絲絨鋼板四門冰箱500L(雪霧白)_NR-D505XV-W")</f>
        <v>Panasonic_國際變頻絲絨鋼板四門冰箱500L(雪霧白)_NR-D505XV-W</v>
      </c>
      <c r="E331" s="12" t="str">
        <f ca="1">IFERROR(__xludf.DUMMYFUNCTION("""COMPUTED_VALUE"""),"NR-D505XV-W")</f>
        <v>NR-D505XV-W</v>
      </c>
      <c r="F331" s="12">
        <f ca="1">IFERROR(__xludf.DUMMYFUNCTION("""COMPUTED_VALUE"""),51081415)</f>
        <v>51081415</v>
      </c>
      <c r="G331" s="12" t="str">
        <f ca="1">IFERROR(__xludf.DUMMYFUNCTION("""COMPUTED_VALUE"""),"IGEM113J")</f>
        <v>IGEM113J</v>
      </c>
      <c r="H331" s="13">
        <f ca="1">IFERROR(__xludf.DUMMYFUNCTION("""COMPUTED_VALUE"""),42300)</f>
        <v>42300</v>
      </c>
      <c r="I331" s="18">
        <f ca="1">IFERROR(__xludf.DUMMYFUNCTION("""COMPUTED_VALUE"""),40185)</f>
        <v>40185</v>
      </c>
      <c r="J331" s="21">
        <f ca="1">IFERROR(__xludf.DUMMYFUNCTION("""COMPUTED_VALUE"""),45597)</f>
        <v>45597</v>
      </c>
      <c r="K331" s="12" t="str">
        <f ca="1">IFERROR(__xludf.DUMMYFUNCTION("""COMPUTED_VALUE"""),"新機上架")</f>
        <v>新機上架</v>
      </c>
      <c r="L331" s="12" t="str">
        <f ca="1">IFERROR(__xludf.DUMMYFUNCTION("""COMPUTED_VALUE"""),"上架中")</f>
        <v>上架中</v>
      </c>
      <c r="M331" s="12" t="str">
        <f ca="1">IFERROR(__xludf.DUMMYFUNCTION("""COMPUTED_VALUE"""),"客訂機種，請先洽大同確認貨況")</f>
        <v>客訂機種，請先洽大同確認貨況</v>
      </c>
      <c r="N331" s="12" t="str">
        <f ca="1">IFERROR(__xludf.DUMMYFUNCTION("""COMPUTED_VALUE"""),"四門變頻")</f>
        <v>四門變頻</v>
      </c>
      <c r="O331" s="12" t="str">
        <f ca="1">IFERROR(__xludf.DUMMYFUNCTION("""COMPUTED_VALUE"""),"雪霧白")</f>
        <v>雪霧白</v>
      </c>
      <c r="P331" s="12" t="str">
        <f ca="1">IFERROR(__xludf.DUMMYFUNCTION("""COMPUTED_VALUE"""),"500L")</f>
        <v>500L</v>
      </c>
      <c r="Q331" s="12" t="str">
        <f ca="1">IFERROR(__xludf.DUMMYFUNCTION("""COMPUTED_VALUE"""),"1834×725×695mm")</f>
        <v>1834×725×695mm</v>
      </c>
      <c r="R331" s="12" t="str">
        <f ca="1">IFERROR(__xludf.DUMMYFUNCTION("""COMPUTED_VALUE"""),"台灣")</f>
        <v>台灣</v>
      </c>
      <c r="S331" s="12" t="str">
        <f ca="1">IFERROR(__xludf.DUMMYFUNCTION("""COMPUTED_VALUE"""),"V")</f>
        <v>V</v>
      </c>
      <c r="T331" s="13" t="str">
        <f ca="1">IFERROR(__xludf.DUMMYFUNCTION("""COMPUTED_VALUE"""),"1級能效")</f>
        <v>1級能效</v>
      </c>
      <c r="U331" s="12" t="str">
        <f ca="1">IFERROR(__xludf.DUMMYFUNCTION("""COMPUTED_VALUE"""),"1年")</f>
        <v>1年</v>
      </c>
      <c r="V331" s="12" t="str">
        <f ca="1">IFERROR(__xludf.DUMMYFUNCTION("""COMPUTED_VALUE"""),"3年")</f>
        <v>3年</v>
      </c>
      <c r="W331" s="12"/>
      <c r="X331" s="12"/>
      <c r="Y331" s="12">
        <f ca="1">IFERROR(__xludf.DUMMYFUNCTION("""COMPUTED_VALUE"""),500)</f>
        <v>500</v>
      </c>
      <c r="Z331" s="14" t="str">
        <f ca="1">IFERROR(__xludf.DUMMYFUNCTION("""COMPUTED_VALUE"""),"2000")</f>
        <v>2000</v>
      </c>
      <c r="AA331"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2" spans="1:27" ht="19.5" customHeight="1">
      <c r="A332" s="12" t="str">
        <f ca="1">IFERROR(__xludf.DUMMYFUNCTION("""COMPUTED_VALUE"""),"冰箱")</f>
        <v>冰箱</v>
      </c>
      <c r="B332" s="12" t="str">
        <f ca="1">IFERROR(__xludf.DUMMYFUNCTION("""COMPUTED_VALUE"""),"大同")</f>
        <v>大同</v>
      </c>
      <c r="C332" s="12" t="str">
        <f ca="1">IFERROR(__xludf.DUMMYFUNCTION("""COMPUTED_VALUE"""),"Panasonic")</f>
        <v>Panasonic</v>
      </c>
      <c r="D332" s="12" t="str">
        <f ca="1">IFERROR(__xludf.DUMMYFUNCTION("""COMPUTED_VALUE"""),"Panasonic_國際變頻絲絨鋼板四門冰箱610L(夜幕黑)_NR-D615XV-B")</f>
        <v>Panasonic_國際變頻絲絨鋼板四門冰箱610L(夜幕黑)_NR-D615XV-B</v>
      </c>
      <c r="E332" s="12" t="str">
        <f ca="1">IFERROR(__xludf.DUMMYFUNCTION("""COMPUTED_VALUE"""),"NR-D615XV-B")</f>
        <v>NR-D615XV-B</v>
      </c>
      <c r="F332" s="12">
        <f ca="1">IFERROR(__xludf.DUMMYFUNCTION("""COMPUTED_VALUE"""),51081416)</f>
        <v>51081416</v>
      </c>
      <c r="G332" s="12" t="str">
        <f ca="1">IFERROR(__xludf.DUMMYFUNCTION("""COMPUTED_VALUE"""),"IGEM113K")</f>
        <v>IGEM113K</v>
      </c>
      <c r="H332" s="13">
        <f ca="1">IFERROR(__xludf.DUMMYFUNCTION("""COMPUTED_VALUE"""),43300)</f>
        <v>43300</v>
      </c>
      <c r="I332" s="18">
        <f ca="1">IFERROR(__xludf.DUMMYFUNCTION("""COMPUTED_VALUE"""),41135)</f>
        <v>41135</v>
      </c>
      <c r="J332" s="21">
        <f ca="1">IFERROR(__xludf.DUMMYFUNCTION("""COMPUTED_VALUE"""),45597)</f>
        <v>45597</v>
      </c>
      <c r="K332" s="12" t="str">
        <f ca="1">IFERROR(__xludf.DUMMYFUNCTION("""COMPUTED_VALUE"""),"新機上架")</f>
        <v>新機上架</v>
      </c>
      <c r="L332" s="12" t="str">
        <f ca="1">IFERROR(__xludf.DUMMYFUNCTION("""COMPUTED_VALUE"""),"上架中")</f>
        <v>上架中</v>
      </c>
      <c r="M332" s="12" t="str">
        <f ca="1">IFERROR(__xludf.DUMMYFUNCTION("""COMPUTED_VALUE"""),"客訂機種，請先洽大同確認貨況")</f>
        <v>客訂機種，請先洽大同確認貨況</v>
      </c>
      <c r="N332" s="12" t="str">
        <f ca="1">IFERROR(__xludf.DUMMYFUNCTION("""COMPUTED_VALUE"""),"四門變頻")</f>
        <v>四門變頻</v>
      </c>
      <c r="O332" s="12" t="str">
        <f ca="1">IFERROR(__xludf.DUMMYFUNCTION("""COMPUTED_VALUE"""),"夜幕黑")</f>
        <v>夜幕黑</v>
      </c>
      <c r="P332" s="12" t="str">
        <f ca="1">IFERROR(__xludf.DUMMYFUNCTION("""COMPUTED_VALUE"""),"610L")</f>
        <v>610L</v>
      </c>
      <c r="Q332" s="12" t="str">
        <f ca="1">IFERROR(__xludf.DUMMYFUNCTION("""COMPUTED_VALUE"""),"1834×775×780mm")</f>
        <v>1834×775×780mm</v>
      </c>
      <c r="R332" s="12" t="str">
        <f ca="1">IFERROR(__xludf.DUMMYFUNCTION("""COMPUTED_VALUE"""),"台灣")</f>
        <v>台灣</v>
      </c>
      <c r="S332" s="12" t="str">
        <f ca="1">IFERROR(__xludf.DUMMYFUNCTION("""COMPUTED_VALUE"""),"V")</f>
        <v>V</v>
      </c>
      <c r="T332" s="13" t="str">
        <f ca="1">IFERROR(__xludf.DUMMYFUNCTION("""COMPUTED_VALUE"""),"1級能效")</f>
        <v>1級能效</v>
      </c>
      <c r="U332" s="12" t="str">
        <f ca="1">IFERROR(__xludf.DUMMYFUNCTION("""COMPUTED_VALUE"""),"1年")</f>
        <v>1年</v>
      </c>
      <c r="V332" s="12" t="str">
        <f ca="1">IFERROR(__xludf.DUMMYFUNCTION("""COMPUTED_VALUE"""),"3年")</f>
        <v>3年</v>
      </c>
      <c r="W332" s="12"/>
      <c r="X332" s="12"/>
      <c r="Y332" s="12">
        <f ca="1">IFERROR(__xludf.DUMMYFUNCTION("""COMPUTED_VALUE"""),610)</f>
        <v>610</v>
      </c>
      <c r="Z332" s="14" t="str">
        <f ca="1">IFERROR(__xludf.DUMMYFUNCTION("""COMPUTED_VALUE"""),"2000")</f>
        <v>2000</v>
      </c>
      <c r="AA332"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3" spans="1:27" ht="19.5" customHeight="1">
      <c r="A333" s="12" t="str">
        <f ca="1">IFERROR(__xludf.DUMMYFUNCTION("""COMPUTED_VALUE"""),"冰箱")</f>
        <v>冰箱</v>
      </c>
      <c r="B333" s="12" t="str">
        <f ca="1">IFERROR(__xludf.DUMMYFUNCTION("""COMPUTED_VALUE"""),"大同")</f>
        <v>大同</v>
      </c>
      <c r="C333" s="12" t="str">
        <f ca="1">IFERROR(__xludf.DUMMYFUNCTION("""COMPUTED_VALUE"""),"Panasonic")</f>
        <v>Panasonic</v>
      </c>
      <c r="D333" s="12" t="str">
        <f ca="1">IFERROR(__xludf.DUMMYFUNCTION("""COMPUTED_VALUE"""),"Panasonic_國際變頻絲絨鋼板四門冰箱610L(雪霧白)_NR-D615XV-W")</f>
        <v>Panasonic_國際變頻絲絨鋼板四門冰箱610L(雪霧白)_NR-D615XV-W</v>
      </c>
      <c r="E333" s="12" t="str">
        <f ca="1">IFERROR(__xludf.DUMMYFUNCTION("""COMPUTED_VALUE"""),"NR-D615XV-W")</f>
        <v>NR-D615XV-W</v>
      </c>
      <c r="F333" s="12">
        <f ca="1">IFERROR(__xludf.DUMMYFUNCTION("""COMPUTED_VALUE"""),51081417)</f>
        <v>51081417</v>
      </c>
      <c r="G333" s="12" t="str">
        <f ca="1">IFERROR(__xludf.DUMMYFUNCTION("""COMPUTED_VALUE"""),"IGEM113L")</f>
        <v>IGEM113L</v>
      </c>
      <c r="H333" s="13">
        <f ca="1">IFERROR(__xludf.DUMMYFUNCTION("""COMPUTED_VALUE"""),43300)</f>
        <v>43300</v>
      </c>
      <c r="I333" s="18">
        <f ca="1">IFERROR(__xludf.DUMMYFUNCTION("""COMPUTED_VALUE"""),41135)</f>
        <v>41135</v>
      </c>
      <c r="J333" s="21">
        <f ca="1">IFERROR(__xludf.DUMMYFUNCTION("""COMPUTED_VALUE"""),45597)</f>
        <v>45597</v>
      </c>
      <c r="K333" s="12" t="str">
        <f ca="1">IFERROR(__xludf.DUMMYFUNCTION("""COMPUTED_VALUE"""),"新機上架")</f>
        <v>新機上架</v>
      </c>
      <c r="L333" s="12" t="str">
        <f ca="1">IFERROR(__xludf.DUMMYFUNCTION("""COMPUTED_VALUE"""),"上架中")</f>
        <v>上架中</v>
      </c>
      <c r="M333" s="12" t="str">
        <f ca="1">IFERROR(__xludf.DUMMYFUNCTION("""COMPUTED_VALUE"""),"客訂機種，請先洽大同確認貨況")</f>
        <v>客訂機種，請先洽大同確認貨況</v>
      </c>
      <c r="N333" s="12" t="str">
        <f ca="1">IFERROR(__xludf.DUMMYFUNCTION("""COMPUTED_VALUE"""),"四門變頻")</f>
        <v>四門變頻</v>
      </c>
      <c r="O333" s="12" t="str">
        <f ca="1">IFERROR(__xludf.DUMMYFUNCTION("""COMPUTED_VALUE"""),"雪霧白")</f>
        <v>雪霧白</v>
      </c>
      <c r="P333" s="12" t="str">
        <f ca="1">IFERROR(__xludf.DUMMYFUNCTION("""COMPUTED_VALUE"""),"610L")</f>
        <v>610L</v>
      </c>
      <c r="Q333" s="12" t="str">
        <f ca="1">IFERROR(__xludf.DUMMYFUNCTION("""COMPUTED_VALUE"""),"1834×775×780mm")</f>
        <v>1834×775×780mm</v>
      </c>
      <c r="R333" s="12" t="str">
        <f ca="1">IFERROR(__xludf.DUMMYFUNCTION("""COMPUTED_VALUE"""),"台灣")</f>
        <v>台灣</v>
      </c>
      <c r="S333" s="12" t="str">
        <f ca="1">IFERROR(__xludf.DUMMYFUNCTION("""COMPUTED_VALUE"""),"V")</f>
        <v>V</v>
      </c>
      <c r="T333" s="13" t="str">
        <f ca="1">IFERROR(__xludf.DUMMYFUNCTION("""COMPUTED_VALUE"""),"1級能效")</f>
        <v>1級能效</v>
      </c>
      <c r="U333" s="12" t="str">
        <f ca="1">IFERROR(__xludf.DUMMYFUNCTION("""COMPUTED_VALUE"""),"1年")</f>
        <v>1年</v>
      </c>
      <c r="V333" s="12" t="str">
        <f ca="1">IFERROR(__xludf.DUMMYFUNCTION("""COMPUTED_VALUE"""),"3年")</f>
        <v>3年</v>
      </c>
      <c r="W333" s="12"/>
      <c r="X333" s="12"/>
      <c r="Y333" s="12">
        <f ca="1">IFERROR(__xludf.DUMMYFUNCTION("""COMPUTED_VALUE"""),610)</f>
        <v>610</v>
      </c>
      <c r="Z333" s="14" t="str">
        <f ca="1">IFERROR(__xludf.DUMMYFUNCTION("""COMPUTED_VALUE"""),"2000")</f>
        <v>2000</v>
      </c>
      <c r="AA333"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4" spans="1:27" ht="19.5" customHeight="1">
      <c r="A334" s="12" t="str">
        <f ca="1">IFERROR(__xludf.DUMMYFUNCTION("""COMPUTED_VALUE"""),"冰箱")</f>
        <v>冰箱</v>
      </c>
      <c r="B334" s="12" t="str">
        <f ca="1">IFERROR(__xludf.DUMMYFUNCTION("""COMPUTED_VALUE"""),"大同")</f>
        <v>大同</v>
      </c>
      <c r="C334" s="12" t="str">
        <f ca="1">IFERROR(__xludf.DUMMYFUNCTION("""COMPUTED_VALUE"""),"Panasonic")</f>
        <v>Panasonic</v>
      </c>
      <c r="D334" s="12" t="str">
        <f ca="1">IFERROR(__xludf.DUMMYFUNCTION("""COMPUTED_VALUE"""),"Panasonic_國際變頻岩板玻璃三門冰箱500L(墨岩黑)_NR-C505XGS-B")</f>
        <v>Panasonic_國際變頻岩板玻璃三門冰箱500L(墨岩黑)_NR-C505XGS-B</v>
      </c>
      <c r="E334" s="12" t="str">
        <f ca="1">IFERROR(__xludf.DUMMYFUNCTION("""COMPUTED_VALUE"""),"NR-C505XGS-B")</f>
        <v>NR-C505XGS-B</v>
      </c>
      <c r="F334" s="12">
        <f ca="1">IFERROR(__xludf.DUMMYFUNCTION("""COMPUTED_VALUE"""),51081418)</f>
        <v>51081418</v>
      </c>
      <c r="G334" s="12" t="str">
        <f ca="1">IFERROR(__xludf.DUMMYFUNCTION("""COMPUTED_VALUE"""),"IGEM113M")</f>
        <v>IGEM113M</v>
      </c>
      <c r="H334" s="13">
        <f ca="1">IFERROR(__xludf.DUMMYFUNCTION("""COMPUTED_VALUE"""),45300)</f>
        <v>45300</v>
      </c>
      <c r="I334" s="18">
        <f ca="1">IFERROR(__xludf.DUMMYFUNCTION("""COMPUTED_VALUE"""),43035)</f>
        <v>43035</v>
      </c>
      <c r="J334" s="21">
        <f ca="1">IFERROR(__xludf.DUMMYFUNCTION("""COMPUTED_VALUE"""),45597)</f>
        <v>45597</v>
      </c>
      <c r="K334" s="12" t="str">
        <f ca="1">IFERROR(__xludf.DUMMYFUNCTION("""COMPUTED_VALUE"""),"新機上架")</f>
        <v>新機上架</v>
      </c>
      <c r="L334" s="12" t="str">
        <f ca="1">IFERROR(__xludf.DUMMYFUNCTION("""COMPUTED_VALUE"""),"上架中")</f>
        <v>上架中</v>
      </c>
      <c r="M334" s="12" t="str">
        <f ca="1">IFERROR(__xludf.DUMMYFUNCTION("""COMPUTED_VALUE"""),"客訂機種，請先洽大同確認貨況")</f>
        <v>客訂機種，請先洽大同確認貨況</v>
      </c>
      <c r="N334" s="12" t="str">
        <f ca="1">IFERROR(__xludf.DUMMYFUNCTION("""COMPUTED_VALUE"""),"三門變頻")</f>
        <v>三門變頻</v>
      </c>
      <c r="O334" s="12" t="str">
        <f ca="1">IFERROR(__xludf.DUMMYFUNCTION("""COMPUTED_VALUE"""),"墨岩黑")</f>
        <v>墨岩黑</v>
      </c>
      <c r="P334" s="12" t="str">
        <f ca="1">IFERROR(__xludf.DUMMYFUNCTION("""COMPUTED_VALUE"""),"500L")</f>
        <v>500L</v>
      </c>
      <c r="Q334" s="12" t="str">
        <f ca="1">IFERROR(__xludf.DUMMYFUNCTION("""COMPUTED_VALUE"""),"1834×721×695mm")</f>
        <v>1834×721×695mm</v>
      </c>
      <c r="R334" s="12" t="str">
        <f ca="1">IFERROR(__xludf.DUMMYFUNCTION("""COMPUTED_VALUE"""),"台灣")</f>
        <v>台灣</v>
      </c>
      <c r="S334" s="12" t="str">
        <f ca="1">IFERROR(__xludf.DUMMYFUNCTION("""COMPUTED_VALUE"""),"V")</f>
        <v>V</v>
      </c>
      <c r="T334" s="13" t="str">
        <f ca="1">IFERROR(__xludf.DUMMYFUNCTION("""COMPUTED_VALUE"""),"1級能效")</f>
        <v>1級能效</v>
      </c>
      <c r="U334" s="12" t="str">
        <f ca="1">IFERROR(__xludf.DUMMYFUNCTION("""COMPUTED_VALUE"""),"1年")</f>
        <v>1年</v>
      </c>
      <c r="V334" s="12" t="str">
        <f ca="1">IFERROR(__xludf.DUMMYFUNCTION("""COMPUTED_VALUE"""),"3年")</f>
        <v>3年</v>
      </c>
      <c r="W334" s="12"/>
      <c r="X334" s="12"/>
      <c r="Y334" s="12">
        <f ca="1">IFERROR(__xludf.DUMMYFUNCTION("""COMPUTED_VALUE"""),500)</f>
        <v>500</v>
      </c>
      <c r="Z334" s="14" t="str">
        <f ca="1">IFERROR(__xludf.DUMMYFUNCTION("""COMPUTED_VALUE"""),"2000")</f>
        <v>2000</v>
      </c>
      <c r="AA334"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5" spans="1:27" ht="19.5" customHeight="1">
      <c r="A335" s="12" t="str">
        <f ca="1">IFERROR(__xludf.DUMMYFUNCTION("""COMPUTED_VALUE"""),"冰箱")</f>
        <v>冰箱</v>
      </c>
      <c r="B335" s="12" t="str">
        <f ca="1">IFERROR(__xludf.DUMMYFUNCTION("""COMPUTED_VALUE"""),"大同")</f>
        <v>大同</v>
      </c>
      <c r="C335" s="12" t="str">
        <f ca="1">IFERROR(__xludf.DUMMYFUNCTION("""COMPUTED_VALUE"""),"Panasonic")</f>
        <v>Panasonic</v>
      </c>
      <c r="D335" s="12" t="str">
        <f ca="1">IFERROR(__xludf.DUMMYFUNCTION("""COMPUTED_VALUE"""),"Panasonic_國際變頻岩板玻璃三門冰箱500L(雲岩白)_NR-C505XGS-W")</f>
        <v>Panasonic_國際變頻岩板玻璃三門冰箱500L(雲岩白)_NR-C505XGS-W</v>
      </c>
      <c r="E335" s="12" t="str">
        <f ca="1">IFERROR(__xludf.DUMMYFUNCTION("""COMPUTED_VALUE"""),"NR-C505XGS-W")</f>
        <v>NR-C505XGS-W</v>
      </c>
      <c r="F335" s="12">
        <f ca="1">IFERROR(__xludf.DUMMYFUNCTION("""COMPUTED_VALUE"""),51081419)</f>
        <v>51081419</v>
      </c>
      <c r="G335" s="12" t="str">
        <f ca="1">IFERROR(__xludf.DUMMYFUNCTION("""COMPUTED_VALUE"""),"IGEM113N")</f>
        <v>IGEM113N</v>
      </c>
      <c r="H335" s="13">
        <f ca="1">IFERROR(__xludf.DUMMYFUNCTION("""COMPUTED_VALUE"""),45300)</f>
        <v>45300</v>
      </c>
      <c r="I335" s="18">
        <f ca="1">IFERROR(__xludf.DUMMYFUNCTION("""COMPUTED_VALUE"""),43035)</f>
        <v>43035</v>
      </c>
      <c r="J335" s="21">
        <f ca="1">IFERROR(__xludf.DUMMYFUNCTION("""COMPUTED_VALUE"""),45597)</f>
        <v>45597</v>
      </c>
      <c r="K335" s="12" t="str">
        <f ca="1">IFERROR(__xludf.DUMMYFUNCTION("""COMPUTED_VALUE"""),"新機上架")</f>
        <v>新機上架</v>
      </c>
      <c r="L335" s="12" t="str">
        <f ca="1">IFERROR(__xludf.DUMMYFUNCTION("""COMPUTED_VALUE"""),"上架中")</f>
        <v>上架中</v>
      </c>
      <c r="M335" s="12" t="str">
        <f ca="1">IFERROR(__xludf.DUMMYFUNCTION("""COMPUTED_VALUE"""),"客訂機種，請先洽大同確認貨況")</f>
        <v>客訂機種，請先洽大同確認貨況</v>
      </c>
      <c r="N335" s="12" t="str">
        <f ca="1">IFERROR(__xludf.DUMMYFUNCTION("""COMPUTED_VALUE"""),"三門變頻")</f>
        <v>三門變頻</v>
      </c>
      <c r="O335" s="12" t="str">
        <f ca="1">IFERROR(__xludf.DUMMYFUNCTION("""COMPUTED_VALUE"""),"雲岩白")</f>
        <v>雲岩白</v>
      </c>
      <c r="P335" s="12" t="str">
        <f ca="1">IFERROR(__xludf.DUMMYFUNCTION("""COMPUTED_VALUE"""),"500L")</f>
        <v>500L</v>
      </c>
      <c r="Q335" s="12" t="str">
        <f ca="1">IFERROR(__xludf.DUMMYFUNCTION("""COMPUTED_VALUE"""),"1834×721×695mm")</f>
        <v>1834×721×695mm</v>
      </c>
      <c r="R335" s="12" t="str">
        <f ca="1">IFERROR(__xludf.DUMMYFUNCTION("""COMPUTED_VALUE"""),"台灣")</f>
        <v>台灣</v>
      </c>
      <c r="S335" s="12" t="str">
        <f ca="1">IFERROR(__xludf.DUMMYFUNCTION("""COMPUTED_VALUE"""),"V")</f>
        <v>V</v>
      </c>
      <c r="T335" s="13" t="str">
        <f ca="1">IFERROR(__xludf.DUMMYFUNCTION("""COMPUTED_VALUE"""),"1級能效")</f>
        <v>1級能效</v>
      </c>
      <c r="U335" s="12" t="str">
        <f ca="1">IFERROR(__xludf.DUMMYFUNCTION("""COMPUTED_VALUE"""),"1年")</f>
        <v>1年</v>
      </c>
      <c r="V335" s="12" t="str">
        <f ca="1">IFERROR(__xludf.DUMMYFUNCTION("""COMPUTED_VALUE"""),"3年")</f>
        <v>3年</v>
      </c>
      <c r="W335" s="12"/>
      <c r="X335" s="12"/>
      <c r="Y335" s="12">
        <f ca="1">IFERROR(__xludf.DUMMYFUNCTION("""COMPUTED_VALUE"""),500)</f>
        <v>500</v>
      </c>
      <c r="Z335" s="14" t="str">
        <f ca="1">IFERROR(__xludf.DUMMYFUNCTION("""COMPUTED_VALUE"""),"2000")</f>
        <v>2000</v>
      </c>
      <c r="AA335"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6" spans="1:27" ht="19.5" customHeight="1">
      <c r="A336" s="12" t="str">
        <f ca="1">IFERROR(__xludf.DUMMYFUNCTION("""COMPUTED_VALUE"""),"冰箱")</f>
        <v>冰箱</v>
      </c>
      <c r="B336" s="12" t="str">
        <f ca="1">IFERROR(__xludf.DUMMYFUNCTION("""COMPUTED_VALUE"""),"大同")</f>
        <v>大同</v>
      </c>
      <c r="C336" s="12" t="str">
        <f ca="1">IFERROR(__xludf.DUMMYFUNCTION("""COMPUTED_VALUE"""),"Panasonic")</f>
        <v>Panasonic</v>
      </c>
      <c r="D336" s="12" t="str">
        <f ca="1">IFERROR(__xludf.DUMMYFUNCTION("""COMPUTED_VALUE"""),"Panasonic_國際變頻岩板玻璃三門冰箱610L(墨岩黑)_NR-C615XGS-B")</f>
        <v>Panasonic_國際變頻岩板玻璃三門冰箱610L(墨岩黑)_NR-C615XGS-B</v>
      </c>
      <c r="E336" s="12" t="str">
        <f ca="1">IFERROR(__xludf.DUMMYFUNCTION("""COMPUTED_VALUE"""),"NR-C615XGS-B")</f>
        <v>NR-C615XGS-B</v>
      </c>
      <c r="F336" s="12">
        <f ca="1">IFERROR(__xludf.DUMMYFUNCTION("""COMPUTED_VALUE"""),51081420)</f>
        <v>51081420</v>
      </c>
      <c r="G336" s="12" t="str">
        <f ca="1">IFERROR(__xludf.DUMMYFUNCTION("""COMPUTED_VALUE"""),"IGEM113O")</f>
        <v>IGEM113O</v>
      </c>
      <c r="H336" s="13">
        <f ca="1">IFERROR(__xludf.DUMMYFUNCTION("""COMPUTED_VALUE"""),46300)</f>
        <v>46300</v>
      </c>
      <c r="I336" s="18">
        <f ca="1">IFERROR(__xludf.DUMMYFUNCTION("""COMPUTED_VALUE"""),43985)</f>
        <v>43985</v>
      </c>
      <c r="J336" s="21">
        <f ca="1">IFERROR(__xludf.DUMMYFUNCTION("""COMPUTED_VALUE"""),45597)</f>
        <v>45597</v>
      </c>
      <c r="K336" s="12" t="str">
        <f ca="1">IFERROR(__xludf.DUMMYFUNCTION("""COMPUTED_VALUE"""),"新機上架")</f>
        <v>新機上架</v>
      </c>
      <c r="L336" s="12" t="str">
        <f ca="1">IFERROR(__xludf.DUMMYFUNCTION("""COMPUTED_VALUE"""),"上架中")</f>
        <v>上架中</v>
      </c>
      <c r="M336" s="12" t="str">
        <f ca="1">IFERROR(__xludf.DUMMYFUNCTION("""COMPUTED_VALUE"""),"客訂機種，請先洽大同確認貨況")</f>
        <v>客訂機種，請先洽大同確認貨況</v>
      </c>
      <c r="N336" s="12" t="str">
        <f ca="1">IFERROR(__xludf.DUMMYFUNCTION("""COMPUTED_VALUE"""),"三門變頻")</f>
        <v>三門變頻</v>
      </c>
      <c r="O336" s="12" t="str">
        <f ca="1">IFERROR(__xludf.DUMMYFUNCTION("""COMPUTED_VALUE"""),"墨岩黑")</f>
        <v>墨岩黑</v>
      </c>
      <c r="P336" s="12" t="str">
        <f ca="1">IFERROR(__xludf.DUMMYFUNCTION("""COMPUTED_VALUE"""),"610L")</f>
        <v>610L</v>
      </c>
      <c r="Q336" s="12" t="str">
        <f ca="1">IFERROR(__xludf.DUMMYFUNCTION("""COMPUTED_VALUE"""),"1834×771×780mm")</f>
        <v>1834×771×780mm</v>
      </c>
      <c r="R336" s="12" t="str">
        <f ca="1">IFERROR(__xludf.DUMMYFUNCTION("""COMPUTED_VALUE"""),"台灣")</f>
        <v>台灣</v>
      </c>
      <c r="S336" s="12" t="str">
        <f ca="1">IFERROR(__xludf.DUMMYFUNCTION("""COMPUTED_VALUE"""),"V")</f>
        <v>V</v>
      </c>
      <c r="T336" s="13" t="str">
        <f ca="1">IFERROR(__xludf.DUMMYFUNCTION("""COMPUTED_VALUE"""),"1級能效")</f>
        <v>1級能效</v>
      </c>
      <c r="U336" s="12" t="str">
        <f ca="1">IFERROR(__xludf.DUMMYFUNCTION("""COMPUTED_VALUE"""),"1年")</f>
        <v>1年</v>
      </c>
      <c r="V336" s="12" t="str">
        <f ca="1">IFERROR(__xludf.DUMMYFUNCTION("""COMPUTED_VALUE"""),"3年")</f>
        <v>3年</v>
      </c>
      <c r="W336" s="12"/>
      <c r="X336" s="12"/>
      <c r="Y336" s="12">
        <f ca="1">IFERROR(__xludf.DUMMYFUNCTION("""COMPUTED_VALUE"""),610)</f>
        <v>610</v>
      </c>
      <c r="Z336" s="14" t="str">
        <f ca="1">IFERROR(__xludf.DUMMYFUNCTION("""COMPUTED_VALUE"""),"2000")</f>
        <v>2000</v>
      </c>
      <c r="AA336"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7" spans="1:27" ht="19.5" customHeight="1">
      <c r="A337" s="12" t="str">
        <f ca="1">IFERROR(__xludf.DUMMYFUNCTION("""COMPUTED_VALUE"""),"冰箱")</f>
        <v>冰箱</v>
      </c>
      <c r="B337" s="12" t="str">
        <f ca="1">IFERROR(__xludf.DUMMYFUNCTION("""COMPUTED_VALUE"""),"大同")</f>
        <v>大同</v>
      </c>
      <c r="C337" s="12" t="str">
        <f ca="1">IFERROR(__xludf.DUMMYFUNCTION("""COMPUTED_VALUE"""),"Panasonic")</f>
        <v>Panasonic</v>
      </c>
      <c r="D337" s="12" t="str">
        <f ca="1">IFERROR(__xludf.DUMMYFUNCTION("""COMPUTED_VALUE"""),"Panasonic_國際變頻岩板玻璃三門冰箱610L(雲岩白)_NR-C615XGS-W")</f>
        <v>Panasonic_國際變頻岩板玻璃三門冰箱610L(雲岩白)_NR-C615XGS-W</v>
      </c>
      <c r="E337" s="12" t="str">
        <f ca="1">IFERROR(__xludf.DUMMYFUNCTION("""COMPUTED_VALUE"""),"NR-C615XGS-W")</f>
        <v>NR-C615XGS-W</v>
      </c>
      <c r="F337" s="12">
        <f ca="1">IFERROR(__xludf.DUMMYFUNCTION("""COMPUTED_VALUE"""),51081421)</f>
        <v>51081421</v>
      </c>
      <c r="G337" s="12" t="str">
        <f ca="1">IFERROR(__xludf.DUMMYFUNCTION("""COMPUTED_VALUE"""),"IGEM113P")</f>
        <v>IGEM113P</v>
      </c>
      <c r="H337" s="13">
        <f ca="1">IFERROR(__xludf.DUMMYFUNCTION("""COMPUTED_VALUE"""),46300)</f>
        <v>46300</v>
      </c>
      <c r="I337" s="18">
        <f ca="1">IFERROR(__xludf.DUMMYFUNCTION("""COMPUTED_VALUE"""),43985)</f>
        <v>43985</v>
      </c>
      <c r="J337" s="21">
        <f ca="1">IFERROR(__xludf.DUMMYFUNCTION("""COMPUTED_VALUE"""),45597)</f>
        <v>45597</v>
      </c>
      <c r="K337" s="12" t="str">
        <f ca="1">IFERROR(__xludf.DUMMYFUNCTION("""COMPUTED_VALUE"""),"新機上架")</f>
        <v>新機上架</v>
      </c>
      <c r="L337" s="12" t="str">
        <f ca="1">IFERROR(__xludf.DUMMYFUNCTION("""COMPUTED_VALUE"""),"上架中")</f>
        <v>上架中</v>
      </c>
      <c r="M337" s="12" t="str">
        <f ca="1">IFERROR(__xludf.DUMMYFUNCTION("""COMPUTED_VALUE"""),"客訂機種，請先洽大同確認貨況")</f>
        <v>客訂機種，請先洽大同確認貨況</v>
      </c>
      <c r="N337" s="12" t="str">
        <f ca="1">IFERROR(__xludf.DUMMYFUNCTION("""COMPUTED_VALUE"""),"三門變頻")</f>
        <v>三門變頻</v>
      </c>
      <c r="O337" s="12" t="str">
        <f ca="1">IFERROR(__xludf.DUMMYFUNCTION("""COMPUTED_VALUE"""),"雲岩白")</f>
        <v>雲岩白</v>
      </c>
      <c r="P337" s="12" t="str">
        <f ca="1">IFERROR(__xludf.DUMMYFUNCTION("""COMPUTED_VALUE"""),"610L")</f>
        <v>610L</v>
      </c>
      <c r="Q337" s="12" t="str">
        <f ca="1">IFERROR(__xludf.DUMMYFUNCTION("""COMPUTED_VALUE"""),"1834×771×780mm")</f>
        <v>1834×771×780mm</v>
      </c>
      <c r="R337" s="12" t="str">
        <f ca="1">IFERROR(__xludf.DUMMYFUNCTION("""COMPUTED_VALUE"""),"台灣")</f>
        <v>台灣</v>
      </c>
      <c r="S337" s="12" t="str">
        <f ca="1">IFERROR(__xludf.DUMMYFUNCTION("""COMPUTED_VALUE"""),"V")</f>
        <v>V</v>
      </c>
      <c r="T337" s="13" t="str">
        <f ca="1">IFERROR(__xludf.DUMMYFUNCTION("""COMPUTED_VALUE"""),"1級能效")</f>
        <v>1級能效</v>
      </c>
      <c r="U337" s="12" t="str">
        <f ca="1">IFERROR(__xludf.DUMMYFUNCTION("""COMPUTED_VALUE"""),"1年")</f>
        <v>1年</v>
      </c>
      <c r="V337" s="12" t="str">
        <f ca="1">IFERROR(__xludf.DUMMYFUNCTION("""COMPUTED_VALUE"""),"3年")</f>
        <v>3年</v>
      </c>
      <c r="W337" s="12"/>
      <c r="X337" s="12"/>
      <c r="Y337" s="12">
        <f ca="1">IFERROR(__xludf.DUMMYFUNCTION("""COMPUTED_VALUE"""),610)</f>
        <v>610</v>
      </c>
      <c r="Z337" s="14" t="str">
        <f ca="1">IFERROR(__xludf.DUMMYFUNCTION("""COMPUTED_VALUE"""),"2000")</f>
        <v>2000</v>
      </c>
      <c r="AA337"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8" spans="1:27" ht="19.5" customHeight="1">
      <c r="A338" s="12" t="str">
        <f ca="1">IFERROR(__xludf.DUMMYFUNCTION("""COMPUTED_VALUE"""),"冰箱")</f>
        <v>冰箱</v>
      </c>
      <c r="B338" s="12" t="str">
        <f ca="1">IFERROR(__xludf.DUMMYFUNCTION("""COMPUTED_VALUE"""),"大同")</f>
        <v>大同</v>
      </c>
      <c r="C338" s="12" t="str">
        <f ca="1">IFERROR(__xludf.DUMMYFUNCTION("""COMPUTED_VALUE"""),"Panasonic")</f>
        <v>Panasonic</v>
      </c>
      <c r="D338" s="12" t="str">
        <f ca="1">IFERROR(__xludf.DUMMYFUNCTION("""COMPUTED_VALUE"""),"Panasonic_國際變頻岩板玻璃四門冰箱500L(墨岩黑)_NR-D505XGS-B")</f>
        <v>Panasonic_國際變頻岩板玻璃四門冰箱500L(墨岩黑)_NR-D505XGS-B</v>
      </c>
      <c r="E338" s="12" t="str">
        <f ca="1">IFERROR(__xludf.DUMMYFUNCTION("""COMPUTED_VALUE"""),"NR-D505XGS-B")</f>
        <v>NR-D505XGS-B</v>
      </c>
      <c r="F338" s="12">
        <f ca="1">IFERROR(__xludf.DUMMYFUNCTION("""COMPUTED_VALUE"""),51081422)</f>
        <v>51081422</v>
      </c>
      <c r="G338" s="12" t="str">
        <f ca="1">IFERROR(__xludf.DUMMYFUNCTION("""COMPUTED_VALUE"""),"IGEM113Q")</f>
        <v>IGEM113Q</v>
      </c>
      <c r="H338" s="13">
        <f ca="1">IFERROR(__xludf.DUMMYFUNCTION("""COMPUTED_VALUE"""),47300)</f>
        <v>47300</v>
      </c>
      <c r="I338" s="18">
        <f ca="1">IFERROR(__xludf.DUMMYFUNCTION("""COMPUTED_VALUE"""),44935)</f>
        <v>44935</v>
      </c>
      <c r="J338" s="21">
        <f ca="1">IFERROR(__xludf.DUMMYFUNCTION("""COMPUTED_VALUE"""),45597)</f>
        <v>45597</v>
      </c>
      <c r="K338" s="12" t="str">
        <f ca="1">IFERROR(__xludf.DUMMYFUNCTION("""COMPUTED_VALUE"""),"新機上架")</f>
        <v>新機上架</v>
      </c>
      <c r="L338" s="12" t="str">
        <f ca="1">IFERROR(__xludf.DUMMYFUNCTION("""COMPUTED_VALUE"""),"上架中")</f>
        <v>上架中</v>
      </c>
      <c r="M338" s="12" t="str">
        <f ca="1">IFERROR(__xludf.DUMMYFUNCTION("""COMPUTED_VALUE"""),"客訂機種，請先洽大同確認貨況")</f>
        <v>客訂機種，請先洽大同確認貨況</v>
      </c>
      <c r="N338" s="12" t="str">
        <f ca="1">IFERROR(__xludf.DUMMYFUNCTION("""COMPUTED_VALUE"""),"四門變頻")</f>
        <v>四門變頻</v>
      </c>
      <c r="O338" s="12" t="str">
        <f ca="1">IFERROR(__xludf.DUMMYFUNCTION("""COMPUTED_VALUE"""),"墨岩黑")</f>
        <v>墨岩黑</v>
      </c>
      <c r="P338" s="12" t="str">
        <f ca="1">IFERROR(__xludf.DUMMYFUNCTION("""COMPUTED_VALUE"""),"500L")</f>
        <v>500L</v>
      </c>
      <c r="Q338" s="12" t="str">
        <f ca="1">IFERROR(__xludf.DUMMYFUNCTION("""COMPUTED_VALUE"""),"1834×721×695mm")</f>
        <v>1834×721×695mm</v>
      </c>
      <c r="R338" s="12" t="str">
        <f ca="1">IFERROR(__xludf.DUMMYFUNCTION("""COMPUTED_VALUE"""),"台灣")</f>
        <v>台灣</v>
      </c>
      <c r="S338" s="12" t="str">
        <f ca="1">IFERROR(__xludf.DUMMYFUNCTION("""COMPUTED_VALUE"""),"V")</f>
        <v>V</v>
      </c>
      <c r="T338" s="13" t="str">
        <f ca="1">IFERROR(__xludf.DUMMYFUNCTION("""COMPUTED_VALUE"""),"1級能效")</f>
        <v>1級能效</v>
      </c>
      <c r="U338" s="12" t="str">
        <f ca="1">IFERROR(__xludf.DUMMYFUNCTION("""COMPUTED_VALUE"""),"1年")</f>
        <v>1年</v>
      </c>
      <c r="V338" s="12" t="str">
        <f ca="1">IFERROR(__xludf.DUMMYFUNCTION("""COMPUTED_VALUE"""),"3年")</f>
        <v>3年</v>
      </c>
      <c r="W338" s="12"/>
      <c r="X338" s="12"/>
      <c r="Y338" s="12">
        <f ca="1">IFERROR(__xludf.DUMMYFUNCTION("""COMPUTED_VALUE"""),500)</f>
        <v>500</v>
      </c>
      <c r="Z338" s="14" t="str">
        <f ca="1">IFERROR(__xludf.DUMMYFUNCTION("""COMPUTED_VALUE"""),"2000")</f>
        <v>2000</v>
      </c>
      <c r="AA338"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39" spans="1:27" ht="19.5" customHeight="1">
      <c r="A339" s="12" t="str">
        <f ca="1">IFERROR(__xludf.DUMMYFUNCTION("""COMPUTED_VALUE"""),"冰箱")</f>
        <v>冰箱</v>
      </c>
      <c r="B339" s="12" t="str">
        <f ca="1">IFERROR(__xludf.DUMMYFUNCTION("""COMPUTED_VALUE"""),"大同")</f>
        <v>大同</v>
      </c>
      <c r="C339" s="12" t="str">
        <f ca="1">IFERROR(__xludf.DUMMYFUNCTION("""COMPUTED_VALUE"""),"Panasonic")</f>
        <v>Panasonic</v>
      </c>
      <c r="D339" s="12" t="str">
        <f ca="1">IFERROR(__xludf.DUMMYFUNCTION("""COMPUTED_VALUE"""),"Panasonic_國際變頻岩板玻璃四門冰箱500L(雲岩白)_NR-D505XGS-W")</f>
        <v>Panasonic_國際變頻岩板玻璃四門冰箱500L(雲岩白)_NR-D505XGS-W</v>
      </c>
      <c r="E339" s="12" t="str">
        <f ca="1">IFERROR(__xludf.DUMMYFUNCTION("""COMPUTED_VALUE"""),"NR-D505XGS-W")</f>
        <v>NR-D505XGS-W</v>
      </c>
      <c r="F339" s="12">
        <f ca="1">IFERROR(__xludf.DUMMYFUNCTION("""COMPUTED_VALUE"""),51081423)</f>
        <v>51081423</v>
      </c>
      <c r="G339" s="12" t="str">
        <f ca="1">IFERROR(__xludf.DUMMYFUNCTION("""COMPUTED_VALUE"""),"IGEM113R")</f>
        <v>IGEM113R</v>
      </c>
      <c r="H339" s="13">
        <f ca="1">IFERROR(__xludf.DUMMYFUNCTION("""COMPUTED_VALUE"""),47300)</f>
        <v>47300</v>
      </c>
      <c r="I339" s="18">
        <f ca="1">IFERROR(__xludf.DUMMYFUNCTION("""COMPUTED_VALUE"""),44935)</f>
        <v>44935</v>
      </c>
      <c r="J339" s="21">
        <f ca="1">IFERROR(__xludf.DUMMYFUNCTION("""COMPUTED_VALUE"""),45597)</f>
        <v>45597</v>
      </c>
      <c r="K339" s="12" t="str">
        <f ca="1">IFERROR(__xludf.DUMMYFUNCTION("""COMPUTED_VALUE"""),"新機上架")</f>
        <v>新機上架</v>
      </c>
      <c r="L339" s="12" t="str">
        <f ca="1">IFERROR(__xludf.DUMMYFUNCTION("""COMPUTED_VALUE"""),"上架中")</f>
        <v>上架中</v>
      </c>
      <c r="M339" s="12" t="str">
        <f ca="1">IFERROR(__xludf.DUMMYFUNCTION("""COMPUTED_VALUE"""),"客訂機種，請先洽大同確認貨況")</f>
        <v>客訂機種，請先洽大同確認貨況</v>
      </c>
      <c r="N339" s="12" t="str">
        <f ca="1">IFERROR(__xludf.DUMMYFUNCTION("""COMPUTED_VALUE"""),"四門變頻")</f>
        <v>四門變頻</v>
      </c>
      <c r="O339" s="12" t="str">
        <f ca="1">IFERROR(__xludf.DUMMYFUNCTION("""COMPUTED_VALUE"""),"雲岩白")</f>
        <v>雲岩白</v>
      </c>
      <c r="P339" s="12" t="str">
        <f ca="1">IFERROR(__xludf.DUMMYFUNCTION("""COMPUTED_VALUE"""),"500L")</f>
        <v>500L</v>
      </c>
      <c r="Q339" s="12" t="str">
        <f ca="1">IFERROR(__xludf.DUMMYFUNCTION("""COMPUTED_VALUE"""),"1834×721×695mm")</f>
        <v>1834×721×695mm</v>
      </c>
      <c r="R339" s="12" t="str">
        <f ca="1">IFERROR(__xludf.DUMMYFUNCTION("""COMPUTED_VALUE"""),"台灣")</f>
        <v>台灣</v>
      </c>
      <c r="S339" s="12" t="str">
        <f ca="1">IFERROR(__xludf.DUMMYFUNCTION("""COMPUTED_VALUE"""),"V")</f>
        <v>V</v>
      </c>
      <c r="T339" s="13" t="str">
        <f ca="1">IFERROR(__xludf.DUMMYFUNCTION("""COMPUTED_VALUE"""),"1級能效")</f>
        <v>1級能效</v>
      </c>
      <c r="U339" s="12" t="str">
        <f ca="1">IFERROR(__xludf.DUMMYFUNCTION("""COMPUTED_VALUE"""),"1年")</f>
        <v>1年</v>
      </c>
      <c r="V339" s="12" t="str">
        <f ca="1">IFERROR(__xludf.DUMMYFUNCTION("""COMPUTED_VALUE"""),"3年")</f>
        <v>3年</v>
      </c>
      <c r="W339" s="12"/>
      <c r="X339" s="12"/>
      <c r="Y339" s="12">
        <f ca="1">IFERROR(__xludf.DUMMYFUNCTION("""COMPUTED_VALUE"""),500)</f>
        <v>500</v>
      </c>
      <c r="Z339" s="14" t="str">
        <f ca="1">IFERROR(__xludf.DUMMYFUNCTION("""COMPUTED_VALUE"""),"2000")</f>
        <v>2000</v>
      </c>
      <c r="AA339"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40" spans="1:27" ht="19.5" customHeight="1">
      <c r="A340" s="12" t="str">
        <f ca="1">IFERROR(__xludf.DUMMYFUNCTION("""COMPUTED_VALUE"""),"冰箱")</f>
        <v>冰箱</v>
      </c>
      <c r="B340" s="12" t="str">
        <f ca="1">IFERROR(__xludf.DUMMYFUNCTION("""COMPUTED_VALUE"""),"大同")</f>
        <v>大同</v>
      </c>
      <c r="C340" s="12" t="str">
        <f ca="1">IFERROR(__xludf.DUMMYFUNCTION("""COMPUTED_VALUE"""),"Panasonic")</f>
        <v>Panasonic</v>
      </c>
      <c r="D340" s="12" t="str">
        <f ca="1">IFERROR(__xludf.DUMMYFUNCTION("""COMPUTED_VALUE"""),"Panasonic_國際變頻岩板玻璃四門冰箱610L(墨岩黑)_NR-D615XGS-B")</f>
        <v>Panasonic_國際變頻岩板玻璃四門冰箱610L(墨岩黑)_NR-D615XGS-B</v>
      </c>
      <c r="E340" s="12" t="str">
        <f ca="1">IFERROR(__xludf.DUMMYFUNCTION("""COMPUTED_VALUE"""),"NR-D615XGS-B")</f>
        <v>NR-D615XGS-B</v>
      </c>
      <c r="F340" s="12">
        <f ca="1">IFERROR(__xludf.DUMMYFUNCTION("""COMPUTED_VALUE"""),51081424)</f>
        <v>51081424</v>
      </c>
      <c r="G340" s="12" t="str">
        <f ca="1">IFERROR(__xludf.DUMMYFUNCTION("""COMPUTED_VALUE"""),"IGEM113S")</f>
        <v>IGEM113S</v>
      </c>
      <c r="H340" s="13">
        <f ca="1">IFERROR(__xludf.DUMMYFUNCTION("""COMPUTED_VALUE"""),48300)</f>
        <v>48300</v>
      </c>
      <c r="I340" s="18">
        <f ca="1">IFERROR(__xludf.DUMMYFUNCTION("""COMPUTED_VALUE"""),45885)</f>
        <v>45885</v>
      </c>
      <c r="J340" s="21">
        <f ca="1">IFERROR(__xludf.DUMMYFUNCTION("""COMPUTED_VALUE"""),45597)</f>
        <v>45597</v>
      </c>
      <c r="K340" s="12" t="str">
        <f ca="1">IFERROR(__xludf.DUMMYFUNCTION("""COMPUTED_VALUE"""),"新機上架")</f>
        <v>新機上架</v>
      </c>
      <c r="L340" s="12" t="str">
        <f ca="1">IFERROR(__xludf.DUMMYFUNCTION("""COMPUTED_VALUE"""),"上架中")</f>
        <v>上架中</v>
      </c>
      <c r="M340" s="12" t="str">
        <f ca="1">IFERROR(__xludf.DUMMYFUNCTION("""COMPUTED_VALUE"""),"正常供貨")</f>
        <v>正常供貨</v>
      </c>
      <c r="N340" s="12" t="str">
        <f ca="1">IFERROR(__xludf.DUMMYFUNCTION("""COMPUTED_VALUE"""),"四門變頻")</f>
        <v>四門變頻</v>
      </c>
      <c r="O340" s="12" t="str">
        <f ca="1">IFERROR(__xludf.DUMMYFUNCTION("""COMPUTED_VALUE"""),"墨岩黑")</f>
        <v>墨岩黑</v>
      </c>
      <c r="P340" s="12" t="str">
        <f ca="1">IFERROR(__xludf.DUMMYFUNCTION("""COMPUTED_VALUE"""),"610L")</f>
        <v>610L</v>
      </c>
      <c r="Q340" s="12" t="str">
        <f ca="1">IFERROR(__xludf.DUMMYFUNCTION("""COMPUTED_VALUE"""),"1834×771×780mm")</f>
        <v>1834×771×780mm</v>
      </c>
      <c r="R340" s="12" t="str">
        <f ca="1">IFERROR(__xludf.DUMMYFUNCTION("""COMPUTED_VALUE"""),"台灣")</f>
        <v>台灣</v>
      </c>
      <c r="S340" s="12" t="str">
        <f ca="1">IFERROR(__xludf.DUMMYFUNCTION("""COMPUTED_VALUE"""),"V")</f>
        <v>V</v>
      </c>
      <c r="T340" s="13" t="str">
        <f ca="1">IFERROR(__xludf.DUMMYFUNCTION("""COMPUTED_VALUE"""),"1級能效")</f>
        <v>1級能效</v>
      </c>
      <c r="U340" s="12" t="str">
        <f ca="1">IFERROR(__xludf.DUMMYFUNCTION("""COMPUTED_VALUE"""),"1年")</f>
        <v>1年</v>
      </c>
      <c r="V340" s="12" t="str">
        <f ca="1">IFERROR(__xludf.DUMMYFUNCTION("""COMPUTED_VALUE"""),"3年")</f>
        <v>3年</v>
      </c>
      <c r="W340" s="12"/>
      <c r="X340" s="12"/>
      <c r="Y340" s="12">
        <f ca="1">IFERROR(__xludf.DUMMYFUNCTION("""COMPUTED_VALUE"""),610)</f>
        <v>610</v>
      </c>
      <c r="Z340" s="14" t="str">
        <f ca="1">IFERROR(__xludf.DUMMYFUNCTION("""COMPUTED_VALUE"""),"2000")</f>
        <v>2000</v>
      </c>
      <c r="AA340"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41" spans="1:27" ht="19.5" customHeight="1">
      <c r="A341" s="12" t="str">
        <f ca="1">IFERROR(__xludf.DUMMYFUNCTION("""COMPUTED_VALUE"""),"冰箱")</f>
        <v>冰箱</v>
      </c>
      <c r="B341" s="12" t="str">
        <f ca="1">IFERROR(__xludf.DUMMYFUNCTION("""COMPUTED_VALUE"""),"大同")</f>
        <v>大同</v>
      </c>
      <c r="C341" s="12" t="str">
        <f ca="1">IFERROR(__xludf.DUMMYFUNCTION("""COMPUTED_VALUE"""),"Panasonic")</f>
        <v>Panasonic</v>
      </c>
      <c r="D341" s="12" t="str">
        <f ca="1">IFERROR(__xludf.DUMMYFUNCTION("""COMPUTED_VALUE"""),"Panasonic_國際變頻岩板玻璃四門冰箱610L(雲岩白)_NR-D615XGS-W")</f>
        <v>Panasonic_國際變頻岩板玻璃四門冰箱610L(雲岩白)_NR-D615XGS-W</v>
      </c>
      <c r="E341" s="12" t="str">
        <f ca="1">IFERROR(__xludf.DUMMYFUNCTION("""COMPUTED_VALUE"""),"NR-D615XGS-W")</f>
        <v>NR-D615XGS-W</v>
      </c>
      <c r="F341" s="12">
        <f ca="1">IFERROR(__xludf.DUMMYFUNCTION("""COMPUTED_VALUE"""),51081425)</f>
        <v>51081425</v>
      </c>
      <c r="G341" s="12" t="str">
        <f ca="1">IFERROR(__xludf.DUMMYFUNCTION("""COMPUTED_VALUE"""),"IGEM113T")</f>
        <v>IGEM113T</v>
      </c>
      <c r="H341" s="13">
        <f ca="1">IFERROR(__xludf.DUMMYFUNCTION("""COMPUTED_VALUE"""),48300)</f>
        <v>48300</v>
      </c>
      <c r="I341" s="18">
        <f ca="1">IFERROR(__xludf.DUMMYFUNCTION("""COMPUTED_VALUE"""),45885)</f>
        <v>45885</v>
      </c>
      <c r="J341" s="21">
        <f ca="1">IFERROR(__xludf.DUMMYFUNCTION("""COMPUTED_VALUE"""),45597)</f>
        <v>45597</v>
      </c>
      <c r="K341" s="12" t="str">
        <f ca="1">IFERROR(__xludf.DUMMYFUNCTION("""COMPUTED_VALUE"""),"新機上架")</f>
        <v>新機上架</v>
      </c>
      <c r="L341" s="12" t="str">
        <f ca="1">IFERROR(__xludf.DUMMYFUNCTION("""COMPUTED_VALUE"""),"上架中")</f>
        <v>上架中</v>
      </c>
      <c r="M341" s="12" t="str">
        <f ca="1">IFERROR(__xludf.DUMMYFUNCTION("""COMPUTED_VALUE"""),"正常供貨")</f>
        <v>正常供貨</v>
      </c>
      <c r="N341" s="12" t="str">
        <f ca="1">IFERROR(__xludf.DUMMYFUNCTION("""COMPUTED_VALUE"""),"四門變頻")</f>
        <v>四門變頻</v>
      </c>
      <c r="O341" s="12" t="str">
        <f ca="1">IFERROR(__xludf.DUMMYFUNCTION("""COMPUTED_VALUE"""),"雲岩白")</f>
        <v>雲岩白</v>
      </c>
      <c r="P341" s="12" t="str">
        <f ca="1">IFERROR(__xludf.DUMMYFUNCTION("""COMPUTED_VALUE"""),"610L")</f>
        <v>610L</v>
      </c>
      <c r="Q341" s="12" t="str">
        <f ca="1">IFERROR(__xludf.DUMMYFUNCTION("""COMPUTED_VALUE"""),"1834×771×780mm")</f>
        <v>1834×771×780mm</v>
      </c>
      <c r="R341" s="12" t="str">
        <f ca="1">IFERROR(__xludf.DUMMYFUNCTION("""COMPUTED_VALUE"""),"台灣")</f>
        <v>台灣</v>
      </c>
      <c r="S341" s="12" t="str">
        <f ca="1">IFERROR(__xludf.DUMMYFUNCTION("""COMPUTED_VALUE"""),"V")</f>
        <v>V</v>
      </c>
      <c r="T341" s="13" t="str">
        <f ca="1">IFERROR(__xludf.DUMMYFUNCTION("""COMPUTED_VALUE"""),"1級能效")</f>
        <v>1級能效</v>
      </c>
      <c r="U341" s="12" t="str">
        <f ca="1">IFERROR(__xludf.DUMMYFUNCTION("""COMPUTED_VALUE"""),"1年")</f>
        <v>1年</v>
      </c>
      <c r="V341" s="12" t="str">
        <f ca="1">IFERROR(__xludf.DUMMYFUNCTION("""COMPUTED_VALUE"""),"3年")</f>
        <v>3年</v>
      </c>
      <c r="W341" s="12"/>
      <c r="X341" s="12"/>
      <c r="Y341" s="12">
        <f ca="1">IFERROR(__xludf.DUMMYFUNCTION("""COMPUTED_VALUE"""),610)</f>
        <v>610</v>
      </c>
      <c r="Z341" s="14" t="str">
        <f ca="1">IFERROR(__xludf.DUMMYFUNCTION("""COMPUTED_VALUE"""),"2000")</f>
        <v>2000</v>
      </c>
      <c r="AA341" s="15" t="str">
        <f ca="1">IFERROR(__xludf.DUMMYFUNCTION("""COMPUTED_VALUE"""),"●新世代面材-磨砂鋼板●冷藏強化，冷凍照明、氣氛燈新增廣度均勻照明●-3度C微凍結室●新鮮急凍結室●智慧保濕蔬果室●Ag銀離子抑菌")</f>
        <v>●新世代面材-磨砂鋼板●冷藏強化，冷凍照明、氣氛燈新增廣度均勻照明●-3度C微凍結室●新鮮急凍結室●智慧保濕蔬果室●Ag銀離子抑菌</v>
      </c>
    </row>
    <row r="342" spans="1:27" ht="19.5" customHeight="1">
      <c r="A342" s="12" t="str">
        <f ca="1">IFERROR(__xludf.DUMMYFUNCTION("""COMPUTED_VALUE"""),"洗衣機")</f>
        <v>洗衣機</v>
      </c>
      <c r="B342" s="12" t="str">
        <f ca="1">IFERROR(__xludf.DUMMYFUNCTION("""COMPUTED_VALUE"""),"大同")</f>
        <v>大同</v>
      </c>
      <c r="C342" s="12" t="str">
        <f ca="1">IFERROR(__xludf.DUMMYFUNCTION("""COMPUTED_VALUE"""),"Panasonic")</f>
        <v>Panasonic</v>
      </c>
      <c r="D342" s="12" t="str">
        <f ca="1">IFERROR(__xludf.DUMMYFUNCTION("""COMPUTED_VALUE"""),"Panasonic_國際變頻洗脫烘滾筒洗衣機15公斤(冰鑽白)_NA-V150MDH-W")</f>
        <v>Panasonic_國際變頻洗脫烘滾筒洗衣機15公斤(冰鑽白)_NA-V150MDH-W</v>
      </c>
      <c r="E342" s="12" t="str">
        <f ca="1">IFERROR(__xludf.DUMMYFUNCTION("""COMPUTED_VALUE"""),"NA-V150MDH-W")</f>
        <v>NA-V150MDH-W</v>
      </c>
      <c r="F342" s="12">
        <f ca="1">IFERROR(__xludf.DUMMYFUNCTION("""COMPUTED_VALUE"""),51089437)</f>
        <v>51089437</v>
      </c>
      <c r="G342" s="12" t="str">
        <f ca="1">IFERROR(__xludf.DUMMYFUNCTION("""COMPUTED_VALUE"""),"IGEM0728")</f>
        <v>IGEM0728</v>
      </c>
      <c r="H342" s="13">
        <f ca="1">IFERROR(__xludf.DUMMYFUNCTION("""COMPUTED_VALUE"""),44900)</f>
        <v>44900</v>
      </c>
      <c r="I342" s="14">
        <f ca="1">IFERROR(__xludf.DUMMYFUNCTION("""COMPUTED_VALUE"""),40410)</f>
        <v>40410</v>
      </c>
      <c r="J342" s="12"/>
      <c r="K342" s="12"/>
      <c r="L342" s="12" t="str">
        <f ca="1">IFERROR(__xludf.DUMMYFUNCTION("""COMPUTED_VALUE"""),"上架中")</f>
        <v>上架中</v>
      </c>
      <c r="M342" s="12" t="str">
        <f ca="1">IFERROR(__xludf.DUMMYFUNCTION("""COMPUTED_VALUE"""),"正常供貨")</f>
        <v>正常供貨</v>
      </c>
      <c r="N342" s="12" t="str">
        <f ca="1">IFERROR(__xludf.DUMMYFUNCTION("""COMPUTED_VALUE"""),"洗脫烘滾筒")</f>
        <v>洗脫烘滾筒</v>
      </c>
      <c r="O342" s="12" t="str">
        <f ca="1">IFERROR(__xludf.DUMMYFUNCTION("""COMPUTED_VALUE"""),"冰鑽白")</f>
        <v>冰鑽白</v>
      </c>
      <c r="P342" s="12" t="str">
        <f ca="1">IFERROR(__xludf.DUMMYFUNCTION("""COMPUTED_VALUE"""),"15公斤")</f>
        <v>15公斤</v>
      </c>
      <c r="Q342" s="12" t="str">
        <f ca="1">IFERROR(__xludf.DUMMYFUNCTION("""COMPUTED_VALUE"""),"高1035 X 寬640 X 深773 mm")</f>
        <v>高1035 X 寬640 X 深773 mm</v>
      </c>
      <c r="R342" s="12" t="str">
        <f ca="1">IFERROR(__xludf.DUMMYFUNCTION("""COMPUTED_VALUE"""),"台灣")</f>
        <v>台灣</v>
      </c>
      <c r="S342" s="12" t="str">
        <f ca="1">IFERROR(__xludf.DUMMYFUNCTION("""COMPUTED_VALUE"""),"V/省水標章(金級)")</f>
        <v>V/省水標章(金級)</v>
      </c>
      <c r="T342" s="12"/>
      <c r="U342" s="12" t="str">
        <f ca="1">IFERROR(__xludf.DUMMYFUNCTION("""COMPUTED_VALUE"""),"1年")</f>
        <v>1年</v>
      </c>
      <c r="V342" s="12"/>
      <c r="W342" s="12" t="str">
        <f ca="1">IFERROR(__xludf.DUMMYFUNCTION("""COMPUTED_VALUE"""),"(10/1-114/2/28)隨貨送SP-2505-PR石墨烯多功能兩用靠墊+SP-NA02-PR南僑水晶皂力淨+登錄送3000原廠節能回饋")</f>
        <v>(10/1-114/2/28)隨貨送SP-2505-PR石墨烯多功能兩用靠墊+SP-NA02-PR南僑水晶皂力淨+登錄送3000原廠節能回饋</v>
      </c>
      <c r="X342" s="12"/>
      <c r="Y342" s="12"/>
      <c r="Z342" s="14"/>
      <c r="AA342" s="15" t="str">
        <f ca="1">IFERROR(__xludf.DUMMYFUNCTION("""COMPUTED_VALUE"""),"●洗劑量自動精準投入●溫風循環烘衣科技●nanoe X 全面抑制黑黴●新舞動水流+3D智慧洗淨")</f>
        <v>●洗劑量自動精準投入●溫風循環烘衣科技●nanoe X 全面抑制黑黴●新舞動水流+3D智慧洗淨</v>
      </c>
    </row>
    <row r="343" spans="1:27" ht="19.5" customHeight="1">
      <c r="A343" s="12" t="str">
        <f ca="1">IFERROR(__xludf.DUMMYFUNCTION("""COMPUTED_VALUE"""),"洗衣機")</f>
        <v>洗衣機</v>
      </c>
      <c r="B343" s="12" t="str">
        <f ca="1">IFERROR(__xludf.DUMMYFUNCTION("""COMPUTED_VALUE"""),"大同")</f>
        <v>大同</v>
      </c>
      <c r="C343" s="12" t="str">
        <f ca="1">IFERROR(__xludf.DUMMYFUNCTION("""COMPUTED_VALUE"""),"Panasonic")</f>
        <v>Panasonic</v>
      </c>
      <c r="D343" s="12" t="str">
        <f ca="1">IFERROR(__xludf.DUMMYFUNCTION("""COMPUTED_VALUE"""),"Panasonic_國際變頻洗脫烘滾筒洗衣機17公斤(炫亮銀)_NA-V170MDH-S")</f>
        <v>Panasonic_國際變頻洗脫烘滾筒洗衣機17公斤(炫亮銀)_NA-V170MDH-S</v>
      </c>
      <c r="E343" s="12" t="str">
        <f ca="1">IFERROR(__xludf.DUMMYFUNCTION("""COMPUTED_VALUE"""),"NA-V170MDH-S")</f>
        <v>NA-V170MDH-S</v>
      </c>
      <c r="F343" s="12">
        <f ca="1">IFERROR(__xludf.DUMMYFUNCTION("""COMPUTED_VALUE"""),51089438)</f>
        <v>51089438</v>
      </c>
      <c r="G343" s="12" t="str">
        <f ca="1">IFERROR(__xludf.DUMMYFUNCTION("""COMPUTED_VALUE"""),"IGEM0729")</f>
        <v>IGEM0729</v>
      </c>
      <c r="H343" s="13">
        <f ca="1">IFERROR(__xludf.DUMMYFUNCTION("""COMPUTED_VALUE"""),53900)</f>
        <v>53900</v>
      </c>
      <c r="I343" s="14">
        <f ca="1">IFERROR(__xludf.DUMMYFUNCTION("""COMPUTED_VALUE"""),50127)</f>
        <v>50127</v>
      </c>
      <c r="J343" s="12"/>
      <c r="K343" s="12"/>
      <c r="L343" s="12" t="str">
        <f ca="1">IFERROR(__xludf.DUMMYFUNCTION("""COMPUTED_VALUE"""),"上架中")</f>
        <v>上架中</v>
      </c>
      <c r="M343" s="12" t="str">
        <f ca="1">IFERROR(__xludf.DUMMYFUNCTION("""COMPUTED_VALUE"""),"客訂機種，請先洽大同確認貨況")</f>
        <v>客訂機種，請先洽大同確認貨況</v>
      </c>
      <c r="N343" s="12" t="str">
        <f ca="1">IFERROR(__xludf.DUMMYFUNCTION("""COMPUTED_VALUE"""),"洗脫烘滾筒")</f>
        <v>洗脫烘滾筒</v>
      </c>
      <c r="O343" s="12" t="str">
        <f ca="1">IFERROR(__xludf.DUMMYFUNCTION("""COMPUTED_VALUE"""),"炫亮銀")</f>
        <v>炫亮銀</v>
      </c>
      <c r="P343" s="12" t="str">
        <f ca="1">IFERROR(__xludf.DUMMYFUNCTION("""COMPUTED_VALUE"""),"17公斤")</f>
        <v>17公斤</v>
      </c>
      <c r="Q343" s="12" t="str">
        <f ca="1">IFERROR(__xludf.DUMMYFUNCTION("""COMPUTED_VALUE"""),"高1160 X 寬775 X 深880 mm")</f>
        <v>高1160 X 寬775 X 深880 mm</v>
      </c>
      <c r="R343" s="12" t="str">
        <f ca="1">IFERROR(__xludf.DUMMYFUNCTION("""COMPUTED_VALUE"""),"台灣")</f>
        <v>台灣</v>
      </c>
      <c r="S343" s="12" t="str">
        <f ca="1">IFERROR(__xludf.DUMMYFUNCTION("""COMPUTED_VALUE"""),"V/省水標章(金級)")</f>
        <v>V/省水標章(金級)</v>
      </c>
      <c r="T343" s="12"/>
      <c r="U343" s="12" t="str">
        <f ca="1">IFERROR(__xludf.DUMMYFUNCTION("""COMPUTED_VALUE"""),"1年")</f>
        <v>1年</v>
      </c>
      <c r="V343" s="12"/>
      <c r="W343" s="12" t="str">
        <f ca="1">IFERROR(__xludf.DUMMYFUNCTION("""COMPUTED_VALUE"""),"(10/1-114/2/28)隨貨送SP-2505-PR石墨烯多功能兩用靠墊+SP-NA02-PR南僑水晶皂力淨+登錄送3000原廠節能回饋")</f>
        <v>(10/1-114/2/28)隨貨送SP-2505-PR石墨烯多功能兩用靠墊+SP-NA02-PR南僑水晶皂力淨+登錄送3000原廠節能回饋</v>
      </c>
      <c r="X343" s="12"/>
      <c r="Y343" s="12"/>
      <c r="Z343" s="14"/>
      <c r="AA343" s="15" t="str">
        <f ca="1">IFERROR(__xludf.DUMMYFUNCTION("""COMPUTED_VALUE"""),"●洗劑量自動精準投入●溫風循環烘衣科技●nanoe X 全面抑制黑黴●新舞動水流+3D智慧洗淨")</f>
        <v>●洗劑量自動精準投入●溫風循環烘衣科技●nanoe X 全面抑制黑黴●新舞動水流+3D智慧洗淨</v>
      </c>
    </row>
    <row r="344" spans="1:27" ht="19.5" customHeight="1">
      <c r="A344" s="12" t="str">
        <f ca="1">IFERROR(__xludf.DUMMYFUNCTION("""COMPUTED_VALUE"""),"洗衣機")</f>
        <v>洗衣機</v>
      </c>
      <c r="B344" s="12" t="str">
        <f ca="1">IFERROR(__xludf.DUMMYFUNCTION("""COMPUTED_VALUE"""),"大同")</f>
        <v>大同</v>
      </c>
      <c r="C344" s="12" t="str">
        <f ca="1">IFERROR(__xludf.DUMMYFUNCTION("""COMPUTED_VALUE"""),"Panasonic")</f>
        <v>Panasonic</v>
      </c>
      <c r="D344" s="12" t="str">
        <f ca="1">IFERROR(__xludf.DUMMYFUNCTION("""COMPUTED_VALUE"""),"Panasonic_國際變頻洗脫烘滾筒洗衣機17公斤(冰鑽白)_NA-V170MDH-W")</f>
        <v>Panasonic_國際變頻洗脫烘滾筒洗衣機17公斤(冰鑽白)_NA-V170MDH-W</v>
      </c>
      <c r="E344" s="12" t="str">
        <f ca="1">IFERROR(__xludf.DUMMYFUNCTION("""COMPUTED_VALUE"""),"NA-V170MDH-W")</f>
        <v>NA-V170MDH-W</v>
      </c>
      <c r="F344" s="12">
        <f ca="1">IFERROR(__xludf.DUMMYFUNCTION("""COMPUTED_VALUE"""),51089439)</f>
        <v>51089439</v>
      </c>
      <c r="G344" s="12" t="str">
        <f ca="1">IFERROR(__xludf.DUMMYFUNCTION("""COMPUTED_VALUE"""),"IGEM072A")</f>
        <v>IGEM072A</v>
      </c>
      <c r="H344" s="13">
        <f ca="1">IFERROR(__xludf.DUMMYFUNCTION("""COMPUTED_VALUE"""),53900)</f>
        <v>53900</v>
      </c>
      <c r="I344" s="14">
        <f ca="1">IFERROR(__xludf.DUMMYFUNCTION("""COMPUTED_VALUE"""),50127)</f>
        <v>50127</v>
      </c>
      <c r="J344" s="12"/>
      <c r="K344" s="12"/>
      <c r="L344" s="12" t="str">
        <f ca="1">IFERROR(__xludf.DUMMYFUNCTION("""COMPUTED_VALUE"""),"上架中")</f>
        <v>上架中</v>
      </c>
      <c r="M344" s="12" t="str">
        <f ca="1">IFERROR(__xludf.DUMMYFUNCTION("""COMPUTED_VALUE"""),"客訂機種，請先洽大同確認貨況")</f>
        <v>客訂機種，請先洽大同確認貨況</v>
      </c>
      <c r="N344" s="12" t="str">
        <f ca="1">IFERROR(__xludf.DUMMYFUNCTION("""COMPUTED_VALUE"""),"洗脫烘滾筒")</f>
        <v>洗脫烘滾筒</v>
      </c>
      <c r="O344" s="12" t="str">
        <f ca="1">IFERROR(__xludf.DUMMYFUNCTION("""COMPUTED_VALUE"""),"冰鑽白")</f>
        <v>冰鑽白</v>
      </c>
      <c r="P344" s="12" t="str">
        <f ca="1">IFERROR(__xludf.DUMMYFUNCTION("""COMPUTED_VALUE"""),"17公斤")</f>
        <v>17公斤</v>
      </c>
      <c r="Q344" s="12" t="str">
        <f ca="1">IFERROR(__xludf.DUMMYFUNCTION("""COMPUTED_VALUE"""),"高1160 X 寬775 X 深880 mm")</f>
        <v>高1160 X 寬775 X 深880 mm</v>
      </c>
      <c r="R344" s="12" t="str">
        <f ca="1">IFERROR(__xludf.DUMMYFUNCTION("""COMPUTED_VALUE"""),"台灣")</f>
        <v>台灣</v>
      </c>
      <c r="S344" s="12" t="str">
        <f ca="1">IFERROR(__xludf.DUMMYFUNCTION("""COMPUTED_VALUE"""),"V/省水標章(金級)")</f>
        <v>V/省水標章(金級)</v>
      </c>
      <c r="T344" s="12"/>
      <c r="U344" s="12" t="str">
        <f ca="1">IFERROR(__xludf.DUMMYFUNCTION("""COMPUTED_VALUE"""),"1年")</f>
        <v>1年</v>
      </c>
      <c r="V344" s="12"/>
      <c r="W344" s="12" t="str">
        <f ca="1">IFERROR(__xludf.DUMMYFUNCTION("""COMPUTED_VALUE"""),"(10/1-114/2/28)隨貨送SP-2505-PR石墨烯多功能兩用靠墊+SP-NA02-PR南僑水晶皂力淨+登錄送3000原廠節能回饋")</f>
        <v>(10/1-114/2/28)隨貨送SP-2505-PR石墨烯多功能兩用靠墊+SP-NA02-PR南僑水晶皂力淨+登錄送3000原廠節能回饋</v>
      </c>
      <c r="X344" s="12"/>
      <c r="Y344" s="12"/>
      <c r="Z344" s="14"/>
      <c r="AA344" s="15" t="str">
        <f ca="1">IFERROR(__xludf.DUMMYFUNCTION("""COMPUTED_VALUE"""),"●洗劑量自動精準投入●溫風循環烘衣科技●nanoe X 全面抑制黑黴●新舞動水流+3D智慧洗淨")</f>
        <v>●洗劑量自動精準投入●溫風循環烘衣科技●nanoe X 全面抑制黑黴●新舞動水流+3D智慧洗淨</v>
      </c>
    </row>
    <row r="345" spans="1:27" ht="19.5" customHeight="1">
      <c r="A345" s="12" t="str">
        <f ca="1">IFERROR(__xludf.DUMMYFUNCTION("""COMPUTED_VALUE"""),"洗衣機")</f>
        <v>洗衣機</v>
      </c>
      <c r="B345" s="12" t="str">
        <f ca="1">IFERROR(__xludf.DUMMYFUNCTION("""COMPUTED_VALUE"""),"大同")</f>
        <v>大同</v>
      </c>
      <c r="C345" s="12" t="str">
        <f ca="1">IFERROR(__xludf.DUMMYFUNCTION("""COMPUTED_VALUE"""),"Panasonic")</f>
        <v>Panasonic</v>
      </c>
      <c r="D345" s="12" t="str">
        <f ca="1">IFERROR(__xludf.DUMMYFUNCTION("""COMPUTED_VALUE"""),"Panasonic_國際變頻洗脫烘滾筒洗衣機19公斤(炫亮銀)_NA-V190MDH-S")</f>
        <v>Panasonic_國際變頻洗脫烘滾筒洗衣機19公斤(炫亮銀)_NA-V190MDH-S</v>
      </c>
      <c r="E345" s="12" t="str">
        <f ca="1">IFERROR(__xludf.DUMMYFUNCTION("""COMPUTED_VALUE"""),"NA-V190MDH-S")</f>
        <v>NA-V190MDH-S</v>
      </c>
      <c r="F345" s="12">
        <f ca="1">IFERROR(__xludf.DUMMYFUNCTION("""COMPUTED_VALUE"""),51089440)</f>
        <v>51089440</v>
      </c>
      <c r="G345" s="12" t="str">
        <f ca="1">IFERROR(__xludf.DUMMYFUNCTION("""COMPUTED_VALUE"""),"IGEM072B")</f>
        <v>IGEM072B</v>
      </c>
      <c r="H345" s="13">
        <f ca="1">IFERROR(__xludf.DUMMYFUNCTION("""COMPUTED_VALUE"""),61900)</f>
        <v>61900</v>
      </c>
      <c r="I345" s="14">
        <f ca="1">IFERROR(__xludf.DUMMYFUNCTION("""COMPUTED_VALUE"""),57567)</f>
        <v>57567</v>
      </c>
      <c r="J345" s="12"/>
      <c r="K345" s="12"/>
      <c r="L345" s="12" t="str">
        <f ca="1">IFERROR(__xludf.DUMMYFUNCTION("""COMPUTED_VALUE"""),"上架中")</f>
        <v>上架中</v>
      </c>
      <c r="M345" s="12" t="str">
        <f ca="1">IFERROR(__xludf.DUMMYFUNCTION("""COMPUTED_VALUE"""),"客訂機種，請先洽大同確認貨況")</f>
        <v>客訂機種，請先洽大同確認貨況</v>
      </c>
      <c r="N345" s="12" t="str">
        <f ca="1">IFERROR(__xludf.DUMMYFUNCTION("""COMPUTED_VALUE"""),"洗脫烘滾筒")</f>
        <v>洗脫烘滾筒</v>
      </c>
      <c r="O345" s="12" t="str">
        <f ca="1">IFERROR(__xludf.DUMMYFUNCTION("""COMPUTED_VALUE"""),"炫亮銀")</f>
        <v>炫亮銀</v>
      </c>
      <c r="P345" s="12" t="str">
        <f ca="1">IFERROR(__xludf.DUMMYFUNCTION("""COMPUTED_VALUE"""),"19公斤")</f>
        <v>19公斤</v>
      </c>
      <c r="Q345" s="12" t="str">
        <f ca="1">IFERROR(__xludf.DUMMYFUNCTION("""COMPUTED_VALUE"""),"高1160 X 寬820 X 深880 mm")</f>
        <v>高1160 X 寬820 X 深880 mm</v>
      </c>
      <c r="R345" s="12" t="str">
        <f ca="1">IFERROR(__xludf.DUMMYFUNCTION("""COMPUTED_VALUE"""),"台灣")</f>
        <v>台灣</v>
      </c>
      <c r="S345" s="12" t="str">
        <f ca="1">IFERROR(__xludf.DUMMYFUNCTION("""COMPUTED_VALUE"""),"V/省水標章(金級)")</f>
        <v>V/省水標章(金級)</v>
      </c>
      <c r="T345" s="12"/>
      <c r="U345" s="12" t="str">
        <f ca="1">IFERROR(__xludf.DUMMYFUNCTION("""COMPUTED_VALUE"""),"1年")</f>
        <v>1年</v>
      </c>
      <c r="V345" s="12"/>
      <c r="W345" s="12" t="str">
        <f ca="1">IFERROR(__xludf.DUMMYFUNCTION("""COMPUTED_VALUE"""),"(10/1-114/2/28)隨貨送SP-2505-PR石墨烯多功能兩用靠墊+SP-NA02-PR南僑水晶皂力淨")</f>
        <v>(10/1-114/2/28)隨貨送SP-2505-PR石墨烯多功能兩用靠墊+SP-NA02-PR南僑水晶皂力淨</v>
      </c>
      <c r="X345" s="12"/>
      <c r="Y345" s="12"/>
      <c r="Z345" s="14"/>
      <c r="AA345" s="15" t="str">
        <f ca="1">IFERROR(__xludf.DUMMYFUNCTION("""COMPUTED_VALUE"""),"●洗劑量自動精準投入●溫風循環烘衣科技●nanoe X 全面抑制黑黴●新舞動水流+3D智慧洗淨")</f>
        <v>●洗劑量自動精準投入●溫風循環烘衣科技●nanoe X 全面抑制黑黴●新舞動水流+3D智慧洗淨</v>
      </c>
    </row>
    <row r="346" spans="1:27" ht="19.5" customHeight="1">
      <c r="A346" s="12" t="str">
        <f ca="1">IFERROR(__xludf.DUMMYFUNCTION("""COMPUTED_VALUE"""),"洗衣機")</f>
        <v>洗衣機</v>
      </c>
      <c r="B346" s="12" t="str">
        <f ca="1">IFERROR(__xludf.DUMMYFUNCTION("""COMPUTED_VALUE"""),"大同")</f>
        <v>大同</v>
      </c>
      <c r="C346" s="12" t="str">
        <f ca="1">IFERROR(__xludf.DUMMYFUNCTION("""COMPUTED_VALUE"""),"Panasonic")</f>
        <v>Panasonic</v>
      </c>
      <c r="D346" s="12" t="str">
        <f ca="1">IFERROR(__xludf.DUMMYFUNCTION("""COMPUTED_VALUE"""),"Panasonic_國際變頻洗脫烘滾筒洗衣機19公斤(冰鑽白)_NA-V190MDH-W")</f>
        <v>Panasonic_國際變頻洗脫烘滾筒洗衣機19公斤(冰鑽白)_NA-V190MDH-W</v>
      </c>
      <c r="E346" s="12" t="str">
        <f ca="1">IFERROR(__xludf.DUMMYFUNCTION("""COMPUTED_VALUE"""),"NA-V190MDH-W")</f>
        <v>NA-V190MDH-W</v>
      </c>
      <c r="F346" s="12">
        <f ca="1">IFERROR(__xludf.DUMMYFUNCTION("""COMPUTED_VALUE"""),51089441)</f>
        <v>51089441</v>
      </c>
      <c r="G346" s="12" t="str">
        <f ca="1">IFERROR(__xludf.DUMMYFUNCTION("""COMPUTED_VALUE"""),"IGEM072C")</f>
        <v>IGEM072C</v>
      </c>
      <c r="H346" s="13">
        <f ca="1">IFERROR(__xludf.DUMMYFUNCTION("""COMPUTED_VALUE"""),61900)</f>
        <v>61900</v>
      </c>
      <c r="I346" s="14">
        <f ca="1">IFERROR(__xludf.DUMMYFUNCTION("""COMPUTED_VALUE"""),57567)</f>
        <v>57567</v>
      </c>
      <c r="J346" s="12"/>
      <c r="K346" s="12"/>
      <c r="L346" s="12" t="str">
        <f ca="1">IFERROR(__xludf.DUMMYFUNCTION("""COMPUTED_VALUE"""),"上架中")</f>
        <v>上架中</v>
      </c>
      <c r="M346" s="12" t="str">
        <f ca="1">IFERROR(__xludf.DUMMYFUNCTION("""COMPUTED_VALUE"""),"客訂機種，請先洽大同確認貨況")</f>
        <v>客訂機種，請先洽大同確認貨況</v>
      </c>
      <c r="N346" s="12" t="str">
        <f ca="1">IFERROR(__xludf.DUMMYFUNCTION("""COMPUTED_VALUE"""),"洗脫烘滾筒")</f>
        <v>洗脫烘滾筒</v>
      </c>
      <c r="O346" s="12" t="str">
        <f ca="1">IFERROR(__xludf.DUMMYFUNCTION("""COMPUTED_VALUE"""),"冰鑽白")</f>
        <v>冰鑽白</v>
      </c>
      <c r="P346" s="12" t="str">
        <f ca="1">IFERROR(__xludf.DUMMYFUNCTION("""COMPUTED_VALUE"""),"19公斤")</f>
        <v>19公斤</v>
      </c>
      <c r="Q346" s="12" t="str">
        <f ca="1">IFERROR(__xludf.DUMMYFUNCTION("""COMPUTED_VALUE"""),"高1160 X 寬820 X 深880 mm")</f>
        <v>高1160 X 寬820 X 深880 mm</v>
      </c>
      <c r="R346" s="12" t="str">
        <f ca="1">IFERROR(__xludf.DUMMYFUNCTION("""COMPUTED_VALUE"""),"台灣")</f>
        <v>台灣</v>
      </c>
      <c r="S346" s="12" t="str">
        <f ca="1">IFERROR(__xludf.DUMMYFUNCTION("""COMPUTED_VALUE"""),"V/省水標章(金級)")</f>
        <v>V/省水標章(金級)</v>
      </c>
      <c r="T346" s="12"/>
      <c r="U346" s="12" t="str">
        <f ca="1">IFERROR(__xludf.DUMMYFUNCTION("""COMPUTED_VALUE"""),"1年")</f>
        <v>1年</v>
      </c>
      <c r="V346" s="12"/>
      <c r="W346" s="12" t="str">
        <f ca="1">IFERROR(__xludf.DUMMYFUNCTION("""COMPUTED_VALUE"""),"(10/1-114/2/28)隨貨送SP-2505-PR石墨烯多功能兩用靠墊+SP-NA02-PR南僑水晶皂力淨")</f>
        <v>(10/1-114/2/28)隨貨送SP-2505-PR石墨烯多功能兩用靠墊+SP-NA02-PR南僑水晶皂力淨</v>
      </c>
      <c r="X346" s="12"/>
      <c r="Y346" s="12"/>
      <c r="Z346" s="14"/>
      <c r="AA346" s="15" t="str">
        <f ca="1">IFERROR(__xludf.DUMMYFUNCTION("""COMPUTED_VALUE"""),"●40℃溫水泡洗淨●自動槽洗淨●3D噴射水流+3D智慧洗淨●ECONAVI智慧感應省水、省電")</f>
        <v>●40℃溫水泡洗淨●自動槽洗淨●3D噴射水流+3D智慧洗淨●ECONAVI智慧感應省水、省電</v>
      </c>
    </row>
    <row r="347" spans="1:27" ht="19.5" customHeight="1">
      <c r="A347" s="12" t="str">
        <f ca="1">IFERROR(__xludf.DUMMYFUNCTION("""COMPUTED_VALUE"""),"洗衣機")</f>
        <v>洗衣機</v>
      </c>
      <c r="B347" s="12" t="str">
        <f ca="1">IFERROR(__xludf.DUMMYFUNCTION("""COMPUTED_VALUE"""),"大同")</f>
        <v>大同</v>
      </c>
      <c r="C347" s="12" t="str">
        <f ca="1">IFERROR(__xludf.DUMMYFUNCTION("""COMPUTED_VALUE"""),"Panasonic")</f>
        <v>Panasonic</v>
      </c>
      <c r="D347" s="12" t="str">
        <f ca="1">IFERROR(__xludf.DUMMYFUNCTION("""COMPUTED_VALUE"""),"Panasonic_國際變頻洗脫滾筒洗衣機16公斤(冰鑽白)_NA-V160MW-W")</f>
        <v>Panasonic_國際變頻洗脫滾筒洗衣機16公斤(冰鑽白)_NA-V160MW-W</v>
      </c>
      <c r="E347" s="12" t="str">
        <f ca="1">IFERROR(__xludf.DUMMYFUNCTION("""COMPUTED_VALUE"""),"NA-V160MW-W")</f>
        <v>NA-V160MW-W</v>
      </c>
      <c r="F347" s="12">
        <f ca="1">IFERROR(__xludf.DUMMYFUNCTION("""COMPUTED_VALUE"""),51089442)</f>
        <v>51089442</v>
      </c>
      <c r="G347" s="12" t="str">
        <f ca="1">IFERROR(__xludf.DUMMYFUNCTION("""COMPUTED_VALUE"""),"IGEM072D")</f>
        <v>IGEM072D</v>
      </c>
      <c r="H347" s="13">
        <f ca="1">IFERROR(__xludf.DUMMYFUNCTION("""COMPUTED_VALUE"""),33500)</f>
        <v>33500</v>
      </c>
      <c r="I347" s="14">
        <f ca="1">IFERROR(__xludf.DUMMYFUNCTION("""COMPUTED_VALUE"""),31155)</f>
        <v>31155</v>
      </c>
      <c r="J347" s="12"/>
      <c r="K347" s="12"/>
      <c r="L347" s="12" t="str">
        <f ca="1">IFERROR(__xludf.DUMMYFUNCTION("""COMPUTED_VALUE"""),"上架中")</f>
        <v>上架中</v>
      </c>
      <c r="M347" s="12" t="str">
        <f ca="1">IFERROR(__xludf.DUMMYFUNCTION("""COMPUTED_VALUE"""),"客訂機種，請先洽大同確認貨況")</f>
        <v>客訂機種，請先洽大同確認貨況</v>
      </c>
      <c r="N347" s="12" t="str">
        <f ca="1">IFERROR(__xludf.DUMMYFUNCTION("""COMPUTED_VALUE"""),"洗脫滾筒")</f>
        <v>洗脫滾筒</v>
      </c>
      <c r="O347" s="12" t="str">
        <f ca="1">IFERROR(__xludf.DUMMYFUNCTION("""COMPUTED_VALUE"""),"冰鑽白")</f>
        <v>冰鑽白</v>
      </c>
      <c r="P347" s="12" t="str">
        <f ca="1">IFERROR(__xludf.DUMMYFUNCTION("""COMPUTED_VALUE"""),"16公斤")</f>
        <v>16公斤</v>
      </c>
      <c r="Q347" s="12" t="str">
        <f ca="1">IFERROR(__xludf.DUMMYFUNCTION("""COMPUTED_VALUE"""),"高1160 X 寬775 X 深880 mm")</f>
        <v>高1160 X 寬775 X 深880 mm</v>
      </c>
      <c r="R347" s="12" t="str">
        <f ca="1">IFERROR(__xludf.DUMMYFUNCTION("""COMPUTED_VALUE"""),"台灣")</f>
        <v>台灣</v>
      </c>
      <c r="S347" s="12" t="str">
        <f ca="1">IFERROR(__xludf.DUMMYFUNCTION("""COMPUTED_VALUE"""),"V")</f>
        <v>V</v>
      </c>
      <c r="T347" s="12"/>
      <c r="U347" s="12" t="str">
        <f ca="1">IFERROR(__xludf.DUMMYFUNCTION("""COMPUTED_VALUE"""),"1年")</f>
        <v>1年</v>
      </c>
      <c r="V347" s="12"/>
      <c r="W347" s="12" t="str">
        <f ca="1">IFERROR(__xludf.DUMMYFUNCTION("""COMPUTED_VALUE"""),"(10/1-114/2/28)隨貨送SP-2505-PR石墨烯多功能兩用靠墊
")</f>
        <v xml:space="preserve">(10/1-114/2/28)隨貨送SP-2505-PR石墨烯多功能兩用靠墊
</v>
      </c>
      <c r="X347" s="12"/>
      <c r="Y347" s="12"/>
      <c r="Z347" s="14"/>
      <c r="AA347" s="15" t="str">
        <f ca="1">IFERROR(__xludf.DUMMYFUNCTION("""COMPUTED_VALUE"""),"●40℃溫水泡洗淨●自動槽洗淨●3D噴射水流+3D智慧洗淨●ECONAVI智慧感應省水、省電")</f>
        <v>●40℃溫水泡洗淨●自動槽洗淨●3D噴射水流+3D智慧洗淨●ECONAVI智慧感應省水、省電</v>
      </c>
    </row>
    <row r="348" spans="1:27" ht="19.5" customHeight="1">
      <c r="A348" s="12" t="str">
        <f ca="1">IFERROR(__xludf.DUMMYFUNCTION("""COMPUTED_VALUE"""),"洗衣機")</f>
        <v>洗衣機</v>
      </c>
      <c r="B348" s="12" t="str">
        <f ca="1">IFERROR(__xludf.DUMMYFUNCTION("""COMPUTED_VALUE"""),"大同")</f>
        <v>大同</v>
      </c>
      <c r="C348" s="12" t="str">
        <f ca="1">IFERROR(__xludf.DUMMYFUNCTION("""COMPUTED_VALUE"""),"Panasonic")</f>
        <v>Panasonic</v>
      </c>
      <c r="D348" s="12" t="str">
        <f ca="1">IFERROR(__xludf.DUMMYFUNCTION("""COMPUTED_VALUE"""),"Panasonic_國際變頻洗脫滾筒洗衣機17公斤(冰鑽白)_NA-V170MW-W")</f>
        <v>Panasonic_國際變頻洗脫滾筒洗衣機17公斤(冰鑽白)_NA-V170MW-W</v>
      </c>
      <c r="E348" s="12" t="str">
        <f ca="1">IFERROR(__xludf.DUMMYFUNCTION("""COMPUTED_VALUE"""),"NA-V170MW-W")</f>
        <v>NA-V170MW-W</v>
      </c>
      <c r="F348" s="12">
        <f ca="1">IFERROR(__xludf.DUMMYFUNCTION("""COMPUTED_VALUE"""),51089443)</f>
        <v>51089443</v>
      </c>
      <c r="G348" s="12" t="str">
        <f ca="1">IFERROR(__xludf.DUMMYFUNCTION("""COMPUTED_VALUE"""),"IGEM072E")</f>
        <v>IGEM072E</v>
      </c>
      <c r="H348" s="13">
        <f ca="1">IFERROR(__xludf.DUMMYFUNCTION("""COMPUTED_VALUE"""),34900)</f>
        <v>34900</v>
      </c>
      <c r="I348" s="14">
        <f ca="1">IFERROR(__xludf.DUMMYFUNCTION("""COMPUTED_VALUE"""),32457)</f>
        <v>32457</v>
      </c>
      <c r="J348" s="12"/>
      <c r="K348" s="12"/>
      <c r="L348" s="12" t="str">
        <f ca="1">IFERROR(__xludf.DUMMYFUNCTION("""COMPUTED_VALUE"""),"上架中")</f>
        <v>上架中</v>
      </c>
      <c r="M348" s="12" t="str">
        <f ca="1">IFERROR(__xludf.DUMMYFUNCTION("""COMPUTED_VALUE"""),"客訂機種，請先洽大同確認貨況")</f>
        <v>客訂機種，請先洽大同確認貨況</v>
      </c>
      <c r="N348" s="12" t="str">
        <f ca="1">IFERROR(__xludf.DUMMYFUNCTION("""COMPUTED_VALUE"""),"洗脫滾筒")</f>
        <v>洗脫滾筒</v>
      </c>
      <c r="O348" s="12" t="str">
        <f ca="1">IFERROR(__xludf.DUMMYFUNCTION("""COMPUTED_VALUE"""),"冰鑽白")</f>
        <v>冰鑽白</v>
      </c>
      <c r="P348" s="12" t="str">
        <f ca="1">IFERROR(__xludf.DUMMYFUNCTION("""COMPUTED_VALUE"""),"17公斤")</f>
        <v>17公斤</v>
      </c>
      <c r="Q348" s="12" t="str">
        <f ca="1">IFERROR(__xludf.DUMMYFUNCTION("""COMPUTED_VALUE"""),"高1160 X 寬775 X 深880 mm")</f>
        <v>高1160 X 寬775 X 深880 mm</v>
      </c>
      <c r="R348" s="12" t="str">
        <f ca="1">IFERROR(__xludf.DUMMYFUNCTION("""COMPUTED_VALUE"""),"台灣")</f>
        <v>台灣</v>
      </c>
      <c r="S348" s="12" t="str">
        <f ca="1">IFERROR(__xludf.DUMMYFUNCTION("""COMPUTED_VALUE"""),"V")</f>
        <v>V</v>
      </c>
      <c r="T348" s="12"/>
      <c r="U348" s="12" t="str">
        <f ca="1">IFERROR(__xludf.DUMMYFUNCTION("""COMPUTED_VALUE"""),"1年")</f>
        <v>1年</v>
      </c>
      <c r="V348" s="12"/>
      <c r="W348" s="12" t="str">
        <f ca="1">IFERROR(__xludf.DUMMYFUNCTION("""COMPUTED_VALUE"""),"(10/1-114/2/28)隨貨送SP-2505-PR石墨烯多功能兩用靠墊
")</f>
        <v xml:space="preserve">(10/1-114/2/28)隨貨送SP-2505-PR石墨烯多功能兩用靠墊
</v>
      </c>
      <c r="X348" s="12"/>
      <c r="Y348" s="12"/>
      <c r="Z348" s="14"/>
      <c r="AA348" s="15" t="str">
        <f ca="1">IFERROR(__xludf.DUMMYFUNCTION("""COMPUTED_VALUE"""),"●40℃溫水泡洗淨●自動槽洗淨●3D噴射水流+3D智慧洗淨●ECONAVI智慧感應省水、省電")</f>
        <v>●40℃溫水泡洗淨●自動槽洗淨●3D噴射水流+3D智慧洗淨●ECONAVI智慧感應省水、省電</v>
      </c>
    </row>
    <row r="349" spans="1:27" ht="19.5" customHeight="1">
      <c r="A349" s="12" t="str">
        <f ca="1">IFERROR(__xludf.DUMMYFUNCTION("""COMPUTED_VALUE"""),"冰箱")</f>
        <v>冰箱</v>
      </c>
      <c r="B349" s="12" t="str">
        <f ca="1">IFERROR(__xludf.DUMMYFUNCTION("""COMPUTED_VALUE"""),"順發")</f>
        <v>順發</v>
      </c>
      <c r="C349" s="12" t="str">
        <f ca="1">IFERROR(__xludf.DUMMYFUNCTION("""COMPUTED_VALUE"""),"MITSUBISHI")</f>
        <v>MITSUBISHI</v>
      </c>
      <c r="D349" s="12" t="str">
        <f ca="1">IFERROR(__xludf.DUMMYFUNCTION("""COMPUTED_VALUE"""),"Mitsubishi_605L六門變頻日製冰箱(玫瑰金)_764B06_MR-JX61C-N-C1")</f>
        <v>Mitsubishi_605L六門變頻日製冰箱(玫瑰金)_764B06_MR-JX61C-N-C1</v>
      </c>
      <c r="E349" s="12" t="str">
        <f ca="1">IFERROR(__xludf.DUMMYFUNCTION("""COMPUTED_VALUE"""),"MR-JX61C-N-C1")</f>
        <v>MR-JX61C-N-C1</v>
      </c>
      <c r="F349" s="12">
        <f ca="1">IFERROR(__xludf.DUMMYFUNCTION("""COMPUTED_VALUE"""),51095726)</f>
        <v>51095726</v>
      </c>
      <c r="G349" s="12" t="str">
        <f ca="1">IFERROR(__xludf.DUMMYFUNCTION("""COMPUTED_VALUE"""),"IGEM093N")</f>
        <v>IGEM093N</v>
      </c>
      <c r="H349" s="12">
        <f ca="1">IFERROR(__xludf.DUMMYFUNCTION("""COMPUTED_VALUE"""),76490)</f>
        <v>76490</v>
      </c>
      <c r="I349" s="18">
        <f ca="1">IFERROR(__xludf.DUMMYFUNCTION("""COMPUTED_VALUE"""),68841)</f>
        <v>68841</v>
      </c>
      <c r="J349" s="16">
        <f ca="1">IFERROR(__xludf.DUMMYFUNCTION("""COMPUTED_VALUE"""),45383)</f>
        <v>45383</v>
      </c>
      <c r="K349" s="12" t="str">
        <f ca="1">IFERROR(__xludf.DUMMYFUNCTION("""COMPUTED_VALUE"""),"回價")</f>
        <v>回價</v>
      </c>
      <c r="L349" s="12" t="str">
        <f ca="1">IFERROR(__xludf.DUMMYFUNCTION("""COMPUTED_VALUE"""),"上架中")</f>
        <v>上架中</v>
      </c>
      <c r="M349" s="12" t="str">
        <f ca="1">IFERROR(__xludf.DUMMYFUNCTION("""COMPUTED_VALUE"""),"12/1新機上架")</f>
        <v>12/1新機上架</v>
      </c>
      <c r="N349" s="12" t="str">
        <f ca="1">IFERROR(__xludf.DUMMYFUNCTION("""COMPUTED_VALUE"""),"六門變頻")</f>
        <v>六門變頻</v>
      </c>
      <c r="O349" s="12" t="str">
        <f ca="1">IFERROR(__xludf.DUMMYFUNCTION("""COMPUTED_VALUE"""),"玫瑰金")</f>
        <v>玫瑰金</v>
      </c>
      <c r="P349" s="12" t="str">
        <f ca="1">IFERROR(__xludf.DUMMYFUNCTION("""COMPUTED_VALUE"""),"605L")</f>
        <v>605L</v>
      </c>
      <c r="Q349" s="12" t="str">
        <f ca="1">IFERROR(__xludf.DUMMYFUNCTION("""COMPUTED_VALUE"""),"1821*685*738mm")</f>
        <v>1821*685*738mm</v>
      </c>
      <c r="R349" s="12" t="str">
        <f ca="1">IFERROR(__xludf.DUMMYFUNCTION("""COMPUTED_VALUE"""),"日本")</f>
        <v>日本</v>
      </c>
      <c r="S349" s="12" t="str">
        <f ca="1">IFERROR(__xludf.DUMMYFUNCTION("""COMPUTED_VALUE"""),"V")</f>
        <v>V</v>
      </c>
      <c r="T349" s="13" t="str">
        <f ca="1">IFERROR(__xludf.DUMMYFUNCTION("""COMPUTED_VALUE"""),"1級能效")</f>
        <v>1級能效</v>
      </c>
      <c r="U349" s="12" t="str">
        <f ca="1">IFERROR(__xludf.DUMMYFUNCTION("""COMPUTED_VALUE"""),"1年")</f>
        <v>1年</v>
      </c>
      <c r="V349" s="12" t="str">
        <f ca="1">IFERROR(__xludf.DUMMYFUNCTION("""COMPUTED_VALUE"""),"3年")</f>
        <v>3年</v>
      </c>
      <c r="W349" s="12"/>
      <c r="X349" s="12" t="str">
        <f ca="1">IFERROR(__xludf.DUMMYFUNCTION("""COMPUTED_VALUE"""),"(114/1/1~2/28)隨貨送雙扣乾濕雙用盒3件組 (805T27)")</f>
        <v>(114/1/1~2/28)隨貨送雙扣乾濕雙用盒3件組 (805T27)</v>
      </c>
      <c r="Y349" s="12">
        <f ca="1">IFERROR(__xludf.DUMMYFUNCTION("""COMPUTED_VALUE"""),605)</f>
        <v>605</v>
      </c>
      <c r="Z349" s="14" t="str">
        <f ca="1">IFERROR(__xludf.DUMMYFUNCTION("""COMPUTED_VALUE"""),"2000")</f>
        <v>2000</v>
      </c>
      <c r="AA349" s="15" t="str">
        <f ca="1">IFERROR(__xludf.DUMMYFUNCTION("""COMPUTED_VALUE"""),"*超冰保鮮D*微凍易切瞬冷凍*鮮脆水潤蔬果室 *全庫室獨立隔間設計 *15dB超靜音好安靜                                                                                   *製冰順手－超淨清冰")</f>
        <v>*超冰保鮮D*微凍易切瞬冷凍*鮮脆水潤蔬果室 *全庫室獨立隔間設計 *15dB超靜音好安靜                                                                                   *製冰順手－超淨清冰</v>
      </c>
    </row>
    <row r="350" spans="1:27" ht="19.5" customHeight="1">
      <c r="A350" s="12" t="str">
        <f ca="1">IFERROR(__xludf.DUMMYFUNCTION("""COMPUTED_VALUE"""),"冰箱")</f>
        <v>冰箱</v>
      </c>
      <c r="B350" s="12" t="str">
        <f ca="1">IFERROR(__xludf.DUMMYFUNCTION("""COMPUTED_VALUE"""),"順發")</f>
        <v>順發</v>
      </c>
      <c r="C350" s="12" t="str">
        <f ca="1">IFERROR(__xludf.DUMMYFUNCTION("""COMPUTED_VALUE"""),"MITSUBISHI")</f>
        <v>MITSUBISHI</v>
      </c>
      <c r="D350" s="12" t="str">
        <f ca="1">IFERROR(__xludf.DUMMYFUNCTION("""COMPUTED_VALUE"""),"Mitsubishi_605L六門變頻日製冰箱(絹絲白)_764B05_MR-JX61C-W-C1")</f>
        <v>Mitsubishi_605L六門變頻日製冰箱(絹絲白)_764B05_MR-JX61C-W-C1</v>
      </c>
      <c r="E350" s="12" t="str">
        <f ca="1">IFERROR(__xludf.DUMMYFUNCTION("""COMPUTED_VALUE"""),"MR-JX61C-W-C1")</f>
        <v>MR-JX61C-W-C1</v>
      </c>
      <c r="F350" s="12">
        <f ca="1">IFERROR(__xludf.DUMMYFUNCTION("""COMPUTED_VALUE"""),51095727)</f>
        <v>51095727</v>
      </c>
      <c r="G350" s="12" t="str">
        <f ca="1">IFERROR(__xludf.DUMMYFUNCTION("""COMPUTED_VALUE"""),"IGEM093O")</f>
        <v>IGEM093O</v>
      </c>
      <c r="H350" s="12">
        <f ca="1">IFERROR(__xludf.DUMMYFUNCTION("""COMPUTED_VALUE"""),76490)</f>
        <v>76490</v>
      </c>
      <c r="I350" s="18">
        <f ca="1">IFERROR(__xludf.DUMMYFUNCTION("""COMPUTED_VALUE"""),68841)</f>
        <v>68841</v>
      </c>
      <c r="J350" s="16">
        <f ca="1">IFERROR(__xludf.DUMMYFUNCTION("""COMPUTED_VALUE"""),45383)</f>
        <v>45383</v>
      </c>
      <c r="K350" s="12" t="str">
        <f ca="1">IFERROR(__xludf.DUMMYFUNCTION("""COMPUTED_VALUE"""),"回價")</f>
        <v>回價</v>
      </c>
      <c r="L350" s="12" t="str">
        <f ca="1">IFERROR(__xludf.DUMMYFUNCTION("""COMPUTED_VALUE"""),"上架中")</f>
        <v>上架中</v>
      </c>
      <c r="M350" s="12" t="str">
        <f ca="1">IFERROR(__xludf.DUMMYFUNCTION("""COMPUTED_VALUE"""),"12/1新機上架")</f>
        <v>12/1新機上架</v>
      </c>
      <c r="N350" s="12" t="str">
        <f ca="1">IFERROR(__xludf.DUMMYFUNCTION("""COMPUTED_VALUE"""),"六門變頻")</f>
        <v>六門變頻</v>
      </c>
      <c r="O350" s="12" t="str">
        <f ca="1">IFERROR(__xludf.DUMMYFUNCTION("""COMPUTED_VALUE"""),"絹絲白")</f>
        <v>絹絲白</v>
      </c>
      <c r="P350" s="12" t="str">
        <f ca="1">IFERROR(__xludf.DUMMYFUNCTION("""COMPUTED_VALUE"""),"605L")</f>
        <v>605L</v>
      </c>
      <c r="Q350" s="12" t="str">
        <f ca="1">IFERROR(__xludf.DUMMYFUNCTION("""COMPUTED_VALUE"""),"1821*685*738mm")</f>
        <v>1821*685*738mm</v>
      </c>
      <c r="R350" s="12" t="str">
        <f ca="1">IFERROR(__xludf.DUMMYFUNCTION("""COMPUTED_VALUE"""),"日本")</f>
        <v>日本</v>
      </c>
      <c r="S350" s="12" t="str">
        <f ca="1">IFERROR(__xludf.DUMMYFUNCTION("""COMPUTED_VALUE"""),"V")</f>
        <v>V</v>
      </c>
      <c r="T350" s="13" t="str">
        <f ca="1">IFERROR(__xludf.DUMMYFUNCTION("""COMPUTED_VALUE"""),"1級能效")</f>
        <v>1級能效</v>
      </c>
      <c r="U350" s="12" t="str">
        <f ca="1">IFERROR(__xludf.DUMMYFUNCTION("""COMPUTED_VALUE"""),"1年")</f>
        <v>1年</v>
      </c>
      <c r="V350" s="12" t="str">
        <f ca="1">IFERROR(__xludf.DUMMYFUNCTION("""COMPUTED_VALUE"""),"3年")</f>
        <v>3年</v>
      </c>
      <c r="W350" s="12"/>
      <c r="X350" s="12" t="str">
        <f ca="1">IFERROR(__xludf.DUMMYFUNCTION("""COMPUTED_VALUE"""),"(114/1/1~2/28)隨貨送雙扣乾濕雙用盒3件組 (805T27)")</f>
        <v>(114/1/1~2/28)隨貨送雙扣乾濕雙用盒3件組 (805T27)</v>
      </c>
      <c r="Y350" s="12">
        <f ca="1">IFERROR(__xludf.DUMMYFUNCTION("""COMPUTED_VALUE"""),605)</f>
        <v>605</v>
      </c>
      <c r="Z350" s="14" t="str">
        <f ca="1">IFERROR(__xludf.DUMMYFUNCTION("""COMPUTED_VALUE"""),"2000")</f>
        <v>2000</v>
      </c>
      <c r="AA350" s="15" t="str">
        <f ca="1">IFERROR(__xludf.DUMMYFUNCTION("""COMPUTED_VALUE"""),"*超冰保鮮D*微凍易切瞬冷凍*鮮脆水潤蔬果室 *全庫室獨立隔間設計 *15dB超靜音好安靜                                                                                   *製冰順手－超淨清冰")</f>
        <v>*超冰保鮮D*微凍易切瞬冷凍*鮮脆水潤蔬果室 *全庫室獨立隔間設計 *15dB超靜音好安靜                                                                                   *製冰順手－超淨清冰</v>
      </c>
    </row>
    <row r="351" spans="1:27" ht="19.5" customHeight="1">
      <c r="A351" s="12" t="str">
        <f ca="1">IFERROR(__xludf.DUMMYFUNCTION("""COMPUTED_VALUE"""),"冰箱")</f>
        <v>冰箱</v>
      </c>
      <c r="B351" s="12" t="str">
        <f ca="1">IFERROR(__xludf.DUMMYFUNCTION("""COMPUTED_VALUE"""),"順發")</f>
        <v>順發</v>
      </c>
      <c r="C351" s="12" t="str">
        <f ca="1">IFERROR(__xludf.DUMMYFUNCTION("""COMPUTED_VALUE"""),"HITACHI")</f>
        <v>HITACHI</v>
      </c>
      <c r="D351" s="12" t="str">
        <f ca="1">IFERROR(__xludf.DUMMYFUNCTION("""COMPUTED_VALUE"""),"日立331L三門變頻冰箱(琉璃白)_R-G36BGPW")</f>
        <v>日立331L三門變頻冰箱(琉璃白)_R-G36BGPW</v>
      </c>
      <c r="E351" s="12" t="str">
        <f ca="1">IFERROR(__xludf.DUMMYFUNCTION("""COMPUTED_VALUE"""),"R-G36BGPW")</f>
        <v>R-G36BGPW</v>
      </c>
      <c r="F351" s="12">
        <f ca="1">IFERROR(__xludf.DUMMYFUNCTION("""COMPUTED_VALUE"""),51095158)</f>
        <v>51095158</v>
      </c>
      <c r="G351" s="12" t="str">
        <f ca="1">IFERROR(__xludf.DUMMYFUNCTION("""COMPUTED_VALUE"""),"IGEM017N")</f>
        <v>IGEM017N</v>
      </c>
      <c r="H351" s="12">
        <f ca="1">IFERROR(__xludf.DUMMYFUNCTION("""COMPUTED_VALUE"""),32400)</f>
        <v>32400</v>
      </c>
      <c r="I351" s="14">
        <f ca="1">IFERROR(__xludf.DUMMYFUNCTION("""COMPUTED_VALUE"""),29808)</f>
        <v>29808</v>
      </c>
      <c r="J351" s="21">
        <f ca="1">IFERROR(__xludf.DUMMYFUNCTION("""COMPUTED_VALUE"""),44927)</f>
        <v>44927</v>
      </c>
      <c r="K351" s="12" t="str">
        <f ca="1">IFERROR(__xludf.DUMMYFUNCTION("""COMPUTED_VALUE"""),"回價")</f>
        <v>回價</v>
      </c>
      <c r="L351" s="12" t="str">
        <f ca="1">IFERROR(__xludf.DUMMYFUNCTION("""COMPUTED_VALUE"""),"上架中")</f>
        <v>上架中</v>
      </c>
      <c r="M351" s="12" t="str">
        <f ca="1">IFERROR(__xludf.DUMMYFUNCTION("""COMPUTED_VALUE"""),"客訂機種，請先洽廠商確認貨況")</f>
        <v>客訂機種，請先洽廠商確認貨況</v>
      </c>
      <c r="N351" s="12" t="str">
        <f ca="1">IFERROR(__xludf.DUMMYFUNCTION("""COMPUTED_VALUE"""),"三門變頻")</f>
        <v>三門變頻</v>
      </c>
      <c r="O351" s="12" t="str">
        <f ca="1">IFERROR(__xludf.DUMMYFUNCTION("""COMPUTED_VALUE"""),"琉璃白")</f>
        <v>琉璃白</v>
      </c>
      <c r="P351" s="12" t="str">
        <f ca="1">IFERROR(__xludf.DUMMYFUNCTION("""COMPUTED_VALUE"""),"331L")</f>
        <v>331L</v>
      </c>
      <c r="Q351" s="12" t="str">
        <f ca="1">IFERROR(__xludf.DUMMYFUNCTION("""COMPUTED_VALUE"""),"1735*540*655mm")</f>
        <v>1735*540*655mm</v>
      </c>
      <c r="R351" s="12" t="str">
        <f ca="1">IFERROR(__xludf.DUMMYFUNCTION("""COMPUTED_VALUE"""),"泰國")</f>
        <v>泰國</v>
      </c>
      <c r="S351" s="12"/>
      <c r="T351" s="13" t="str">
        <f ca="1">IFERROR(__xludf.DUMMYFUNCTION("""COMPUTED_VALUE"""),"1級能效")</f>
        <v>1級能效</v>
      </c>
      <c r="U351" s="22" t="str">
        <f ca="1">IFERROR(__xludf.DUMMYFUNCTION("""COMPUTED_VALUE"""),"1年")</f>
        <v>1年</v>
      </c>
      <c r="V351" s="12" t="str">
        <f ca="1">IFERROR(__xludf.DUMMYFUNCTION("""COMPUTED_VALUE"""),"5年")</f>
        <v>5年</v>
      </c>
      <c r="W351" s="12"/>
      <c r="X351" s="12" t="str">
        <f ca="1">IFERROR(__xludf.DUMMYFUNCTION("""COMPUTED_VALUE"""),"(114/1/1~2/28)隨貨送Nerez 304不鏽鋼雙層深+淺調理盤(附架) (805T23)")</f>
        <v>(114/1/1~2/28)隨貨送Nerez 304不鏽鋼雙層深+淺調理盤(附架) (805T23)</v>
      </c>
      <c r="Y351" s="12">
        <f ca="1">IFERROR(__xludf.DUMMYFUNCTION("""COMPUTED_VALUE"""),331)</f>
        <v>331</v>
      </c>
      <c r="Z351" s="14" t="str">
        <f ca="1">IFERROR(__xludf.DUMMYFUNCTION("""COMPUTED_VALUE"""),"1200")</f>
        <v>1200</v>
      </c>
      <c r="AA351" s="15" t="str">
        <f ca="1">IFERROR(__xludf.DUMMYFUNCTION("""COMPUTED_VALUE"""),"*純淨自動製冰，免保養抑制水垢設計*強化玻璃門扉*觸碰式操作面板*冷藏室上置拿取更方便**速冷凍鎖住美味，R-600a環保新冷媒。*高保濕蔬果室，食物更鮮甜，水份不流失。*奈米鈦抗菌除臭濾網*LED照明燈(冷藏室)，強化玻璃棚架
")</f>
        <v xml:space="preserve">*純淨自動製冰，免保養抑制水垢設計*強化玻璃門扉*觸碰式操作面板*冷藏室上置拿取更方便**速冷凍鎖住美味，R-600a環保新冷媒。*高保濕蔬果室，食物更鮮甜，水份不流失。*奈米鈦抗菌除臭濾網*LED照明燈(冷藏室)，強化玻璃棚架
</v>
      </c>
    </row>
    <row r="352" spans="1:27" ht="19.5" customHeight="1">
      <c r="A352" s="12" t="str">
        <f ca="1">IFERROR(__xludf.DUMMYFUNCTION("""COMPUTED_VALUE"""),"冰箱")</f>
        <v>冰箱</v>
      </c>
      <c r="B352" s="12" t="str">
        <f ca="1">IFERROR(__xludf.DUMMYFUNCTION("""COMPUTED_VALUE"""),"順發")</f>
        <v>順發</v>
      </c>
      <c r="C352" s="12" t="str">
        <f ca="1">IFERROR(__xludf.DUMMYFUNCTION("""COMPUTED_VALUE"""),"HITACHI")</f>
        <v>HITACHI</v>
      </c>
      <c r="D352" s="12" t="str">
        <f ca="1">IFERROR(__xludf.DUMMYFUNCTION("""COMPUTED_VALUE"""),"日立394L三門變頻冰箱(琉璃白)_R-G41BG(PW)")</f>
        <v>日立394L三門變頻冰箱(琉璃白)_R-G41BG(PW)</v>
      </c>
      <c r="E352" s="12" t="str">
        <f ca="1">IFERROR(__xludf.DUMMYFUNCTION("""COMPUTED_VALUE"""),"R-G41BG(PW)")</f>
        <v>R-G41BG(PW)</v>
      </c>
      <c r="F352" s="12">
        <f ca="1">IFERROR(__xludf.DUMMYFUNCTION("""COMPUTED_VALUE"""),51095161)</f>
        <v>51095161</v>
      </c>
      <c r="G352" s="12" t="str">
        <f ca="1">IFERROR(__xludf.DUMMYFUNCTION("""COMPUTED_VALUE"""),"IGEM017Q")</f>
        <v>IGEM017Q</v>
      </c>
      <c r="H352" s="12">
        <f ca="1">IFERROR(__xludf.DUMMYFUNCTION("""COMPUTED_VALUE"""),35400)</f>
        <v>35400</v>
      </c>
      <c r="I352" s="14">
        <f ca="1">IFERROR(__xludf.DUMMYFUNCTION("""COMPUTED_VALUE"""),32568)</f>
        <v>32568</v>
      </c>
      <c r="J352" s="21">
        <f ca="1">IFERROR(__xludf.DUMMYFUNCTION("""COMPUTED_VALUE"""),44927)</f>
        <v>44927</v>
      </c>
      <c r="K352" s="12" t="str">
        <f ca="1">IFERROR(__xludf.DUMMYFUNCTION("""COMPUTED_VALUE"""),"回價")</f>
        <v>回價</v>
      </c>
      <c r="L352" s="12" t="str">
        <f ca="1">IFERROR(__xludf.DUMMYFUNCTION("""COMPUTED_VALUE"""),"上架中")</f>
        <v>上架中</v>
      </c>
      <c r="M352" s="12" t="str">
        <f ca="1">IFERROR(__xludf.DUMMYFUNCTION("""COMPUTED_VALUE"""),"客訂機種，請先洽廠商確認貨況")</f>
        <v>客訂機種，請先洽廠商確認貨況</v>
      </c>
      <c r="N352" s="12" t="str">
        <f ca="1">IFERROR(__xludf.DUMMYFUNCTION("""COMPUTED_VALUE"""),"三門變頻")</f>
        <v>三門變頻</v>
      </c>
      <c r="O352" s="12" t="str">
        <f ca="1">IFERROR(__xludf.DUMMYFUNCTION("""COMPUTED_VALUE"""),"琉璃白")</f>
        <v>琉璃白</v>
      </c>
      <c r="P352" s="12" t="str">
        <f ca="1">IFERROR(__xludf.DUMMYFUNCTION("""COMPUTED_VALUE"""),"394L")</f>
        <v>394L</v>
      </c>
      <c r="Q352" s="12" t="str">
        <f ca="1">IFERROR(__xludf.DUMMYFUNCTION("""COMPUTED_VALUE"""),"1810*600*655mm")</f>
        <v>1810*600*655mm</v>
      </c>
      <c r="R352" s="12" t="str">
        <f ca="1">IFERROR(__xludf.DUMMYFUNCTION("""COMPUTED_VALUE"""),"泰國")</f>
        <v>泰國</v>
      </c>
      <c r="S352" s="12"/>
      <c r="T352" s="13" t="str">
        <f ca="1">IFERROR(__xludf.DUMMYFUNCTION("""COMPUTED_VALUE"""),"1級能效")</f>
        <v>1級能效</v>
      </c>
      <c r="U352" s="22" t="str">
        <f ca="1">IFERROR(__xludf.DUMMYFUNCTION("""COMPUTED_VALUE"""),"1年")</f>
        <v>1年</v>
      </c>
      <c r="V352" s="12" t="str">
        <f ca="1">IFERROR(__xludf.DUMMYFUNCTION("""COMPUTED_VALUE"""),"5年")</f>
        <v>5年</v>
      </c>
      <c r="W352" s="12"/>
      <c r="X352" s="12" t="str">
        <f ca="1">IFERROR(__xludf.DUMMYFUNCTION("""COMPUTED_VALUE"""),"(114/1/1~2/28)隨貨送Nerez 304不鏽鋼雙層深+淺調理盤(附架) (805T23)")</f>
        <v>(114/1/1~2/28)隨貨送Nerez 304不鏽鋼雙層深+淺調理盤(附架) (805T23)</v>
      </c>
      <c r="Y352" s="12">
        <f ca="1">IFERROR(__xludf.DUMMYFUNCTION("""COMPUTED_VALUE"""),394)</f>
        <v>394</v>
      </c>
      <c r="Z352" s="14" t="str">
        <f ca="1">IFERROR(__xludf.DUMMYFUNCTION("""COMPUTED_VALUE"""),"1200")</f>
        <v>1200</v>
      </c>
      <c r="AA352" s="15" t="str">
        <f ca="1">IFERROR(__xludf.DUMMYFUNCTION("""COMPUTED_VALUE"""),"*純淨自動製冰，免保養抑制水垢設計*強化玻璃門扉*觸碰式操作面板*冷藏室上置拿取更方便**速冷凍鎖住美味，R-600a環保新冷媒。*高保濕蔬果室，食物更鮮甜，水份不流失。*奈米鈦抗菌除臭濾網*LED照明燈(冷藏室)，強化玻璃棚架
")</f>
        <v xml:space="preserve">*純淨自動製冰，免保養抑制水垢設計*強化玻璃門扉*觸碰式操作面板*冷藏室上置拿取更方便**速冷凍鎖住美味，R-600a環保新冷媒。*高保濕蔬果室，食物更鮮甜，水份不流失。*奈米鈦抗菌除臭濾網*LED照明燈(冷藏室)，強化玻璃棚架
</v>
      </c>
    </row>
    <row r="353" spans="1:27" ht="19.5" customHeight="1">
      <c r="A353" s="12" t="str">
        <f ca="1">IFERROR(__xludf.DUMMYFUNCTION("""COMPUTED_VALUE"""),"冰箱")</f>
        <v>冰箱</v>
      </c>
      <c r="B353" s="12" t="str">
        <f ca="1">IFERROR(__xludf.DUMMYFUNCTION("""COMPUTED_VALUE"""),"順發")</f>
        <v>順發</v>
      </c>
      <c r="C353" s="12" t="str">
        <f ca="1">IFERROR(__xludf.DUMMYFUNCTION("""COMPUTED_VALUE"""),"HITACHI")</f>
        <v>HITACHI</v>
      </c>
      <c r="D353" s="12" t="str">
        <f ca="1">IFERROR(__xludf.DUMMYFUNCTION("""COMPUTED_VALUE"""),"日立407L五門變頻冰箱(香檳不銹鋼)_RS42NJ(SN)")</f>
        <v>日立407L五門變頻冰箱(香檳不銹鋼)_RS42NJ(SN)</v>
      </c>
      <c r="E353" s="12" t="str">
        <f ca="1">IFERROR(__xludf.DUMMYFUNCTION("""COMPUTED_VALUE"""),"RS42NJ(SN)")</f>
        <v>RS42NJ(SN)</v>
      </c>
      <c r="F353" s="12">
        <f ca="1">IFERROR(__xludf.DUMMYFUNCTION("""COMPUTED_VALUE"""),51095282)</f>
        <v>51095282</v>
      </c>
      <c r="G353" s="12" t="str">
        <f ca="1">IFERROR(__xludf.DUMMYFUNCTION("""COMPUTED_VALUE"""),"IGEM022W")</f>
        <v>IGEM022W</v>
      </c>
      <c r="H353" s="12">
        <f ca="1">IFERROR(__xludf.DUMMYFUNCTION("""COMPUTED_VALUE"""),47900)</f>
        <v>47900</v>
      </c>
      <c r="I353" s="14">
        <f ca="1">IFERROR(__xludf.DUMMYFUNCTION("""COMPUTED_VALUE"""),41900)</f>
        <v>41900</v>
      </c>
      <c r="J353" s="21">
        <f ca="1">IFERROR(__xludf.DUMMYFUNCTION("""COMPUTED_VALUE"""),45597)</f>
        <v>45597</v>
      </c>
      <c r="K353" s="12" t="str">
        <f ca="1">IFERROR(__xludf.DUMMYFUNCTION("""COMPUTED_VALUE"""),"短促")</f>
        <v>短促</v>
      </c>
      <c r="L353" s="12" t="str">
        <f ca="1">IFERROR(__xludf.DUMMYFUNCTION("""COMPUTED_VALUE"""),"上架中")</f>
        <v>上架中</v>
      </c>
      <c r="M353" s="12"/>
      <c r="N353" s="12" t="str">
        <f ca="1">IFERROR(__xludf.DUMMYFUNCTION("""COMPUTED_VALUE"""),"五門變頻")</f>
        <v>五門變頻</v>
      </c>
      <c r="O353" s="12" t="str">
        <f ca="1">IFERROR(__xludf.DUMMYFUNCTION("""COMPUTED_VALUE"""),"香檳不鏽鋼")</f>
        <v>香檳不鏽鋼</v>
      </c>
      <c r="P353" s="12" t="str">
        <f ca="1">IFERROR(__xludf.DUMMYFUNCTION("""COMPUTED_VALUE"""),"407L")</f>
        <v>407L</v>
      </c>
      <c r="Q353" s="12" t="str">
        <f ca="1">IFERROR(__xludf.DUMMYFUNCTION("""COMPUTED_VALUE"""),"1798*600*669mm")</f>
        <v>1798*600*669mm</v>
      </c>
      <c r="R353" s="12" t="str">
        <f ca="1">IFERROR(__xludf.DUMMYFUNCTION("""COMPUTED_VALUE"""),"日本")</f>
        <v>日本</v>
      </c>
      <c r="S353" s="12"/>
      <c r="T353" s="13" t="str">
        <f ca="1">IFERROR(__xludf.DUMMYFUNCTION("""COMPUTED_VALUE"""),"1級能效")</f>
        <v>1級能效</v>
      </c>
      <c r="U353" s="12" t="str">
        <f ca="1">IFERROR(__xludf.DUMMYFUNCTION("""COMPUTED_VALUE"""),"1年")</f>
        <v>1年</v>
      </c>
      <c r="V353" s="12" t="str">
        <f ca="1">IFERROR(__xludf.DUMMYFUNCTION("""COMPUTED_VALUE"""),"5年")</f>
        <v>5年</v>
      </c>
      <c r="W353" s="12"/>
      <c r="X353" s="12" t="str">
        <f ca="1">IFERROR(__xludf.DUMMYFUNCTION("""COMPUTED_VALUE"""),"(114/1/1~2/28)隨貨送卡洛斯陶瓷不沾鴛鴦鍋-30cm(市價1590)")</f>
        <v>(114/1/1~2/28)隨貨送卡洛斯陶瓷不沾鴛鴦鍋-30cm(市價1590)</v>
      </c>
      <c r="Y353" s="12">
        <f ca="1">IFERROR(__xludf.DUMMYFUNCTION("""COMPUTED_VALUE"""),407)</f>
        <v>407</v>
      </c>
      <c r="Z353" s="14" t="str">
        <f ca="1">IFERROR(__xludf.DUMMYFUNCTION("""COMPUTED_VALUE"""),"2000")</f>
        <v>2000</v>
      </c>
      <c r="AA353" s="15" t="str">
        <f ca="1">IFERROR(__xludf.DUMMYFUNCTION("""COMPUTED_VALUE"""),"*超窄60cm設計*霜能再利用節能科技*eco智慧控制系統*冷凍三段式大容量收納*可變換高度棚架*立體成形真空斷熱VIP超薄更省電*急速冷凍鎖住美味*自動製冰盤可拆洗")</f>
        <v>*超窄60cm設計*霜能再利用節能科技*eco智慧控制系統*冷凍三段式大容量收納*可變換高度棚架*立體成形真空斷熱VIP超薄更省電*急速冷凍鎖住美味*自動製冰盤可拆洗</v>
      </c>
    </row>
    <row r="354" spans="1:27" ht="19.5" customHeight="1">
      <c r="A354" s="12" t="str">
        <f ca="1">IFERROR(__xludf.DUMMYFUNCTION("""COMPUTED_VALUE"""),"冰箱")</f>
        <v>冰箱</v>
      </c>
      <c r="B354" s="12" t="str">
        <f ca="1">IFERROR(__xludf.DUMMYFUNCTION("""COMPUTED_VALUE"""),"順發")</f>
        <v>順發</v>
      </c>
      <c r="C354" s="12" t="str">
        <f ca="1">IFERROR(__xludf.DUMMYFUNCTION("""COMPUTED_VALUE"""),"HITACHI")</f>
        <v>HITACHI</v>
      </c>
      <c r="D354" s="12" t="str">
        <f ca="1">IFERROR(__xludf.DUMMYFUNCTION("""COMPUTED_VALUE"""),"日立407L五門變頻冰箱(星燦白)_RS42NJ(W)")</f>
        <v>日立407L五門變頻冰箱(星燦白)_RS42NJ(W)</v>
      </c>
      <c r="E354" s="12" t="str">
        <f ca="1">IFERROR(__xludf.DUMMYFUNCTION("""COMPUTED_VALUE"""),"RS42NJ(W)")</f>
        <v>RS42NJ(W)</v>
      </c>
      <c r="F354" s="12">
        <f ca="1">IFERROR(__xludf.DUMMYFUNCTION("""COMPUTED_VALUE"""),51095283)</f>
        <v>51095283</v>
      </c>
      <c r="G354" s="12" t="str">
        <f ca="1">IFERROR(__xludf.DUMMYFUNCTION("""COMPUTED_VALUE"""),"IGEM022X")</f>
        <v>IGEM022X</v>
      </c>
      <c r="H354" s="13">
        <f ca="1">IFERROR(__xludf.DUMMYFUNCTION("""COMPUTED_VALUE"""),47900)</f>
        <v>47900</v>
      </c>
      <c r="I354" s="14">
        <f ca="1">IFERROR(__xludf.DUMMYFUNCTION("""COMPUTED_VALUE"""),41900)</f>
        <v>41900</v>
      </c>
      <c r="J354" s="21">
        <f ca="1">IFERROR(__xludf.DUMMYFUNCTION("""COMPUTED_VALUE"""),45597)</f>
        <v>45597</v>
      </c>
      <c r="K354" s="12" t="str">
        <f ca="1">IFERROR(__xludf.DUMMYFUNCTION("""COMPUTED_VALUE"""),"短促")</f>
        <v>短促</v>
      </c>
      <c r="L354" s="12" t="str">
        <f ca="1">IFERROR(__xludf.DUMMYFUNCTION("""COMPUTED_VALUE"""),"上架中")</f>
        <v>上架中</v>
      </c>
      <c r="M354" s="12"/>
      <c r="N354" s="12" t="str">
        <f ca="1">IFERROR(__xludf.DUMMYFUNCTION("""COMPUTED_VALUE"""),"五門變頻")</f>
        <v>五門變頻</v>
      </c>
      <c r="O354" s="12" t="str">
        <f ca="1">IFERROR(__xludf.DUMMYFUNCTION("""COMPUTED_VALUE"""),"星燦白")</f>
        <v>星燦白</v>
      </c>
      <c r="P354" s="12" t="str">
        <f ca="1">IFERROR(__xludf.DUMMYFUNCTION("""COMPUTED_VALUE"""),"407L")</f>
        <v>407L</v>
      </c>
      <c r="Q354" s="12" t="str">
        <f ca="1">IFERROR(__xludf.DUMMYFUNCTION("""COMPUTED_VALUE"""),"1798*600*669mm")</f>
        <v>1798*600*669mm</v>
      </c>
      <c r="R354" s="12" t="str">
        <f ca="1">IFERROR(__xludf.DUMMYFUNCTION("""COMPUTED_VALUE"""),"日本")</f>
        <v>日本</v>
      </c>
      <c r="S354" s="12"/>
      <c r="T354" s="13" t="str">
        <f ca="1">IFERROR(__xludf.DUMMYFUNCTION("""COMPUTED_VALUE"""),"1級能效")</f>
        <v>1級能效</v>
      </c>
      <c r="U354" s="12" t="str">
        <f ca="1">IFERROR(__xludf.DUMMYFUNCTION("""COMPUTED_VALUE"""),"1年")</f>
        <v>1年</v>
      </c>
      <c r="V354" s="12" t="str">
        <f ca="1">IFERROR(__xludf.DUMMYFUNCTION("""COMPUTED_VALUE"""),"5年")</f>
        <v>5年</v>
      </c>
      <c r="W354" s="12"/>
      <c r="X354" s="12" t="str">
        <f ca="1">IFERROR(__xludf.DUMMYFUNCTION("""COMPUTED_VALUE"""),"(114/1/1~2/28)隨貨送卡洛斯陶瓷不沾鴛鴦鍋-30cm(市價1590)")</f>
        <v>(114/1/1~2/28)隨貨送卡洛斯陶瓷不沾鴛鴦鍋-30cm(市價1590)</v>
      </c>
      <c r="Y354" s="12">
        <f ca="1">IFERROR(__xludf.DUMMYFUNCTION("""COMPUTED_VALUE"""),407)</f>
        <v>407</v>
      </c>
      <c r="Z354" s="14" t="str">
        <f ca="1">IFERROR(__xludf.DUMMYFUNCTION("""COMPUTED_VALUE"""),"2000")</f>
        <v>2000</v>
      </c>
      <c r="AA354" s="15" t="str">
        <f ca="1">IFERROR(__xludf.DUMMYFUNCTION("""COMPUTED_VALUE"""),"*超窄60cm設計*霜能再利用節能科技*eco智慧控制系統*冷凍三段式大容量收納*可變換高度棚架*立體成形真空斷熱VIP超薄更省電*急速冷凍鎖住美味*自動製冰盤可拆洗")</f>
        <v>*超窄60cm設計*霜能再利用節能科技*eco智慧控制系統*冷凍三段式大容量收納*可變換高度棚架*立體成形真空斷熱VIP超薄更省電*急速冷凍鎖住美味*自動製冰盤可拆洗</v>
      </c>
    </row>
    <row r="355" spans="1:27" ht="19.5" customHeight="1">
      <c r="A355" s="12" t="str">
        <f ca="1">IFERROR(__xludf.DUMMYFUNCTION("""COMPUTED_VALUE"""),"冰箱")</f>
        <v>冰箱</v>
      </c>
      <c r="B355" s="12" t="str">
        <f ca="1">IFERROR(__xludf.DUMMYFUNCTION("""COMPUTED_VALUE"""),"順發")</f>
        <v>順發</v>
      </c>
      <c r="C355" s="12" t="str">
        <f ca="1">IFERROR(__xludf.DUMMYFUNCTION("""COMPUTED_VALUE"""),"HITACHI")</f>
        <v>HITACHI</v>
      </c>
      <c r="D355" s="12" t="str">
        <f ca="1">IFERROR(__xludf.DUMMYFUNCTION("""COMPUTED_VALUE"""),"日立407L五門變頻左開冰箱(香檳不鏽鋼)_RS42NJL(SN)")</f>
        <v>日立407L五門變頻左開冰箱(香檳不鏽鋼)_RS42NJL(SN)</v>
      </c>
      <c r="E355" s="12" t="str">
        <f ca="1">IFERROR(__xludf.DUMMYFUNCTION("""COMPUTED_VALUE"""),"RS42NJL(SN)")</f>
        <v>RS42NJL(SN)</v>
      </c>
      <c r="F355" s="12">
        <f ca="1">IFERROR(__xludf.DUMMYFUNCTION("""COMPUTED_VALUE"""),51095284)</f>
        <v>51095284</v>
      </c>
      <c r="G355" s="12" t="str">
        <f ca="1">IFERROR(__xludf.DUMMYFUNCTION("""COMPUTED_VALUE"""),"IGEM022Y")</f>
        <v>IGEM022Y</v>
      </c>
      <c r="H355" s="12">
        <f ca="1">IFERROR(__xludf.DUMMYFUNCTION("""COMPUTED_VALUE"""),48900)</f>
        <v>48900</v>
      </c>
      <c r="I355" s="18">
        <f ca="1">IFERROR(__xludf.DUMMYFUNCTION("""COMPUTED_VALUE"""),43900)</f>
        <v>43900</v>
      </c>
      <c r="J355" s="21">
        <f ca="1">IFERROR(__xludf.DUMMYFUNCTION("""COMPUTED_VALUE"""),45047)</f>
        <v>45047</v>
      </c>
      <c r="K355" s="12" t="str">
        <f ca="1">IFERROR(__xludf.DUMMYFUNCTION("""COMPUTED_VALUE"""),"短促")</f>
        <v>短促</v>
      </c>
      <c r="L355" s="12" t="str">
        <f ca="1">IFERROR(__xludf.DUMMYFUNCTION("""COMPUTED_VALUE"""),"上架中")</f>
        <v>上架中</v>
      </c>
      <c r="M355" s="12" t="str">
        <f ca="1">IFERROR(__xludf.DUMMYFUNCTION("""COMPUTED_VALUE"""),"客訂商品，請先洽順發溝通貨況")</f>
        <v>客訂商品，請先洽順發溝通貨況</v>
      </c>
      <c r="N355" s="12" t="str">
        <f ca="1">IFERROR(__xludf.DUMMYFUNCTION("""COMPUTED_VALUE"""),"五門變頻")</f>
        <v>五門變頻</v>
      </c>
      <c r="O355" s="12" t="str">
        <f ca="1">IFERROR(__xludf.DUMMYFUNCTION("""COMPUTED_VALUE"""),"香檳不鏽鋼")</f>
        <v>香檳不鏽鋼</v>
      </c>
      <c r="P355" s="12" t="str">
        <f ca="1">IFERROR(__xludf.DUMMYFUNCTION("""COMPUTED_VALUE"""),"407L")</f>
        <v>407L</v>
      </c>
      <c r="Q355" s="12" t="str">
        <f ca="1">IFERROR(__xludf.DUMMYFUNCTION("""COMPUTED_VALUE"""),"1798*600*669mm")</f>
        <v>1798*600*669mm</v>
      </c>
      <c r="R355" s="12" t="str">
        <f ca="1">IFERROR(__xludf.DUMMYFUNCTION("""COMPUTED_VALUE"""),"日本")</f>
        <v>日本</v>
      </c>
      <c r="S355" s="12"/>
      <c r="T355" s="13" t="str">
        <f ca="1">IFERROR(__xludf.DUMMYFUNCTION("""COMPUTED_VALUE"""),"1級能效")</f>
        <v>1級能效</v>
      </c>
      <c r="U355" s="12" t="str">
        <f ca="1">IFERROR(__xludf.DUMMYFUNCTION("""COMPUTED_VALUE"""),"1年")</f>
        <v>1年</v>
      </c>
      <c r="V355" s="12" t="str">
        <f ca="1">IFERROR(__xludf.DUMMYFUNCTION("""COMPUTED_VALUE"""),"5年")</f>
        <v>5年</v>
      </c>
      <c r="W355" s="12"/>
      <c r="X355" s="12" t="str">
        <f ca="1">IFERROR(__xludf.DUMMYFUNCTION("""COMPUTED_VALUE"""),"(114/1/1~2/28)隨貨送卡洛斯陶瓷不沾鴛鴦鍋-30cm(市價1590)")</f>
        <v>(114/1/1~2/28)隨貨送卡洛斯陶瓷不沾鴛鴦鍋-30cm(市價1590)</v>
      </c>
      <c r="Y355" s="12">
        <f ca="1">IFERROR(__xludf.DUMMYFUNCTION("""COMPUTED_VALUE"""),407)</f>
        <v>407</v>
      </c>
      <c r="Z355" s="14" t="str">
        <f ca="1">IFERROR(__xludf.DUMMYFUNCTION("""COMPUTED_VALUE"""),"2000")</f>
        <v>2000</v>
      </c>
      <c r="AA355" s="15" t="str">
        <f ca="1">IFERROR(__xludf.DUMMYFUNCTION("""COMPUTED_VALUE"""),"*超窄60cm設計*霜能再利用節能科技*eco智慧控制系統*冷凍三段式大容量收納*可變換高度棚架*立體成形真空斷熱VIP超薄更省電*急速冷凍鎖住美味*自動製冰盤可拆洗")</f>
        <v>*超窄60cm設計*霜能再利用節能科技*eco智慧控制系統*冷凍三段式大容量收納*可變換高度棚架*立體成形真空斷熱VIP超薄更省電*急速冷凍鎖住美味*自動製冰盤可拆洗</v>
      </c>
    </row>
    <row r="356" spans="1:27" ht="19.5" customHeight="1">
      <c r="A356" s="12" t="str">
        <f ca="1">IFERROR(__xludf.DUMMYFUNCTION("""COMPUTED_VALUE"""),"冰箱")</f>
        <v>冰箱</v>
      </c>
      <c r="B356" s="12" t="str">
        <f ca="1">IFERROR(__xludf.DUMMYFUNCTION("""COMPUTED_VALUE"""),"順發")</f>
        <v>順發</v>
      </c>
      <c r="C356" s="12" t="str">
        <f ca="1">IFERROR(__xludf.DUMMYFUNCTION("""COMPUTED_VALUE"""),"HITACHI")</f>
        <v>HITACHI</v>
      </c>
      <c r="D356" s="12" t="str">
        <f ca="1">IFERROR(__xludf.DUMMYFUNCTION("""COMPUTED_VALUE"""),"日立407L五門變頻左開冰箱(星燦白)_RS42NJL(W)")</f>
        <v>日立407L五門變頻左開冰箱(星燦白)_RS42NJL(W)</v>
      </c>
      <c r="E356" s="12" t="str">
        <f ca="1">IFERROR(__xludf.DUMMYFUNCTION("""COMPUTED_VALUE"""),"RS42NJL(W)")</f>
        <v>RS42NJL(W)</v>
      </c>
      <c r="F356" s="12">
        <f ca="1">IFERROR(__xludf.DUMMYFUNCTION("""COMPUTED_VALUE"""),51095285)</f>
        <v>51095285</v>
      </c>
      <c r="G356" s="12" t="str">
        <f ca="1">IFERROR(__xludf.DUMMYFUNCTION("""COMPUTED_VALUE"""),"IGEM022Z")</f>
        <v>IGEM022Z</v>
      </c>
      <c r="H356" s="12">
        <f ca="1">IFERROR(__xludf.DUMMYFUNCTION("""COMPUTED_VALUE"""),48900)</f>
        <v>48900</v>
      </c>
      <c r="I356" s="18">
        <f ca="1">IFERROR(__xludf.DUMMYFUNCTION("""COMPUTED_VALUE"""),43900)</f>
        <v>43900</v>
      </c>
      <c r="J356" s="21">
        <f ca="1">IFERROR(__xludf.DUMMYFUNCTION("""COMPUTED_VALUE"""),45047)</f>
        <v>45047</v>
      </c>
      <c r="K356" s="12" t="str">
        <f ca="1">IFERROR(__xludf.DUMMYFUNCTION("""COMPUTED_VALUE"""),"短促")</f>
        <v>短促</v>
      </c>
      <c r="L356" s="12" t="str">
        <f ca="1">IFERROR(__xludf.DUMMYFUNCTION("""COMPUTED_VALUE"""),"上架中")</f>
        <v>上架中</v>
      </c>
      <c r="M356" s="12" t="str">
        <f ca="1">IFERROR(__xludf.DUMMYFUNCTION("""COMPUTED_VALUE"""),"客訂商品，請先洽順發溝通貨況")</f>
        <v>客訂商品，請先洽順發溝通貨況</v>
      </c>
      <c r="N356" s="12" t="str">
        <f ca="1">IFERROR(__xludf.DUMMYFUNCTION("""COMPUTED_VALUE"""),"五門變頻")</f>
        <v>五門變頻</v>
      </c>
      <c r="O356" s="12" t="str">
        <f ca="1">IFERROR(__xludf.DUMMYFUNCTION("""COMPUTED_VALUE"""),"星燦白")</f>
        <v>星燦白</v>
      </c>
      <c r="P356" s="12" t="str">
        <f ca="1">IFERROR(__xludf.DUMMYFUNCTION("""COMPUTED_VALUE"""),"407L")</f>
        <v>407L</v>
      </c>
      <c r="Q356" s="12" t="str">
        <f ca="1">IFERROR(__xludf.DUMMYFUNCTION("""COMPUTED_VALUE"""),"1798*600*669mm")</f>
        <v>1798*600*669mm</v>
      </c>
      <c r="R356" s="12" t="str">
        <f ca="1">IFERROR(__xludf.DUMMYFUNCTION("""COMPUTED_VALUE"""),"日本")</f>
        <v>日本</v>
      </c>
      <c r="S356" s="12"/>
      <c r="T356" s="13" t="str">
        <f ca="1">IFERROR(__xludf.DUMMYFUNCTION("""COMPUTED_VALUE"""),"1級能效")</f>
        <v>1級能效</v>
      </c>
      <c r="U356" s="12" t="str">
        <f ca="1">IFERROR(__xludf.DUMMYFUNCTION("""COMPUTED_VALUE"""),"1年")</f>
        <v>1年</v>
      </c>
      <c r="V356" s="12" t="str">
        <f ca="1">IFERROR(__xludf.DUMMYFUNCTION("""COMPUTED_VALUE"""),"5年")</f>
        <v>5年</v>
      </c>
      <c r="W356" s="12"/>
      <c r="X356" s="12" t="str">
        <f ca="1">IFERROR(__xludf.DUMMYFUNCTION("""COMPUTED_VALUE"""),"(114/1/1~2/28)隨貨送卡洛斯陶瓷不沾鴛鴦鍋-30cm(市價1590)")</f>
        <v>(114/1/1~2/28)隨貨送卡洛斯陶瓷不沾鴛鴦鍋-30cm(市價1590)</v>
      </c>
      <c r="Y356" s="12">
        <f ca="1">IFERROR(__xludf.DUMMYFUNCTION("""COMPUTED_VALUE"""),407)</f>
        <v>407</v>
      </c>
      <c r="Z356" s="14" t="str">
        <f ca="1">IFERROR(__xludf.DUMMYFUNCTION("""COMPUTED_VALUE"""),"2000")</f>
        <v>2000</v>
      </c>
      <c r="AA356" s="15" t="str">
        <f ca="1">IFERROR(__xludf.DUMMYFUNCTION("""COMPUTED_VALUE"""),"*超窄60cm設計*霜能再利用節能科技*eco智慧控制系統*冷凍三段式大容量收納*可變換高度棚架*立體成形真空斷熱VIP超薄更省電*急速冷凍鎖住美味*自動製冰盤可拆洗")</f>
        <v>*超窄60cm設計*霜能再利用節能科技*eco智慧控制系統*冷凍三段式大容量收納*可變換高度棚架*立體成形真空斷熱VIP超薄更省電*急速冷凍鎖住美味*自動製冰盤可拆洗</v>
      </c>
    </row>
    <row r="357" spans="1:27" ht="19.5" customHeight="1">
      <c r="A357" s="12" t="str">
        <f ca="1">IFERROR(__xludf.DUMMYFUNCTION("""COMPUTED_VALUE"""),"冰箱")</f>
        <v>冰箱</v>
      </c>
      <c r="B357" s="12" t="str">
        <f ca="1">IFERROR(__xludf.DUMMYFUNCTION("""COMPUTED_VALUE"""),"順發")</f>
        <v>順發</v>
      </c>
      <c r="C357" s="12" t="str">
        <f ca="1">IFERROR(__xludf.DUMMYFUNCTION("""COMPUTED_VALUE"""),"HITACHI")</f>
        <v>HITACHI</v>
      </c>
      <c r="D357" s="12" t="str">
        <f ca="1">IFERROR(__xludf.DUMMYFUNCTION("""COMPUTED_VALUE"""),"日立RSG420J(XW)407L五門變頻冰箱(琉璃白)_764H50")</f>
        <v>日立RSG420J(XW)407L五門變頻冰箱(琉璃白)_764H50</v>
      </c>
      <c r="E357" s="12" t="str">
        <f ca="1">IFERROR(__xludf.DUMMYFUNCTION("""COMPUTED_VALUE"""),"RSG420J(XW)")</f>
        <v>RSG420J(XW)</v>
      </c>
      <c r="F357" s="12">
        <f ca="1">IFERROR(__xludf.DUMMYFUNCTION("""COMPUTED_VALUE"""),51095428)</f>
        <v>51095428</v>
      </c>
      <c r="G357" s="12" t="str">
        <f ca="1">IFERROR(__xludf.DUMMYFUNCTION("""COMPUTED_VALUE"""),"IGEM051H")</f>
        <v>IGEM051H</v>
      </c>
      <c r="H357" s="12">
        <f ca="1">IFERROR(__xludf.DUMMYFUNCTION("""COMPUTED_VALUE"""),51400)</f>
        <v>51400</v>
      </c>
      <c r="I357" s="14">
        <f ca="1">IFERROR(__xludf.DUMMYFUNCTION("""COMPUTED_VALUE"""),47288)</f>
        <v>47288</v>
      </c>
      <c r="J357" s="21">
        <f ca="1">IFERROR(__xludf.DUMMYFUNCTION("""COMPUTED_VALUE"""),44927)</f>
        <v>44927</v>
      </c>
      <c r="K357" s="12" t="str">
        <f ca="1">IFERROR(__xludf.DUMMYFUNCTION("""COMPUTED_VALUE"""),"回價")</f>
        <v>回價</v>
      </c>
      <c r="L357" s="12" t="str">
        <f ca="1">IFERROR(__xludf.DUMMYFUNCTION("""COMPUTED_VALUE"""),"上架中")</f>
        <v>上架中</v>
      </c>
      <c r="M357" s="12" t="str">
        <f ca="1">IFERROR(__xludf.DUMMYFUNCTION("""COMPUTED_VALUE"""),"客訂商品，請先洽順發溝通貨況")</f>
        <v>客訂商品，請先洽順發溝通貨況</v>
      </c>
      <c r="N357" s="12" t="str">
        <f ca="1">IFERROR(__xludf.DUMMYFUNCTION("""COMPUTED_VALUE"""),"五門變頻")</f>
        <v>五門變頻</v>
      </c>
      <c r="O357" s="12" t="str">
        <f ca="1">IFERROR(__xludf.DUMMYFUNCTION("""COMPUTED_VALUE"""),"琉璃白")</f>
        <v>琉璃白</v>
      </c>
      <c r="P357" s="12" t="str">
        <f ca="1">IFERROR(__xludf.DUMMYFUNCTION("""COMPUTED_VALUE"""),"407L")</f>
        <v>407L</v>
      </c>
      <c r="Q357" s="12" t="str">
        <f ca="1">IFERROR(__xludf.DUMMYFUNCTION("""COMPUTED_VALUE"""),"1798*600*672mm")</f>
        <v>1798*600*672mm</v>
      </c>
      <c r="R357" s="12" t="str">
        <f ca="1">IFERROR(__xludf.DUMMYFUNCTION("""COMPUTED_VALUE"""),"日本")</f>
        <v>日本</v>
      </c>
      <c r="S357" s="12"/>
      <c r="T357" s="13" t="str">
        <f ca="1">IFERROR(__xludf.DUMMYFUNCTION("""COMPUTED_VALUE"""),"1級能效")</f>
        <v>1級能效</v>
      </c>
      <c r="U357" s="12" t="str">
        <f ca="1">IFERROR(__xludf.DUMMYFUNCTION("""COMPUTED_VALUE"""),"1年")</f>
        <v>1年</v>
      </c>
      <c r="V357" s="12" t="str">
        <f ca="1">IFERROR(__xludf.DUMMYFUNCTION("""COMPUTED_VALUE"""),"5年")</f>
        <v>5年</v>
      </c>
      <c r="W357" s="12"/>
      <c r="X357" s="12"/>
      <c r="Y357" s="12">
        <f ca="1">IFERROR(__xludf.DUMMYFUNCTION("""COMPUTED_VALUE"""),407)</f>
        <v>407</v>
      </c>
      <c r="Z357" s="14" t="str">
        <f ca="1">IFERROR(__xludf.DUMMYFUNCTION("""COMPUTED_VALUE"""),"2000")</f>
        <v>2000</v>
      </c>
      <c r="AA357" s="15" t="str">
        <f ca="1">IFERROR(__xludf.DUMMYFUNCTION("""COMPUTED_VALUE"""),"*真空室家族新成員超窄60cm設計*真空睡眠冰溫室不結凍最新鮮*(遠離-2°C結冰點±1°C溫度選擇)*世界首創-Ru白金蔬果睡眠保鮮室*急速冷凍鎖住美味，R-600a環保新冷媒*新進化FrostRecycle霜能再利用節能科技*冷凍三段式大容量收納*純淨自動製冰，一鍵按下自動清潔*三重抗菌除臭濾網抗菌率達99%
")</f>
        <v xml:space="preserve">*真空室家族新成員超窄60cm設計*真空睡眠冰溫室不結凍最新鮮*(遠離-2°C結冰點±1°C溫度選擇)*世界首創-Ru白金蔬果睡眠保鮮室*急速冷凍鎖住美味，R-600a環保新冷媒*新進化FrostRecycle霜能再利用節能科技*冷凍三段式大容量收納*純淨自動製冰，一鍵按下自動清潔*三重抗菌除臭濾網抗菌率達99%
</v>
      </c>
    </row>
    <row r="358" spans="1:27" ht="19.5" customHeight="1">
      <c r="A358" s="12" t="str">
        <f ca="1">IFERROR(__xludf.DUMMYFUNCTION("""COMPUTED_VALUE"""),"冰箱")</f>
        <v>冰箱</v>
      </c>
      <c r="B358" s="12" t="str">
        <f ca="1">IFERROR(__xludf.DUMMYFUNCTION("""COMPUTED_VALUE"""),"順發")</f>
        <v>順發</v>
      </c>
      <c r="C358" s="12" t="str">
        <f ca="1">IFERROR(__xludf.DUMMYFUNCTION("""COMPUTED_VALUE"""),"HITACHI")</f>
        <v>HITACHI</v>
      </c>
      <c r="D358" s="12" t="str">
        <f ca="1">IFERROR(__xludf.DUMMYFUNCTION("""COMPUTED_VALUE"""),"日立RSG420J(XN)407L五門變頻冰箱(琉璃金)_764H78")</f>
        <v>日立RSG420J(XN)407L五門變頻冰箱(琉璃金)_764H78</v>
      </c>
      <c r="E358" s="12" t="str">
        <f ca="1">IFERROR(__xludf.DUMMYFUNCTION("""COMPUTED_VALUE"""),"RSG420J(XN)")</f>
        <v>RSG420J(XN)</v>
      </c>
      <c r="F358" s="12">
        <f ca="1">IFERROR(__xludf.DUMMYFUNCTION("""COMPUTED_VALUE"""),51095429)</f>
        <v>51095429</v>
      </c>
      <c r="G358" s="12" t="str">
        <f ca="1">IFERROR(__xludf.DUMMYFUNCTION("""COMPUTED_VALUE"""),"IGEM051I")</f>
        <v>IGEM051I</v>
      </c>
      <c r="H358" s="12">
        <f ca="1">IFERROR(__xludf.DUMMYFUNCTION("""COMPUTED_VALUE"""),51400)</f>
        <v>51400</v>
      </c>
      <c r="I358" s="14">
        <f ca="1">IFERROR(__xludf.DUMMYFUNCTION("""COMPUTED_VALUE"""),47288)</f>
        <v>47288</v>
      </c>
      <c r="J358" s="21">
        <f ca="1">IFERROR(__xludf.DUMMYFUNCTION("""COMPUTED_VALUE"""),44927)</f>
        <v>44927</v>
      </c>
      <c r="K358" s="12" t="str">
        <f ca="1">IFERROR(__xludf.DUMMYFUNCTION("""COMPUTED_VALUE"""),"回價")</f>
        <v>回價</v>
      </c>
      <c r="L358" s="12" t="str">
        <f ca="1">IFERROR(__xludf.DUMMYFUNCTION("""COMPUTED_VALUE"""),"上架中")</f>
        <v>上架中</v>
      </c>
      <c r="M358" s="12" t="str">
        <f ca="1">IFERROR(__xludf.DUMMYFUNCTION("""COMPUTED_VALUE"""),"客訂商品，請先洽順發溝通貨況")</f>
        <v>客訂商品，請先洽順發溝通貨況</v>
      </c>
      <c r="N358" s="12" t="str">
        <f ca="1">IFERROR(__xludf.DUMMYFUNCTION("""COMPUTED_VALUE"""),"五門變頻")</f>
        <v>五門變頻</v>
      </c>
      <c r="O358" s="12" t="str">
        <f ca="1">IFERROR(__xludf.DUMMYFUNCTION("""COMPUTED_VALUE"""),"琉璃金")</f>
        <v>琉璃金</v>
      </c>
      <c r="P358" s="12" t="str">
        <f ca="1">IFERROR(__xludf.DUMMYFUNCTION("""COMPUTED_VALUE"""),"407L")</f>
        <v>407L</v>
      </c>
      <c r="Q358" s="12" t="str">
        <f ca="1">IFERROR(__xludf.DUMMYFUNCTION("""COMPUTED_VALUE"""),"1798*600*672mm")</f>
        <v>1798*600*672mm</v>
      </c>
      <c r="R358" s="12" t="str">
        <f ca="1">IFERROR(__xludf.DUMMYFUNCTION("""COMPUTED_VALUE"""),"日本")</f>
        <v>日本</v>
      </c>
      <c r="S358" s="12"/>
      <c r="T358" s="13" t="str">
        <f ca="1">IFERROR(__xludf.DUMMYFUNCTION("""COMPUTED_VALUE"""),"1級能效")</f>
        <v>1級能效</v>
      </c>
      <c r="U358" s="12" t="str">
        <f ca="1">IFERROR(__xludf.DUMMYFUNCTION("""COMPUTED_VALUE"""),"1年")</f>
        <v>1年</v>
      </c>
      <c r="V358" s="12" t="str">
        <f ca="1">IFERROR(__xludf.DUMMYFUNCTION("""COMPUTED_VALUE"""),"5年")</f>
        <v>5年</v>
      </c>
      <c r="W358" s="12"/>
      <c r="X358" s="12"/>
      <c r="Y358" s="12">
        <f ca="1">IFERROR(__xludf.DUMMYFUNCTION("""COMPUTED_VALUE"""),407)</f>
        <v>407</v>
      </c>
      <c r="Z358" s="14" t="str">
        <f ca="1">IFERROR(__xludf.DUMMYFUNCTION("""COMPUTED_VALUE"""),"2000")</f>
        <v>2000</v>
      </c>
      <c r="AA358" s="15" t="str">
        <f ca="1">IFERROR(__xludf.DUMMYFUNCTION("""COMPUTED_VALUE"""),"*真空室家族新成員超窄60cm設計*真空睡眠冰溫室不結凍最新鮮*(遠離-2°C結冰點±1°C溫度選擇)*世界首創-Ru白金蔬果睡眠保鮮室*急速冷凍鎖住美味，R-600a環保新冷媒*新進化FrostRecycle霜能再利用節能科技*冷凍三段式大容量收納*純淨自動製冰，一鍵按下自動清潔*三重抗菌除臭濾網抗菌率達99%
")</f>
        <v xml:space="preserve">*真空室家族新成員超窄60cm設計*真空睡眠冰溫室不結凍最新鮮*(遠離-2°C結冰點±1°C溫度選擇)*世界首創-Ru白金蔬果睡眠保鮮室*急速冷凍鎖住美味，R-600a環保新冷媒*新進化FrostRecycle霜能再利用節能科技*冷凍三段式大容量收納*純淨自動製冰，一鍵按下自動清潔*三重抗菌除臭濾網抗菌率達99%
</v>
      </c>
    </row>
    <row r="359" spans="1:27" ht="19.5" customHeight="1">
      <c r="A359" s="12" t="str">
        <f ca="1">IFERROR(__xludf.DUMMYFUNCTION("""COMPUTED_VALUE"""),"冰箱")</f>
        <v>冰箱</v>
      </c>
      <c r="B359" s="12" t="str">
        <f ca="1">IFERROR(__xludf.DUMMYFUNCTION("""COMPUTED_VALUE"""),"順發")</f>
        <v>順發</v>
      </c>
      <c r="C359" s="12" t="str">
        <f ca="1">IFERROR(__xludf.DUMMYFUNCTION("""COMPUTED_VALUE"""),"HITACHI")</f>
        <v>HITACHI</v>
      </c>
      <c r="D359" s="12" t="str">
        <f ca="1">IFERROR(__xludf.DUMMYFUNCTION("""COMPUTED_VALUE"""),"日立RHS49NJ(CNX)475L五門變頻冰箱(星燦金)_764H74")</f>
        <v>日立RHS49NJ(CNX)475L五門變頻冰箱(星燦金)_764H74</v>
      </c>
      <c r="E359" s="12" t="str">
        <f ca="1">IFERROR(__xludf.DUMMYFUNCTION("""COMPUTED_VALUE"""),"RHS49NJ(CNX)")</f>
        <v>RHS49NJ(CNX)</v>
      </c>
      <c r="F359" s="12">
        <f ca="1">IFERROR(__xludf.DUMMYFUNCTION("""COMPUTED_VALUE"""),51095374)</f>
        <v>51095374</v>
      </c>
      <c r="G359" s="12" t="str">
        <f ca="1">IFERROR(__xludf.DUMMYFUNCTION("""COMPUTED_VALUE"""),"IGEM043B")</f>
        <v>IGEM043B</v>
      </c>
      <c r="H359" s="12">
        <f ca="1">IFERROR(__xludf.DUMMYFUNCTION("""COMPUTED_VALUE"""),55900)</f>
        <v>55900</v>
      </c>
      <c r="I359" s="14">
        <f ca="1">IFERROR(__xludf.DUMMYFUNCTION("""COMPUTED_VALUE"""),47900)</f>
        <v>47900</v>
      </c>
      <c r="J359" s="21">
        <f ca="1">IFERROR(__xludf.DUMMYFUNCTION("""COMPUTED_VALUE"""),45261)</f>
        <v>45261</v>
      </c>
      <c r="K359" s="12" t="str">
        <f ca="1">IFERROR(__xludf.DUMMYFUNCTION("""COMPUTED_VALUE"""),"短促")</f>
        <v>短促</v>
      </c>
      <c r="L359" s="12" t="str">
        <f ca="1">IFERROR(__xludf.DUMMYFUNCTION("""COMPUTED_VALUE"""),"上架中")</f>
        <v>上架中</v>
      </c>
      <c r="M359" s="12"/>
      <c r="N359" s="12" t="str">
        <f ca="1">IFERROR(__xludf.DUMMYFUNCTION("""COMPUTED_VALUE"""),"五門變頻")</f>
        <v>五門變頻</v>
      </c>
      <c r="O359" s="12" t="str">
        <f ca="1">IFERROR(__xludf.DUMMYFUNCTION("""COMPUTED_VALUE"""),"星燦金")</f>
        <v>星燦金</v>
      </c>
      <c r="P359" s="12" t="str">
        <f ca="1">IFERROR(__xludf.DUMMYFUNCTION("""COMPUTED_VALUE"""),"475L")</f>
        <v>475L</v>
      </c>
      <c r="Q359" s="12" t="str">
        <f ca="1">IFERROR(__xludf.DUMMYFUNCTION("""COMPUTED_VALUE"""),"1833*650*651mm")</f>
        <v>1833*650*651mm</v>
      </c>
      <c r="R359" s="12" t="str">
        <f ca="1">IFERROR(__xludf.DUMMYFUNCTION("""COMPUTED_VALUE"""),"日本")</f>
        <v>日本</v>
      </c>
      <c r="S359" s="12"/>
      <c r="T359" s="13" t="str">
        <f ca="1">IFERROR(__xludf.DUMMYFUNCTION("""COMPUTED_VALUE"""),"1級能效")</f>
        <v>1級能效</v>
      </c>
      <c r="U359" s="12" t="str">
        <f ca="1">IFERROR(__xludf.DUMMYFUNCTION("""COMPUTED_VALUE"""),"1年")</f>
        <v>1年</v>
      </c>
      <c r="V359" s="12" t="str">
        <f ca="1">IFERROR(__xludf.DUMMYFUNCTION("""COMPUTED_VALUE"""),"5年")</f>
        <v>5年</v>
      </c>
      <c r="W359" s="12"/>
      <c r="X359" s="12" t="str">
        <f ca="1">IFERROR(__xludf.DUMMYFUNCTION("""COMPUTED_VALUE"""),"(114/1/1~2/28)隨貨送卡洛斯陶瓷不沾鴛鴦鍋-30cm(市價1590)")</f>
        <v>(114/1/1~2/28)隨貨送卡洛斯陶瓷不沾鴛鴦鍋-30cm(市價1590)</v>
      </c>
      <c r="Y359" s="12">
        <f ca="1">IFERROR(__xludf.DUMMYFUNCTION("""COMPUTED_VALUE"""),475)</f>
        <v>475</v>
      </c>
      <c r="Z359" s="14" t="str">
        <f ca="1">IFERROR(__xludf.DUMMYFUNCTION("""COMPUTED_VALUE"""),"2000")</f>
        <v>2000</v>
      </c>
      <c r="AA359" s="15" t="str">
        <f ca="1">IFERROR(__xludf.DUMMYFUNCTION("""COMPUTED_VALUE"""),"*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f>
        <v>*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v>
      </c>
    </row>
    <row r="360" spans="1:27" ht="19.5" customHeight="1">
      <c r="A360" s="12" t="str">
        <f ca="1">IFERROR(__xludf.DUMMYFUNCTION("""COMPUTED_VALUE"""),"冰箱")</f>
        <v>冰箱</v>
      </c>
      <c r="B360" s="12" t="str">
        <f ca="1">IFERROR(__xludf.DUMMYFUNCTION("""COMPUTED_VALUE"""),"順發")</f>
        <v>順發</v>
      </c>
      <c r="C360" s="12" t="str">
        <f ca="1">IFERROR(__xludf.DUMMYFUNCTION("""COMPUTED_VALUE"""),"HITACHI")</f>
        <v>HITACHI</v>
      </c>
      <c r="D360" s="12" t="str">
        <f ca="1">IFERROR(__xludf.DUMMYFUNCTION("""COMPUTED_VALUE"""),"HITACHI_日立475L五門變頻冰箱(消光白)_764H75_RHS49NJ(SW)")</f>
        <v>HITACHI_日立475L五門變頻冰箱(消光白)_764H75_RHS49NJ(SW)</v>
      </c>
      <c r="E360" s="12" t="str">
        <f ca="1">IFERROR(__xludf.DUMMYFUNCTION("""COMPUTED_VALUE"""),"RHS49NJ(SW)")</f>
        <v>RHS49NJ(SW)</v>
      </c>
      <c r="F360" s="12">
        <f ca="1">IFERROR(__xludf.DUMMYFUNCTION("""COMPUTED_VALUE"""),51095375)</f>
        <v>51095375</v>
      </c>
      <c r="G360" s="12" t="str">
        <f ca="1">IFERROR(__xludf.DUMMYFUNCTION("""COMPUTED_VALUE"""),"IGEM043C")</f>
        <v>IGEM043C</v>
      </c>
      <c r="H360" s="13">
        <f ca="1">IFERROR(__xludf.DUMMYFUNCTION("""COMPUTED_VALUE"""),55900)</f>
        <v>55900</v>
      </c>
      <c r="I360" s="14">
        <f ca="1">IFERROR(__xludf.DUMMYFUNCTION("""COMPUTED_VALUE"""),47900)</f>
        <v>47900</v>
      </c>
      <c r="J360" s="21">
        <f ca="1">IFERROR(__xludf.DUMMYFUNCTION("""COMPUTED_VALUE"""),45261)</f>
        <v>45261</v>
      </c>
      <c r="K360" s="12" t="str">
        <f ca="1">IFERROR(__xludf.DUMMYFUNCTION("""COMPUTED_VALUE"""),"短促")</f>
        <v>短促</v>
      </c>
      <c r="L360" s="12" t="str">
        <f ca="1">IFERROR(__xludf.DUMMYFUNCTION("""COMPUTED_VALUE"""),"上架中")</f>
        <v>上架中</v>
      </c>
      <c r="M360" s="12"/>
      <c r="N360" s="12" t="str">
        <f ca="1">IFERROR(__xludf.DUMMYFUNCTION("""COMPUTED_VALUE"""),"五門變頻")</f>
        <v>五門變頻</v>
      </c>
      <c r="O360" s="12" t="str">
        <f ca="1">IFERROR(__xludf.DUMMYFUNCTION("""COMPUTED_VALUE"""),"消光白")</f>
        <v>消光白</v>
      </c>
      <c r="P360" s="12" t="str">
        <f ca="1">IFERROR(__xludf.DUMMYFUNCTION("""COMPUTED_VALUE"""),"475L")</f>
        <v>475L</v>
      </c>
      <c r="Q360" s="12" t="str">
        <f ca="1">IFERROR(__xludf.DUMMYFUNCTION("""COMPUTED_VALUE"""),"1833*650*651mm")</f>
        <v>1833*650*651mm</v>
      </c>
      <c r="R360" s="12" t="str">
        <f ca="1">IFERROR(__xludf.DUMMYFUNCTION("""COMPUTED_VALUE"""),"日本")</f>
        <v>日本</v>
      </c>
      <c r="S360" s="12"/>
      <c r="T360" s="13" t="str">
        <f ca="1">IFERROR(__xludf.DUMMYFUNCTION("""COMPUTED_VALUE"""),"1級能效")</f>
        <v>1級能效</v>
      </c>
      <c r="U360" s="12" t="str">
        <f ca="1">IFERROR(__xludf.DUMMYFUNCTION("""COMPUTED_VALUE"""),"1年")</f>
        <v>1年</v>
      </c>
      <c r="V360" s="12" t="str">
        <f ca="1">IFERROR(__xludf.DUMMYFUNCTION("""COMPUTED_VALUE"""),"5年")</f>
        <v>5年</v>
      </c>
      <c r="W360" s="12"/>
      <c r="X360" s="12" t="str">
        <f ca="1">IFERROR(__xludf.DUMMYFUNCTION("""COMPUTED_VALUE"""),"(114/1/1~2/28)隨貨送卡洛斯陶瓷不沾鴛鴦鍋-30cm(市價1590)")</f>
        <v>(114/1/1~2/28)隨貨送卡洛斯陶瓷不沾鴛鴦鍋-30cm(市價1590)</v>
      </c>
      <c r="Y360" s="12">
        <f ca="1">IFERROR(__xludf.DUMMYFUNCTION("""COMPUTED_VALUE"""),475)</f>
        <v>475</v>
      </c>
      <c r="Z360" s="14" t="str">
        <f ca="1">IFERROR(__xludf.DUMMYFUNCTION("""COMPUTED_VALUE"""),"2000")</f>
        <v>2000</v>
      </c>
      <c r="AA360" s="15" t="str">
        <f ca="1">IFERROR(__xludf.DUMMYFUNCTION("""COMPUTED_VALUE"""),"*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f>
        <v>*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v>
      </c>
    </row>
    <row r="361" spans="1:27" ht="19.5" customHeight="1">
      <c r="A361" s="12" t="str">
        <f ca="1">IFERROR(__xludf.DUMMYFUNCTION("""COMPUTED_VALUE"""),"冰箱")</f>
        <v>冰箱</v>
      </c>
      <c r="B361" s="12" t="str">
        <f ca="1">IFERROR(__xludf.DUMMYFUNCTION("""COMPUTED_VALUE"""),"順發")</f>
        <v>順發</v>
      </c>
      <c r="C361" s="12" t="str">
        <f ca="1">IFERROR(__xludf.DUMMYFUNCTION("""COMPUTED_VALUE"""),"HITACHI")</f>
        <v>HITACHI</v>
      </c>
      <c r="D361" s="12" t="str">
        <f ca="1">IFERROR(__xludf.DUMMYFUNCTION("""COMPUTED_VALUE"""),"日立RHSF53NJ(CNX)527L六門變頻冰箱(星燦金)_764H76")</f>
        <v>日立RHSF53NJ(CNX)527L六門變頻冰箱(星燦金)_764H76</v>
      </c>
      <c r="E361" s="12" t="str">
        <f ca="1">IFERROR(__xludf.DUMMYFUNCTION("""COMPUTED_VALUE"""),"RHSF53NJ(CNX)")</f>
        <v>RHSF53NJ(CNX)</v>
      </c>
      <c r="F361" s="12">
        <f ca="1">IFERROR(__xludf.DUMMYFUNCTION("""COMPUTED_VALUE"""),51095376)</f>
        <v>51095376</v>
      </c>
      <c r="G361" s="12" t="str">
        <f ca="1">IFERROR(__xludf.DUMMYFUNCTION("""COMPUTED_VALUE"""),"IGEM043D")</f>
        <v>IGEM043D</v>
      </c>
      <c r="H361" s="12">
        <f ca="1">IFERROR(__xludf.DUMMYFUNCTION("""COMPUTED_VALUE"""),62400)</f>
        <v>62400</v>
      </c>
      <c r="I361" s="14">
        <f ca="1">IFERROR(__xludf.DUMMYFUNCTION("""COMPUTED_VALUE"""),55900)</f>
        <v>55900</v>
      </c>
      <c r="J361" s="21">
        <f ca="1">IFERROR(__xludf.DUMMYFUNCTION("""COMPUTED_VALUE"""),45139)</f>
        <v>45139</v>
      </c>
      <c r="K361" s="12" t="str">
        <f ca="1">IFERROR(__xludf.DUMMYFUNCTION("""COMPUTED_VALUE"""),"回價")</f>
        <v>回價</v>
      </c>
      <c r="L361" s="12" t="str">
        <f ca="1">IFERROR(__xludf.DUMMYFUNCTION("""COMPUTED_VALUE"""),"上架中")</f>
        <v>上架中</v>
      </c>
      <c r="M361" s="12"/>
      <c r="N361" s="12" t="str">
        <f ca="1">IFERROR(__xludf.DUMMYFUNCTION("""COMPUTED_VALUE"""),"六門變頻")</f>
        <v>六門變頻</v>
      </c>
      <c r="O361" s="12" t="str">
        <f ca="1">IFERROR(__xludf.DUMMYFUNCTION("""COMPUTED_VALUE"""),"星燦金")</f>
        <v>星燦金</v>
      </c>
      <c r="P361" s="12" t="str">
        <f ca="1">IFERROR(__xludf.DUMMYFUNCTION("""COMPUTED_VALUE"""),"527L")</f>
        <v>527L</v>
      </c>
      <c r="Q361" s="12" t="str">
        <f ca="1">IFERROR(__xludf.DUMMYFUNCTION("""COMPUTED_VALUE"""),"1833*650*701mm")</f>
        <v>1833*650*701mm</v>
      </c>
      <c r="R361" s="12" t="str">
        <f ca="1">IFERROR(__xludf.DUMMYFUNCTION("""COMPUTED_VALUE"""),"日本")</f>
        <v>日本</v>
      </c>
      <c r="S361" s="12"/>
      <c r="T361" s="13" t="str">
        <f ca="1">IFERROR(__xludf.DUMMYFUNCTION("""COMPUTED_VALUE"""),"1級能效")</f>
        <v>1級能效</v>
      </c>
      <c r="U361" s="12" t="str">
        <f ca="1">IFERROR(__xludf.DUMMYFUNCTION("""COMPUTED_VALUE"""),"1年")</f>
        <v>1年</v>
      </c>
      <c r="V361" s="12" t="str">
        <f ca="1">IFERROR(__xludf.DUMMYFUNCTION("""COMPUTED_VALUE"""),"5年")</f>
        <v>5年</v>
      </c>
      <c r="W361" s="12"/>
      <c r="X361" s="12" t="str">
        <f ca="1">IFERROR(__xludf.DUMMYFUNCTION("""COMPUTED_VALUE"""),"(114/1/1~2/28)隨貨送卡洛斯陶瓷不沾鴛鴦鍋-30cm(市價1590)")</f>
        <v>(114/1/1~2/28)隨貨送卡洛斯陶瓷不沾鴛鴦鍋-30cm(市價1590)</v>
      </c>
      <c r="Y361" s="12">
        <f ca="1">IFERROR(__xludf.DUMMYFUNCTION("""COMPUTED_VALUE"""),527)</f>
        <v>527</v>
      </c>
      <c r="Z361" s="14" t="str">
        <f ca="1">IFERROR(__xludf.DUMMYFUNCTION("""COMPUTED_VALUE"""),"2000")</f>
        <v>2000</v>
      </c>
      <c r="AA361" s="15" t="str">
        <f ca="1">IFERROR(__xludf.DUMMYFUNCTION("""COMPUTED_VALUE"""),"*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f>
        <v>*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v>
      </c>
    </row>
    <row r="362" spans="1:27" ht="19.5" customHeight="1">
      <c r="A362" s="12" t="str">
        <f ca="1">IFERROR(__xludf.DUMMYFUNCTION("""COMPUTED_VALUE"""),"冰箱")</f>
        <v>冰箱</v>
      </c>
      <c r="B362" s="12" t="str">
        <f ca="1">IFERROR(__xludf.DUMMYFUNCTION("""COMPUTED_VALUE"""),"順發")</f>
        <v>順發</v>
      </c>
      <c r="C362" s="12" t="str">
        <f ca="1">IFERROR(__xludf.DUMMYFUNCTION("""COMPUTED_VALUE"""),"HITACHI")</f>
        <v>HITACHI</v>
      </c>
      <c r="D362" s="12" t="str">
        <f ca="1">IFERROR(__xludf.DUMMYFUNCTION("""COMPUTED_VALUE"""),"日立RHSF53NJ(SW)527L六門變頻冰箱(消光白)_764H77")</f>
        <v>日立RHSF53NJ(SW)527L六門變頻冰箱(消光白)_764H77</v>
      </c>
      <c r="E362" s="12" t="str">
        <f ca="1">IFERROR(__xludf.DUMMYFUNCTION("""COMPUTED_VALUE"""),"RHSF53NJ(SW)")</f>
        <v>RHSF53NJ(SW)</v>
      </c>
      <c r="F362" s="12">
        <f ca="1">IFERROR(__xludf.DUMMYFUNCTION("""COMPUTED_VALUE"""),51095377)</f>
        <v>51095377</v>
      </c>
      <c r="G362" s="12" t="str">
        <f ca="1">IFERROR(__xludf.DUMMYFUNCTION("""COMPUTED_VALUE"""),"IGEM043E")</f>
        <v>IGEM043E</v>
      </c>
      <c r="H362" s="12">
        <f ca="1">IFERROR(__xludf.DUMMYFUNCTION("""COMPUTED_VALUE"""),62400)</f>
        <v>62400</v>
      </c>
      <c r="I362" s="14">
        <f ca="1">IFERROR(__xludf.DUMMYFUNCTION("""COMPUTED_VALUE"""),55900)</f>
        <v>55900</v>
      </c>
      <c r="J362" s="21">
        <f ca="1">IFERROR(__xludf.DUMMYFUNCTION("""COMPUTED_VALUE"""),45139)</f>
        <v>45139</v>
      </c>
      <c r="K362" s="12" t="str">
        <f ca="1">IFERROR(__xludf.DUMMYFUNCTION("""COMPUTED_VALUE"""),"回價")</f>
        <v>回價</v>
      </c>
      <c r="L362" s="12" t="str">
        <f ca="1">IFERROR(__xludf.DUMMYFUNCTION("""COMPUTED_VALUE"""),"上架中")</f>
        <v>上架中</v>
      </c>
      <c r="M362" s="12"/>
      <c r="N362" s="12" t="str">
        <f ca="1">IFERROR(__xludf.DUMMYFUNCTION("""COMPUTED_VALUE"""),"六門變頻")</f>
        <v>六門變頻</v>
      </c>
      <c r="O362" s="12" t="str">
        <f ca="1">IFERROR(__xludf.DUMMYFUNCTION("""COMPUTED_VALUE"""),"消光白")</f>
        <v>消光白</v>
      </c>
      <c r="P362" s="12" t="str">
        <f ca="1">IFERROR(__xludf.DUMMYFUNCTION("""COMPUTED_VALUE"""),"527L")</f>
        <v>527L</v>
      </c>
      <c r="Q362" s="12" t="str">
        <f ca="1">IFERROR(__xludf.DUMMYFUNCTION("""COMPUTED_VALUE"""),"1833*650*701mm")</f>
        <v>1833*650*701mm</v>
      </c>
      <c r="R362" s="12" t="str">
        <f ca="1">IFERROR(__xludf.DUMMYFUNCTION("""COMPUTED_VALUE"""),"日本")</f>
        <v>日本</v>
      </c>
      <c r="S362" s="12"/>
      <c r="T362" s="13" t="str">
        <f ca="1">IFERROR(__xludf.DUMMYFUNCTION("""COMPUTED_VALUE"""),"1級能效")</f>
        <v>1級能效</v>
      </c>
      <c r="U362" s="12" t="str">
        <f ca="1">IFERROR(__xludf.DUMMYFUNCTION("""COMPUTED_VALUE"""),"1年")</f>
        <v>1年</v>
      </c>
      <c r="V362" s="12" t="str">
        <f ca="1">IFERROR(__xludf.DUMMYFUNCTION("""COMPUTED_VALUE"""),"5年")</f>
        <v>5年</v>
      </c>
      <c r="W362" s="12"/>
      <c r="X362" s="12" t="str">
        <f ca="1">IFERROR(__xludf.DUMMYFUNCTION("""COMPUTED_VALUE"""),"(114/1/1~2/28)隨貨送卡洛斯陶瓷不沾鴛鴦鍋-30cm(市價1590)")</f>
        <v>(114/1/1~2/28)隨貨送卡洛斯陶瓷不沾鴛鴦鍋-30cm(市價1590)</v>
      </c>
      <c r="Y362" s="12">
        <f ca="1">IFERROR(__xludf.DUMMYFUNCTION("""COMPUTED_VALUE"""),527)</f>
        <v>527</v>
      </c>
      <c r="Z362" s="14" t="str">
        <f ca="1">IFERROR(__xludf.DUMMYFUNCTION("""COMPUTED_VALUE"""),"2000")</f>
        <v>2000</v>
      </c>
      <c r="AA362" s="15" t="str">
        <f ca="1">IFERROR(__xludf.DUMMYFUNCTION("""COMPUTED_VALUE"""),"*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f>
        <v>*第二代熱食免放涼(NEW)，快速抑菌保鮮*獨立鎖濕低溫冷藏室，雙冷卻器雙循環系統*水潤蔬果保鮮間接冷卻抑制乾燥*-1℃特鮮冰溫室*不堆疊寬淺設計搭載大型鋁盤一鍵急冷凍快速降溫*冷凍三段式，大容量收納*純淨自動製冰一鍵按下自動清潔*三重抗菌除臭濾網抗菌率達99%</v>
      </c>
    </row>
    <row r="363" spans="1:27" ht="19.5" customHeight="1">
      <c r="A363" s="12" t="str">
        <f ca="1">IFERROR(__xludf.DUMMYFUNCTION("""COMPUTED_VALUE"""),"冰箱")</f>
        <v>冰箱</v>
      </c>
      <c r="B363" s="12" t="str">
        <f ca="1">IFERROR(__xludf.DUMMYFUNCTION("""COMPUTED_VALUE"""),"順發")</f>
        <v>順發</v>
      </c>
      <c r="C363" s="12" t="str">
        <f ca="1">IFERROR(__xludf.DUMMYFUNCTION("""COMPUTED_VALUE"""),"HITACHI")</f>
        <v>HITACHI</v>
      </c>
      <c r="D363" s="12" t="str">
        <f ca="1">IFERROR(__xludf.DUMMYFUNCTION("""COMPUTED_VALUE"""),"日立R-V469BSL460L雙門變頻冰箱(星燦銀)_764H82")</f>
        <v>日立R-V469BSL460L雙門變頻冰箱(星燦銀)_764H82</v>
      </c>
      <c r="E363" s="12" t="str">
        <f ca="1">IFERROR(__xludf.DUMMYFUNCTION("""COMPUTED_VALUE"""),"R-V469BSL")</f>
        <v>R-V469BSL</v>
      </c>
      <c r="F363" s="12">
        <f ca="1">IFERROR(__xludf.DUMMYFUNCTION("""COMPUTED_VALUE"""),51095458)</f>
        <v>51095458</v>
      </c>
      <c r="G363" s="12" t="str">
        <f ca="1">IFERROR(__xludf.DUMMYFUNCTION("""COMPUTED_VALUE"""),"IGEM0554")</f>
        <v>IGEM0554</v>
      </c>
      <c r="H363" s="12">
        <f ca="1">IFERROR(__xludf.DUMMYFUNCTION("""COMPUTED_VALUE"""),27490)</f>
        <v>27490</v>
      </c>
      <c r="I363" s="14">
        <f ca="1">IFERROR(__xludf.DUMMYFUNCTION("""COMPUTED_VALUE"""),23900)</f>
        <v>23900</v>
      </c>
      <c r="J363" s="21">
        <f ca="1">IFERROR(__xludf.DUMMYFUNCTION("""COMPUTED_VALUE"""),45047)</f>
        <v>45047</v>
      </c>
      <c r="K363" s="12" t="str">
        <f ca="1">IFERROR(__xludf.DUMMYFUNCTION("""COMPUTED_VALUE"""),"短促")</f>
        <v>短促</v>
      </c>
      <c r="L363" s="12" t="str">
        <f ca="1">IFERROR(__xludf.DUMMYFUNCTION("""COMPUTED_VALUE"""),"上架中")</f>
        <v>上架中</v>
      </c>
      <c r="M363" s="12"/>
      <c r="N363" s="12" t="str">
        <f ca="1">IFERROR(__xludf.DUMMYFUNCTION("""COMPUTED_VALUE"""),"雙門變頻")</f>
        <v>雙門變頻</v>
      </c>
      <c r="O363" s="12" t="str">
        <f ca="1">IFERROR(__xludf.DUMMYFUNCTION("""COMPUTED_VALUE"""),"星燦銀")</f>
        <v>星燦銀</v>
      </c>
      <c r="P363" s="12" t="str">
        <f ca="1">IFERROR(__xludf.DUMMYFUNCTION("""COMPUTED_VALUE"""),"460L")</f>
        <v>460L</v>
      </c>
      <c r="Q363" s="12" t="str">
        <f ca="1">IFERROR(__xludf.DUMMYFUNCTION("""COMPUTED_VALUE"""),"1835*715*740mm")</f>
        <v>1835*715*740mm</v>
      </c>
      <c r="R363" s="12" t="str">
        <f ca="1">IFERROR(__xludf.DUMMYFUNCTION("""COMPUTED_VALUE"""),"泰國")</f>
        <v>泰國</v>
      </c>
      <c r="S363" s="12"/>
      <c r="T363" s="13" t="str">
        <f ca="1">IFERROR(__xludf.DUMMYFUNCTION("""COMPUTED_VALUE"""),"1級能效")</f>
        <v>1級能效</v>
      </c>
      <c r="U363" s="12" t="str">
        <f ca="1">IFERROR(__xludf.DUMMYFUNCTION("""COMPUTED_VALUE"""),"1年")</f>
        <v>1年</v>
      </c>
      <c r="V363" s="12"/>
      <c r="W363" s="12"/>
      <c r="X363" s="12" t="str">
        <f ca="1">IFERROR(__xludf.DUMMYFUNCTION("""COMPUTED_VALUE"""),"(114/1/1~2/28)隨貨送Nerez 304不鏽鋼雙層深+淺調理盤(附架) (805T23)")</f>
        <v>(114/1/1~2/28)隨貨送Nerez 304不鏽鋼雙層深+淺調理盤(附架) (805T23)</v>
      </c>
      <c r="Y363" s="12">
        <f ca="1">IFERROR(__xludf.DUMMYFUNCTION("""COMPUTED_VALUE"""),460)</f>
        <v>460</v>
      </c>
      <c r="Z363" s="14" t="str">
        <f ca="1">IFERROR(__xludf.DUMMYFUNCTION("""COMPUTED_VALUE"""),"2000")</f>
        <v>2000</v>
      </c>
      <c r="AA363" s="15" t="str">
        <f ca="1">IFERROR(__xludf.DUMMYFUNCTION("""COMPUTED_VALUE"""),"*急速冷凍鎖住美味，操作設定2小時後自動解除*智能控溫速冷科技*雙獨立風扇冷卻系統*LED照明燈(冷藏室+冷凍室)*全室強化玻璃層架(冷藏室+冷凍室)*可移動式製冰盒*蔬果室高濕約達92%，保持蔬果新鮮美味*溫度可調保鮮室")</f>
        <v>*急速冷凍鎖住美味，操作設定2小時後自動解除*智能控溫速冷科技*雙獨立風扇冷卻系統*LED照明燈(冷藏室+冷凍室)*全室強化玻璃層架(冷藏室+冷凍室)*可移動式製冰盒*蔬果室高濕約達92%，保持蔬果新鮮美味*溫度可調保鮮室</v>
      </c>
    </row>
    <row r="364" spans="1:27" ht="19.5" customHeight="1">
      <c r="A364" s="12" t="str">
        <f ca="1">IFERROR(__xludf.DUMMYFUNCTION("""COMPUTED_VALUE"""),"冰箱")</f>
        <v>冰箱</v>
      </c>
      <c r="B364" s="12" t="str">
        <f ca="1">IFERROR(__xludf.DUMMYFUNCTION("""COMPUTED_VALUE"""),"順發")</f>
        <v>順發</v>
      </c>
      <c r="C364" s="12" t="str">
        <f ca="1">IFERROR(__xludf.DUMMYFUNCTION("""COMPUTED_VALUE"""),"HITACHI")</f>
        <v>HITACHI</v>
      </c>
      <c r="D364" s="12" t="str">
        <f ca="1">IFERROR(__xludf.DUMMYFUNCTION("""COMPUTED_VALUE"""),"日立R-V469PWH460L雙門變頻冰箱(典雅白)_764H83")</f>
        <v>日立R-V469PWH460L雙門變頻冰箱(典雅白)_764H83</v>
      </c>
      <c r="E364" s="12" t="str">
        <f ca="1">IFERROR(__xludf.DUMMYFUNCTION("""COMPUTED_VALUE"""),"R-V469PWH")</f>
        <v>R-V469PWH</v>
      </c>
      <c r="F364" s="12">
        <f ca="1">IFERROR(__xludf.DUMMYFUNCTION("""COMPUTED_VALUE"""),51095459)</f>
        <v>51095459</v>
      </c>
      <c r="G364" s="12" t="str">
        <f ca="1">IFERROR(__xludf.DUMMYFUNCTION("""COMPUTED_VALUE"""),"IGEM0555")</f>
        <v>IGEM0555</v>
      </c>
      <c r="H364" s="12">
        <f ca="1">IFERROR(__xludf.DUMMYFUNCTION("""COMPUTED_VALUE"""),27490)</f>
        <v>27490</v>
      </c>
      <c r="I364" s="14">
        <f ca="1">IFERROR(__xludf.DUMMYFUNCTION("""COMPUTED_VALUE"""),23900)</f>
        <v>23900</v>
      </c>
      <c r="J364" s="16">
        <f ca="1">IFERROR(__xludf.DUMMYFUNCTION("""COMPUTED_VALUE"""),45047)</f>
        <v>45047</v>
      </c>
      <c r="K364" s="12" t="str">
        <f ca="1">IFERROR(__xludf.DUMMYFUNCTION("""COMPUTED_VALUE"""),"短促")</f>
        <v>短促</v>
      </c>
      <c r="L364" s="12" t="str">
        <f ca="1">IFERROR(__xludf.DUMMYFUNCTION("""COMPUTED_VALUE"""),"上架中")</f>
        <v>上架中</v>
      </c>
      <c r="M364" s="12"/>
      <c r="N364" s="12" t="str">
        <f ca="1">IFERROR(__xludf.DUMMYFUNCTION("""COMPUTED_VALUE"""),"雙門變頻")</f>
        <v>雙門變頻</v>
      </c>
      <c r="O364" s="12" t="str">
        <f ca="1">IFERROR(__xludf.DUMMYFUNCTION("""COMPUTED_VALUE"""),"典雅白")</f>
        <v>典雅白</v>
      </c>
      <c r="P364" s="12" t="str">
        <f ca="1">IFERROR(__xludf.DUMMYFUNCTION("""COMPUTED_VALUE"""),"460L")</f>
        <v>460L</v>
      </c>
      <c r="Q364" s="12" t="str">
        <f ca="1">IFERROR(__xludf.DUMMYFUNCTION("""COMPUTED_VALUE"""),"1835*715*740mm")</f>
        <v>1835*715*740mm</v>
      </c>
      <c r="R364" s="12" t="str">
        <f ca="1">IFERROR(__xludf.DUMMYFUNCTION("""COMPUTED_VALUE"""),"泰國")</f>
        <v>泰國</v>
      </c>
      <c r="S364" s="12"/>
      <c r="T364" s="13" t="str">
        <f ca="1">IFERROR(__xludf.DUMMYFUNCTION("""COMPUTED_VALUE"""),"1級能效")</f>
        <v>1級能效</v>
      </c>
      <c r="U364" s="12" t="str">
        <f ca="1">IFERROR(__xludf.DUMMYFUNCTION("""COMPUTED_VALUE"""),"1年")</f>
        <v>1年</v>
      </c>
      <c r="V364" s="12"/>
      <c r="W364" s="12"/>
      <c r="X364" s="12" t="str">
        <f ca="1">IFERROR(__xludf.DUMMYFUNCTION("""COMPUTED_VALUE"""),"(114/1/1~2/28)隨貨送Nerez 304不鏽鋼雙層深+淺調理盤(附架) (805T23)")</f>
        <v>(114/1/1~2/28)隨貨送Nerez 304不鏽鋼雙層深+淺調理盤(附架) (805T23)</v>
      </c>
      <c r="Y364" s="12">
        <f ca="1">IFERROR(__xludf.DUMMYFUNCTION("""COMPUTED_VALUE"""),460)</f>
        <v>460</v>
      </c>
      <c r="Z364" s="14" t="str">
        <f ca="1">IFERROR(__xludf.DUMMYFUNCTION("""COMPUTED_VALUE"""),"2000")</f>
        <v>2000</v>
      </c>
      <c r="AA364" s="15" t="str">
        <f ca="1">IFERROR(__xludf.DUMMYFUNCTION("""COMPUTED_VALUE"""),"*急速冷凍鎖住美味，操作設定2小時後自動解除*智能控溫速冷科技*雙獨立風扇冷卻系統*LED照明燈(冷藏室+冷凍室)*全室強化玻璃層架(冷藏室+冷凍室)*可移動式製冰盒*蔬果室高濕約達92%，保持蔬果新鮮美味*溫度可調保鮮室")</f>
        <v>*急速冷凍鎖住美味，操作設定2小時後自動解除*智能控溫速冷科技*雙獨立風扇冷卻系統*LED照明燈(冷藏室+冷凍室)*全室強化玻璃層架(冷藏室+冷凍室)*可移動式製冰盒*蔬果室高濕約達92%，保持蔬果新鮮美味*溫度可調保鮮室</v>
      </c>
    </row>
    <row r="365" spans="1:27" ht="19.5" customHeight="1">
      <c r="A365" s="12" t="str">
        <f ca="1">IFERROR(__xludf.DUMMYFUNCTION("""COMPUTED_VALUE"""),"冰箱")</f>
        <v>冰箱</v>
      </c>
      <c r="B365" s="12" t="str">
        <f ca="1">IFERROR(__xludf.DUMMYFUNCTION("""COMPUTED_VALUE"""),"順發")</f>
        <v>順發</v>
      </c>
      <c r="C365" s="12" t="str">
        <f ca="1">IFERROR(__xludf.DUMMYFUNCTION("""COMPUTED_VALUE"""),"HITACHI")</f>
        <v>HITACHI</v>
      </c>
      <c r="D365" s="12" t="str">
        <f ca="1">IFERROR(__xludf.DUMMYFUNCTION("""COMPUTED_VALUE"""),"日立RS600PTWGS595L雙門對開冰箱(琉璃瓷)_764H84")</f>
        <v>日立RS600PTWGS595L雙門對開冰箱(琉璃瓷)_764H84</v>
      </c>
      <c r="E365" s="12" t="str">
        <f ca="1">IFERROR(__xludf.DUMMYFUNCTION("""COMPUTED_VALUE"""),"RS600PTWGS")</f>
        <v>RS600PTWGS</v>
      </c>
      <c r="F365" s="12">
        <f ca="1">IFERROR(__xludf.DUMMYFUNCTION("""COMPUTED_VALUE"""),51095456)</f>
        <v>51095456</v>
      </c>
      <c r="G365" s="12" t="str">
        <f ca="1">IFERROR(__xludf.DUMMYFUNCTION("""COMPUTED_VALUE"""),"IGEM0552")</f>
        <v>IGEM0552</v>
      </c>
      <c r="H365" s="12">
        <f ca="1">IFERROR(__xludf.DUMMYFUNCTION("""COMPUTED_VALUE"""),48900)</f>
        <v>48900</v>
      </c>
      <c r="I365" s="14">
        <f ca="1">IFERROR(__xludf.DUMMYFUNCTION("""COMPUTED_VALUE"""),44988)</f>
        <v>44988</v>
      </c>
      <c r="J365" s="21">
        <f ca="1">IFERROR(__xludf.DUMMYFUNCTION("""COMPUTED_VALUE"""),44927)</f>
        <v>44927</v>
      </c>
      <c r="K365" s="12" t="str">
        <f ca="1">IFERROR(__xludf.DUMMYFUNCTION("""COMPUTED_VALUE"""),"回價")</f>
        <v>回價</v>
      </c>
      <c r="L365" s="12" t="str">
        <f ca="1">IFERROR(__xludf.DUMMYFUNCTION("""COMPUTED_VALUE"""),"上架中")</f>
        <v>上架中</v>
      </c>
      <c r="M365" s="12"/>
      <c r="N365" s="12" t="str">
        <f ca="1">IFERROR(__xludf.DUMMYFUNCTION("""COMPUTED_VALUE"""),"雙門變頻")</f>
        <v>雙門變頻</v>
      </c>
      <c r="O365" s="12" t="str">
        <f ca="1">IFERROR(__xludf.DUMMYFUNCTION("""COMPUTED_VALUE"""),"琉璃瓷")</f>
        <v>琉璃瓷</v>
      </c>
      <c r="P365" s="12" t="str">
        <f ca="1">IFERROR(__xludf.DUMMYFUNCTION("""COMPUTED_VALUE"""),"595L")</f>
        <v>595L</v>
      </c>
      <c r="Q365" s="12" t="str">
        <f ca="1">IFERROR(__xludf.DUMMYFUNCTION("""COMPUTED_VALUE"""),"1795*920*720mm")</f>
        <v>1795*920*720mm</v>
      </c>
      <c r="R365" s="12" t="str">
        <f ca="1">IFERROR(__xludf.DUMMYFUNCTION("""COMPUTED_VALUE"""),"泰國")</f>
        <v>泰國</v>
      </c>
      <c r="S365" s="12"/>
      <c r="T365" s="13" t="str">
        <f ca="1">IFERROR(__xludf.DUMMYFUNCTION("""COMPUTED_VALUE"""),"2級能效")</f>
        <v>2級能效</v>
      </c>
      <c r="U365" s="12" t="str">
        <f ca="1">IFERROR(__xludf.DUMMYFUNCTION("""COMPUTED_VALUE"""),"1年")</f>
        <v>1年</v>
      </c>
      <c r="V365" s="12"/>
      <c r="W365" s="12"/>
      <c r="X365" s="12" t="str">
        <f ca="1">IFERROR(__xludf.DUMMYFUNCTION("""COMPUTED_VALUE"""),"(114/1/1~2/28)隨貨送卡洛斯陶瓷不沾鴛鴦鍋-30cm(市價1590)")</f>
        <v>(114/1/1~2/28)隨貨送卡洛斯陶瓷不沾鴛鴦鍋-30cm(市價1590)</v>
      </c>
      <c r="Y365" s="12">
        <f ca="1">IFERROR(__xludf.DUMMYFUNCTION("""COMPUTED_VALUE"""),595)</f>
        <v>595</v>
      </c>
      <c r="Z365" s="14" t="str">
        <f ca="1">IFERROR(__xludf.DUMMYFUNCTION("""COMPUTED_VALUE"""),"2000")</f>
        <v>2000</v>
      </c>
      <c r="AA365" s="15" t="str">
        <f ca="1">IFERROR(__xludf.DUMMYFUNCTION("""COMPUTED_VALUE"""),"*精品級琉璃時尚外觀(強化玻璃門扉)*冷凍室226L，超大容量沒煩惱*急速冷凍鎖住美味*急速冷藏快速冰鎮*LED照明燈，強化玻璃層架*雙獨立風扇冷卻系統*直流變頻壓縮機，R-600a環保新冷媒")</f>
        <v>*精品級琉璃時尚外觀(強化玻璃門扉)*冷凍室226L，超大容量沒煩惱*急速冷凍鎖住美味*急速冷藏快速冰鎮*LED照明燈，強化玻璃層架*雙獨立風扇冷卻系統*直流變頻壓縮機，R-600a環保新冷媒</v>
      </c>
    </row>
    <row r="366" spans="1:27" ht="19.5" customHeight="1">
      <c r="A366" s="12" t="str">
        <f ca="1">IFERROR(__xludf.DUMMYFUNCTION("""COMPUTED_VALUE"""),"冰箱")</f>
        <v>冰箱</v>
      </c>
      <c r="B366" s="12" t="str">
        <f ca="1">IFERROR(__xludf.DUMMYFUNCTION("""COMPUTED_VALUE"""),"順發")</f>
        <v>順發</v>
      </c>
      <c r="C366" s="12" t="str">
        <f ca="1">IFERROR(__xludf.DUMMYFUNCTION("""COMPUTED_VALUE"""),"HITACHI")</f>
        <v>HITACHI</v>
      </c>
      <c r="D366" s="12" t="str">
        <f ca="1">IFERROR(__xludf.DUMMYFUNCTION("""COMPUTED_VALUE"""),"日立RS600PTWGBK595L雙門對開冰箱(琉璃黑)_764H85")</f>
        <v>日立RS600PTWGBK595L雙門對開冰箱(琉璃黑)_764H85</v>
      </c>
      <c r="E366" s="12" t="str">
        <f ca="1">IFERROR(__xludf.DUMMYFUNCTION("""COMPUTED_VALUE"""),"RS600PTWGBK")</f>
        <v>RS600PTWGBK</v>
      </c>
      <c r="F366" s="12">
        <f ca="1">IFERROR(__xludf.DUMMYFUNCTION("""COMPUTED_VALUE"""),51095457)</f>
        <v>51095457</v>
      </c>
      <c r="G366" s="12" t="str">
        <f ca="1">IFERROR(__xludf.DUMMYFUNCTION("""COMPUTED_VALUE"""),"IGEM0553")</f>
        <v>IGEM0553</v>
      </c>
      <c r="H366" s="12">
        <f ca="1">IFERROR(__xludf.DUMMYFUNCTION("""COMPUTED_VALUE"""),48900)</f>
        <v>48900</v>
      </c>
      <c r="I366" s="14">
        <f ca="1">IFERROR(__xludf.DUMMYFUNCTION("""COMPUTED_VALUE"""),44988)</f>
        <v>44988</v>
      </c>
      <c r="J366" s="21">
        <f ca="1">IFERROR(__xludf.DUMMYFUNCTION("""COMPUTED_VALUE"""),44927)</f>
        <v>44927</v>
      </c>
      <c r="K366" s="12" t="str">
        <f ca="1">IFERROR(__xludf.DUMMYFUNCTION("""COMPUTED_VALUE"""),"回價")</f>
        <v>回價</v>
      </c>
      <c r="L366" s="12" t="str">
        <f ca="1">IFERROR(__xludf.DUMMYFUNCTION("""COMPUTED_VALUE"""),"上架中")</f>
        <v>上架中</v>
      </c>
      <c r="M366" s="12"/>
      <c r="N366" s="12" t="str">
        <f ca="1">IFERROR(__xludf.DUMMYFUNCTION("""COMPUTED_VALUE"""),"雙門變頻")</f>
        <v>雙門變頻</v>
      </c>
      <c r="O366" s="12" t="str">
        <f ca="1">IFERROR(__xludf.DUMMYFUNCTION("""COMPUTED_VALUE"""),"琉璃黑")</f>
        <v>琉璃黑</v>
      </c>
      <c r="P366" s="12" t="str">
        <f ca="1">IFERROR(__xludf.DUMMYFUNCTION("""COMPUTED_VALUE"""),"595L")</f>
        <v>595L</v>
      </c>
      <c r="Q366" s="12" t="str">
        <f ca="1">IFERROR(__xludf.DUMMYFUNCTION("""COMPUTED_VALUE"""),"1795*920*720mm")</f>
        <v>1795*920*720mm</v>
      </c>
      <c r="R366" s="12" t="str">
        <f ca="1">IFERROR(__xludf.DUMMYFUNCTION("""COMPUTED_VALUE"""),"泰國")</f>
        <v>泰國</v>
      </c>
      <c r="S366" s="12"/>
      <c r="T366" s="13" t="str">
        <f ca="1">IFERROR(__xludf.DUMMYFUNCTION("""COMPUTED_VALUE"""),"2級能效")</f>
        <v>2級能效</v>
      </c>
      <c r="U366" s="12" t="str">
        <f ca="1">IFERROR(__xludf.DUMMYFUNCTION("""COMPUTED_VALUE"""),"1年")</f>
        <v>1年</v>
      </c>
      <c r="V366" s="12"/>
      <c r="W366" s="12"/>
      <c r="X366" s="12" t="str">
        <f ca="1">IFERROR(__xludf.DUMMYFUNCTION("""COMPUTED_VALUE"""),"(114/1/1~2/28)隨貨送卡洛斯陶瓷不沾鴛鴦鍋-30cm(市價1590)")</f>
        <v>(114/1/1~2/28)隨貨送卡洛斯陶瓷不沾鴛鴦鍋-30cm(市價1590)</v>
      </c>
      <c r="Y366" s="12">
        <f ca="1">IFERROR(__xludf.DUMMYFUNCTION("""COMPUTED_VALUE"""),595)</f>
        <v>595</v>
      </c>
      <c r="Z366" s="14" t="str">
        <f ca="1">IFERROR(__xludf.DUMMYFUNCTION("""COMPUTED_VALUE"""),"2000")</f>
        <v>2000</v>
      </c>
      <c r="AA366" s="15" t="str">
        <f ca="1">IFERROR(__xludf.DUMMYFUNCTION("""COMPUTED_VALUE"""),"*精品級琉璃時尚外觀(強化玻璃門扉)*冷凍室226L，超大容量沒煩惱*急速冷凍鎖住美味*急速冷藏快速冰鎮*LED照明燈，強化玻璃層架*雙獨立風扇冷卻系統*直流變頻壓縮機，R-600a環保新冷媒")</f>
        <v>*精品級琉璃時尚外觀(強化玻璃門扉)*冷凍室226L，超大容量沒煩惱*急速冷凍鎖住美味*急速冷藏快速冰鎮*LED照明燈，強化玻璃層架*雙獨立風扇冷卻系統*直流變頻壓縮機，R-600a環保新冷媒</v>
      </c>
    </row>
    <row r="367" spans="1:27" ht="19.5" customHeight="1">
      <c r="A367" s="12" t="str">
        <f ca="1">IFERROR(__xludf.DUMMYFUNCTION("""COMPUTED_VALUE"""),"冰箱")</f>
        <v>冰箱</v>
      </c>
      <c r="B367" s="12" t="str">
        <f ca="1">IFERROR(__xludf.DUMMYFUNCTION("""COMPUTED_VALUE"""),"順發")</f>
        <v>順發</v>
      </c>
      <c r="C367" s="12" t="str">
        <f ca="1">IFERROR(__xludf.DUMMYFUNCTION("""COMPUTED_VALUE"""),"HITACHI")</f>
        <v>HITACHI</v>
      </c>
      <c r="D367" s="12" t="str">
        <f ca="1">IFERROR(__xludf.DUMMYFUNCTION("""COMPUTED_VALUE"""),"日立615L六門變頻冰箱(香檳不鏽鋼)RSF62NJ(SN)")</f>
        <v>日立615L六門變頻冰箱(香檳不鏽鋼)RSF62NJ(SN)</v>
      </c>
      <c r="E367" s="12" t="str">
        <f ca="1">IFERROR(__xludf.DUMMYFUNCTION("""COMPUTED_VALUE"""),"RSF62NJ(SN)")</f>
        <v>RSF62NJ(SN)</v>
      </c>
      <c r="F367" s="12">
        <f ca="1">IFERROR(__xludf.DUMMYFUNCTION("""COMPUTED_VALUE"""),51095286)</f>
        <v>51095286</v>
      </c>
      <c r="G367" s="12" t="str">
        <f ca="1">IFERROR(__xludf.DUMMYFUNCTION("""COMPUTED_VALUE"""),"IGEM0230")</f>
        <v>IGEM0230</v>
      </c>
      <c r="H367" s="13">
        <f ca="1">IFERROR(__xludf.DUMMYFUNCTION("""COMPUTED_VALUE"""),78900)</f>
        <v>78900</v>
      </c>
      <c r="I367" s="14">
        <f ca="1">IFERROR(__xludf.DUMMYFUNCTION("""COMPUTED_VALUE"""),67900)</f>
        <v>67900</v>
      </c>
      <c r="J367" s="21">
        <f ca="1">IFERROR(__xludf.DUMMYFUNCTION("""COMPUTED_VALUE"""),45597)</f>
        <v>45597</v>
      </c>
      <c r="K367" s="12" t="str">
        <f ca="1">IFERROR(__xludf.DUMMYFUNCTION("""COMPUTED_VALUE"""),"短促")</f>
        <v>短促</v>
      </c>
      <c r="L367" s="12" t="str">
        <f ca="1">IFERROR(__xludf.DUMMYFUNCTION("""COMPUTED_VALUE"""),"上架中")</f>
        <v>上架中</v>
      </c>
      <c r="M367" s="12"/>
      <c r="N367" s="12" t="str">
        <f ca="1">IFERROR(__xludf.DUMMYFUNCTION("""COMPUTED_VALUE"""),"六門變頻")</f>
        <v>六門變頻</v>
      </c>
      <c r="O367" s="12" t="str">
        <f ca="1">IFERROR(__xludf.DUMMYFUNCTION("""COMPUTED_VALUE"""),"香檳不銹鋼")</f>
        <v>香檳不銹鋼</v>
      </c>
      <c r="P367" s="12" t="str">
        <f ca="1">IFERROR(__xludf.DUMMYFUNCTION("""COMPUTED_VALUE"""),"615L")</f>
        <v>615L</v>
      </c>
      <c r="Q367" s="12" t="str">
        <f ca="1">IFERROR(__xludf.DUMMYFUNCTION("""COMPUTED_VALUE"""),"1818*750*743mm")</f>
        <v>1818*750*743mm</v>
      </c>
      <c r="R367" s="12" t="str">
        <f ca="1">IFERROR(__xludf.DUMMYFUNCTION("""COMPUTED_VALUE"""),"日本")</f>
        <v>日本</v>
      </c>
      <c r="S367" s="12"/>
      <c r="T367" s="13" t="str">
        <f ca="1">IFERROR(__xludf.DUMMYFUNCTION("""COMPUTED_VALUE"""),"1級能效")</f>
        <v>1級能效</v>
      </c>
      <c r="U367" s="12" t="str">
        <f ca="1">IFERROR(__xludf.DUMMYFUNCTION("""COMPUTED_VALUE"""),"1年")</f>
        <v>1年</v>
      </c>
      <c r="V367" s="12" t="str">
        <f ca="1">IFERROR(__xludf.DUMMYFUNCTION("""COMPUTED_VALUE"""),"5年")</f>
        <v>5年</v>
      </c>
      <c r="W367" s="12"/>
      <c r="X367" s="12" t="str">
        <f ca="1">IFERROR(__xludf.DUMMYFUNCTION("""COMPUTED_VALUE"""),"(114/1/1~2/28)隨貨送卡洛斯陶瓷不沾鴛鴦鍋-30cm(市價1590)")</f>
        <v>(114/1/1~2/28)隨貨送卡洛斯陶瓷不沾鴛鴦鍋-30cm(市價1590)</v>
      </c>
      <c r="Y367" s="12">
        <f ca="1">IFERROR(__xludf.DUMMYFUNCTION("""COMPUTED_VALUE"""),615)</f>
        <v>615</v>
      </c>
      <c r="Z367" s="14" t="str">
        <f ca="1">IFERROR(__xludf.DUMMYFUNCTION("""COMPUTED_VALUE"""),"2000")</f>
        <v>2000</v>
      </c>
      <c r="AA367" s="15" t="str">
        <f ca="1">IFERROR(__xludf.DUMMYFUNCTION("""COMPUTED_VALUE"""),"*極效節約能效制霸*世界首創-Ru白金蔬果睡眠保鮮室*世界首創-Ru白金真空睡眠冰溫室*獨立鎖濕低溫冷藏室*冷凍三段式大容量收納*立體成形真空斷熱VIP超薄更省電*急速冷凍R-600a環保新冷媒*三重抗菌除臭濾網抗菌率達99%*自動製冰盤可拆洗")</f>
        <v>*極效節約能效制霸*世界首創-Ru白金蔬果睡眠保鮮室*世界首創-Ru白金真空睡眠冰溫室*獨立鎖濕低溫冷藏室*冷凍三段式大容量收納*立體成形真空斷熱VIP超薄更省電*急速冷凍R-600a環保新冷媒*三重抗菌除臭濾網抗菌率達99%*自動製冰盤可拆洗</v>
      </c>
    </row>
    <row r="368" spans="1:27" ht="19.5" customHeight="1">
      <c r="A368" s="12" t="str">
        <f ca="1">IFERROR(__xludf.DUMMYFUNCTION("""COMPUTED_VALUE"""),"冰箱")</f>
        <v>冰箱</v>
      </c>
      <c r="B368" s="12" t="str">
        <f ca="1">IFERROR(__xludf.DUMMYFUNCTION("""COMPUTED_VALUE"""),"順發")</f>
        <v>順發</v>
      </c>
      <c r="C368" s="12" t="str">
        <f ca="1">IFERROR(__xludf.DUMMYFUNCTION("""COMPUTED_VALUE"""),"HITACHI")</f>
        <v>HITACHI</v>
      </c>
      <c r="D368" s="12" t="str">
        <f ca="1">IFERROR(__xludf.DUMMYFUNCTION("""COMPUTED_VALUE"""),"日立615L六門變頻冰箱(星燦白)RSF62NJ(W)")</f>
        <v>日立615L六門變頻冰箱(星燦白)RSF62NJ(W)</v>
      </c>
      <c r="E368" s="12" t="str">
        <f ca="1">IFERROR(__xludf.DUMMYFUNCTION("""COMPUTED_VALUE"""),"RSF62NJ(W)")</f>
        <v>RSF62NJ(W)</v>
      </c>
      <c r="F368" s="12">
        <f ca="1">IFERROR(__xludf.DUMMYFUNCTION("""COMPUTED_VALUE"""),51095287)</f>
        <v>51095287</v>
      </c>
      <c r="G368" s="12" t="str">
        <f ca="1">IFERROR(__xludf.DUMMYFUNCTION("""COMPUTED_VALUE"""),"IGEM0231")</f>
        <v>IGEM0231</v>
      </c>
      <c r="H368" s="12">
        <f ca="1">IFERROR(__xludf.DUMMYFUNCTION("""COMPUTED_VALUE"""),78900)</f>
        <v>78900</v>
      </c>
      <c r="I368" s="14">
        <f ca="1">IFERROR(__xludf.DUMMYFUNCTION("""COMPUTED_VALUE"""),67900)</f>
        <v>67900</v>
      </c>
      <c r="J368" s="21">
        <f ca="1">IFERROR(__xludf.DUMMYFUNCTION("""COMPUTED_VALUE"""),45597)</f>
        <v>45597</v>
      </c>
      <c r="K368" s="12" t="str">
        <f ca="1">IFERROR(__xludf.DUMMYFUNCTION("""COMPUTED_VALUE"""),"短促")</f>
        <v>短促</v>
      </c>
      <c r="L368" s="12" t="str">
        <f ca="1">IFERROR(__xludf.DUMMYFUNCTION("""COMPUTED_VALUE"""),"上架中")</f>
        <v>上架中</v>
      </c>
      <c r="M368" s="12"/>
      <c r="N368" s="12" t="str">
        <f ca="1">IFERROR(__xludf.DUMMYFUNCTION("""COMPUTED_VALUE"""),"六門變頻")</f>
        <v>六門變頻</v>
      </c>
      <c r="O368" s="12" t="str">
        <f ca="1">IFERROR(__xludf.DUMMYFUNCTION("""COMPUTED_VALUE"""),"星燦白")</f>
        <v>星燦白</v>
      </c>
      <c r="P368" s="12" t="str">
        <f ca="1">IFERROR(__xludf.DUMMYFUNCTION("""COMPUTED_VALUE"""),"615L")</f>
        <v>615L</v>
      </c>
      <c r="Q368" s="12" t="str">
        <f ca="1">IFERROR(__xludf.DUMMYFUNCTION("""COMPUTED_VALUE"""),"1818*750*743mm")</f>
        <v>1818*750*743mm</v>
      </c>
      <c r="R368" s="12" t="str">
        <f ca="1">IFERROR(__xludf.DUMMYFUNCTION("""COMPUTED_VALUE"""),"日本")</f>
        <v>日本</v>
      </c>
      <c r="S368" s="12"/>
      <c r="T368" s="13" t="str">
        <f ca="1">IFERROR(__xludf.DUMMYFUNCTION("""COMPUTED_VALUE"""),"1級能效")</f>
        <v>1級能效</v>
      </c>
      <c r="U368" s="12" t="str">
        <f ca="1">IFERROR(__xludf.DUMMYFUNCTION("""COMPUTED_VALUE"""),"1年")</f>
        <v>1年</v>
      </c>
      <c r="V368" s="12" t="str">
        <f ca="1">IFERROR(__xludf.DUMMYFUNCTION("""COMPUTED_VALUE"""),"5年")</f>
        <v>5年</v>
      </c>
      <c r="W368" s="12"/>
      <c r="X368" s="12" t="str">
        <f ca="1">IFERROR(__xludf.DUMMYFUNCTION("""COMPUTED_VALUE"""),"(114/1/1~2/28)隨貨送卡洛斯陶瓷不沾鴛鴦鍋-30cm(市價1590)")</f>
        <v>(114/1/1~2/28)隨貨送卡洛斯陶瓷不沾鴛鴦鍋-30cm(市價1590)</v>
      </c>
      <c r="Y368" s="12">
        <f ca="1">IFERROR(__xludf.DUMMYFUNCTION("""COMPUTED_VALUE"""),615)</f>
        <v>615</v>
      </c>
      <c r="Z368" s="14" t="str">
        <f ca="1">IFERROR(__xludf.DUMMYFUNCTION("""COMPUTED_VALUE"""),"2000")</f>
        <v>2000</v>
      </c>
      <c r="AA368" s="15" t="str">
        <f ca="1">IFERROR(__xludf.DUMMYFUNCTION("""COMPUTED_VALUE"""),"*極效節約能效制霸*世界首創-Ru白金蔬果睡眠保鮮室*世界首創-Ru白金真空睡眠冰溫室*獨立鎖濕低溫冷藏室*冷凍三段式大容量收納*立體成形真空斷熱VIP超薄更省電*急速冷凍R-600a環保新冷媒*三重抗菌除臭濾網抗菌率達99%*自動製冰盤可拆洗")</f>
        <v>*極效節約能效制霸*世界首創-Ru白金蔬果睡眠保鮮室*世界首創-Ru白金真空睡眠冰溫室*獨立鎖濕低溫冷藏室*冷凍三段式大容量收納*立體成形真空斷熱VIP超薄更省電*急速冷凍R-600a環保新冷媒*三重抗菌除臭濾網抗菌率達99%*自動製冰盤可拆洗</v>
      </c>
    </row>
    <row r="369" spans="1:27" ht="19.5" customHeight="1">
      <c r="A369" s="12" t="str">
        <f ca="1">IFERROR(__xludf.DUMMYFUNCTION("""COMPUTED_VALUE"""),"冰箱")</f>
        <v>冰箱</v>
      </c>
      <c r="B369" s="12" t="str">
        <f ca="1">IFERROR(__xludf.DUMMYFUNCTION("""COMPUTED_VALUE"""),"順發")</f>
        <v>順發</v>
      </c>
      <c r="C369" s="12" t="str">
        <f ca="1">IFERROR(__xludf.DUMMYFUNCTION("""COMPUTED_VALUE"""),"HITACHI")</f>
        <v>HITACHI</v>
      </c>
      <c r="D369" s="12" t="str">
        <f ca="1">IFERROR(__xludf.DUMMYFUNCTION("""COMPUTED_VALUE"""),"日立676L六門變頻冰箱(琉璃鏡)RXG680NJ(X)")</f>
        <v>日立676L六門變頻冰箱(琉璃鏡)RXG680NJ(X)</v>
      </c>
      <c r="E369" s="12" t="str">
        <f ca="1">IFERROR(__xludf.DUMMYFUNCTION("""COMPUTED_VALUE"""),"RXG680NJ(X)")</f>
        <v>RXG680NJ(X)</v>
      </c>
      <c r="F369" s="12">
        <f ca="1">IFERROR(__xludf.DUMMYFUNCTION("""COMPUTED_VALUE"""),51095291)</f>
        <v>51095291</v>
      </c>
      <c r="G369" s="12" t="str">
        <f ca="1">IFERROR(__xludf.DUMMYFUNCTION("""COMPUTED_VALUE"""),"IGEM0235")</f>
        <v>IGEM0235</v>
      </c>
      <c r="H369" s="12">
        <f ca="1">IFERROR(__xludf.DUMMYFUNCTION("""COMPUTED_VALUE"""),97400)</f>
        <v>97400</v>
      </c>
      <c r="I369" s="14">
        <f ca="1">IFERROR(__xludf.DUMMYFUNCTION("""COMPUTED_VALUE"""),89608)</f>
        <v>89608</v>
      </c>
      <c r="J369" s="12"/>
      <c r="K369" s="12"/>
      <c r="L369" s="12" t="str">
        <f ca="1">IFERROR(__xludf.DUMMYFUNCTION("""COMPUTED_VALUE"""),"上架中")</f>
        <v>上架中</v>
      </c>
      <c r="M369" s="12" t="str">
        <f ca="1">IFERROR(__xludf.DUMMYFUNCTION("""COMPUTED_VALUE"""),"9/18剩最後一台，請先洽順發溝通貨況")</f>
        <v>9/18剩最後一台，請先洽順發溝通貨況</v>
      </c>
      <c r="N369" s="12" t="str">
        <f ca="1">IFERROR(__xludf.DUMMYFUNCTION("""COMPUTED_VALUE"""),"六門變頻")</f>
        <v>六門變頻</v>
      </c>
      <c r="O369" s="12" t="str">
        <f ca="1">IFERROR(__xludf.DUMMYFUNCTION("""COMPUTED_VALUE"""),"琉璃鏡")</f>
        <v>琉璃鏡</v>
      </c>
      <c r="P369" s="12" t="str">
        <f ca="1">IFERROR(__xludf.DUMMYFUNCTION("""COMPUTED_VALUE"""),"676L")</f>
        <v>676L</v>
      </c>
      <c r="Q369" s="12" t="str">
        <f ca="1">IFERROR(__xludf.DUMMYFUNCTION("""COMPUTED_VALUE"""),"1818*825*728mm")</f>
        <v>1818*825*728mm</v>
      </c>
      <c r="R369" s="12" t="str">
        <f ca="1">IFERROR(__xludf.DUMMYFUNCTION("""COMPUTED_VALUE"""),"日本")</f>
        <v>日本</v>
      </c>
      <c r="S369" s="12"/>
      <c r="T369" s="13" t="str">
        <f ca="1">IFERROR(__xludf.DUMMYFUNCTION("""COMPUTED_VALUE"""),"1級能效")</f>
        <v>1級能效</v>
      </c>
      <c r="U369" s="12" t="str">
        <f ca="1">IFERROR(__xludf.DUMMYFUNCTION("""COMPUTED_VALUE"""),"1年")</f>
        <v>1年</v>
      </c>
      <c r="V369" s="12" t="str">
        <f ca="1">IFERROR(__xludf.DUMMYFUNCTION("""COMPUTED_VALUE"""),"5年")</f>
        <v>5年</v>
      </c>
      <c r="W369" s="12"/>
      <c r="X369" s="12" t="str">
        <f ca="1">IFERROR(__xludf.DUMMYFUNCTION("""COMPUTED_VALUE"""),"(114/1/1~2/28)隨貨送卡洛斯陶瓷不沾鴛鴦鍋-30cm(市價1590)")</f>
        <v>(114/1/1~2/28)隨貨送卡洛斯陶瓷不沾鴛鴦鍋-30cm(市價1590)</v>
      </c>
      <c r="Y369" s="12">
        <f ca="1">IFERROR(__xludf.DUMMYFUNCTION("""COMPUTED_VALUE"""),676)</f>
        <v>676</v>
      </c>
      <c r="Z369" s="14" t="str">
        <f ca="1">IFERROR(__xludf.DUMMYFUNCTION("""COMPUTED_VALUE"""),"2000")</f>
        <v>2000</v>
      </c>
      <c r="AA369" s="15"/>
    </row>
    <row r="370" spans="1:27" ht="19.5" customHeight="1">
      <c r="A370" s="12" t="str">
        <f ca="1">IFERROR(__xludf.DUMMYFUNCTION("""COMPUTED_VALUE"""),"冰箱")</f>
        <v>冰箱</v>
      </c>
      <c r="B370" s="12" t="str">
        <f ca="1">IFERROR(__xludf.DUMMYFUNCTION("""COMPUTED_VALUE"""),"順發")</f>
        <v>順發</v>
      </c>
      <c r="C370" s="12" t="str">
        <f ca="1">IFERROR(__xludf.DUMMYFUNCTION("""COMPUTED_VALUE"""),"HITACHI")</f>
        <v>HITACHI</v>
      </c>
      <c r="D370" s="12" t="str">
        <f ca="1">IFERROR(__xludf.DUMMYFUNCTION("""COMPUTED_VALUE"""),"日立537L六門日製變頻冰箱(琉璃金)RHW540RJ(XN)")</f>
        <v>日立537L六門日製變頻冰箱(琉璃金)RHW540RJ(XN)</v>
      </c>
      <c r="E370" s="12" t="str">
        <f ca="1">IFERROR(__xludf.DUMMYFUNCTION("""COMPUTED_VALUE"""),"RHW540RJXN")</f>
        <v>RHW540RJXN</v>
      </c>
      <c r="F370" s="12">
        <f ca="1">IFERROR(__xludf.DUMMYFUNCTION("""COMPUTED_VALUE"""),51095608)</f>
        <v>51095608</v>
      </c>
      <c r="G370" s="12" t="str">
        <f ca="1">IFERROR(__xludf.DUMMYFUNCTION("""COMPUTED_VALUE"""),"IGEM075H")</f>
        <v>IGEM075H</v>
      </c>
      <c r="H370" s="13">
        <f ca="1">IFERROR(__xludf.DUMMYFUNCTION("""COMPUTED_VALUE"""),73900)</f>
        <v>73900</v>
      </c>
      <c r="I370" s="14">
        <f ca="1">IFERROR(__xludf.DUMMYFUNCTION("""COMPUTED_VALUE"""),67988)</f>
        <v>67988</v>
      </c>
      <c r="J370" s="12"/>
      <c r="K370" s="12"/>
      <c r="L370" s="12" t="str">
        <f ca="1">IFERROR(__xludf.DUMMYFUNCTION("""COMPUTED_VALUE"""),"上架中")</f>
        <v>上架中</v>
      </c>
      <c r="M370" s="12" t="str">
        <f ca="1">IFERROR(__xludf.DUMMYFUNCTION("""COMPUTED_VALUE"""),"客訂商品，請先洽順發溝通貨況")</f>
        <v>客訂商品，請先洽順發溝通貨況</v>
      </c>
      <c r="N370" s="12" t="str">
        <f ca="1">IFERROR(__xludf.DUMMYFUNCTION("""COMPUTED_VALUE"""),"六門變頻")</f>
        <v>六門變頻</v>
      </c>
      <c r="O370" s="12" t="str">
        <f ca="1">IFERROR(__xludf.DUMMYFUNCTION("""COMPUTED_VALUE"""),"琉璃金")</f>
        <v>琉璃金</v>
      </c>
      <c r="P370" s="12" t="str">
        <f ca="1">IFERROR(__xludf.DUMMYFUNCTION("""COMPUTED_VALUE"""),"537L")</f>
        <v>537L</v>
      </c>
      <c r="Q370" s="12" t="str">
        <f ca="1">IFERROR(__xludf.DUMMYFUNCTION("""COMPUTED_VALUE"""),"1833*650*699mm")</f>
        <v>1833*650*699mm</v>
      </c>
      <c r="R370" s="12" t="str">
        <f ca="1">IFERROR(__xludf.DUMMYFUNCTION("""COMPUTED_VALUE"""),"日本")</f>
        <v>日本</v>
      </c>
      <c r="S370" s="12"/>
      <c r="T370" s="13" t="str">
        <f ca="1">IFERROR(__xludf.DUMMYFUNCTION("""COMPUTED_VALUE"""),"1級能效")</f>
        <v>1級能效</v>
      </c>
      <c r="U370" s="12" t="str">
        <f ca="1">IFERROR(__xludf.DUMMYFUNCTION("""COMPUTED_VALUE"""),"1年")</f>
        <v>1年</v>
      </c>
      <c r="V370" s="12" t="str">
        <f ca="1">IFERROR(__xludf.DUMMYFUNCTION("""COMPUTED_VALUE"""),"5年")</f>
        <v>5年</v>
      </c>
      <c r="W370" s="12"/>
      <c r="X370" s="12" t="str">
        <f ca="1">IFERROR(__xludf.DUMMYFUNCTION("""COMPUTED_VALUE"""),"(114/1/1~2/28)隨貨送卡洛斯陶瓷不沾鴛鴦鍋-30cm(市價1590)")</f>
        <v>(114/1/1~2/28)隨貨送卡洛斯陶瓷不沾鴛鴦鍋-30cm(市價1590)</v>
      </c>
      <c r="Y370" s="12">
        <f ca="1">IFERROR(__xludf.DUMMYFUNCTION("""COMPUTED_VALUE"""),537)</f>
        <v>537</v>
      </c>
      <c r="Z370" s="14" t="str">
        <f ca="1">IFERROR(__xludf.DUMMYFUNCTION("""COMPUTED_VALUE"""),"2000")</f>
        <v>2000</v>
      </c>
      <c r="AA370" s="15" t="str">
        <f ca="1">IFERROR(__xludf.DUMMYFUNCTION("""COMPUTED_VALUE"""),"*天井薄壁化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f>
        <v>*天井薄壁化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v>
      </c>
    </row>
    <row r="371" spans="1:27" ht="19.5" customHeight="1">
      <c r="A371" s="12" t="str">
        <f ca="1">IFERROR(__xludf.DUMMYFUNCTION("""COMPUTED_VALUE"""),"冰箱")</f>
        <v>冰箱</v>
      </c>
      <c r="B371" s="12" t="str">
        <f ca="1">IFERROR(__xludf.DUMMYFUNCTION("""COMPUTED_VALUE"""),"順發")</f>
        <v>順發</v>
      </c>
      <c r="C371" s="12" t="str">
        <f ca="1">IFERROR(__xludf.DUMMYFUNCTION("""COMPUTED_VALUE"""),"HITACHI")</f>
        <v>HITACHI</v>
      </c>
      <c r="D371" s="12" t="str">
        <f ca="1">IFERROR(__xludf.DUMMYFUNCTION("""COMPUTED_VALUE"""),"日立537L六門日製變頻冰箱(琉璃白)RHW540RJ(XW)")</f>
        <v>日立537L六門日製變頻冰箱(琉璃白)RHW540RJ(XW)</v>
      </c>
      <c r="E371" s="12" t="str">
        <f ca="1">IFERROR(__xludf.DUMMYFUNCTION("""COMPUTED_VALUE"""),"RHW540RJXW")</f>
        <v>RHW540RJXW</v>
      </c>
      <c r="F371" s="12">
        <f ca="1">IFERROR(__xludf.DUMMYFUNCTION("""COMPUTED_VALUE"""),51095609)</f>
        <v>51095609</v>
      </c>
      <c r="G371" s="12" t="str">
        <f ca="1">IFERROR(__xludf.DUMMYFUNCTION("""COMPUTED_VALUE"""),"IGEM075I")</f>
        <v>IGEM075I</v>
      </c>
      <c r="H371" s="13">
        <f ca="1">IFERROR(__xludf.DUMMYFUNCTION("""COMPUTED_VALUE"""),73900)</f>
        <v>73900</v>
      </c>
      <c r="I371" s="14">
        <f ca="1">IFERROR(__xludf.DUMMYFUNCTION("""COMPUTED_VALUE"""),67988)</f>
        <v>67988</v>
      </c>
      <c r="J371" s="12"/>
      <c r="K371" s="12"/>
      <c r="L371" s="12" t="str">
        <f ca="1">IFERROR(__xludf.DUMMYFUNCTION("""COMPUTED_VALUE"""),"上架中")</f>
        <v>上架中</v>
      </c>
      <c r="M371" s="12" t="str">
        <f ca="1">IFERROR(__xludf.DUMMYFUNCTION("""COMPUTED_VALUE"""),"客訂商品，請先洽順發溝通貨況")</f>
        <v>客訂商品，請先洽順發溝通貨況</v>
      </c>
      <c r="N371" s="12" t="str">
        <f ca="1">IFERROR(__xludf.DUMMYFUNCTION("""COMPUTED_VALUE"""),"六門變頻")</f>
        <v>六門變頻</v>
      </c>
      <c r="O371" s="12" t="str">
        <f ca="1">IFERROR(__xludf.DUMMYFUNCTION("""COMPUTED_VALUE"""),"琉璃白")</f>
        <v>琉璃白</v>
      </c>
      <c r="P371" s="12" t="str">
        <f ca="1">IFERROR(__xludf.DUMMYFUNCTION("""COMPUTED_VALUE"""),"537L")</f>
        <v>537L</v>
      </c>
      <c r="Q371" s="12" t="str">
        <f ca="1">IFERROR(__xludf.DUMMYFUNCTION("""COMPUTED_VALUE"""),"1833**650*699mm")</f>
        <v>1833**650*699mm</v>
      </c>
      <c r="R371" s="12" t="str">
        <f ca="1">IFERROR(__xludf.DUMMYFUNCTION("""COMPUTED_VALUE"""),"日本")</f>
        <v>日本</v>
      </c>
      <c r="S371" s="12"/>
      <c r="T371" s="13" t="str">
        <f ca="1">IFERROR(__xludf.DUMMYFUNCTION("""COMPUTED_VALUE"""),"1級能效")</f>
        <v>1級能效</v>
      </c>
      <c r="U371" s="12" t="str">
        <f ca="1">IFERROR(__xludf.DUMMYFUNCTION("""COMPUTED_VALUE"""),"1年")</f>
        <v>1年</v>
      </c>
      <c r="V371" s="12" t="str">
        <f ca="1">IFERROR(__xludf.DUMMYFUNCTION("""COMPUTED_VALUE"""),"5年")</f>
        <v>5年</v>
      </c>
      <c r="W371" s="12"/>
      <c r="X371" s="12" t="str">
        <f ca="1">IFERROR(__xludf.DUMMYFUNCTION("""COMPUTED_VALUE"""),"(114/1/1~2/28)隨貨送卡洛斯陶瓷不沾鴛鴦鍋-30cm(市價1590)")</f>
        <v>(114/1/1~2/28)隨貨送卡洛斯陶瓷不沾鴛鴦鍋-30cm(市價1590)</v>
      </c>
      <c r="Y371" s="12">
        <f ca="1">IFERROR(__xludf.DUMMYFUNCTION("""COMPUTED_VALUE"""),537)</f>
        <v>537</v>
      </c>
      <c r="Z371" s="14" t="str">
        <f ca="1">IFERROR(__xludf.DUMMYFUNCTION("""COMPUTED_VALUE"""),"2000")</f>
        <v>2000</v>
      </c>
      <c r="AA371" s="15" t="str">
        <f ca="1">IFERROR(__xludf.DUMMYFUNCTION("""COMPUTED_VALUE"""),"*天井薄壁化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f>
        <v>*天井薄壁化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v>
      </c>
    </row>
    <row r="372" spans="1:27" ht="19.5" customHeight="1">
      <c r="A372" s="12" t="str">
        <f ca="1">IFERROR(__xludf.DUMMYFUNCTION("""COMPUTED_VALUE"""),"冰箱")</f>
        <v>冰箱</v>
      </c>
      <c r="B372" s="12" t="str">
        <f ca="1">IFERROR(__xludf.DUMMYFUNCTION("""COMPUTED_VALUE"""),"順發")</f>
        <v>順發</v>
      </c>
      <c r="C372" s="12" t="str">
        <f ca="1">IFERROR(__xludf.DUMMYFUNCTION("""COMPUTED_VALUE"""),"HITACHI")</f>
        <v>HITACHI</v>
      </c>
      <c r="D372" s="12" t="str">
        <f ca="1">IFERROR(__xludf.DUMMYFUNCTION("""COMPUTED_VALUE"""),"日立537L六門日製變頻冰箱(琉璃鏡)RHW540RJ(X)")</f>
        <v>日立537L六門日製變頻冰箱(琉璃鏡)RHW540RJ(X)</v>
      </c>
      <c r="E372" s="12" t="str">
        <f ca="1">IFERROR(__xludf.DUMMYFUNCTION("""COMPUTED_VALUE"""),"RHW540RJX")</f>
        <v>RHW540RJX</v>
      </c>
      <c r="F372" s="12">
        <f ca="1">IFERROR(__xludf.DUMMYFUNCTION("""COMPUTED_VALUE"""),51095610)</f>
        <v>51095610</v>
      </c>
      <c r="G372" s="12" t="str">
        <f ca="1">IFERROR(__xludf.DUMMYFUNCTION("""COMPUTED_VALUE"""),"IGEM075J")</f>
        <v>IGEM075J</v>
      </c>
      <c r="H372" s="13">
        <f ca="1">IFERROR(__xludf.DUMMYFUNCTION("""COMPUTED_VALUE"""),73900)</f>
        <v>73900</v>
      </c>
      <c r="I372" s="14">
        <f ca="1">IFERROR(__xludf.DUMMYFUNCTION("""COMPUTED_VALUE"""),67988)</f>
        <v>67988</v>
      </c>
      <c r="J372" s="12"/>
      <c r="K372" s="12"/>
      <c r="L372" s="12" t="str">
        <f ca="1">IFERROR(__xludf.DUMMYFUNCTION("""COMPUTED_VALUE"""),"上架中")</f>
        <v>上架中</v>
      </c>
      <c r="M372" s="12" t="str">
        <f ca="1">IFERROR(__xludf.DUMMYFUNCTION("""COMPUTED_VALUE"""),"客訂商品，請先洽順發溝通貨況")</f>
        <v>客訂商品，請先洽順發溝通貨況</v>
      </c>
      <c r="N372" s="12" t="str">
        <f ca="1">IFERROR(__xludf.DUMMYFUNCTION("""COMPUTED_VALUE"""),"六門變頻")</f>
        <v>六門變頻</v>
      </c>
      <c r="O372" s="12" t="str">
        <f ca="1">IFERROR(__xludf.DUMMYFUNCTION("""COMPUTED_VALUE"""),"琉璃鏡")</f>
        <v>琉璃鏡</v>
      </c>
      <c r="P372" s="12" t="str">
        <f ca="1">IFERROR(__xludf.DUMMYFUNCTION("""COMPUTED_VALUE"""),"537L")</f>
        <v>537L</v>
      </c>
      <c r="Q372" s="12" t="str">
        <f ca="1">IFERROR(__xludf.DUMMYFUNCTION("""COMPUTED_VALUE"""),"1833*650*699mm")</f>
        <v>1833*650*699mm</v>
      </c>
      <c r="R372" s="12" t="str">
        <f ca="1">IFERROR(__xludf.DUMMYFUNCTION("""COMPUTED_VALUE"""),"日本")</f>
        <v>日本</v>
      </c>
      <c r="S372" s="12"/>
      <c r="T372" s="13" t="str">
        <f ca="1">IFERROR(__xludf.DUMMYFUNCTION("""COMPUTED_VALUE"""),"1級能效")</f>
        <v>1級能效</v>
      </c>
      <c r="U372" s="12" t="str">
        <f ca="1">IFERROR(__xludf.DUMMYFUNCTION("""COMPUTED_VALUE"""),"1年")</f>
        <v>1年</v>
      </c>
      <c r="V372" s="12" t="str">
        <f ca="1">IFERROR(__xludf.DUMMYFUNCTION("""COMPUTED_VALUE"""),"5年")</f>
        <v>5年</v>
      </c>
      <c r="W372" s="12"/>
      <c r="X372" s="12" t="str">
        <f ca="1">IFERROR(__xludf.DUMMYFUNCTION("""COMPUTED_VALUE"""),"(114/1/1~2/28)隨貨送卡洛斯陶瓷不沾鴛鴦鍋-30cm(市價1590)")</f>
        <v>(114/1/1~2/28)隨貨送卡洛斯陶瓷不沾鴛鴦鍋-30cm(市價1590)</v>
      </c>
      <c r="Y372" s="12">
        <f ca="1">IFERROR(__xludf.DUMMYFUNCTION("""COMPUTED_VALUE"""),537)</f>
        <v>537</v>
      </c>
      <c r="Z372" s="14" t="str">
        <f ca="1">IFERROR(__xludf.DUMMYFUNCTION("""COMPUTED_VALUE"""),"2000")</f>
        <v>2000</v>
      </c>
      <c r="AA372" s="15" t="str">
        <f ca="1">IFERROR(__xludf.DUMMYFUNCTION("""COMPUTED_VALUE"""),"*天井薄壁化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f>
        <v>*天井薄壁化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v>
      </c>
    </row>
    <row r="373" spans="1:27" ht="19.5" customHeight="1">
      <c r="A373" s="12" t="str">
        <f ca="1">IFERROR(__xludf.DUMMYFUNCTION("""COMPUTED_VALUE"""),"冰箱")</f>
        <v>冰箱</v>
      </c>
      <c r="B373" s="12" t="str">
        <f ca="1">IFERROR(__xludf.DUMMYFUNCTION("""COMPUTED_VALUE"""),"順發")</f>
        <v>順發</v>
      </c>
      <c r="C373" s="12" t="str">
        <f ca="1">IFERROR(__xludf.DUMMYFUNCTION("""COMPUTED_VALUE"""),"HITACHI")</f>
        <v>HITACHI</v>
      </c>
      <c r="D373" s="12" t="str">
        <f ca="1">IFERROR(__xludf.DUMMYFUNCTION("""COMPUTED_VALUE"""),"日立614L六門日製變頻冰箱(琉璃金)RHW620RJ(XN)")</f>
        <v>日立614L六門日製變頻冰箱(琉璃金)RHW620RJ(XN)</v>
      </c>
      <c r="E373" s="12" t="str">
        <f ca="1">IFERROR(__xludf.DUMMYFUNCTION("""COMPUTED_VALUE"""),"RHW620RJXN")</f>
        <v>RHW620RJXN</v>
      </c>
      <c r="F373" s="12">
        <f ca="1">IFERROR(__xludf.DUMMYFUNCTION("""COMPUTED_VALUE"""),51095611)</f>
        <v>51095611</v>
      </c>
      <c r="G373" s="12" t="str">
        <f ca="1">IFERROR(__xludf.DUMMYFUNCTION("""COMPUTED_VALUE"""),"IGEM075K")</f>
        <v>IGEM075K</v>
      </c>
      <c r="H373" s="13">
        <f ca="1">IFERROR(__xludf.DUMMYFUNCTION("""COMPUTED_VALUE"""),87900)</f>
        <v>87900</v>
      </c>
      <c r="I373" s="14">
        <f ca="1">IFERROR(__xludf.DUMMYFUNCTION("""COMPUTED_VALUE"""),80868)</f>
        <v>80868</v>
      </c>
      <c r="J373" s="12"/>
      <c r="K373" s="12"/>
      <c r="L373" s="12" t="str">
        <f ca="1">IFERROR(__xludf.DUMMYFUNCTION("""COMPUTED_VALUE"""),"上架中")</f>
        <v>上架中</v>
      </c>
      <c r="M373" s="12" t="str">
        <f ca="1">IFERROR(__xludf.DUMMYFUNCTION("""COMPUTED_VALUE"""),"客訂商品，請先洽順發溝通貨況")</f>
        <v>客訂商品，請先洽順發溝通貨況</v>
      </c>
      <c r="N373" s="12" t="str">
        <f ca="1">IFERROR(__xludf.DUMMYFUNCTION("""COMPUTED_VALUE"""),"六門變頻")</f>
        <v>六門變頻</v>
      </c>
      <c r="O373" s="12" t="str">
        <f ca="1">IFERROR(__xludf.DUMMYFUNCTION("""COMPUTED_VALUE"""),"琉璃金")</f>
        <v>琉璃金</v>
      </c>
      <c r="P373" s="12" t="str">
        <f ca="1">IFERROR(__xludf.DUMMYFUNCTION("""COMPUTED_VALUE"""),"614L")</f>
        <v>614L</v>
      </c>
      <c r="Q373" s="12" t="str">
        <f ca="1">IFERROR(__xludf.DUMMYFUNCTION("""COMPUTED_VALUE"""),"1833*685*738mm")</f>
        <v>1833*685*738mm</v>
      </c>
      <c r="R373" s="12" t="str">
        <f ca="1">IFERROR(__xludf.DUMMYFUNCTION("""COMPUTED_VALUE"""),"日本")</f>
        <v>日本</v>
      </c>
      <c r="S373" s="12"/>
      <c r="T373" s="13" t="str">
        <f ca="1">IFERROR(__xludf.DUMMYFUNCTION("""COMPUTED_VALUE"""),"1級能效")</f>
        <v>1級能效</v>
      </c>
      <c r="U373" s="12" t="str">
        <f ca="1">IFERROR(__xludf.DUMMYFUNCTION("""COMPUTED_VALUE"""),"1年")</f>
        <v>1年</v>
      </c>
      <c r="V373" s="12" t="str">
        <f ca="1">IFERROR(__xludf.DUMMYFUNCTION("""COMPUTED_VALUE"""),"5年")</f>
        <v>5年</v>
      </c>
      <c r="W373" s="12"/>
      <c r="X373" s="12" t="str">
        <f ca="1">IFERROR(__xludf.DUMMYFUNCTION("""COMPUTED_VALUE"""),"(114/1/1~2/28)隨貨送卡洛斯陶瓷不沾鴛鴦鍋-30cm(市價1590)")</f>
        <v>(114/1/1~2/28)隨貨送卡洛斯陶瓷不沾鴛鴦鍋-30cm(市價1590)</v>
      </c>
      <c r="Y373" s="12">
        <f ca="1">IFERROR(__xludf.DUMMYFUNCTION("""COMPUTED_VALUE"""),614)</f>
        <v>614</v>
      </c>
      <c r="Z373" s="14" t="str">
        <f ca="1">IFERROR(__xludf.DUMMYFUNCTION("""COMPUTED_VALUE"""),"2000")</f>
        <v>2000</v>
      </c>
      <c r="AA373" s="15" t="str">
        <f ca="1">IFERROR(__xludf.DUMMYFUNCTION("""COMPUTED_VALUE"""),"*天井薄壁化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f>
        <v>*天井薄壁化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v>
      </c>
    </row>
    <row r="374" spans="1:27" ht="19.5" customHeight="1">
      <c r="A374" s="12" t="str">
        <f ca="1">IFERROR(__xludf.DUMMYFUNCTION("""COMPUTED_VALUE"""),"冰箱")</f>
        <v>冰箱</v>
      </c>
      <c r="B374" s="12" t="str">
        <f ca="1">IFERROR(__xludf.DUMMYFUNCTION("""COMPUTED_VALUE"""),"順發")</f>
        <v>順發</v>
      </c>
      <c r="C374" s="12" t="str">
        <f ca="1">IFERROR(__xludf.DUMMYFUNCTION("""COMPUTED_VALUE"""),"HITACHI")</f>
        <v>HITACHI</v>
      </c>
      <c r="D374" s="12" t="str">
        <f ca="1">IFERROR(__xludf.DUMMYFUNCTION("""COMPUTED_VALUE"""),"日立614L六門日製變頻冰箱(琉璃白)RHW620RJ(XW)")</f>
        <v>日立614L六門日製變頻冰箱(琉璃白)RHW620RJ(XW)</v>
      </c>
      <c r="E374" s="12" t="str">
        <f ca="1">IFERROR(__xludf.DUMMYFUNCTION("""COMPUTED_VALUE"""),"RHW620RJXW")</f>
        <v>RHW620RJXW</v>
      </c>
      <c r="F374" s="12">
        <f ca="1">IFERROR(__xludf.DUMMYFUNCTION("""COMPUTED_VALUE"""),51095612)</f>
        <v>51095612</v>
      </c>
      <c r="G374" s="12" t="str">
        <f ca="1">IFERROR(__xludf.DUMMYFUNCTION("""COMPUTED_VALUE"""),"IGEM075L")</f>
        <v>IGEM075L</v>
      </c>
      <c r="H374" s="13">
        <f ca="1">IFERROR(__xludf.DUMMYFUNCTION("""COMPUTED_VALUE"""),87900)</f>
        <v>87900</v>
      </c>
      <c r="I374" s="14">
        <f ca="1">IFERROR(__xludf.DUMMYFUNCTION("""COMPUTED_VALUE"""),80868)</f>
        <v>80868</v>
      </c>
      <c r="J374" s="12"/>
      <c r="K374" s="12"/>
      <c r="L374" s="12" t="str">
        <f ca="1">IFERROR(__xludf.DUMMYFUNCTION("""COMPUTED_VALUE"""),"上架中")</f>
        <v>上架中</v>
      </c>
      <c r="M374" s="12" t="str">
        <f ca="1">IFERROR(__xludf.DUMMYFUNCTION("""COMPUTED_VALUE"""),"客訂商品，請先洽順發溝通貨況")</f>
        <v>客訂商品，請先洽順發溝通貨況</v>
      </c>
      <c r="N374" s="12" t="str">
        <f ca="1">IFERROR(__xludf.DUMMYFUNCTION("""COMPUTED_VALUE"""),"六門變頻")</f>
        <v>六門變頻</v>
      </c>
      <c r="O374" s="12" t="str">
        <f ca="1">IFERROR(__xludf.DUMMYFUNCTION("""COMPUTED_VALUE"""),"琉璃白")</f>
        <v>琉璃白</v>
      </c>
      <c r="P374" s="12" t="str">
        <f ca="1">IFERROR(__xludf.DUMMYFUNCTION("""COMPUTED_VALUE"""),"614L")</f>
        <v>614L</v>
      </c>
      <c r="Q374" s="12" t="str">
        <f ca="1">IFERROR(__xludf.DUMMYFUNCTION("""COMPUTED_VALUE"""),"1833*685*738mm")</f>
        <v>1833*685*738mm</v>
      </c>
      <c r="R374" s="12" t="str">
        <f ca="1">IFERROR(__xludf.DUMMYFUNCTION("""COMPUTED_VALUE"""),"日本")</f>
        <v>日本</v>
      </c>
      <c r="S374" s="12"/>
      <c r="T374" s="13" t="str">
        <f ca="1">IFERROR(__xludf.DUMMYFUNCTION("""COMPUTED_VALUE"""),"1級能效")</f>
        <v>1級能效</v>
      </c>
      <c r="U374" s="12" t="str">
        <f ca="1">IFERROR(__xludf.DUMMYFUNCTION("""COMPUTED_VALUE"""),"1年")</f>
        <v>1年</v>
      </c>
      <c r="V374" s="12" t="str">
        <f ca="1">IFERROR(__xludf.DUMMYFUNCTION("""COMPUTED_VALUE"""),"5年")</f>
        <v>5年</v>
      </c>
      <c r="W374" s="12"/>
      <c r="X374" s="12" t="str">
        <f ca="1">IFERROR(__xludf.DUMMYFUNCTION("""COMPUTED_VALUE"""),"(114/1/1~2/28)隨貨送卡洛斯陶瓷不沾鴛鴦鍋-30cm(市價1590)")</f>
        <v>(114/1/1~2/28)隨貨送卡洛斯陶瓷不沾鴛鴦鍋-30cm(市價1590)</v>
      </c>
      <c r="Y374" s="12">
        <f ca="1">IFERROR(__xludf.DUMMYFUNCTION("""COMPUTED_VALUE"""),614)</f>
        <v>614</v>
      </c>
      <c r="Z374" s="14" t="str">
        <f ca="1">IFERROR(__xludf.DUMMYFUNCTION("""COMPUTED_VALUE"""),"2000")</f>
        <v>2000</v>
      </c>
      <c r="AA374" s="15" t="str">
        <f ca="1">IFERROR(__xludf.DUMMYFUNCTION("""COMPUTED_VALUE"""),"*天井薄壁化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f>
        <v>*天井薄壁化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v>
      </c>
    </row>
    <row r="375" spans="1:27" ht="19.5" customHeight="1">
      <c r="A375" s="12" t="str">
        <f ca="1">IFERROR(__xludf.DUMMYFUNCTION("""COMPUTED_VALUE"""),"冰箱")</f>
        <v>冰箱</v>
      </c>
      <c r="B375" s="12" t="str">
        <f ca="1">IFERROR(__xludf.DUMMYFUNCTION("""COMPUTED_VALUE"""),"順發")</f>
        <v>順發</v>
      </c>
      <c r="C375" s="12" t="str">
        <f ca="1">IFERROR(__xludf.DUMMYFUNCTION("""COMPUTED_VALUE"""),"HITACHI")</f>
        <v>HITACHI</v>
      </c>
      <c r="D375" s="12" t="str">
        <f ca="1">IFERROR(__xludf.DUMMYFUNCTION("""COMPUTED_VALUE"""),"日立614L六門日製變頻冰箱(琉璃鏡)RHW620RJ(X) ")</f>
        <v xml:space="preserve">日立614L六門日製變頻冰箱(琉璃鏡)RHW620RJ(X) </v>
      </c>
      <c r="E375" s="12" t="str">
        <f ca="1">IFERROR(__xludf.DUMMYFUNCTION("""COMPUTED_VALUE"""),"RHW620RJX")</f>
        <v>RHW620RJX</v>
      </c>
      <c r="F375" s="12">
        <f ca="1">IFERROR(__xludf.DUMMYFUNCTION("""COMPUTED_VALUE"""),51095613)</f>
        <v>51095613</v>
      </c>
      <c r="G375" s="12" t="str">
        <f ca="1">IFERROR(__xludf.DUMMYFUNCTION("""COMPUTED_VALUE"""),"IGEM075M")</f>
        <v>IGEM075M</v>
      </c>
      <c r="H375" s="13">
        <f ca="1">IFERROR(__xludf.DUMMYFUNCTION("""COMPUTED_VALUE"""),87900)</f>
        <v>87900</v>
      </c>
      <c r="I375" s="14">
        <f ca="1">IFERROR(__xludf.DUMMYFUNCTION("""COMPUTED_VALUE"""),80868)</f>
        <v>80868</v>
      </c>
      <c r="J375" s="12"/>
      <c r="K375" s="12"/>
      <c r="L375" s="12" t="str">
        <f ca="1">IFERROR(__xludf.DUMMYFUNCTION("""COMPUTED_VALUE"""),"上架中")</f>
        <v>上架中</v>
      </c>
      <c r="M375" s="12" t="str">
        <f ca="1">IFERROR(__xludf.DUMMYFUNCTION("""COMPUTED_VALUE"""),"客訂商品，請先洽順發溝通貨況")</f>
        <v>客訂商品，請先洽順發溝通貨況</v>
      </c>
      <c r="N375" s="12" t="str">
        <f ca="1">IFERROR(__xludf.DUMMYFUNCTION("""COMPUTED_VALUE"""),"六門變頻")</f>
        <v>六門變頻</v>
      </c>
      <c r="O375" s="12" t="str">
        <f ca="1">IFERROR(__xludf.DUMMYFUNCTION("""COMPUTED_VALUE"""),"琉璃鏡")</f>
        <v>琉璃鏡</v>
      </c>
      <c r="P375" s="12" t="str">
        <f ca="1">IFERROR(__xludf.DUMMYFUNCTION("""COMPUTED_VALUE"""),"614L")</f>
        <v>614L</v>
      </c>
      <c r="Q375" s="12" t="str">
        <f ca="1">IFERROR(__xludf.DUMMYFUNCTION("""COMPUTED_VALUE"""),"1833*685*738mm")</f>
        <v>1833*685*738mm</v>
      </c>
      <c r="R375" s="12" t="str">
        <f ca="1">IFERROR(__xludf.DUMMYFUNCTION("""COMPUTED_VALUE"""),"日本")</f>
        <v>日本</v>
      </c>
      <c r="S375" s="12" t="str">
        <f ca="1">IFERROR(__xludf.DUMMYFUNCTION("""COMPUTED_VALUE"""),"V")</f>
        <v>V</v>
      </c>
      <c r="T375" s="13" t="str">
        <f ca="1">IFERROR(__xludf.DUMMYFUNCTION("""COMPUTED_VALUE"""),"1級能效")</f>
        <v>1級能效</v>
      </c>
      <c r="U375" s="12" t="str">
        <f ca="1">IFERROR(__xludf.DUMMYFUNCTION("""COMPUTED_VALUE"""),"1年")</f>
        <v>1年</v>
      </c>
      <c r="V375" s="12" t="str">
        <f ca="1">IFERROR(__xludf.DUMMYFUNCTION("""COMPUTED_VALUE"""),"5年")</f>
        <v>5年</v>
      </c>
      <c r="W375" s="12"/>
      <c r="X375" s="12" t="str">
        <f ca="1">IFERROR(__xludf.DUMMYFUNCTION("""COMPUTED_VALUE"""),"(114/1/1~2/28)隨貨送卡洛斯陶瓷不沾鴛鴦鍋-30cm(市價1590)")</f>
        <v>(114/1/1~2/28)隨貨送卡洛斯陶瓷不沾鴛鴦鍋-30cm(市價1590)</v>
      </c>
      <c r="Y375" s="12">
        <f ca="1">IFERROR(__xludf.DUMMYFUNCTION("""COMPUTED_VALUE"""),614)</f>
        <v>614</v>
      </c>
      <c r="Z375" s="14" t="str">
        <f ca="1">IFERROR(__xludf.DUMMYFUNCTION("""COMPUTED_VALUE"""),"2000")</f>
        <v>2000</v>
      </c>
      <c r="AA375" s="15" t="str">
        <f ca="1">IFERROR(__xludf.DUMMYFUNCTION("""COMPUTED_VALUE"""),"*天井薄壁化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f>
        <v>*天井薄壁化 外觀尺寸不變容量加大*全室熱食免放涼 避免細菌滋生 安心美味* 獨立雙冷卻器系統 2℃低溫 X 鎖水保濕* 世界首創-白金蔬果睡眠保鮮室* 世界首創-白金真空睡眠冰溫室 約-1°冰溫不結凍 維持食材鮮度週期 *智能溫度偵測 急凍鎖鮮* 冷凍三段式，大容量收納* 純淨自動製冰，一鍵按下自動清潔* 三重抗菌除臭濾網，抗菌率達99%</v>
      </c>
    </row>
    <row r="376" spans="1:27" ht="19.5" customHeight="1">
      <c r="A376" s="12" t="str">
        <f ca="1">IFERROR(__xludf.DUMMYFUNCTION("""COMPUTED_VALUE"""),"冰箱")</f>
        <v>冰箱</v>
      </c>
      <c r="B376" s="12" t="str">
        <f ca="1">IFERROR(__xludf.DUMMYFUNCTION("""COMPUTED_VALUE"""),"順發")</f>
        <v>順發</v>
      </c>
      <c r="C376" s="12" t="str">
        <f ca="1">IFERROR(__xludf.DUMMYFUNCTION("""COMPUTED_VALUE"""),"HITACHI")</f>
        <v>HITACHI</v>
      </c>
      <c r="D376" s="12" t="str">
        <f ca="1">IFERROR(__xludf.DUMMYFUNCTION("""COMPUTED_VALUE"""),"Hitachi_日立240L雙門右開變頻冰箱_764H11_HRTN5255MFXTW")</f>
        <v>Hitachi_日立240L雙門右開變頻冰箱_764H11_HRTN5255MFXTW</v>
      </c>
      <c r="E376" s="12" t="str">
        <f ca="1">IFERROR(__xludf.DUMMYFUNCTION("""COMPUTED_VALUE"""),"HRTN5255MFXTW")</f>
        <v>HRTN5255MFXTW</v>
      </c>
      <c r="F376" s="12">
        <f ca="1">IFERROR(__xludf.DUMMYFUNCTION("""COMPUTED_VALUE"""),51095830)</f>
        <v>51095830</v>
      </c>
      <c r="G376" s="12" t="str">
        <f ca="1">IFERROR(__xludf.DUMMYFUNCTION("""COMPUTED_VALUE"""),"IGEM108A")</f>
        <v>IGEM108A</v>
      </c>
      <c r="H376" s="12">
        <f ca="1">IFERROR(__xludf.DUMMYFUNCTION("""COMPUTED_VALUE"""),16500)</f>
        <v>16500</v>
      </c>
      <c r="I376" s="14">
        <f ca="1">IFERROR(__xludf.DUMMYFUNCTION("""COMPUTED_VALUE"""),15180)</f>
        <v>15180</v>
      </c>
      <c r="J376" s="12"/>
      <c r="K376" s="12"/>
      <c r="L376" s="12" t="str">
        <f ca="1">IFERROR(__xludf.DUMMYFUNCTION("""COMPUTED_VALUE"""),"上架中")</f>
        <v>上架中</v>
      </c>
      <c r="M376" s="12" t="str">
        <f ca="1">IFERROR(__xludf.DUMMYFUNCTION("""COMPUTED_VALUE"""),"客訂商品，請先洽順發溝通貨況")</f>
        <v>客訂商品，請先洽順發溝通貨況</v>
      </c>
      <c r="N376" s="12" t="str">
        <f ca="1">IFERROR(__xludf.DUMMYFUNCTION("""COMPUTED_VALUE"""),"雙門變頻")</f>
        <v>雙門變頻</v>
      </c>
      <c r="O376" s="12" t="str">
        <f ca="1">IFERROR(__xludf.DUMMYFUNCTION("""COMPUTED_VALUE"""),"璀璨銀")</f>
        <v>璀璨銀</v>
      </c>
      <c r="P376" s="12" t="str">
        <f ca="1">IFERROR(__xludf.DUMMYFUNCTION("""COMPUTED_VALUE"""),"240L")</f>
        <v>240L</v>
      </c>
      <c r="Q376" s="12" t="str">
        <f ca="1">IFERROR(__xludf.DUMMYFUNCTION("""COMPUTED_VALUE"""),"1580*560*635mm")</f>
        <v>1580*560*635mm</v>
      </c>
      <c r="R376" s="12" t="str">
        <f ca="1">IFERROR(__xludf.DUMMYFUNCTION("""COMPUTED_VALUE"""),"泰國")</f>
        <v>泰國</v>
      </c>
      <c r="S376" s="12"/>
      <c r="T376" s="13" t="str">
        <f ca="1">IFERROR(__xludf.DUMMYFUNCTION("""COMPUTED_VALUE"""),"1級能效")</f>
        <v>1級能效</v>
      </c>
      <c r="U376" s="12" t="str">
        <f ca="1">IFERROR(__xludf.DUMMYFUNCTION("""COMPUTED_VALUE"""),"1年")</f>
        <v>1年</v>
      </c>
      <c r="V376" s="12" t="str">
        <f ca="1">IFERROR(__xludf.DUMMYFUNCTION("""COMPUTED_VALUE"""),"5年")</f>
        <v>5年</v>
      </c>
      <c r="W376" s="12"/>
      <c r="X376" s="12" t="str">
        <f ca="1">IFERROR(__xludf.DUMMYFUNCTION("""COMPUTED_VALUE"""),"(114/1/1~2/28)隨貨送Nerez 304不鏽鋼雙層深+淺調理盤(附架) (805T23)")</f>
        <v>(114/1/1~2/28)隨貨送Nerez 304不鏽鋼雙層深+淺調理盤(附架) (805T23)</v>
      </c>
      <c r="Y376" s="12">
        <f ca="1">IFERROR(__xludf.DUMMYFUNCTION("""COMPUTED_VALUE"""),240)</f>
        <v>240</v>
      </c>
      <c r="Z376" s="14" t="str">
        <f ca="1">IFERROR(__xludf.DUMMYFUNCTION("""COMPUTED_VALUE"""),"1200")</f>
        <v>1200</v>
      </c>
      <c r="AA376" s="15" t="str">
        <f ca="1">IFERROR(__xludf.DUMMYFUNCTION("""COMPUTED_VALUE"""),"*把手採用炭黑色&amp;蜂巢壓紋設計 ，增添質感及設計感*可移動式製冰盒*可移動式溫度切換保鮮室 【乳製品&lt;-&gt;蔬果模式】*保鮮室移至下層時，成為第二個蔬果室*三重除臭濾網        *門邊層架升級 (3→4層)*全室強化玻璃層架，採蜂巢壓紋設計*符合國家一級能效標準")</f>
        <v>*把手採用炭黑色&amp;蜂巢壓紋設計 ，增添質感及設計感*可移動式製冰盒*可移動式溫度切換保鮮室 【乳製品&lt;-&gt;蔬果模式】*保鮮室移至下層時，成為第二個蔬果室*三重除臭濾網        *門邊層架升級 (3→4層)*全室強化玻璃層架，採蜂巢壓紋設計*符合國家一級能效標準</v>
      </c>
    </row>
    <row r="377" spans="1:27" ht="19.5" customHeight="1">
      <c r="A377" s="12" t="str">
        <f ca="1">IFERROR(__xludf.DUMMYFUNCTION("""COMPUTED_VALUE"""),"冰箱")</f>
        <v>冰箱</v>
      </c>
      <c r="B377" s="12" t="str">
        <f ca="1">IFERROR(__xludf.DUMMYFUNCTION("""COMPUTED_VALUE"""),"順發")</f>
        <v>順發</v>
      </c>
      <c r="C377" s="12" t="str">
        <f ca="1">IFERROR(__xludf.DUMMYFUNCTION("""COMPUTED_VALUE"""),"HITACHI")</f>
        <v>HITACHI</v>
      </c>
      <c r="D377" s="12" t="str">
        <f ca="1">IFERROR(__xludf.DUMMYFUNCTION("""COMPUTED_VALUE"""),"Hitachi_日立260L雙門右開變頻冰箱_764H12_HRTN5275MFXTW")</f>
        <v>Hitachi_日立260L雙門右開變頻冰箱_764H12_HRTN5275MFXTW</v>
      </c>
      <c r="E377" s="12" t="str">
        <f ca="1">IFERROR(__xludf.DUMMYFUNCTION("""COMPUTED_VALUE"""),"HRTN5275MFXTW")</f>
        <v>HRTN5275MFXTW</v>
      </c>
      <c r="F377" s="12">
        <f ca="1">IFERROR(__xludf.DUMMYFUNCTION("""COMPUTED_VALUE"""),51095831)</f>
        <v>51095831</v>
      </c>
      <c r="G377" s="12" t="str">
        <f ca="1">IFERROR(__xludf.DUMMYFUNCTION("""COMPUTED_VALUE"""),"IGEM108B")</f>
        <v>IGEM108B</v>
      </c>
      <c r="H377" s="12">
        <f ca="1">IFERROR(__xludf.DUMMYFUNCTION("""COMPUTED_VALUE"""),17500)</f>
        <v>17500</v>
      </c>
      <c r="I377" s="14">
        <f ca="1">IFERROR(__xludf.DUMMYFUNCTION("""COMPUTED_VALUE"""),16100)</f>
        <v>16100</v>
      </c>
      <c r="J377" s="12"/>
      <c r="K377" s="12"/>
      <c r="L377" s="12" t="str">
        <f ca="1">IFERROR(__xludf.DUMMYFUNCTION("""COMPUTED_VALUE"""),"上架中")</f>
        <v>上架中</v>
      </c>
      <c r="M377" s="12" t="str">
        <f ca="1">IFERROR(__xludf.DUMMYFUNCTION("""COMPUTED_VALUE"""),"客訂商品，請先洽順發溝通貨況")</f>
        <v>客訂商品，請先洽順發溝通貨況</v>
      </c>
      <c r="N377" s="12" t="str">
        <f ca="1">IFERROR(__xludf.DUMMYFUNCTION("""COMPUTED_VALUE"""),"雙門變頻")</f>
        <v>雙門變頻</v>
      </c>
      <c r="O377" s="12" t="str">
        <f ca="1">IFERROR(__xludf.DUMMYFUNCTION("""COMPUTED_VALUE"""),"璀璨銀")</f>
        <v>璀璨銀</v>
      </c>
      <c r="P377" s="12" t="str">
        <f ca="1">IFERROR(__xludf.DUMMYFUNCTION("""COMPUTED_VALUE"""),"260L")</f>
        <v>260L</v>
      </c>
      <c r="Q377" s="12" t="str">
        <f ca="1">IFERROR(__xludf.DUMMYFUNCTION("""COMPUTED_VALUE"""),"1680*560*635mm")</f>
        <v>1680*560*635mm</v>
      </c>
      <c r="R377" s="12" t="str">
        <f ca="1">IFERROR(__xludf.DUMMYFUNCTION("""COMPUTED_VALUE"""),"泰國")</f>
        <v>泰國</v>
      </c>
      <c r="S377" s="12"/>
      <c r="T377" s="13" t="str">
        <f ca="1">IFERROR(__xludf.DUMMYFUNCTION("""COMPUTED_VALUE"""),"1級能效")</f>
        <v>1級能效</v>
      </c>
      <c r="U377" s="12" t="str">
        <f ca="1">IFERROR(__xludf.DUMMYFUNCTION("""COMPUTED_VALUE"""),"1年")</f>
        <v>1年</v>
      </c>
      <c r="V377" s="12" t="str">
        <f ca="1">IFERROR(__xludf.DUMMYFUNCTION("""COMPUTED_VALUE"""),"5年")</f>
        <v>5年</v>
      </c>
      <c r="W377" s="12"/>
      <c r="X377" s="12" t="str">
        <f ca="1">IFERROR(__xludf.DUMMYFUNCTION("""COMPUTED_VALUE"""),"(114/1/1~2/28)隨貨送Nerez 304不鏽鋼雙層深+淺調理盤(附架) (805T23)")</f>
        <v>(114/1/1~2/28)隨貨送Nerez 304不鏽鋼雙層深+淺調理盤(附架) (805T23)</v>
      </c>
      <c r="Y377" s="12">
        <f ca="1">IFERROR(__xludf.DUMMYFUNCTION("""COMPUTED_VALUE"""),260)</f>
        <v>260</v>
      </c>
      <c r="Z377" s="14" t="str">
        <f ca="1">IFERROR(__xludf.DUMMYFUNCTION("""COMPUTED_VALUE"""),"1200")</f>
        <v>1200</v>
      </c>
      <c r="AA377" s="15" t="str">
        <f ca="1">IFERROR(__xludf.DUMMYFUNCTION("""COMPUTED_VALUE"""),"*把手採用炭黑色&amp;蜂巢壓紋設計 ，增添質感及設計感*可移動式製冰盒*可移動式溫度切換保鮮室 【乳製品&lt;-&gt;蔬果模式】*保鮮室移至下層時，成為第二個蔬果室*三重除臭濾網	*門邊層架升級 (3→4層)*全室強化玻璃層架，採蜂巢壓紋設計*符合國家一級能效標準")</f>
        <v>*把手採用炭黑色&amp;蜂巢壓紋設計 ，增添質感及設計感*可移動式製冰盒*可移動式溫度切換保鮮室 【乳製品&lt;-&gt;蔬果模式】*保鮮室移至下層時，成為第二個蔬果室*三重除臭濾網	*門邊層架升級 (3→4層)*全室強化玻璃層架，採蜂巢壓紋設計*符合國家一級能效標準</v>
      </c>
    </row>
    <row r="378" spans="1:27" ht="19.5" customHeight="1">
      <c r="A378" s="12" t="str">
        <f ca="1">IFERROR(__xludf.DUMMYFUNCTION("""COMPUTED_VALUE"""),"冰箱")</f>
        <v>冰箱</v>
      </c>
      <c r="B378" s="12" t="str">
        <f ca="1">IFERROR(__xludf.DUMMYFUNCTION("""COMPUTED_VALUE"""),"順發")</f>
        <v>順發</v>
      </c>
      <c r="C378" s="12" t="str">
        <f ca="1">IFERROR(__xludf.DUMMYFUNCTION("""COMPUTED_VALUE"""),"HITACHI")</f>
        <v>HITACHI</v>
      </c>
      <c r="D378" s="12" t="str">
        <f ca="1">IFERROR(__xludf.DUMMYFUNCTION("""COMPUTED_VALUE"""),"Hitachi_日立313L雙門琉璃白變頻冰箱_764H39_HRBN5366DFGPWTW")</f>
        <v>Hitachi_日立313L雙門琉璃白變頻冰箱_764H39_HRBN5366DFGPWTW</v>
      </c>
      <c r="E378" s="12" t="str">
        <f ca="1">IFERROR(__xludf.DUMMYFUNCTION("""COMPUTED_VALUE"""),"HRBN5366DFGPWTW")</f>
        <v>HRBN5366DFGPWTW</v>
      </c>
      <c r="F378" s="12">
        <f ca="1">IFERROR(__xludf.DUMMYFUNCTION("""COMPUTED_VALUE"""),51095832)</f>
        <v>51095832</v>
      </c>
      <c r="G378" s="12" t="str">
        <f ca="1">IFERROR(__xludf.DUMMYFUNCTION("""COMPUTED_VALUE"""),"IGEM108C")</f>
        <v>IGEM108C</v>
      </c>
      <c r="H378" s="13">
        <f ca="1">IFERROR(__xludf.DUMMYFUNCTION("""COMPUTED_VALUE"""),26400)</f>
        <v>26400</v>
      </c>
      <c r="I378" s="14">
        <f ca="1">IFERROR(__xludf.DUMMYFUNCTION("""COMPUTED_VALUE"""),23100)</f>
        <v>23100</v>
      </c>
      <c r="J378" s="12"/>
      <c r="K378" s="12"/>
      <c r="L378" s="12" t="str">
        <f ca="1">IFERROR(__xludf.DUMMYFUNCTION("""COMPUTED_VALUE"""),"上架中")</f>
        <v>上架中</v>
      </c>
      <c r="M378" s="12" t="str">
        <f ca="1">IFERROR(__xludf.DUMMYFUNCTION("""COMPUTED_VALUE"""),"8/9新機上架")</f>
        <v>8/9新機上架</v>
      </c>
      <c r="N378" s="12" t="str">
        <f ca="1">IFERROR(__xludf.DUMMYFUNCTION("""COMPUTED_VALUE"""),"雙門變頻")</f>
        <v>雙門變頻</v>
      </c>
      <c r="O378" s="12" t="str">
        <f ca="1">IFERROR(__xludf.DUMMYFUNCTION("""COMPUTED_VALUE"""),"琉璃白")</f>
        <v>琉璃白</v>
      </c>
      <c r="P378" s="12" t="str">
        <f ca="1">IFERROR(__xludf.DUMMYFUNCTION("""COMPUTED_VALUE"""),"313L")</f>
        <v>313L</v>
      </c>
      <c r="Q378" s="12" t="str">
        <f ca="1">IFERROR(__xludf.DUMMYFUNCTION("""COMPUTED_VALUE"""),"1900*595*650mm")</f>
        <v>1900*595*650mm</v>
      </c>
      <c r="R378" s="12" t="str">
        <f ca="1">IFERROR(__xludf.DUMMYFUNCTION("""COMPUTED_VALUE"""),"泰國")</f>
        <v>泰國</v>
      </c>
      <c r="S378" s="12"/>
      <c r="T378" s="13" t="str">
        <f ca="1">IFERROR(__xludf.DUMMYFUNCTION("""COMPUTED_VALUE"""),"1級能效")</f>
        <v>1級能效</v>
      </c>
      <c r="U378" s="12" t="str">
        <f ca="1">IFERROR(__xludf.DUMMYFUNCTION("""COMPUTED_VALUE"""),"1年")</f>
        <v>1年</v>
      </c>
      <c r="V378" s="12" t="str">
        <f ca="1">IFERROR(__xludf.DUMMYFUNCTION("""COMPUTED_VALUE"""),"5年")</f>
        <v>5年</v>
      </c>
      <c r="W378" s="12"/>
      <c r="X378" s="12" t="str">
        <f ca="1">IFERROR(__xludf.DUMMYFUNCTION("""COMPUTED_VALUE"""),"(114/1/1~2/28)隨貨送Nerez 304不鏽鋼雙層深+淺調理盤(附架) (805T23)")</f>
        <v>(114/1/1~2/28)隨貨送Nerez 304不鏽鋼雙層深+淺調理盤(附架) (805T23)</v>
      </c>
      <c r="Y378" s="12">
        <f ca="1">IFERROR(__xludf.DUMMYFUNCTION("""COMPUTED_VALUE"""),313)</f>
        <v>313</v>
      </c>
      <c r="Z378" s="14" t="str">
        <f ca="1">IFERROR(__xludf.DUMMYFUNCTION("""COMPUTED_VALUE"""),"1200")</f>
        <v>1200</v>
      </c>
      <c r="AA378" s="15" t="str">
        <f ca="1">IFERROR(__xludf.DUMMYFUNCTION("""COMPUTED_VALUE"""),"*琉璃觸控面板 質感美型*急速冷凍鋁盤 快速凍結並抑制冰晶*保鮮室可切換不同溫度模式*蔬果保鮮室 高效保濕約90%*強化玻璃層架 耐重好清潔*可調式門邊層架*優雅的多功能飲料紅酒架*大容量且具深度的下層冷凍設計")</f>
        <v>*琉璃觸控面板 質感美型*急速冷凍鋁盤 快速凍結並抑制冰晶*保鮮室可切換不同溫度模式*蔬果保鮮室 高效保濕約90%*強化玻璃層架 耐重好清潔*可調式門邊層架*優雅的多功能飲料紅酒架*大容量且具深度的下層冷凍設計</v>
      </c>
    </row>
    <row r="379" spans="1:27" ht="19.5" customHeight="1">
      <c r="A379" s="12" t="str">
        <f ca="1">IFERROR(__xludf.DUMMYFUNCTION("""COMPUTED_VALUE"""),"冰箱")</f>
        <v>冰箱</v>
      </c>
      <c r="B379" s="12" t="str">
        <f ca="1">IFERROR(__xludf.DUMMYFUNCTION("""COMPUTED_VALUE"""),"順發")</f>
        <v>順發</v>
      </c>
      <c r="C379" s="12" t="str">
        <f ca="1">IFERROR(__xludf.DUMMYFUNCTION("""COMPUTED_VALUE"""),"HITACHI")</f>
        <v>HITACHI</v>
      </c>
      <c r="D379" s="12" t="str">
        <f ca="1">IFERROR(__xludf.DUMMYFUNCTION("""COMPUTED_VALUE"""),"Hitachi_日立313L雙門琉璃黑變頻冰箱_764H38_HRBN5366DFXGRTW")</f>
        <v>Hitachi_日立313L雙門琉璃黑變頻冰箱_764H38_HRBN5366DFXGRTW</v>
      </c>
      <c r="E379" s="12" t="str">
        <f ca="1">IFERROR(__xludf.DUMMYFUNCTION("""COMPUTED_VALUE"""),"HRBN5366DFXGRTW")</f>
        <v>HRBN5366DFXGRTW</v>
      </c>
      <c r="F379" s="12">
        <f ca="1">IFERROR(__xludf.DUMMYFUNCTION("""COMPUTED_VALUE"""),51095833)</f>
        <v>51095833</v>
      </c>
      <c r="G379" s="12" t="str">
        <f ca="1">IFERROR(__xludf.DUMMYFUNCTION("""COMPUTED_VALUE"""),"IGEM108D")</f>
        <v>IGEM108D</v>
      </c>
      <c r="H379" s="13">
        <f ca="1">IFERROR(__xludf.DUMMYFUNCTION("""COMPUTED_VALUE"""),26400)</f>
        <v>26400</v>
      </c>
      <c r="I379" s="14">
        <f ca="1">IFERROR(__xludf.DUMMYFUNCTION("""COMPUTED_VALUE"""),23100)</f>
        <v>23100</v>
      </c>
      <c r="J379" s="12"/>
      <c r="K379" s="12"/>
      <c r="L379" s="12" t="str">
        <f ca="1">IFERROR(__xludf.DUMMYFUNCTION("""COMPUTED_VALUE"""),"上架中")</f>
        <v>上架中</v>
      </c>
      <c r="M379" s="12" t="str">
        <f ca="1">IFERROR(__xludf.DUMMYFUNCTION("""COMPUTED_VALUE"""),"8/9新機上架")</f>
        <v>8/9新機上架</v>
      </c>
      <c r="N379" s="12" t="str">
        <f ca="1">IFERROR(__xludf.DUMMYFUNCTION("""COMPUTED_VALUE"""),"雙門變頻")</f>
        <v>雙門變頻</v>
      </c>
      <c r="O379" s="12" t="str">
        <f ca="1">IFERROR(__xludf.DUMMYFUNCTION("""COMPUTED_VALUE"""),"漸層琉璃黑")</f>
        <v>漸層琉璃黑</v>
      </c>
      <c r="P379" s="12" t="str">
        <f ca="1">IFERROR(__xludf.DUMMYFUNCTION("""COMPUTED_VALUE"""),"313L")</f>
        <v>313L</v>
      </c>
      <c r="Q379" s="12" t="str">
        <f ca="1">IFERROR(__xludf.DUMMYFUNCTION("""COMPUTED_VALUE"""),"1900*595*650mm")</f>
        <v>1900*595*650mm</v>
      </c>
      <c r="R379" s="12" t="str">
        <f ca="1">IFERROR(__xludf.DUMMYFUNCTION("""COMPUTED_VALUE"""),"泰國")</f>
        <v>泰國</v>
      </c>
      <c r="S379" s="12"/>
      <c r="T379" s="13" t="str">
        <f ca="1">IFERROR(__xludf.DUMMYFUNCTION("""COMPUTED_VALUE"""),"1級能效")</f>
        <v>1級能效</v>
      </c>
      <c r="U379" s="12" t="str">
        <f ca="1">IFERROR(__xludf.DUMMYFUNCTION("""COMPUTED_VALUE"""),"1年")</f>
        <v>1年</v>
      </c>
      <c r="V379" s="12" t="str">
        <f ca="1">IFERROR(__xludf.DUMMYFUNCTION("""COMPUTED_VALUE"""),"5年")</f>
        <v>5年</v>
      </c>
      <c r="W379" s="12"/>
      <c r="X379" s="12" t="str">
        <f ca="1">IFERROR(__xludf.DUMMYFUNCTION("""COMPUTED_VALUE"""),"(114/1/1~2/28)隨貨送Nerez 304不鏽鋼雙層深+淺調理盤(附架) (805T23)")</f>
        <v>(114/1/1~2/28)隨貨送Nerez 304不鏽鋼雙層深+淺調理盤(附架) (805T23)</v>
      </c>
      <c r="Y379" s="12">
        <f ca="1">IFERROR(__xludf.DUMMYFUNCTION("""COMPUTED_VALUE"""),313)</f>
        <v>313</v>
      </c>
      <c r="Z379" s="14" t="str">
        <f ca="1">IFERROR(__xludf.DUMMYFUNCTION("""COMPUTED_VALUE"""),"1200")</f>
        <v>1200</v>
      </c>
      <c r="AA379" s="15" t="str">
        <f ca="1">IFERROR(__xludf.DUMMYFUNCTION("""COMPUTED_VALUE"""),"*琉璃觸控面板 質感美型*急速冷凍鋁盤 快速凍結並抑制冰晶*保鮮室可切換不同溫度模式*蔬果保鮮室 高效保濕約90%*強化玻璃層架 耐重好清潔*可調式門邊層架*優雅的多功能飲料紅酒架*大容量且具深度的下層冷凍設計")</f>
        <v>*琉璃觸控面板 質感美型*急速冷凍鋁盤 快速凍結並抑制冰晶*保鮮室可切換不同溫度模式*蔬果保鮮室 高效保濕約90%*強化玻璃層架 耐重好清潔*可調式門邊層架*優雅的多功能飲料紅酒架*大容量且具深度的下層冷凍設計</v>
      </c>
    </row>
    <row r="380" spans="1:27" ht="19.5" customHeight="1">
      <c r="A380" s="12" t="str">
        <f ca="1">IFERROR(__xludf.DUMMYFUNCTION("""COMPUTED_VALUE"""),"冰箱")</f>
        <v>冰箱</v>
      </c>
      <c r="B380" s="12" t="str">
        <f ca="1">IFERROR(__xludf.DUMMYFUNCTION("""COMPUTED_VALUE"""),"順發")</f>
        <v>順發</v>
      </c>
      <c r="C380" s="12" t="str">
        <f ca="1">IFERROR(__xludf.DUMMYFUNCTION("""COMPUTED_VALUE"""),"HITACHI")</f>
        <v>HITACHI</v>
      </c>
      <c r="D380" s="12" t="str">
        <f ca="1">IFERROR(__xludf.DUMMYFUNCTION("""COMPUTED_VALUE"""),"Hitachi_日立313L雙門琉璃鏡變頻冰箱_764H40_HRBN5366DFXTW")</f>
        <v>Hitachi_日立313L雙門琉璃鏡變頻冰箱_764H40_HRBN5366DFXTW</v>
      </c>
      <c r="E380" s="12" t="str">
        <f ca="1">IFERROR(__xludf.DUMMYFUNCTION("""COMPUTED_VALUE"""),"HRBN5366DFXTW")</f>
        <v>HRBN5366DFXTW</v>
      </c>
      <c r="F380" s="12">
        <f ca="1">IFERROR(__xludf.DUMMYFUNCTION("""COMPUTED_VALUE"""),51095834)</f>
        <v>51095834</v>
      </c>
      <c r="G380" s="12" t="str">
        <f ca="1">IFERROR(__xludf.DUMMYFUNCTION("""COMPUTED_VALUE"""),"IGEM108E")</f>
        <v>IGEM108E</v>
      </c>
      <c r="H380" s="13">
        <f ca="1">IFERROR(__xludf.DUMMYFUNCTION("""COMPUTED_VALUE"""),28400)</f>
        <v>28400</v>
      </c>
      <c r="I380" s="14">
        <f ca="1">IFERROR(__xludf.DUMMYFUNCTION("""COMPUTED_VALUE"""),26128)</f>
        <v>26128</v>
      </c>
      <c r="J380" s="12"/>
      <c r="K380" s="12"/>
      <c r="L380" s="12" t="str">
        <f ca="1">IFERROR(__xludf.DUMMYFUNCTION("""COMPUTED_VALUE"""),"上架中")</f>
        <v>上架中</v>
      </c>
      <c r="M380" s="12" t="str">
        <f ca="1">IFERROR(__xludf.DUMMYFUNCTION("""COMPUTED_VALUE"""),"8/9新機上架")</f>
        <v>8/9新機上架</v>
      </c>
      <c r="N380" s="12" t="str">
        <f ca="1">IFERROR(__xludf.DUMMYFUNCTION("""COMPUTED_VALUE"""),"雙門變頻")</f>
        <v>雙門變頻</v>
      </c>
      <c r="O380" s="12" t="str">
        <f ca="1">IFERROR(__xludf.DUMMYFUNCTION("""COMPUTED_VALUE"""),"琉璃鏡")</f>
        <v>琉璃鏡</v>
      </c>
      <c r="P380" s="12" t="str">
        <f ca="1">IFERROR(__xludf.DUMMYFUNCTION("""COMPUTED_VALUE"""),"313L")</f>
        <v>313L</v>
      </c>
      <c r="Q380" s="12" t="str">
        <f ca="1">IFERROR(__xludf.DUMMYFUNCTION("""COMPUTED_VALUE"""),"1900*595*650mm")</f>
        <v>1900*595*650mm</v>
      </c>
      <c r="R380" s="12" t="str">
        <f ca="1">IFERROR(__xludf.DUMMYFUNCTION("""COMPUTED_VALUE"""),"泰國")</f>
        <v>泰國</v>
      </c>
      <c r="S380" s="12"/>
      <c r="T380" s="13" t="str">
        <f ca="1">IFERROR(__xludf.DUMMYFUNCTION("""COMPUTED_VALUE"""),"1級能效")</f>
        <v>1級能效</v>
      </c>
      <c r="U380" s="12" t="str">
        <f ca="1">IFERROR(__xludf.DUMMYFUNCTION("""COMPUTED_VALUE"""),"1年")</f>
        <v>1年</v>
      </c>
      <c r="V380" s="12" t="str">
        <f ca="1">IFERROR(__xludf.DUMMYFUNCTION("""COMPUTED_VALUE"""),"5年")</f>
        <v>5年</v>
      </c>
      <c r="W380" s="12"/>
      <c r="X380" s="12" t="str">
        <f ca="1">IFERROR(__xludf.DUMMYFUNCTION("""COMPUTED_VALUE"""),"(114/1/1~2/28)隨貨送Nerez 304不鏽鋼雙層深+淺調理盤(附架) (805T23)")</f>
        <v>(114/1/1~2/28)隨貨送Nerez 304不鏽鋼雙層深+淺調理盤(附架) (805T23)</v>
      </c>
      <c r="Y380" s="12">
        <f ca="1">IFERROR(__xludf.DUMMYFUNCTION("""COMPUTED_VALUE"""),313)</f>
        <v>313</v>
      </c>
      <c r="Z380" s="14" t="str">
        <f ca="1">IFERROR(__xludf.DUMMYFUNCTION("""COMPUTED_VALUE"""),"1200")</f>
        <v>1200</v>
      </c>
      <c r="AA380" s="15" t="str">
        <f ca="1">IFERROR(__xludf.DUMMYFUNCTION("""COMPUTED_VALUE"""),"*琉璃觸控面板 質感美型*急速冷凍鋁盤 快速凍結並抑制冰晶*保鮮室可切換不同溫度模式*蔬果保鮮室 高效保濕約90%*強化玻璃層架 耐重好清潔*可調式門邊層架*優雅的多功能飲料紅酒架*大容量且具深度的下層冷凍設計")</f>
        <v>*琉璃觸控面板 質感美型*急速冷凍鋁盤 快速凍結並抑制冰晶*保鮮室可切換不同溫度模式*蔬果保鮮室 高效保濕約90%*強化玻璃層架 耐重好清潔*可調式門邊層架*優雅的多功能飲料紅酒架*大容量且具深度的下層冷凍設計</v>
      </c>
    </row>
    <row r="381" spans="1:27" ht="19.5" customHeight="1">
      <c r="A381" s="12" t="str">
        <f ca="1">IFERROR(__xludf.DUMMYFUNCTION("""COMPUTED_VALUE"""),"冰箱")</f>
        <v>冰箱</v>
      </c>
      <c r="B381" s="12" t="str">
        <f ca="1">IFERROR(__xludf.DUMMYFUNCTION("""COMPUTED_VALUE"""),"順發")</f>
        <v>順發</v>
      </c>
      <c r="C381" s="12" t="str">
        <f ca="1">IFERROR(__xludf.DUMMYFUNCTION("""COMPUTED_VALUE"""),"HITACHI")</f>
        <v>HITACHI</v>
      </c>
      <c r="D381" s="12" t="str">
        <f ca="1">IFERROR(__xludf.DUMMYFUNCTION("""COMPUTED_VALUE"""),"Hitachi_日立313L雙門左開琉璃白變頻冰箱_764H42_HRBN5366DFLGPWTW")</f>
        <v>Hitachi_日立313L雙門左開琉璃白變頻冰箱_764H42_HRBN5366DFLGPWTW</v>
      </c>
      <c r="E381" s="12" t="str">
        <f ca="1">IFERROR(__xludf.DUMMYFUNCTION("""COMPUTED_VALUE"""),"HRBN5366DFLGPWTW")</f>
        <v>HRBN5366DFLGPWTW</v>
      </c>
      <c r="F381" s="12">
        <f ca="1">IFERROR(__xludf.DUMMYFUNCTION("""COMPUTED_VALUE"""),51095835)</f>
        <v>51095835</v>
      </c>
      <c r="G381" s="12" t="str">
        <f ca="1">IFERROR(__xludf.DUMMYFUNCTION("""COMPUTED_VALUE"""),"IGEM108F")</f>
        <v>IGEM108F</v>
      </c>
      <c r="H381" s="13">
        <f ca="1">IFERROR(__xludf.DUMMYFUNCTION("""COMPUTED_VALUE"""),27400)</f>
        <v>27400</v>
      </c>
      <c r="I381" s="14">
        <f ca="1">IFERROR(__xludf.DUMMYFUNCTION("""COMPUTED_VALUE"""),25208)</f>
        <v>25208</v>
      </c>
      <c r="J381" s="12"/>
      <c r="K381" s="12"/>
      <c r="L381" s="12" t="str">
        <f ca="1">IFERROR(__xludf.DUMMYFUNCTION("""COMPUTED_VALUE"""),"上架中")</f>
        <v>上架中</v>
      </c>
      <c r="M381" s="12" t="str">
        <f ca="1">IFERROR(__xludf.DUMMYFUNCTION("""COMPUTED_VALUE"""),"客訂商品，請先洽順發溝通貨況")</f>
        <v>客訂商品，請先洽順發溝通貨況</v>
      </c>
      <c r="N381" s="12" t="str">
        <f ca="1">IFERROR(__xludf.DUMMYFUNCTION("""COMPUTED_VALUE"""),"雙門變頻")</f>
        <v>雙門變頻</v>
      </c>
      <c r="O381" s="12" t="str">
        <f ca="1">IFERROR(__xludf.DUMMYFUNCTION("""COMPUTED_VALUE"""),"琉璃白")</f>
        <v>琉璃白</v>
      </c>
      <c r="P381" s="12" t="str">
        <f ca="1">IFERROR(__xludf.DUMMYFUNCTION("""COMPUTED_VALUE"""),"313L")</f>
        <v>313L</v>
      </c>
      <c r="Q381" s="12" t="str">
        <f ca="1">IFERROR(__xludf.DUMMYFUNCTION("""COMPUTED_VALUE"""),"1900*595*650mm")</f>
        <v>1900*595*650mm</v>
      </c>
      <c r="R381" s="12" t="str">
        <f ca="1">IFERROR(__xludf.DUMMYFUNCTION("""COMPUTED_VALUE"""),"泰國")</f>
        <v>泰國</v>
      </c>
      <c r="S381" s="12"/>
      <c r="T381" s="13" t="str">
        <f ca="1">IFERROR(__xludf.DUMMYFUNCTION("""COMPUTED_VALUE"""),"1級能效")</f>
        <v>1級能效</v>
      </c>
      <c r="U381" s="12" t="str">
        <f ca="1">IFERROR(__xludf.DUMMYFUNCTION("""COMPUTED_VALUE"""),"1年")</f>
        <v>1年</v>
      </c>
      <c r="V381" s="12" t="str">
        <f ca="1">IFERROR(__xludf.DUMMYFUNCTION("""COMPUTED_VALUE"""),"5年")</f>
        <v>5年</v>
      </c>
      <c r="W381" s="12"/>
      <c r="X381" s="12" t="str">
        <f ca="1">IFERROR(__xludf.DUMMYFUNCTION("""COMPUTED_VALUE"""),"(114/1/1~2/28)隨貨送Nerez 304不鏽鋼雙層深+淺調理盤(附架) (805T23)")</f>
        <v>(114/1/1~2/28)隨貨送Nerez 304不鏽鋼雙層深+淺調理盤(附架) (805T23)</v>
      </c>
      <c r="Y381" s="12">
        <f ca="1">IFERROR(__xludf.DUMMYFUNCTION("""COMPUTED_VALUE"""),313)</f>
        <v>313</v>
      </c>
      <c r="Z381" s="14" t="str">
        <f ca="1">IFERROR(__xludf.DUMMYFUNCTION("""COMPUTED_VALUE"""),"1200")</f>
        <v>1200</v>
      </c>
      <c r="AA381" s="15" t="str">
        <f ca="1">IFERROR(__xludf.DUMMYFUNCTION("""COMPUTED_VALUE"""),"*琉璃觸控面板 質感美型*急速冷凍鋁盤 快速凍結並抑制冰晶*保鮮室可切換不同溫度模式*蔬果保鮮室 高效保濕約90%*強化玻璃層架 耐重好清潔*可調式門邊層架*優雅的多功能飲料紅酒架*大容量且具深度的下層冷凍設計")</f>
        <v>*琉璃觸控面板 質感美型*急速冷凍鋁盤 快速凍結並抑制冰晶*保鮮室可切換不同溫度模式*蔬果保鮮室 高效保濕約90%*強化玻璃層架 耐重好清潔*可調式門邊層架*優雅的多功能飲料紅酒架*大容量且具深度的下層冷凍設計</v>
      </c>
    </row>
    <row r="382" spans="1:27" ht="19.5" customHeight="1">
      <c r="A382" s="12" t="str">
        <f ca="1">IFERROR(__xludf.DUMMYFUNCTION("""COMPUTED_VALUE"""),"冰箱")</f>
        <v>冰箱</v>
      </c>
      <c r="B382" s="12" t="str">
        <f ca="1">IFERROR(__xludf.DUMMYFUNCTION("""COMPUTED_VALUE"""),"順發")</f>
        <v>順發</v>
      </c>
      <c r="C382" s="12" t="str">
        <f ca="1">IFERROR(__xludf.DUMMYFUNCTION("""COMPUTED_VALUE"""),"HITACHI")</f>
        <v>HITACHI</v>
      </c>
      <c r="D382" s="12" t="str">
        <f ca="1">IFERROR(__xludf.DUMMYFUNCTION("""COMPUTED_VALUE"""),"Hitachi_日立313L雙門左開琉璃黑變頻冰箱_764H41_HRBN5366DFLXGRTW")</f>
        <v>Hitachi_日立313L雙門左開琉璃黑變頻冰箱_764H41_HRBN5366DFLXGRTW</v>
      </c>
      <c r="E382" s="12" t="str">
        <f ca="1">IFERROR(__xludf.DUMMYFUNCTION("""COMPUTED_VALUE"""),"HRBN5366DFLXGRTW")</f>
        <v>HRBN5366DFLXGRTW</v>
      </c>
      <c r="F382" s="12">
        <f ca="1">IFERROR(__xludf.DUMMYFUNCTION("""COMPUTED_VALUE"""),51095836)</f>
        <v>51095836</v>
      </c>
      <c r="G382" s="12" t="str">
        <f ca="1">IFERROR(__xludf.DUMMYFUNCTION("""COMPUTED_VALUE"""),"IGEM108G")</f>
        <v>IGEM108G</v>
      </c>
      <c r="H382" s="13">
        <f ca="1">IFERROR(__xludf.DUMMYFUNCTION("""COMPUTED_VALUE"""),27400)</f>
        <v>27400</v>
      </c>
      <c r="I382" s="14">
        <f ca="1">IFERROR(__xludf.DUMMYFUNCTION("""COMPUTED_VALUE"""),25208)</f>
        <v>25208</v>
      </c>
      <c r="J382" s="12"/>
      <c r="K382" s="12"/>
      <c r="L382" s="12" t="str">
        <f ca="1">IFERROR(__xludf.DUMMYFUNCTION("""COMPUTED_VALUE"""),"上架中")</f>
        <v>上架中</v>
      </c>
      <c r="M382" s="12" t="str">
        <f ca="1">IFERROR(__xludf.DUMMYFUNCTION("""COMPUTED_VALUE"""),"客訂商品，請先洽順發溝通貨況")</f>
        <v>客訂商品，請先洽順發溝通貨況</v>
      </c>
      <c r="N382" s="12" t="str">
        <f ca="1">IFERROR(__xludf.DUMMYFUNCTION("""COMPUTED_VALUE"""),"雙門變頻")</f>
        <v>雙門變頻</v>
      </c>
      <c r="O382" s="12" t="str">
        <f ca="1">IFERROR(__xludf.DUMMYFUNCTION("""COMPUTED_VALUE"""),"漸層琉璃黑")</f>
        <v>漸層琉璃黑</v>
      </c>
      <c r="P382" s="12" t="str">
        <f ca="1">IFERROR(__xludf.DUMMYFUNCTION("""COMPUTED_VALUE"""),"313L")</f>
        <v>313L</v>
      </c>
      <c r="Q382" s="12" t="str">
        <f ca="1">IFERROR(__xludf.DUMMYFUNCTION("""COMPUTED_VALUE"""),"1900*595*650mm")</f>
        <v>1900*595*650mm</v>
      </c>
      <c r="R382" s="12" t="str">
        <f ca="1">IFERROR(__xludf.DUMMYFUNCTION("""COMPUTED_VALUE"""),"泰國")</f>
        <v>泰國</v>
      </c>
      <c r="S382" s="12"/>
      <c r="T382" s="13" t="str">
        <f ca="1">IFERROR(__xludf.DUMMYFUNCTION("""COMPUTED_VALUE"""),"1級能效")</f>
        <v>1級能效</v>
      </c>
      <c r="U382" s="12" t="str">
        <f ca="1">IFERROR(__xludf.DUMMYFUNCTION("""COMPUTED_VALUE"""),"1年")</f>
        <v>1年</v>
      </c>
      <c r="V382" s="12" t="str">
        <f ca="1">IFERROR(__xludf.DUMMYFUNCTION("""COMPUTED_VALUE"""),"5年")</f>
        <v>5年</v>
      </c>
      <c r="W382" s="12"/>
      <c r="X382" s="12" t="str">
        <f ca="1">IFERROR(__xludf.DUMMYFUNCTION("""COMPUTED_VALUE"""),"(114/1/1~2/28)隨貨送Nerez 304不鏽鋼雙層深+淺調理盤(附架) (805T23)")</f>
        <v>(114/1/1~2/28)隨貨送Nerez 304不鏽鋼雙層深+淺調理盤(附架) (805T23)</v>
      </c>
      <c r="Y382" s="12">
        <f ca="1">IFERROR(__xludf.DUMMYFUNCTION("""COMPUTED_VALUE"""),313)</f>
        <v>313</v>
      </c>
      <c r="Z382" s="14" t="str">
        <f ca="1">IFERROR(__xludf.DUMMYFUNCTION("""COMPUTED_VALUE"""),"1200")</f>
        <v>1200</v>
      </c>
      <c r="AA382" s="15" t="str">
        <f ca="1">IFERROR(__xludf.DUMMYFUNCTION("""COMPUTED_VALUE"""),"*琉璃觸控面板 質感美型*急速冷凍鋁盤 快速凍結並抑制冰晶*保鮮室可切換不同溫度模式*蔬果保鮮室 高效保濕約90%*強化玻璃層架 耐重好清潔*可調式門邊層架*優雅的多功能飲料紅酒架*大容量且具深度的下層冷凍設計")</f>
        <v>*琉璃觸控面板 質感美型*急速冷凍鋁盤 快速凍結並抑制冰晶*保鮮室可切換不同溫度模式*蔬果保鮮室 高效保濕約90%*強化玻璃層架 耐重好清潔*可調式門邊層架*優雅的多功能飲料紅酒架*大容量且具深度的下層冷凍設計</v>
      </c>
    </row>
    <row r="383" spans="1:27" ht="19.5" customHeight="1">
      <c r="A383" s="12" t="str">
        <f ca="1">IFERROR(__xludf.DUMMYFUNCTION("""COMPUTED_VALUE"""),"冰箱")</f>
        <v>冰箱</v>
      </c>
      <c r="B383" s="12" t="str">
        <f ca="1">IFERROR(__xludf.DUMMYFUNCTION("""COMPUTED_VALUE"""),"順發")</f>
        <v>順發</v>
      </c>
      <c r="C383" s="12" t="str">
        <f ca="1">IFERROR(__xludf.DUMMYFUNCTION("""COMPUTED_VALUE"""),"HITACHI")</f>
        <v>HITACHI</v>
      </c>
      <c r="D383" s="12" t="str">
        <f ca="1">IFERROR(__xludf.DUMMYFUNCTION("""COMPUTED_VALUE"""),"HITACHI_日立113L直立式風冷無霜冷凍櫃_764H86_R115ETWCNX")</f>
        <v>HITACHI_日立113L直立式風冷無霜冷凍櫃_764H86_R115ETWCNX</v>
      </c>
      <c r="E383" s="12" t="str">
        <f ca="1">IFERROR(__xludf.DUMMYFUNCTION("""COMPUTED_VALUE"""),"R115ETWCNX")</f>
        <v>R115ETWCNX</v>
      </c>
      <c r="F383" s="12">
        <f ca="1">IFERROR(__xludf.DUMMYFUNCTION("""COMPUTED_VALUE"""),51095879)</f>
        <v>51095879</v>
      </c>
      <c r="G383" s="12" t="str">
        <f ca="1">IFERROR(__xludf.DUMMYFUNCTION("""COMPUTED_VALUE"""),"IGEM1142")</f>
        <v>IGEM1142</v>
      </c>
      <c r="H383" s="13">
        <f ca="1">IFERROR(__xludf.DUMMYFUNCTION("""COMPUTED_VALUE"""),13900)</f>
        <v>13900</v>
      </c>
      <c r="I383" s="18">
        <f ca="1">IFERROR(__xludf.DUMMYFUNCTION("""COMPUTED_VALUE"""),12788)</f>
        <v>12788</v>
      </c>
      <c r="J383" s="12"/>
      <c r="K383" s="12"/>
      <c r="L383" s="12" t="str">
        <f ca="1">IFERROR(__xludf.DUMMYFUNCTION("""COMPUTED_VALUE"""),"上架中")</f>
        <v>上架中</v>
      </c>
      <c r="M383" s="12" t="str">
        <f ca="1">IFERROR(__xludf.DUMMYFUNCTION("""COMPUTED_VALUE"""),"11/9上架")</f>
        <v>11/9上架</v>
      </c>
      <c r="N383" s="12" t="str">
        <f ca="1">IFERROR(__xludf.DUMMYFUNCTION("""COMPUTED_VALUE"""),"直立式冷凍櫃")</f>
        <v>直立式冷凍櫃</v>
      </c>
      <c r="O383" s="12" t="str">
        <f ca="1">IFERROR(__xludf.DUMMYFUNCTION("""COMPUTED_VALUE""")," 星燦金")</f>
        <v xml:space="preserve"> 星燦金</v>
      </c>
      <c r="P383" s="12" t="str">
        <f ca="1">IFERROR(__xludf.DUMMYFUNCTION("""COMPUTED_VALUE"""),"113L")</f>
        <v>113L</v>
      </c>
      <c r="Q383" s="12" t="str">
        <f ca="1">IFERROR(__xludf.DUMMYFUNCTION("""COMPUTED_VALUE"""),"1110*460*585mm")</f>
        <v>1110*460*585mm</v>
      </c>
      <c r="R383" s="12" t="str">
        <f ca="1">IFERROR(__xludf.DUMMYFUNCTION("""COMPUTED_VALUE"""),"泰國")</f>
        <v>泰國</v>
      </c>
      <c r="S383" s="12"/>
      <c r="T383" s="12"/>
      <c r="U383" s="12" t="str">
        <f ca="1">IFERROR(__xludf.DUMMYFUNCTION("""COMPUTED_VALUE"""),"1年")</f>
        <v>1年</v>
      </c>
      <c r="V383" s="12"/>
      <c r="W383" s="12"/>
      <c r="X383" s="12"/>
      <c r="Y383" s="12"/>
      <c r="Z383" s="14"/>
      <c r="AA383" s="15" t="str">
        <f ca="1">IFERROR(__xludf.DUMMYFUNCTION("""COMPUTED_VALUE"""),"*風冷無霜113L直立式冷凍櫃*業界同級超窄 46cm本體設計*髮絲紋無邊框 歐風two-tone深色箱體*冷凍/冷藏/常溫 自由切換*三重抗菌除臭濾網 有效分解異味*頂部置物平台 耐熱溫度100℃ 負載可達25公斤")</f>
        <v>*風冷無霜113L直立式冷凍櫃*業界同級超窄 46cm本體設計*髮絲紋無邊框 歐風two-tone深色箱體*冷凍/冷藏/常溫 自由切換*三重抗菌除臭濾網 有效分解異味*頂部置物平台 耐熱溫度100℃ 負載可達25公斤</v>
      </c>
    </row>
    <row r="384" spans="1:27" ht="19.5" customHeight="1">
      <c r="A384" s="12" t="str">
        <f ca="1">IFERROR(__xludf.DUMMYFUNCTION("""COMPUTED_VALUE"""),"冰箱")</f>
        <v>冰箱</v>
      </c>
      <c r="B384" s="12" t="str">
        <f ca="1">IFERROR(__xludf.DUMMYFUNCTION("""COMPUTED_VALUE"""),"順發")</f>
        <v>順發</v>
      </c>
      <c r="C384" s="12" t="str">
        <f ca="1">IFERROR(__xludf.DUMMYFUNCTION("""COMPUTED_VALUE"""),"HITACHI")</f>
        <v>HITACHI</v>
      </c>
      <c r="D384" s="12" t="str">
        <f ca="1">IFERROR(__xludf.DUMMYFUNCTION("""COMPUTED_VALUE"""),"HITACHI_日立662L六門變頻冰箱(紫霧琉璃鏡)_764H13_RGG670TJXM")</f>
        <v>HITACHI_日立662L六門變頻冰箱(紫霧琉璃鏡)_764H13_RGG670TJXM</v>
      </c>
      <c r="E384" s="12" t="str">
        <f ca="1">IFERROR(__xludf.DUMMYFUNCTION("""COMPUTED_VALUE"""),"RGG670TJXM")</f>
        <v>RGG670TJXM</v>
      </c>
      <c r="F384" s="12">
        <f ca="1">IFERROR(__xludf.DUMMYFUNCTION("""COMPUTED_VALUE"""),51095933)</f>
        <v>51095933</v>
      </c>
      <c r="G384" s="12" t="str">
        <f ca="1">IFERROR(__xludf.DUMMYFUNCTION("""COMPUTED_VALUE"""),"IGEM1198")</f>
        <v>IGEM1198</v>
      </c>
      <c r="H384" s="12"/>
      <c r="I384" s="14">
        <f ca="1">IFERROR(__xludf.DUMMYFUNCTION("""COMPUTED_VALUE"""),89608)</f>
        <v>89608</v>
      </c>
      <c r="J384" s="16">
        <f ca="1">IFERROR(__xludf.DUMMYFUNCTION("""COMPUTED_VALUE"""),45679)</f>
        <v>45679</v>
      </c>
      <c r="K384" s="12" t="str">
        <f ca="1">IFERROR(__xludf.DUMMYFUNCTION("""COMPUTED_VALUE"""),"新機上架")</f>
        <v>新機上架</v>
      </c>
      <c r="L384" s="12" t="str">
        <f ca="1">IFERROR(__xludf.DUMMYFUNCTION("""COMPUTED_VALUE"""),"上架中")</f>
        <v>上架中</v>
      </c>
      <c r="M384" s="12" t="str">
        <f ca="1">IFERROR(__xludf.DUMMYFUNCTION("""COMPUTED_VALUE"""),"客訂機種，請先洽順發確認貨況")</f>
        <v>客訂機種，請先洽順發確認貨況</v>
      </c>
      <c r="N384" s="12" t="str">
        <f ca="1">IFERROR(__xludf.DUMMYFUNCTION("""COMPUTED_VALUE"""),"六門變頻")</f>
        <v>六門變頻</v>
      </c>
      <c r="O384" s="12" t="str">
        <f ca="1">IFERROR(__xludf.DUMMYFUNCTION("""COMPUTED_VALUE"""),"紫霧琉璃鏡")</f>
        <v>紫霧琉璃鏡</v>
      </c>
      <c r="P384" s="12" t="str">
        <f ca="1">IFERROR(__xludf.DUMMYFUNCTION("""COMPUTED_VALUE"""),"662L")</f>
        <v>662L</v>
      </c>
      <c r="Q384" s="12" t="str">
        <f ca="1">IFERROR(__xludf.DUMMYFUNCTION("""COMPUTED_VALUE"""),"1843x880x650(mm)")</f>
        <v>1843x880x650(mm)</v>
      </c>
      <c r="R384" s="12" t="str">
        <f ca="1">IFERROR(__xludf.DUMMYFUNCTION("""COMPUTED_VALUE"""),"日本")</f>
        <v>日本</v>
      </c>
      <c r="S384" s="12"/>
      <c r="T384" s="13" t="str">
        <f ca="1">IFERROR(__xludf.DUMMYFUNCTION("""COMPUTED_VALUE"""),"1級能效")</f>
        <v>1級能效</v>
      </c>
      <c r="U384" s="12" t="str">
        <f ca="1">IFERROR(__xludf.DUMMYFUNCTION("""COMPUTED_VALUE"""),"1年")</f>
        <v>1年</v>
      </c>
      <c r="V384" s="12" t="str">
        <f ca="1">IFERROR(__xludf.DUMMYFUNCTION("""COMPUTED_VALUE"""),"5年")</f>
        <v>5年</v>
      </c>
      <c r="W384" s="12"/>
      <c r="X384" s="12"/>
      <c r="Y384" s="12">
        <f ca="1">IFERROR(__xludf.DUMMYFUNCTION("""COMPUTED_VALUE"""),662)</f>
        <v>662</v>
      </c>
      <c r="Z384" s="14" t="str">
        <f ca="1">IFERROR(__xludf.DUMMYFUNCTION("""COMPUTED_VALUE"""),"2000")</f>
        <v>2000</v>
      </c>
      <c r="AA384" s="15" t="str">
        <f ca="1">IFERROR(__xludf.DUMMYFUNCTION("""COMPUTED_VALUE"""),"*白金真空睡眠冰溫室 溫度約-1°不結凍*日立獨家技術 約0.8 氣壓真空環境*約2°C獨立鎖濕低溫冷藏室*自動感知 即鮮冷凍*三段式分層收納*白金蔬果睡眠保鮮室*獨立雙循環冷卻系統*VIP真空斷熱材 節能技術再突破*靈活使用的可調式層架*淺型65cm設計 符合櫥櫃深度")</f>
        <v>*白金真空睡眠冰溫室 溫度約-1°不結凍*日立獨家技術 約0.8 氣壓真空環境*約2°C獨立鎖濕低溫冷藏室*自動感知 即鮮冷凍*三段式分層收納*白金蔬果睡眠保鮮室*獨立雙循環冷卻系統*VIP真空斷熱材 節能技術再突破*靈活使用的可調式層架*淺型65cm設計 符合櫥櫃深度</v>
      </c>
    </row>
    <row r="385" spans="1:27" ht="19.5" customHeight="1">
      <c r="A385" s="12" t="str">
        <f ca="1">IFERROR(__xludf.DUMMYFUNCTION("""COMPUTED_VALUE"""),"冰箱")</f>
        <v>冰箱</v>
      </c>
      <c r="B385" s="12" t="str">
        <f ca="1">IFERROR(__xludf.DUMMYFUNCTION("""COMPUTED_VALUE"""),"順發")</f>
        <v>順發</v>
      </c>
      <c r="C385" s="12" t="str">
        <f ca="1">IFERROR(__xludf.DUMMYFUNCTION("""COMPUTED_VALUE"""),"HITACHI")</f>
        <v>HITACHI</v>
      </c>
      <c r="D385" s="12" t="str">
        <f ca="1">IFERROR(__xludf.DUMMYFUNCTION("""COMPUTED_VALUE"""),"HITACHI_日立662L六門變頻冰箱(琉璃黑)_764H15_RGG670TJXK")</f>
        <v>HITACHI_日立662L六門變頻冰箱(琉璃黑)_764H15_RGG670TJXK</v>
      </c>
      <c r="E385" s="12" t="str">
        <f ca="1">IFERROR(__xludf.DUMMYFUNCTION("""COMPUTED_VALUE"""),"RGG670TJXK")</f>
        <v>RGG670TJXK</v>
      </c>
      <c r="F385" s="12">
        <f ca="1">IFERROR(__xludf.DUMMYFUNCTION("""COMPUTED_VALUE"""),51095934)</f>
        <v>51095934</v>
      </c>
      <c r="G385" s="12" t="str">
        <f ca="1">IFERROR(__xludf.DUMMYFUNCTION("""COMPUTED_VALUE"""),"IGEM1199")</f>
        <v>IGEM1199</v>
      </c>
      <c r="H385" s="13">
        <f ca="1">IFERROR(__xludf.DUMMYFUNCTION("""COMPUTED_VALUE"""),97400)</f>
        <v>97400</v>
      </c>
      <c r="I385" s="14">
        <f ca="1">IFERROR(__xludf.DUMMYFUNCTION("""COMPUTED_VALUE"""),89608)</f>
        <v>89608</v>
      </c>
      <c r="J385" s="16">
        <f ca="1">IFERROR(__xludf.DUMMYFUNCTION("""COMPUTED_VALUE"""),45679)</f>
        <v>45679</v>
      </c>
      <c r="K385" s="12" t="str">
        <f ca="1">IFERROR(__xludf.DUMMYFUNCTION("""COMPUTED_VALUE"""),"新機上架")</f>
        <v>新機上架</v>
      </c>
      <c r="L385" s="12" t="str">
        <f ca="1">IFERROR(__xludf.DUMMYFUNCTION("""COMPUTED_VALUE"""),"上架中")</f>
        <v>上架中</v>
      </c>
      <c r="M385" s="12" t="str">
        <f ca="1">IFERROR(__xludf.DUMMYFUNCTION("""COMPUTED_VALUE"""),"客訂機種，請先洽順發確認貨況")</f>
        <v>客訂機種，請先洽順發確認貨況</v>
      </c>
      <c r="N385" s="12" t="str">
        <f ca="1">IFERROR(__xludf.DUMMYFUNCTION("""COMPUTED_VALUE"""),"六門變頻")</f>
        <v>六門變頻</v>
      </c>
      <c r="O385" s="12" t="str">
        <f ca="1">IFERROR(__xludf.DUMMYFUNCTION("""COMPUTED_VALUE"""),"琉璃黑")</f>
        <v>琉璃黑</v>
      </c>
      <c r="P385" s="12" t="str">
        <f ca="1">IFERROR(__xludf.DUMMYFUNCTION("""COMPUTED_VALUE"""),"662L")</f>
        <v>662L</v>
      </c>
      <c r="Q385" s="12" t="str">
        <f ca="1">IFERROR(__xludf.DUMMYFUNCTION("""COMPUTED_VALUE"""),"1843x880x650(mm)")</f>
        <v>1843x880x650(mm)</v>
      </c>
      <c r="R385" s="12" t="str">
        <f ca="1">IFERROR(__xludf.DUMMYFUNCTION("""COMPUTED_VALUE"""),"日本")</f>
        <v>日本</v>
      </c>
      <c r="S385" s="12"/>
      <c r="T385" s="13" t="str">
        <f ca="1">IFERROR(__xludf.DUMMYFUNCTION("""COMPUTED_VALUE"""),"1級能效")</f>
        <v>1級能效</v>
      </c>
      <c r="U385" s="12" t="str">
        <f ca="1">IFERROR(__xludf.DUMMYFUNCTION("""COMPUTED_VALUE"""),"1年")</f>
        <v>1年</v>
      </c>
      <c r="V385" s="12" t="str">
        <f ca="1">IFERROR(__xludf.DUMMYFUNCTION("""COMPUTED_VALUE"""),"5年")</f>
        <v>5年</v>
      </c>
      <c r="W385" s="12"/>
      <c r="X385" s="12"/>
      <c r="Y385" s="12">
        <f ca="1">IFERROR(__xludf.DUMMYFUNCTION("""COMPUTED_VALUE"""),662)</f>
        <v>662</v>
      </c>
      <c r="Z385" s="14" t="str">
        <f ca="1">IFERROR(__xludf.DUMMYFUNCTION("""COMPUTED_VALUE"""),"2000")</f>
        <v>2000</v>
      </c>
      <c r="AA385" s="15" t="str">
        <f ca="1">IFERROR(__xludf.DUMMYFUNCTION("""COMPUTED_VALUE"""),"*白金真空睡眠冰溫室 溫度約-1°不結凍*日立獨家技術 約0.8 氣壓真空環境*約2°C獨立鎖濕低溫冷藏室*自動感知 即鮮冷凍*三段式分層收納*白金蔬果睡眠保鮮室*獨立雙循環冷卻系統*VIP真空斷熱材 節能技術再突破*靈活使用的可調式層架*淺型65cm設計 符合櫥櫃深度")</f>
        <v>*白金真空睡眠冰溫室 溫度約-1°不結凍*日立獨家技術 約0.8 氣壓真空環境*約2°C獨立鎖濕低溫冷藏室*自動感知 即鮮冷凍*三段式分層收納*白金蔬果睡眠保鮮室*獨立雙循環冷卻系統*VIP真空斷熱材 節能技術再突破*靈活使用的可調式層架*淺型65cm設計 符合櫥櫃深度</v>
      </c>
    </row>
    <row r="386" spans="1:27" ht="19.5" customHeight="1">
      <c r="A386" s="12" t="str">
        <f ca="1">IFERROR(__xludf.DUMMYFUNCTION("""COMPUTED_VALUE"""),"冰箱")</f>
        <v>冰箱</v>
      </c>
      <c r="B386" s="12" t="str">
        <f ca="1">IFERROR(__xludf.DUMMYFUNCTION("""COMPUTED_VALUE"""),"順發")</f>
        <v>順發</v>
      </c>
      <c r="C386" s="12" t="str">
        <f ca="1">IFERROR(__xludf.DUMMYFUNCTION("""COMPUTED_VALUE"""),"HITACHI")</f>
        <v>HITACHI</v>
      </c>
      <c r="D386" s="12" t="str">
        <f ca="1">IFERROR(__xludf.DUMMYFUNCTION("""COMPUTED_VALUE"""),"HITACHI_日立662L六門變頻冰箱(琉璃白)_764H14_RGG670TJXW")</f>
        <v>HITACHI_日立662L六門變頻冰箱(琉璃白)_764H14_RGG670TJXW</v>
      </c>
      <c r="E386" s="12" t="str">
        <f ca="1">IFERROR(__xludf.DUMMYFUNCTION("""COMPUTED_VALUE"""),"RGG670TJXW")</f>
        <v>RGG670TJXW</v>
      </c>
      <c r="F386" s="12">
        <f ca="1">IFERROR(__xludf.DUMMYFUNCTION("""COMPUTED_VALUE"""),51095935)</f>
        <v>51095935</v>
      </c>
      <c r="G386" s="12" t="str">
        <f ca="1">IFERROR(__xludf.DUMMYFUNCTION("""COMPUTED_VALUE"""),"IGEM119A")</f>
        <v>IGEM119A</v>
      </c>
      <c r="H386" s="13">
        <f ca="1">IFERROR(__xludf.DUMMYFUNCTION("""COMPUTED_VALUE"""),97400)</f>
        <v>97400</v>
      </c>
      <c r="I386" s="14">
        <f ca="1">IFERROR(__xludf.DUMMYFUNCTION("""COMPUTED_VALUE"""),89608)</f>
        <v>89608</v>
      </c>
      <c r="J386" s="16">
        <f ca="1">IFERROR(__xludf.DUMMYFUNCTION("""COMPUTED_VALUE"""),45679)</f>
        <v>45679</v>
      </c>
      <c r="K386" s="12" t="str">
        <f ca="1">IFERROR(__xludf.DUMMYFUNCTION("""COMPUTED_VALUE"""),"新機上架")</f>
        <v>新機上架</v>
      </c>
      <c r="L386" s="12" t="str">
        <f ca="1">IFERROR(__xludf.DUMMYFUNCTION("""COMPUTED_VALUE"""),"上架中")</f>
        <v>上架中</v>
      </c>
      <c r="M386" s="12" t="str">
        <f ca="1">IFERROR(__xludf.DUMMYFUNCTION("""COMPUTED_VALUE"""),"客訂機種，請先洽順發確認貨況")</f>
        <v>客訂機種，請先洽順發確認貨況</v>
      </c>
      <c r="N386" s="12" t="str">
        <f ca="1">IFERROR(__xludf.DUMMYFUNCTION("""COMPUTED_VALUE"""),"六門變頻")</f>
        <v>六門變頻</v>
      </c>
      <c r="O386" s="12" t="str">
        <f ca="1">IFERROR(__xludf.DUMMYFUNCTION("""COMPUTED_VALUE"""),"琉璃白")</f>
        <v>琉璃白</v>
      </c>
      <c r="P386" s="12" t="str">
        <f ca="1">IFERROR(__xludf.DUMMYFUNCTION("""COMPUTED_VALUE"""),"662L")</f>
        <v>662L</v>
      </c>
      <c r="Q386" s="12" t="str">
        <f ca="1">IFERROR(__xludf.DUMMYFUNCTION("""COMPUTED_VALUE"""),"1843x880x650(mm)")</f>
        <v>1843x880x650(mm)</v>
      </c>
      <c r="R386" s="12" t="str">
        <f ca="1">IFERROR(__xludf.DUMMYFUNCTION("""COMPUTED_VALUE"""),"日本")</f>
        <v>日本</v>
      </c>
      <c r="S386" s="12"/>
      <c r="T386" s="13" t="str">
        <f ca="1">IFERROR(__xludf.DUMMYFUNCTION("""COMPUTED_VALUE"""),"1級能效")</f>
        <v>1級能效</v>
      </c>
      <c r="U386" s="12" t="str">
        <f ca="1">IFERROR(__xludf.DUMMYFUNCTION("""COMPUTED_VALUE"""),"1年")</f>
        <v>1年</v>
      </c>
      <c r="V386" s="12" t="str">
        <f ca="1">IFERROR(__xludf.DUMMYFUNCTION("""COMPUTED_VALUE"""),"5年")</f>
        <v>5年</v>
      </c>
      <c r="W386" s="12"/>
      <c r="X386" s="12"/>
      <c r="Y386" s="12">
        <f ca="1">IFERROR(__xludf.DUMMYFUNCTION("""COMPUTED_VALUE"""),662)</f>
        <v>662</v>
      </c>
      <c r="Z386" s="14" t="str">
        <f ca="1">IFERROR(__xludf.DUMMYFUNCTION("""COMPUTED_VALUE"""),"2000")</f>
        <v>2000</v>
      </c>
      <c r="AA386" s="15" t="str">
        <f ca="1">IFERROR(__xludf.DUMMYFUNCTION("""COMPUTED_VALUE"""),"*白金真空睡眠冰溫室 溫度約-1°不結凍*日立獨家技術 約0.8 氣壓真空環境*約2°C獨立鎖濕低溫冷藏室*自動感知 即鮮冷凍*三段式分層收納*白金蔬果睡眠保鮮室*獨立雙循環冷卻系統*VIP真空斷熱材 節能技術再突破*靈活使用的可調式層架*淺型65cm設計 符合櫥櫃深度")</f>
        <v>*白金真空睡眠冰溫室 溫度約-1°不結凍*日立獨家技術 約0.8 氣壓真空環境*約2°C獨立鎖濕低溫冷藏室*自動感知 即鮮冷凍*三段式分層收納*白金蔬果睡眠保鮮室*獨立雙循環冷卻系統*VIP真空斷熱材 節能技術再突破*靈活使用的可調式層架*淺型65cm設計 符合櫥櫃深度</v>
      </c>
    </row>
    <row r="387" spans="1:27" ht="19.5" customHeight="1">
      <c r="A387" s="12" t="str">
        <f ca="1">IFERROR(__xludf.DUMMYFUNCTION("""COMPUTED_VALUE"""),"冰箱")</f>
        <v>冰箱</v>
      </c>
      <c r="B387" s="12" t="str">
        <f ca="1">IFERROR(__xludf.DUMMYFUNCTION("""COMPUTED_VALUE"""),"聲寶")</f>
        <v>聲寶</v>
      </c>
      <c r="C387" s="12" t="str">
        <f ca="1">IFERROR(__xludf.DUMMYFUNCTION("""COMPUTED_VALUE"""),"聲寶")</f>
        <v>聲寶</v>
      </c>
      <c r="D387" s="12" t="str">
        <f ca="1">IFERROR(__xludf.DUMMYFUNCTION("""COMPUTED_VALUE"""),"聲寶_47公升二級能效單門冰箱_SR-C05")</f>
        <v>聲寶_47公升二級能效單門冰箱_SR-C05</v>
      </c>
      <c r="E387" s="12" t="str">
        <f ca="1">IFERROR(__xludf.DUMMYFUNCTION("""COMPUTED_VALUE"""),"SR-C05")</f>
        <v>SR-C05</v>
      </c>
      <c r="F387" s="12">
        <f ca="1">IFERROR(__xludf.DUMMYFUNCTION("""COMPUTED_VALUE"""),51001279)</f>
        <v>51001279</v>
      </c>
      <c r="G387" s="12" t="str">
        <f ca="1">IFERROR(__xludf.DUMMYFUNCTION("""COMPUTED_VALUE"""),"IGEM092K")</f>
        <v>IGEM092K</v>
      </c>
      <c r="H387" s="13">
        <f ca="1">IFERROR(__xludf.DUMMYFUNCTION("""COMPUTED_VALUE"""),6190)</f>
        <v>6190</v>
      </c>
      <c r="I387" s="14">
        <f ca="1">IFERROR(__xludf.DUMMYFUNCTION("""COMPUTED_VALUE"""),5020)</f>
        <v>5020</v>
      </c>
      <c r="J387" s="16">
        <f ca="1">IFERROR(__xludf.DUMMYFUNCTION("""COMPUTED_VALUE"""),45292)</f>
        <v>45292</v>
      </c>
      <c r="K387" s="12" t="str">
        <f ca="1">IFERROR(__xludf.DUMMYFUNCTION("""COMPUTED_VALUE"""),"回價")</f>
        <v>回價</v>
      </c>
      <c r="L387" s="12" t="str">
        <f ca="1">IFERROR(__xludf.DUMMYFUNCTION("""COMPUTED_VALUE"""),"上架中")</f>
        <v>上架中</v>
      </c>
      <c r="M387" s="12" t="str">
        <f ca="1">IFERROR(__xludf.DUMMYFUNCTION("""COMPUTED_VALUE"""),"11/14新機上架")</f>
        <v>11/14新機上架</v>
      </c>
      <c r="N387" s="12" t="str">
        <f ca="1">IFERROR(__xludf.DUMMYFUNCTION("""COMPUTED_VALUE"""),"單門定頻")</f>
        <v>單門定頻</v>
      </c>
      <c r="O387" s="12" t="str">
        <f ca="1">IFERROR(__xludf.DUMMYFUNCTION("""COMPUTED_VALUE"""),"髮絲銀")</f>
        <v>髮絲銀</v>
      </c>
      <c r="P387" s="12" t="str">
        <f ca="1">IFERROR(__xludf.DUMMYFUNCTION("""COMPUTED_VALUE"""),"47L")</f>
        <v>47L</v>
      </c>
      <c r="Q387" s="12" t="str">
        <f ca="1">IFERROR(__xludf.DUMMYFUNCTION("""COMPUTED_VALUE"""),"492*472*450mm")</f>
        <v>492*472*450mm</v>
      </c>
      <c r="R387" s="12" t="str">
        <f ca="1">IFERROR(__xludf.DUMMYFUNCTION("""COMPUTED_VALUE"""),"泰國")</f>
        <v>泰國</v>
      </c>
      <c r="S387" s="12" t="str">
        <f ca="1">IFERROR(__xludf.DUMMYFUNCTION("""COMPUTED_VALUE"""),"V/環保標章")</f>
        <v>V/環保標章</v>
      </c>
      <c r="T387" s="13" t="str">
        <f ca="1">IFERROR(__xludf.DUMMYFUNCTION("""COMPUTED_VALUE"""),"2級能效")</f>
        <v>2級能效</v>
      </c>
      <c r="U387" s="12" t="str">
        <f ca="1">IFERROR(__xludf.DUMMYFUNCTION("""COMPUTED_VALUE"""),"1年")</f>
        <v>1年</v>
      </c>
      <c r="V387" s="22" t="str">
        <f ca="1">IFERROR(__xludf.DUMMYFUNCTION("""COMPUTED_VALUE"""),"3年")</f>
        <v>3年</v>
      </c>
      <c r="W387" s="12"/>
      <c r="X387" s="12"/>
      <c r="Y387" s="12">
        <f ca="1">IFERROR(__xludf.DUMMYFUNCTION("""COMPUTED_VALUE"""),47)</f>
        <v>47</v>
      </c>
      <c r="Z387" s="14">
        <f ca="1">IFERROR(__xludf.DUMMYFUNCTION("""COMPUTED_VALUE"""),500)</f>
        <v>500</v>
      </c>
      <c r="AA387" s="15" t="str">
        <f ca="1">IFERROR(__xludf.DUMMYFUNCTION("""COMPUTED_VALUE"""),"*耐燃級背板*精緻網架與置物門欄*節能、環保雙標章*二級能效*R600a環保冷媒*直冷出風方式*產地:泰國")</f>
        <v>*耐燃級背板*精緻網架與置物門欄*節能、環保雙標章*二級能效*R600a環保冷媒*直冷出風方式*產地:泰國</v>
      </c>
    </row>
    <row r="388" spans="1:27" ht="19.5" customHeight="1">
      <c r="A388" s="12" t="str">
        <f ca="1">IFERROR(__xludf.DUMMYFUNCTION("""COMPUTED_VALUE"""),"冰箱")</f>
        <v>冰箱</v>
      </c>
      <c r="B388" s="12" t="str">
        <f ca="1">IFERROR(__xludf.DUMMYFUNCTION("""COMPUTED_VALUE"""),"聲寶")</f>
        <v>聲寶</v>
      </c>
      <c r="C388" s="12" t="str">
        <f ca="1">IFERROR(__xludf.DUMMYFUNCTION("""COMPUTED_VALUE"""),"聲寶")</f>
        <v>聲寶</v>
      </c>
      <c r="D388" s="12" t="str">
        <f ca="1">IFERROR(__xludf.DUMMYFUNCTION("""COMPUTED_VALUE"""),"聲寶_71公升二級能效單門冰箱_SR-C07")</f>
        <v>聲寶_71公升二級能效單門冰箱_SR-C07</v>
      </c>
      <c r="E388" s="12" t="str">
        <f ca="1">IFERROR(__xludf.DUMMYFUNCTION("""COMPUTED_VALUE"""),"SR-C07")</f>
        <v>SR-C07</v>
      </c>
      <c r="F388" s="12">
        <f ca="1">IFERROR(__xludf.DUMMYFUNCTION("""COMPUTED_VALUE"""),51001280)</f>
        <v>51001280</v>
      </c>
      <c r="G388" s="12" t="str">
        <f ca="1">IFERROR(__xludf.DUMMYFUNCTION("""COMPUTED_VALUE"""),"IGEM092L")</f>
        <v>IGEM092L</v>
      </c>
      <c r="H388" s="13">
        <f ca="1">IFERROR(__xludf.DUMMYFUNCTION("""COMPUTED_VALUE"""),6590)</f>
        <v>6590</v>
      </c>
      <c r="I388" s="14">
        <f ca="1">IFERROR(__xludf.DUMMYFUNCTION("""COMPUTED_VALUE"""),5200)</f>
        <v>5200</v>
      </c>
      <c r="J388" s="16">
        <f ca="1">IFERROR(__xludf.DUMMYFUNCTION("""COMPUTED_VALUE"""),45287)</f>
        <v>45287</v>
      </c>
      <c r="K388" s="12" t="str">
        <f ca="1">IFERROR(__xludf.DUMMYFUNCTION("""COMPUTED_VALUE"""),"永久降價")</f>
        <v>永久降價</v>
      </c>
      <c r="L388" s="12" t="str">
        <f ca="1">IFERROR(__xludf.DUMMYFUNCTION("""COMPUTED_VALUE"""),"上架中")</f>
        <v>上架中</v>
      </c>
      <c r="M388" s="12" t="str">
        <f ca="1">IFERROR(__xludf.DUMMYFUNCTION("""COMPUTED_VALUE"""),"11/14新機上架")</f>
        <v>11/14新機上架</v>
      </c>
      <c r="N388" s="12" t="str">
        <f ca="1">IFERROR(__xludf.DUMMYFUNCTION("""COMPUTED_VALUE"""),"單門定頻")</f>
        <v>單門定頻</v>
      </c>
      <c r="O388" s="12" t="str">
        <f ca="1">IFERROR(__xludf.DUMMYFUNCTION("""COMPUTED_VALUE"""),"髮絲銀")</f>
        <v>髮絲銀</v>
      </c>
      <c r="P388" s="12" t="str">
        <f ca="1">IFERROR(__xludf.DUMMYFUNCTION("""COMPUTED_VALUE"""),"71L")</f>
        <v>71L</v>
      </c>
      <c r="Q388" s="12" t="str">
        <f ca="1">IFERROR(__xludf.DUMMYFUNCTION("""COMPUTED_VALUE"""),"630*445*510mm")</f>
        <v>630*445*510mm</v>
      </c>
      <c r="R388" s="12" t="str">
        <f ca="1">IFERROR(__xludf.DUMMYFUNCTION("""COMPUTED_VALUE"""),"泰國")</f>
        <v>泰國</v>
      </c>
      <c r="S388" s="12" t="str">
        <f ca="1">IFERROR(__xludf.DUMMYFUNCTION("""COMPUTED_VALUE"""),"V/環保標章")</f>
        <v>V/環保標章</v>
      </c>
      <c r="T388" s="13" t="str">
        <f ca="1">IFERROR(__xludf.DUMMYFUNCTION("""COMPUTED_VALUE"""),"2級能效")</f>
        <v>2級能效</v>
      </c>
      <c r="U388" s="12" t="str">
        <f ca="1">IFERROR(__xludf.DUMMYFUNCTION("""COMPUTED_VALUE"""),"1年")</f>
        <v>1年</v>
      </c>
      <c r="V388" s="22" t="str">
        <f ca="1">IFERROR(__xludf.DUMMYFUNCTION("""COMPUTED_VALUE"""),"3年")</f>
        <v>3年</v>
      </c>
      <c r="W388" s="12"/>
      <c r="X388" s="12"/>
      <c r="Y388" s="12">
        <f ca="1">IFERROR(__xludf.DUMMYFUNCTION("""COMPUTED_VALUE"""),71)</f>
        <v>71</v>
      </c>
      <c r="Z388" s="14">
        <f ca="1">IFERROR(__xludf.DUMMYFUNCTION("""COMPUTED_VALUE"""),500)</f>
        <v>500</v>
      </c>
      <c r="AA388" s="15" t="str">
        <f ca="1">IFERROR(__xludf.DUMMYFUNCTION("""COMPUTED_VALUE"""),"*耐燃級背板*精緻網架與置物門欄*節能、環保雙標章*二級能效*R600a環保冷媒*直冷出風方式*產地:泰國")</f>
        <v>*耐燃級背板*精緻網架與置物門欄*節能、環保雙標章*二級能效*R600a環保冷媒*直冷出風方式*產地:泰國</v>
      </c>
    </row>
    <row r="389" spans="1:27" ht="19.5" customHeight="1">
      <c r="A389" s="12" t="str">
        <f ca="1">IFERROR(__xludf.DUMMYFUNCTION("""COMPUTED_VALUE"""),"冰箱")</f>
        <v>冰箱</v>
      </c>
      <c r="B389" s="12" t="str">
        <f ca="1">IFERROR(__xludf.DUMMYFUNCTION("""COMPUTED_VALUE"""),"聲寶")</f>
        <v>聲寶</v>
      </c>
      <c r="C389" s="12" t="str">
        <f ca="1">IFERROR(__xludf.DUMMYFUNCTION("""COMPUTED_VALUE"""),"聲寶")</f>
        <v>聲寶</v>
      </c>
      <c r="D389" s="12" t="str">
        <f ca="1">IFERROR(__xludf.DUMMYFUNCTION("""COMPUTED_VALUE"""),"聲寶_95公升一級能效單門冰箱_SR-C09")</f>
        <v>聲寶_95公升一級能效單門冰箱_SR-C09</v>
      </c>
      <c r="E389" s="12" t="str">
        <f ca="1">IFERROR(__xludf.DUMMYFUNCTION("""COMPUTED_VALUE"""),"SR-C09")</f>
        <v>SR-C09</v>
      </c>
      <c r="F389" s="12">
        <f ca="1">IFERROR(__xludf.DUMMYFUNCTION("""COMPUTED_VALUE"""),51001281)</f>
        <v>51001281</v>
      </c>
      <c r="G389" s="12" t="str">
        <f ca="1">IFERROR(__xludf.DUMMYFUNCTION("""COMPUTED_VALUE"""),"IGEM092M")</f>
        <v>IGEM092M</v>
      </c>
      <c r="H389" s="13">
        <f ca="1">IFERROR(__xludf.DUMMYFUNCTION("""COMPUTED_VALUE"""),6990)</f>
        <v>6990</v>
      </c>
      <c r="I389" s="14">
        <f ca="1">IFERROR(__xludf.DUMMYFUNCTION("""COMPUTED_VALUE"""),6190)</f>
        <v>6190</v>
      </c>
      <c r="J389" s="16">
        <f ca="1">IFERROR(__xludf.DUMMYFUNCTION("""COMPUTED_VALUE"""),45244)</f>
        <v>45244</v>
      </c>
      <c r="K389" s="12" t="str">
        <f ca="1">IFERROR(__xludf.DUMMYFUNCTION("""COMPUTED_VALUE"""),"新機上架")</f>
        <v>新機上架</v>
      </c>
      <c r="L389" s="12" t="str">
        <f ca="1">IFERROR(__xludf.DUMMYFUNCTION("""COMPUTED_VALUE"""),"上架中")</f>
        <v>上架中</v>
      </c>
      <c r="M389" s="12" t="str">
        <f ca="1">IFERROR(__xludf.DUMMYFUNCTION("""COMPUTED_VALUE"""),"11/14新機上架")</f>
        <v>11/14新機上架</v>
      </c>
      <c r="N389" s="12" t="str">
        <f ca="1">IFERROR(__xludf.DUMMYFUNCTION("""COMPUTED_VALUE"""),"單門定頻")</f>
        <v>單門定頻</v>
      </c>
      <c r="O389" s="12" t="str">
        <f ca="1">IFERROR(__xludf.DUMMYFUNCTION("""COMPUTED_VALUE"""),"髮絲銀")</f>
        <v>髮絲銀</v>
      </c>
      <c r="P389" s="12" t="str">
        <f ca="1">IFERROR(__xludf.DUMMYFUNCTION("""COMPUTED_VALUE"""),"95L")</f>
        <v>95L</v>
      </c>
      <c r="Q389" s="12" t="str">
        <f ca="1">IFERROR(__xludf.DUMMYFUNCTION("""COMPUTED_VALUE"""),"860*472*450mm")</f>
        <v>860*472*450mm</v>
      </c>
      <c r="R389" s="12" t="str">
        <f ca="1">IFERROR(__xludf.DUMMYFUNCTION("""COMPUTED_VALUE"""),"泰國")</f>
        <v>泰國</v>
      </c>
      <c r="S389" s="12" t="str">
        <f ca="1">IFERROR(__xludf.DUMMYFUNCTION("""COMPUTED_VALUE"""),"V/環保標章")</f>
        <v>V/環保標章</v>
      </c>
      <c r="T389" s="13" t="str">
        <f ca="1">IFERROR(__xludf.DUMMYFUNCTION("""COMPUTED_VALUE"""),"1級能效")</f>
        <v>1級能效</v>
      </c>
      <c r="U389" s="12" t="str">
        <f ca="1">IFERROR(__xludf.DUMMYFUNCTION("""COMPUTED_VALUE"""),"1年")</f>
        <v>1年</v>
      </c>
      <c r="V389" s="22" t="str">
        <f ca="1">IFERROR(__xludf.DUMMYFUNCTION("""COMPUTED_VALUE"""),"3年")</f>
        <v>3年</v>
      </c>
      <c r="W389" s="12"/>
      <c r="X389" s="12"/>
      <c r="Y389" s="12">
        <f ca="1">IFERROR(__xludf.DUMMYFUNCTION("""COMPUTED_VALUE"""),95)</f>
        <v>95</v>
      </c>
      <c r="Z389" s="14">
        <f ca="1">IFERROR(__xludf.DUMMYFUNCTION("""COMPUTED_VALUE"""),500)</f>
        <v>500</v>
      </c>
      <c r="AA389" s="15" t="str">
        <f ca="1">IFERROR(__xludf.DUMMYFUNCTION("""COMPUTED_VALUE"""),"*耐燃級背板*精緻網架與置物門欄*節能、環保雙標章*一級能效*R600a環保冷媒*直冷出風方式*產地:泰國")</f>
        <v>*耐燃級背板*精緻網架與置物門欄*節能、環保雙標章*一級能效*R600a環保冷媒*直冷出風方式*產地:泰國</v>
      </c>
    </row>
    <row r="390" spans="1:27" ht="19.5" customHeight="1">
      <c r="A390" s="12" t="str">
        <f ca="1">IFERROR(__xludf.DUMMYFUNCTION("""COMPUTED_VALUE"""),"冰箱")</f>
        <v>冰箱</v>
      </c>
      <c r="B390" s="12" t="str">
        <f ca="1">IFERROR(__xludf.DUMMYFUNCTION("""COMPUTED_VALUE"""),"聲寶")</f>
        <v>聲寶</v>
      </c>
      <c r="C390" s="12" t="str">
        <f ca="1">IFERROR(__xludf.DUMMYFUNCTION("""COMPUTED_VALUE"""),"聲寶")</f>
        <v>聲寶</v>
      </c>
      <c r="D390" s="12" t="str">
        <f ca="1">IFERROR(__xludf.DUMMYFUNCTION("""COMPUTED_VALUE"""),"聲寶140L雙門冰箱(晶鑽金)SR-C14Q(Y9)")</f>
        <v>聲寶140L雙門冰箱(晶鑽金)SR-C14Q(Y9)</v>
      </c>
      <c r="E390" s="12" t="str">
        <f ca="1">IFERROR(__xludf.DUMMYFUNCTION("""COMPUTED_VALUE"""),"SR-C14Q(Y9)")</f>
        <v>SR-C14Q(Y9)</v>
      </c>
      <c r="F390" s="12">
        <f ca="1">IFERROR(__xludf.DUMMYFUNCTION("""COMPUTED_VALUE"""),51086120)</f>
        <v>51086120</v>
      </c>
      <c r="G390" s="12" t="str">
        <f ca="1">IFERROR(__xludf.DUMMYFUNCTION("""COMPUTED_VALUE"""),"IGEM01Y7")</f>
        <v>IGEM01Y7</v>
      </c>
      <c r="H390" s="12">
        <f ca="1">IFERROR(__xludf.DUMMYFUNCTION("""COMPUTED_VALUE"""),14900)</f>
        <v>14900</v>
      </c>
      <c r="I390" s="14">
        <f ca="1">IFERROR(__xludf.DUMMYFUNCTION("""COMPUTED_VALUE"""),10700)</f>
        <v>10700</v>
      </c>
      <c r="J390" s="12"/>
      <c r="K390" s="12"/>
      <c r="L390" s="12" t="str">
        <f ca="1">IFERROR(__xludf.DUMMYFUNCTION("""COMPUTED_VALUE"""),"上架中")</f>
        <v>上架中</v>
      </c>
      <c r="M390" s="12" t="str">
        <f ca="1">IFERROR(__xludf.DUMMYFUNCTION("""COMPUTED_VALUE"""),"2021/6/1-6/30短促，2020/9/3新機上架")</f>
        <v>2021/6/1-6/30短促，2020/9/3新機上架</v>
      </c>
      <c r="N390" s="12" t="str">
        <f ca="1">IFERROR(__xludf.DUMMYFUNCTION("""COMPUTED_VALUE"""),"雙門定頻")</f>
        <v>雙門定頻</v>
      </c>
      <c r="O390" s="12" t="str">
        <f ca="1">IFERROR(__xludf.DUMMYFUNCTION("""COMPUTED_VALUE"""),"晶鑽金")</f>
        <v>晶鑽金</v>
      </c>
      <c r="P390" s="12" t="str">
        <f ca="1">IFERROR(__xludf.DUMMYFUNCTION("""COMPUTED_VALUE"""),"140L")</f>
        <v>140L</v>
      </c>
      <c r="Q390" s="12" t="str">
        <f ca="1">IFERROR(__xludf.DUMMYFUNCTION("""COMPUTED_VALUE"""),"1282*471*549mm")</f>
        <v>1282*471*549mm</v>
      </c>
      <c r="R390" s="12" t="str">
        <f ca="1">IFERROR(__xludf.DUMMYFUNCTION("""COMPUTED_VALUE"""),"台灣")</f>
        <v>台灣</v>
      </c>
      <c r="S390" s="12" t="str">
        <f ca="1">IFERROR(__xludf.DUMMYFUNCTION("""COMPUTED_VALUE"""),"V")</f>
        <v>V</v>
      </c>
      <c r="T390" s="12" t="str">
        <f ca="1">IFERROR(__xludf.DUMMYFUNCTION("""COMPUTED_VALUE"""),"1級能效")</f>
        <v>1級能效</v>
      </c>
      <c r="U390" s="12" t="str">
        <f ca="1">IFERROR(__xludf.DUMMYFUNCTION("""COMPUTED_VALUE"""),"1年")</f>
        <v>1年</v>
      </c>
      <c r="V390" s="12" t="str">
        <f ca="1">IFERROR(__xludf.DUMMYFUNCTION("""COMPUTED_VALUE"""),"3年")</f>
        <v>3年</v>
      </c>
      <c r="W390" s="12"/>
      <c r="X390" s="12"/>
      <c r="Y390" s="12">
        <f ca="1">IFERROR(__xludf.DUMMYFUNCTION("""COMPUTED_VALUE"""),140)</f>
        <v>140</v>
      </c>
      <c r="Z390" s="14">
        <f ca="1">IFERROR(__xludf.DUMMYFUNCTION("""COMPUTED_VALUE"""),500)</f>
        <v>500</v>
      </c>
      <c r="AA390" s="15" t="str">
        <f ca="1">IFERROR(__xludf.DUMMYFUNCTION("""COMPUTED_VALUE"""),"*晶鑽金新色外觀*奈米銀抗菌*獨特雙邊夾框外觀*輕巧製冰盒/便利蛋架*冷藏室白熾燈*高強度水晶盤架")</f>
        <v>*晶鑽金新色外觀*奈米銀抗菌*獨特雙邊夾框外觀*輕巧製冰盒/便利蛋架*冷藏室白熾燈*高強度水晶盤架</v>
      </c>
    </row>
    <row r="391" spans="1:27" ht="19.5" customHeight="1">
      <c r="A391" s="12" t="str">
        <f ca="1">IFERROR(__xludf.DUMMYFUNCTION("""COMPUTED_VALUE"""),"冰箱")</f>
        <v>冰箱</v>
      </c>
      <c r="B391" s="12" t="str">
        <f ca="1">IFERROR(__xludf.DUMMYFUNCTION("""COMPUTED_VALUE"""),"聲寶")</f>
        <v>聲寶</v>
      </c>
      <c r="C391" s="12" t="str">
        <f ca="1">IFERROR(__xludf.DUMMYFUNCTION("""COMPUTED_VALUE"""),"聲寶")</f>
        <v>聲寶</v>
      </c>
      <c r="D391" s="12" t="str">
        <f ca="1">IFERROR(__xludf.DUMMYFUNCTION("""COMPUTED_VALUE"""),"聲寶480L雙門冰箱SR-C48G(Y9)")</f>
        <v>聲寶480L雙門冰箱SR-C48G(Y9)</v>
      </c>
      <c r="E391" s="12" t="str">
        <f ca="1">IFERROR(__xludf.DUMMYFUNCTION("""COMPUTED_VALUE"""),"SR-C48G(Y9)")</f>
        <v>SR-C48G(Y9)</v>
      </c>
      <c r="F391" s="12">
        <f ca="1">IFERROR(__xludf.DUMMYFUNCTION("""COMPUTED_VALUE"""),51086150)</f>
        <v>51086150</v>
      </c>
      <c r="G391" s="12" t="str">
        <f ca="1">IFERROR(__xludf.DUMMYFUNCTION("""COMPUTED_VALUE"""),"IGEM029W")</f>
        <v>IGEM029W</v>
      </c>
      <c r="H391" s="12">
        <f ca="1">IFERROR(__xludf.DUMMYFUNCTION("""COMPUTED_VALUE"""),22900)</f>
        <v>22900</v>
      </c>
      <c r="I391" s="14">
        <f ca="1">IFERROR(__xludf.DUMMYFUNCTION("""COMPUTED_VALUE"""),20200)</f>
        <v>20200</v>
      </c>
      <c r="J391" s="12"/>
      <c r="K391" s="12"/>
      <c r="L391" s="12" t="str">
        <f ca="1">IFERROR(__xludf.DUMMYFUNCTION("""COMPUTED_VALUE"""),"上架中")</f>
        <v>上架中</v>
      </c>
      <c r="M391" s="12"/>
      <c r="N391" s="12" t="str">
        <f ca="1">IFERROR(__xludf.DUMMYFUNCTION("""COMPUTED_VALUE"""),"雙門定頻")</f>
        <v>雙門定頻</v>
      </c>
      <c r="O391" s="12" t="str">
        <f ca="1">IFERROR(__xludf.DUMMYFUNCTION("""COMPUTED_VALUE"""),"晶鑽金")</f>
        <v>晶鑽金</v>
      </c>
      <c r="P391" s="12" t="str">
        <f ca="1">IFERROR(__xludf.DUMMYFUNCTION("""COMPUTED_VALUE"""),"480L")</f>
        <v>480L</v>
      </c>
      <c r="Q391" s="12" t="str">
        <f ca="1">IFERROR(__xludf.DUMMYFUNCTION("""COMPUTED_VALUE"""),"1796*674*752mm")</f>
        <v>1796*674*752mm</v>
      </c>
      <c r="R391" s="12" t="str">
        <f ca="1">IFERROR(__xludf.DUMMYFUNCTION("""COMPUTED_VALUE"""),"台灣")</f>
        <v>台灣</v>
      </c>
      <c r="S391" s="12" t="str">
        <f ca="1">IFERROR(__xludf.DUMMYFUNCTION("""COMPUTED_VALUE"""),"V")</f>
        <v>V</v>
      </c>
      <c r="T391" s="13" t="str">
        <f ca="1">IFERROR(__xludf.DUMMYFUNCTION("""COMPUTED_VALUE"""),"2級能效")</f>
        <v>2級能效</v>
      </c>
      <c r="U391" s="12" t="str">
        <f ca="1">IFERROR(__xludf.DUMMYFUNCTION("""COMPUTED_VALUE"""),"1年")</f>
        <v>1年</v>
      </c>
      <c r="V391" s="12" t="str">
        <f ca="1">IFERROR(__xludf.DUMMYFUNCTION("""COMPUTED_VALUE"""),"3年")</f>
        <v>3年</v>
      </c>
      <c r="W391" s="12" t="str">
        <f ca="1">IFERROR(__xludf.DUMMYFUNCTION("""COMPUTED_VALUE"""),"(11/7-114/2/21 )隨貨送德國Carl 愛心系列 28cm單柄炒鍋")</f>
        <v>(11/7-114/2/21 )隨貨送德國Carl 愛心系列 28cm單柄炒鍋</v>
      </c>
      <c r="X391" s="12"/>
      <c r="Y391" s="12">
        <f ca="1">IFERROR(__xludf.DUMMYFUNCTION("""COMPUTED_VALUE"""),480)</f>
        <v>480</v>
      </c>
      <c r="Z391" s="14" t="str">
        <f ca="1">IFERROR(__xludf.DUMMYFUNCTION("""COMPUTED_VALUE"""),"2000")</f>
        <v>2000</v>
      </c>
      <c r="AA391" s="15" t="str">
        <f ca="1">IFERROR(__xludf.DUMMYFUNCTION("""COMPUTED_VALUE"""),"*負離子抗菌系統*白金/U-manga雙脫臭功能*多層立體循環冷流*冷藏室/冷凍庫LED燈*強化玻璃盤架")</f>
        <v>*負離子抗菌系統*白金/U-manga雙脫臭功能*多層立體循環冷流*冷藏室/冷凍庫LED燈*強化玻璃盤架</v>
      </c>
    </row>
    <row r="392" spans="1:27" ht="19.5" customHeight="1">
      <c r="A392" s="12" t="str">
        <f ca="1">IFERROR(__xludf.DUMMYFUNCTION("""COMPUTED_VALUE"""),"冰箱")</f>
        <v>冰箱</v>
      </c>
      <c r="B392" s="12" t="str">
        <f ca="1">IFERROR(__xludf.DUMMYFUNCTION("""COMPUTED_VALUE"""),"聲寶")</f>
        <v>聲寶</v>
      </c>
      <c r="C392" s="12" t="str">
        <f ca="1">IFERROR(__xludf.DUMMYFUNCTION("""COMPUTED_VALUE"""),"聲寶")</f>
        <v>聲寶</v>
      </c>
      <c r="D392" s="12" t="str">
        <f ca="1">IFERROR(__xludf.DUMMYFUNCTION("""COMPUTED_VALUE"""),"聲寶_118公升定頻雙門電冰箱_SR-C12G")</f>
        <v>聲寶_118公升定頻雙門電冰箱_SR-C12G</v>
      </c>
      <c r="E392" s="12" t="str">
        <f ca="1">IFERROR(__xludf.DUMMYFUNCTION("""COMPUTED_VALUE"""),"SR-C12G")</f>
        <v>SR-C12G</v>
      </c>
      <c r="F392" s="12">
        <f ca="1">IFERROR(__xludf.DUMMYFUNCTION("""COMPUTED_VALUE"""),51001269)</f>
        <v>51001269</v>
      </c>
      <c r="G392" s="12" t="str">
        <f ca="1">IFERROR(__xludf.DUMMYFUNCTION("""COMPUTED_VALUE"""),"IGEM0875")</f>
        <v>IGEM0875</v>
      </c>
      <c r="H392" s="13">
        <f ca="1">IFERROR(__xludf.DUMMYFUNCTION("""COMPUTED_VALUE"""),10900)</f>
        <v>10900</v>
      </c>
      <c r="I392" s="18">
        <f ca="1">IFERROR(__xludf.DUMMYFUNCTION("""COMPUTED_VALUE"""),8790)</f>
        <v>8790</v>
      </c>
      <c r="J392" s="16">
        <f ca="1">IFERROR(__xludf.DUMMYFUNCTION("""COMPUTED_VALUE"""),45237)</f>
        <v>45237</v>
      </c>
      <c r="K392" s="12" t="str">
        <f ca="1">IFERROR(__xludf.DUMMYFUNCTION("""COMPUTED_VALUE"""),"到貨")</f>
        <v>到貨</v>
      </c>
      <c r="L392" s="12" t="str">
        <f ca="1">IFERROR(__xludf.DUMMYFUNCTION("""COMPUTED_VALUE"""),"上架中")</f>
        <v>上架中</v>
      </c>
      <c r="M392" s="12"/>
      <c r="N392" s="12" t="str">
        <f ca="1">IFERROR(__xludf.DUMMYFUNCTION("""COMPUTED_VALUE"""),"雙門定頻")</f>
        <v>雙門定頻</v>
      </c>
      <c r="O392" s="12" t="str">
        <f ca="1">IFERROR(__xludf.DUMMYFUNCTION("""COMPUTED_VALUE"""),"髮絲銀")</f>
        <v>髮絲銀</v>
      </c>
      <c r="P392" s="12" t="str">
        <f ca="1">IFERROR(__xludf.DUMMYFUNCTION("""COMPUTED_VALUE"""),"118L")</f>
        <v>118L</v>
      </c>
      <c r="Q392" s="12" t="str">
        <f ca="1">IFERROR(__xludf.DUMMYFUNCTION("""COMPUTED_VALUE"""),"1045*470*498mm")</f>
        <v>1045*470*498mm</v>
      </c>
      <c r="R392" s="12" t="str">
        <f ca="1">IFERROR(__xludf.DUMMYFUNCTION("""COMPUTED_VALUE"""),"台灣")</f>
        <v>台灣</v>
      </c>
      <c r="S392" s="12" t="str">
        <f ca="1">IFERROR(__xludf.DUMMYFUNCTION("""COMPUTED_VALUE"""),"V")</f>
        <v>V</v>
      </c>
      <c r="T392" s="13" t="str">
        <f ca="1">IFERROR(__xludf.DUMMYFUNCTION("""COMPUTED_VALUE"""),"1級能效")</f>
        <v>1級能效</v>
      </c>
      <c r="U392" s="12" t="str">
        <f ca="1">IFERROR(__xludf.DUMMYFUNCTION("""COMPUTED_VALUE"""),"1年")</f>
        <v>1年</v>
      </c>
      <c r="V392" s="12" t="str">
        <f ca="1">IFERROR(__xludf.DUMMYFUNCTION("""COMPUTED_VALUE"""),"3年")</f>
        <v>3年</v>
      </c>
      <c r="W392" s="12"/>
      <c r="X392" s="12"/>
      <c r="Y392" s="12">
        <f ca="1">IFERROR(__xludf.DUMMYFUNCTION("""COMPUTED_VALUE"""),118)</f>
        <v>118</v>
      </c>
      <c r="Z392" s="14">
        <f ca="1">IFERROR(__xludf.DUMMYFUNCTION("""COMPUTED_VALUE"""),500)</f>
        <v>500</v>
      </c>
      <c r="AA392" s="15" t="str">
        <f ca="1">IFERROR(__xludf.DUMMYFUNCTION("""COMPUTED_VALUE"""),"*符合台灣1級能效*置物門欄、隱藏式把手設計*強化玻璃盤架*直冷出風、防火背板設計*高效能壓縮機*R600a 環保冷媒 ")</f>
        <v xml:space="preserve">*符合台灣1級能效*置物門欄、隱藏式把手設計*強化玻璃盤架*直冷出風、防火背板設計*高效能壓縮機*R600a 環保冷媒 </v>
      </c>
    </row>
    <row r="393" spans="1:27" ht="19.5" customHeight="1">
      <c r="A393" s="12" t="str">
        <f ca="1">IFERROR(__xludf.DUMMYFUNCTION("""COMPUTED_VALUE"""),"冰箱")</f>
        <v>冰箱</v>
      </c>
      <c r="B393" s="12" t="str">
        <f ca="1">IFERROR(__xludf.DUMMYFUNCTION("""COMPUTED_VALUE"""),"聲寶")</f>
        <v>聲寶</v>
      </c>
      <c r="C393" s="12" t="str">
        <f ca="1">IFERROR(__xludf.DUMMYFUNCTION("""COMPUTED_VALUE"""),"聲寶")</f>
        <v>聲寶</v>
      </c>
      <c r="D393" s="12" t="str">
        <f ca="1">IFERROR(__xludf.DUMMYFUNCTION("""COMPUTED_VALUE"""),"聲寶_92公升雙門冰箱_SR-C09G")</f>
        <v>聲寶_92公升雙門冰箱_SR-C09G</v>
      </c>
      <c r="E393" s="12" t="str">
        <f ca="1">IFERROR(__xludf.DUMMYFUNCTION("""COMPUTED_VALUE"""),"SR-C09G")</f>
        <v>SR-C09G</v>
      </c>
      <c r="F393" s="12">
        <f ca="1">IFERROR(__xludf.DUMMYFUNCTION("""COMPUTED_VALUE"""),51001277)</f>
        <v>51001277</v>
      </c>
      <c r="G393" s="12" t="str">
        <f ca="1">IFERROR(__xludf.DUMMYFUNCTION("""COMPUTED_VALUE"""),"IGEM0924")</f>
        <v>IGEM0924</v>
      </c>
      <c r="H393" s="12">
        <f ca="1">IFERROR(__xludf.DUMMYFUNCTION("""COMPUTED_VALUE"""),9900)</f>
        <v>9900</v>
      </c>
      <c r="I393" s="14">
        <f ca="1">IFERROR(__xludf.DUMMYFUNCTION("""COMPUTED_VALUE"""),7990)</f>
        <v>7990</v>
      </c>
      <c r="J393" s="16">
        <f ca="1">IFERROR(__xludf.DUMMYFUNCTION("""COMPUTED_VALUE"""),45244)</f>
        <v>45244</v>
      </c>
      <c r="K393" s="12" t="str">
        <f ca="1">IFERROR(__xludf.DUMMYFUNCTION("""COMPUTED_VALUE"""),"新機上架")</f>
        <v>新機上架</v>
      </c>
      <c r="L393" s="12" t="str">
        <f ca="1">IFERROR(__xludf.DUMMYFUNCTION("""COMPUTED_VALUE"""),"上架中")</f>
        <v>上架中</v>
      </c>
      <c r="M393" s="12" t="str">
        <f ca="1">IFERROR(__xludf.DUMMYFUNCTION("""COMPUTED_VALUE"""),"11/14新機上架")</f>
        <v>11/14新機上架</v>
      </c>
      <c r="N393" s="12" t="str">
        <f ca="1">IFERROR(__xludf.DUMMYFUNCTION("""COMPUTED_VALUE"""),"雙門定頻")</f>
        <v>雙門定頻</v>
      </c>
      <c r="O393" s="12" t="str">
        <f ca="1">IFERROR(__xludf.DUMMYFUNCTION("""COMPUTED_VALUE"""),"髮絲銀")</f>
        <v>髮絲銀</v>
      </c>
      <c r="P393" s="12" t="str">
        <f ca="1">IFERROR(__xludf.DUMMYFUNCTION("""COMPUTED_VALUE"""),"92L")</f>
        <v>92L</v>
      </c>
      <c r="Q393" s="12" t="str">
        <f ca="1">IFERROR(__xludf.DUMMYFUNCTION("""COMPUTED_VALUE"""),"837* 470*492mm")</f>
        <v>837* 470*492mm</v>
      </c>
      <c r="R393" s="12" t="str">
        <f ca="1">IFERROR(__xludf.DUMMYFUNCTION("""COMPUTED_VALUE"""),"泰國")</f>
        <v>泰國</v>
      </c>
      <c r="S393" s="12" t="str">
        <f ca="1">IFERROR(__xludf.DUMMYFUNCTION("""COMPUTED_VALUE"""),"V")</f>
        <v>V</v>
      </c>
      <c r="T393" s="13" t="str">
        <f ca="1">IFERROR(__xludf.DUMMYFUNCTION("""COMPUTED_VALUE"""),"1級能效")</f>
        <v>1級能效</v>
      </c>
      <c r="U393" s="12" t="str">
        <f ca="1">IFERROR(__xludf.DUMMYFUNCTION("""COMPUTED_VALUE"""),"1年")</f>
        <v>1年</v>
      </c>
      <c r="V393" s="22" t="str">
        <f ca="1">IFERROR(__xludf.DUMMYFUNCTION("""COMPUTED_VALUE"""),"3年")</f>
        <v>3年</v>
      </c>
      <c r="W393" s="12"/>
      <c r="X393" s="12"/>
      <c r="Y393" s="12">
        <f ca="1">IFERROR(__xludf.DUMMYFUNCTION("""COMPUTED_VALUE"""),92)</f>
        <v>92</v>
      </c>
      <c r="Z393" s="14">
        <f ca="1">IFERROR(__xludf.DUMMYFUNCTION("""COMPUTED_VALUE"""),500)</f>
        <v>500</v>
      </c>
      <c r="AA393" s="15" t="str">
        <f ca="1">IFERROR(__xludf.DUMMYFUNCTION("""COMPUTED_VALUE"""),"*耐燃級背板*精緻網架與置物門欄*節能、環保雙標章*一級能效*R600a環保冷媒*直冷出風方式*產地:泰國")</f>
        <v>*耐燃級背板*精緻網架與置物門欄*節能、環保雙標章*一級能效*R600a環保冷媒*直冷出風方式*產地:泰國</v>
      </c>
    </row>
    <row r="394" spans="1:27" ht="19.5" customHeight="1">
      <c r="A394" s="12" t="str">
        <f ca="1">IFERROR(__xludf.DUMMYFUNCTION("""COMPUTED_VALUE"""),"冰箱")</f>
        <v>冰箱</v>
      </c>
      <c r="B394" s="12" t="str">
        <f ca="1">IFERROR(__xludf.DUMMYFUNCTION("""COMPUTED_VALUE"""),"聲寶")</f>
        <v>聲寶</v>
      </c>
      <c r="C394" s="12" t="str">
        <f ca="1">IFERROR(__xludf.DUMMYFUNCTION("""COMPUTED_VALUE"""),"聲寶")</f>
        <v>聲寶</v>
      </c>
      <c r="D394" s="12" t="str">
        <f ca="1">IFERROR(__xludf.DUMMYFUNCTION("""COMPUTED_VALUE"""),"聲寶455L三門變頻冰箱(紫燦銀)SR-B46DV(R6)")</f>
        <v>聲寶455L三門變頻冰箱(紫燦銀)SR-B46DV(R6)</v>
      </c>
      <c r="E394" s="12" t="str">
        <f ca="1">IFERROR(__xludf.DUMMYFUNCTION("""COMPUTED_VALUE"""),"SR-B46DV(R6)")</f>
        <v>SR-B46DV(R6)</v>
      </c>
      <c r="F394" s="12">
        <f ca="1">IFERROR(__xludf.DUMMYFUNCTION("""COMPUTED_VALUE"""),51086074)</f>
        <v>51086074</v>
      </c>
      <c r="G394" s="12" t="str">
        <f ca="1">IFERROR(__xludf.DUMMYFUNCTION("""COMPUTED_VALUE"""),"IGEM01KF")</f>
        <v>IGEM01KF</v>
      </c>
      <c r="H394" s="12">
        <f ca="1">IFERROR(__xludf.DUMMYFUNCTION("""COMPUTED_VALUE"""),27900)</f>
        <v>27900</v>
      </c>
      <c r="I394" s="14">
        <f ca="1">IFERROR(__xludf.DUMMYFUNCTION("""COMPUTED_VALUE"""),23400)</f>
        <v>23400</v>
      </c>
      <c r="J394" s="12"/>
      <c r="K394" s="12"/>
      <c r="L394" s="12" t="str">
        <f ca="1">IFERROR(__xludf.DUMMYFUNCTION("""COMPUTED_VALUE"""),"上架中")</f>
        <v>上架中</v>
      </c>
      <c r="M394" s="12" t="str">
        <f ca="1">IFERROR(__xludf.DUMMYFUNCTION("""COMPUTED_VALUE"""),"2020/8/24到貨，8/7缺貨，2019/12/27新機上架")</f>
        <v>2020/8/24到貨，8/7缺貨，2019/12/27新機上架</v>
      </c>
      <c r="N394" s="12" t="str">
        <f ca="1">IFERROR(__xludf.DUMMYFUNCTION("""COMPUTED_VALUE"""),"三門變頻")</f>
        <v>三門變頻</v>
      </c>
      <c r="O394" s="12" t="str">
        <f ca="1">IFERROR(__xludf.DUMMYFUNCTION("""COMPUTED_VALUE"""),"紫燦銀")</f>
        <v>紫燦銀</v>
      </c>
      <c r="P394" s="12" t="str">
        <f ca="1">IFERROR(__xludf.DUMMYFUNCTION("""COMPUTED_VALUE"""),"455L")</f>
        <v>455L</v>
      </c>
      <c r="Q394" s="12" t="str">
        <f ca="1">IFERROR(__xludf.DUMMYFUNCTION("""COMPUTED_VALUE"""),"1800*674*743mm")</f>
        <v>1800*674*743mm</v>
      </c>
      <c r="R394" s="12" t="str">
        <f ca="1">IFERROR(__xludf.DUMMYFUNCTION("""COMPUTED_VALUE"""),"台灣")</f>
        <v>台灣</v>
      </c>
      <c r="S394" s="12" t="str">
        <f ca="1">IFERROR(__xludf.DUMMYFUNCTION("""COMPUTED_VALUE"""),"V")</f>
        <v>V</v>
      </c>
      <c r="T394" s="12" t="str">
        <f ca="1">IFERROR(__xludf.DUMMYFUNCTION("""COMPUTED_VALUE"""),"1級能效")</f>
        <v>1級能效</v>
      </c>
      <c r="U394" s="12" t="str">
        <f ca="1">IFERROR(__xludf.DUMMYFUNCTION("""COMPUTED_VALUE"""),"1年")</f>
        <v>1年</v>
      </c>
      <c r="V394" s="12" t="str">
        <f ca="1">IFERROR(__xludf.DUMMYFUNCTION("""COMPUTED_VALUE"""),"3年")</f>
        <v>3年</v>
      </c>
      <c r="W394" s="12"/>
      <c r="X394" s="12"/>
      <c r="Y394" s="12">
        <f ca="1">IFERROR(__xludf.DUMMYFUNCTION("""COMPUTED_VALUE"""),455)</f>
        <v>455</v>
      </c>
      <c r="Z394" s="14" t="str">
        <f ca="1">IFERROR(__xludf.DUMMYFUNCTION("""COMPUTED_VALUE"""),"2000")</f>
        <v>2000</v>
      </c>
      <c r="AA394" s="15" t="str">
        <f ca="1">IFERROR(__xludf.DUMMYFUNCTION("""COMPUTED_VALUE"""),"*內藏電子式控制(冷凍溫控)*節能模式、急凍模式*冰溫保鮮室、強化玻璃盤架*白金、U-manga脫臭功能、負離子抗菌")</f>
        <v>*內藏電子式控制(冷凍溫控)*節能模式、急凍模式*冰溫保鮮室、強化玻璃盤架*白金、U-manga脫臭功能、負離子抗菌</v>
      </c>
    </row>
    <row r="395" spans="1:27" ht="19.5" customHeight="1">
      <c r="A395" s="12" t="str">
        <f ca="1">IFERROR(__xludf.DUMMYFUNCTION("""COMPUTED_VALUE"""),"冰箱")</f>
        <v>冰箱</v>
      </c>
      <c r="B395" s="12" t="str">
        <f ca="1">IFERROR(__xludf.DUMMYFUNCTION("""COMPUTED_VALUE"""),"聲寶")</f>
        <v>聲寶</v>
      </c>
      <c r="C395" s="12" t="str">
        <f ca="1">IFERROR(__xludf.DUMMYFUNCTION("""COMPUTED_VALUE"""),"聲寶")</f>
        <v>聲寶</v>
      </c>
      <c r="D395" s="12" t="str">
        <f ca="1">IFERROR(__xludf.DUMMYFUNCTION("""COMPUTED_VALUE"""),"聲寶530L三門變頻冰箱(香檳銀)SR-B53DV(Y6)")</f>
        <v>聲寶530L三門變頻冰箱(香檳銀)SR-B53DV(Y6)</v>
      </c>
      <c r="E395" s="12" t="str">
        <f ca="1">IFERROR(__xludf.DUMMYFUNCTION("""COMPUTED_VALUE"""),"SR-B53DV(Y6)")</f>
        <v>SR-B53DV(Y6)</v>
      </c>
      <c r="F395" s="12">
        <f ca="1">IFERROR(__xludf.DUMMYFUNCTION("""COMPUTED_VALUE"""),51086136)</f>
        <v>51086136</v>
      </c>
      <c r="G395" s="12" t="str">
        <f ca="1">IFERROR(__xludf.DUMMYFUNCTION("""COMPUTED_VALUE"""),"IGEM022B")</f>
        <v>IGEM022B</v>
      </c>
      <c r="H395" s="12">
        <f ca="1">IFERROR(__xludf.DUMMYFUNCTION("""COMPUTED_VALUE"""),35900)</f>
        <v>35900</v>
      </c>
      <c r="I395" s="14">
        <f ca="1">IFERROR(__xludf.DUMMYFUNCTION("""COMPUTED_VALUE"""),27450)</f>
        <v>27450</v>
      </c>
      <c r="J395" s="12"/>
      <c r="K395" s="12"/>
      <c r="L395" s="12" t="str">
        <f ca="1">IFERROR(__xludf.DUMMYFUNCTION("""COMPUTED_VALUE"""),"上架中")</f>
        <v>上架中</v>
      </c>
      <c r="M395" s="12" t="str">
        <f ca="1">IFERROR(__xludf.DUMMYFUNCTION("""COMPUTED_VALUE"""),"2022/5/10回價，2021/3/1降價，2020/10/1新機上架")</f>
        <v>2022/5/10回價，2021/3/1降價，2020/10/1新機上架</v>
      </c>
      <c r="N395" s="12" t="str">
        <f ca="1">IFERROR(__xludf.DUMMYFUNCTION("""COMPUTED_VALUE"""),"三門變頻")</f>
        <v>三門變頻</v>
      </c>
      <c r="O395" s="12" t="str">
        <f ca="1">IFERROR(__xludf.DUMMYFUNCTION("""COMPUTED_VALUE"""),"香檳銀")</f>
        <v>香檳銀</v>
      </c>
      <c r="P395" s="12" t="str">
        <f ca="1">IFERROR(__xludf.DUMMYFUNCTION("""COMPUTED_VALUE"""),"530L")</f>
        <v>530L</v>
      </c>
      <c r="Q395" s="12" t="str">
        <f ca="1">IFERROR(__xludf.DUMMYFUNCTION("""COMPUTED_VALUE"""),"1855*754*766mm")</f>
        <v>1855*754*766mm</v>
      </c>
      <c r="R395" s="12" t="str">
        <f ca="1">IFERROR(__xludf.DUMMYFUNCTION("""COMPUTED_VALUE"""),"台灣")</f>
        <v>台灣</v>
      </c>
      <c r="S395" s="22" t="str">
        <f ca="1">IFERROR(__xludf.DUMMYFUNCTION("""COMPUTED_VALUE"""),"V")</f>
        <v>V</v>
      </c>
      <c r="T395" s="13" t="str">
        <f ca="1">IFERROR(__xludf.DUMMYFUNCTION("""COMPUTED_VALUE"""),"1級能效")</f>
        <v>1級能效</v>
      </c>
      <c r="U395" s="22" t="str">
        <f ca="1">IFERROR(__xludf.DUMMYFUNCTION("""COMPUTED_VALUE"""),"1年")</f>
        <v>1年</v>
      </c>
      <c r="V395" s="22" t="str">
        <f ca="1">IFERROR(__xludf.DUMMYFUNCTION("""COMPUTED_VALUE"""),"3年")</f>
        <v>3年</v>
      </c>
      <c r="W395" s="12"/>
      <c r="X395" s="12"/>
      <c r="Y395" s="12">
        <f ca="1">IFERROR(__xludf.DUMMYFUNCTION("""COMPUTED_VALUE"""),530)</f>
        <v>530</v>
      </c>
      <c r="Z395" s="14" t="str">
        <f ca="1">IFERROR(__xludf.DUMMYFUNCTION("""COMPUTED_VALUE"""),"2000")</f>
        <v>2000</v>
      </c>
      <c r="AA395" s="15" t="str">
        <f ca="1">IFERROR(__xludf.DUMMYFUNCTION("""COMPUTED_VALUE"""),"*AIE智慧節能*雙抗菌*雙脫臭*冰溫保鮮室*不銹鋼保濕冷凝板")</f>
        <v>*AIE智慧節能*雙抗菌*雙脫臭*冰溫保鮮室*不銹鋼保濕冷凝板</v>
      </c>
    </row>
    <row r="396" spans="1:27" ht="19.5" customHeight="1">
      <c r="A396" s="12" t="str">
        <f ca="1">IFERROR(__xludf.DUMMYFUNCTION("""COMPUTED_VALUE"""),"冰箱")</f>
        <v>冰箱</v>
      </c>
      <c r="B396" s="12" t="str">
        <f ca="1">IFERROR(__xludf.DUMMYFUNCTION("""COMPUTED_VALUE"""),"聲寶")</f>
        <v>聲寶</v>
      </c>
      <c r="C396" s="12" t="str">
        <f ca="1">IFERROR(__xludf.DUMMYFUNCTION("""COMPUTED_VALUE"""),"聲寶")</f>
        <v>聲寶</v>
      </c>
      <c r="D396" s="12" t="str">
        <f ca="1">IFERROR(__xludf.DUMMYFUNCTION("""COMPUTED_VALUE"""),"聲寶_370公升極光鈦星美滿雙門變頻冰箱_SR-C37D(K5)")</f>
        <v>聲寶_370公升極光鈦星美滿雙門變頻冰箱_SR-C37D(K5)</v>
      </c>
      <c r="E396" s="12" t="str">
        <f ca="1">IFERROR(__xludf.DUMMYFUNCTION("""COMPUTED_VALUE"""),"SR-C37D(K5)")</f>
        <v>SR-C37D(K5)</v>
      </c>
      <c r="F396" s="12">
        <f ca="1">IFERROR(__xludf.DUMMYFUNCTION("""COMPUTED_VALUE"""),51001197)</f>
        <v>51001197</v>
      </c>
      <c r="G396" s="12" t="str">
        <f ca="1">IFERROR(__xludf.DUMMYFUNCTION("""COMPUTED_VALUE"""),"IGEM080G")</f>
        <v>IGEM080G</v>
      </c>
      <c r="H396" s="13">
        <f ca="1">IFERROR(__xludf.DUMMYFUNCTION("""COMPUTED_VALUE"""),24900)</f>
        <v>24900</v>
      </c>
      <c r="I396" s="14">
        <f ca="1">IFERROR(__xludf.DUMMYFUNCTION("""COMPUTED_VALUE"""),19900)</f>
        <v>19900</v>
      </c>
      <c r="J396" s="16">
        <f ca="1">IFERROR(__xludf.DUMMYFUNCTION("""COMPUTED_VALUE"""),45505)</f>
        <v>45505</v>
      </c>
      <c r="K396" s="12" t="str">
        <f ca="1">IFERROR(__xludf.DUMMYFUNCTION("""COMPUTED_VALUE"""),"短促")</f>
        <v>短促</v>
      </c>
      <c r="L396" s="12" t="str">
        <f ca="1">IFERROR(__xludf.DUMMYFUNCTION("""COMPUTED_VALUE"""),"上架中")</f>
        <v>上架中</v>
      </c>
      <c r="M396" s="12"/>
      <c r="N396" s="12" t="str">
        <f ca="1">IFERROR(__xludf.DUMMYFUNCTION("""COMPUTED_VALUE"""),"雙門變頻")</f>
        <v>雙門變頻</v>
      </c>
      <c r="O396" s="12" t="str">
        <f ca="1">IFERROR(__xludf.DUMMYFUNCTION("""COMPUTED_VALUE"""),"(K5)鈦金黑")</f>
        <v>(K5)鈦金黑</v>
      </c>
      <c r="P396" s="12" t="str">
        <f ca="1">IFERROR(__xludf.DUMMYFUNCTION("""COMPUTED_VALUE"""),"370L")</f>
        <v>370L</v>
      </c>
      <c r="Q396" s="12" t="str">
        <f ca="1">IFERROR(__xludf.DUMMYFUNCTION("""COMPUTED_VALUE""")," 
1705*674*693mm")</f>
        <v xml:space="preserve"> 
1705*674*693mm</v>
      </c>
      <c r="R396" s="12" t="str">
        <f ca="1">IFERROR(__xludf.DUMMYFUNCTION("""COMPUTED_VALUE"""),"台灣")</f>
        <v>台灣</v>
      </c>
      <c r="S396" s="12" t="str">
        <f ca="1">IFERROR(__xludf.DUMMYFUNCTION("""COMPUTED_VALUE"""),"V")</f>
        <v>V</v>
      </c>
      <c r="T396" s="12" t="str">
        <f ca="1">IFERROR(__xludf.DUMMYFUNCTION("""COMPUTED_VALUE"""),"1級能效")</f>
        <v>1級能效</v>
      </c>
      <c r="U396" s="12" t="str">
        <f ca="1">IFERROR(__xludf.DUMMYFUNCTION("""COMPUTED_VALUE"""),"1年")</f>
        <v>1年</v>
      </c>
      <c r="V396" s="12" t="str">
        <f ca="1">IFERROR(__xludf.DUMMYFUNCTION("""COMPUTED_VALUE"""),"3年")</f>
        <v>3年</v>
      </c>
      <c r="W396" s="12" t="str">
        <f ca="1">IFERROR(__xludf.DUMMYFUNCTION("""COMPUTED_VALUE"""),"(11/7-114/2/21 )隨貨送聲寶1.4L美食鍋")</f>
        <v>(11/7-114/2/21 )隨貨送聲寶1.4L美食鍋</v>
      </c>
      <c r="X396" s="12"/>
      <c r="Y396" s="12">
        <f ca="1">IFERROR(__xludf.DUMMYFUNCTION("""COMPUTED_VALUE"""),370)</f>
        <v>370</v>
      </c>
      <c r="Z396" s="14" t="str">
        <f ca="1">IFERROR(__xludf.DUMMYFUNCTION("""COMPUTED_VALUE"""),"1200")</f>
        <v>1200</v>
      </c>
      <c r="AA396" s="15" t="str">
        <f ca="1">IFERROR(__xludf.DUMMYFUNCTION("""COMPUTED_VALUE"""),"
*Nano-Ti 極光鈦 抗菌/脫臭 健康科技*負離子抗菌功能*Umanga/ 白金雙脫臭*耐污性歐式冷灰透明部件(內裝)*韓國進口_鈦金質感VCM門板*高亮度LED照明燈，冷凍庫活動式製冰盒")</f>
        <v xml:space="preserve">
*Nano-Ti 極光鈦 抗菌/脫臭 健康科技*負離子抗菌功能*Umanga/ 白金雙脫臭*耐污性歐式冷灰透明部件(內裝)*韓國進口_鈦金質感VCM門板*高亮度LED照明燈，冷凍庫活動式製冰盒</v>
      </c>
    </row>
    <row r="397" spans="1:27" ht="19.5" customHeight="1">
      <c r="A397" s="12" t="str">
        <f ca="1">IFERROR(__xludf.DUMMYFUNCTION("""COMPUTED_VALUE"""),"冰箱")</f>
        <v>冰箱</v>
      </c>
      <c r="B397" s="12" t="str">
        <f ca="1">IFERROR(__xludf.DUMMYFUNCTION("""COMPUTED_VALUE"""),"聲寶")</f>
        <v>聲寶</v>
      </c>
      <c r="C397" s="12" t="str">
        <f ca="1">IFERROR(__xludf.DUMMYFUNCTION("""COMPUTED_VALUE"""),"聲寶")</f>
        <v>聲寶</v>
      </c>
      <c r="D397" s="12" t="str">
        <f ca="1">IFERROR(__xludf.DUMMYFUNCTION("""COMPUTED_VALUE"""),"聲寶_560公升四門變頻冰箱_SR-C56DD(Y5)")</f>
        <v>聲寶_560公升四門變頻冰箱_SR-C56DD(Y5)</v>
      </c>
      <c r="E397" s="12" t="str">
        <f ca="1">IFERROR(__xludf.DUMMYFUNCTION("""COMPUTED_VALUE"""),"SR-C56DD(Y5)")</f>
        <v>SR-C56DD(Y5)</v>
      </c>
      <c r="F397" s="12">
        <f ca="1">IFERROR(__xludf.DUMMYFUNCTION("""COMPUTED_VALUE"""),51001198)</f>
        <v>51001198</v>
      </c>
      <c r="G397" s="12" t="str">
        <f ca="1">IFERROR(__xludf.DUMMYFUNCTION("""COMPUTED_VALUE"""),"IGEM080H")</f>
        <v>IGEM080H</v>
      </c>
      <c r="H397" s="13">
        <f ca="1">IFERROR(__xludf.DUMMYFUNCTION("""COMPUTED_VALUE"""),43900)</f>
        <v>43900</v>
      </c>
      <c r="I397" s="14">
        <f ca="1">IFERROR(__xludf.DUMMYFUNCTION("""COMPUTED_VALUE"""),36000)</f>
        <v>36000</v>
      </c>
      <c r="J397" s="16">
        <f ca="1">IFERROR(__xludf.DUMMYFUNCTION("""COMPUTED_VALUE"""),45108)</f>
        <v>45108</v>
      </c>
      <c r="K397" s="12" t="str">
        <f ca="1">IFERROR(__xludf.DUMMYFUNCTION("""COMPUTED_VALUE"""),"回價")</f>
        <v>回價</v>
      </c>
      <c r="L397" s="12" t="str">
        <f ca="1">IFERROR(__xludf.DUMMYFUNCTION("""COMPUTED_VALUE"""),"上架中")</f>
        <v>上架中</v>
      </c>
      <c r="M397" s="12"/>
      <c r="N397" s="12" t="str">
        <f ca="1">IFERROR(__xludf.DUMMYFUNCTION("""COMPUTED_VALUE"""),"四門變頻")</f>
        <v>四門變頻</v>
      </c>
      <c r="O397" s="12" t="str">
        <f ca="1">IFERROR(__xludf.DUMMYFUNCTION("""COMPUTED_VALUE"""),"炫麥金")</f>
        <v>炫麥金</v>
      </c>
      <c r="P397" s="12" t="str">
        <f ca="1">IFERROR(__xludf.DUMMYFUNCTION("""COMPUTED_VALUE"""),"560L")</f>
        <v>560L</v>
      </c>
      <c r="Q397" s="12" t="str">
        <f ca="1">IFERROR(__xludf.DUMMYFUNCTION("""COMPUTED_VALUE"""),"
1853*804*788mm")</f>
        <v xml:space="preserve">
1853*804*788mm</v>
      </c>
      <c r="R397" s="12" t="str">
        <f ca="1">IFERROR(__xludf.DUMMYFUNCTION("""COMPUTED_VALUE"""),"台灣")</f>
        <v>台灣</v>
      </c>
      <c r="S397" s="12" t="str">
        <f ca="1">IFERROR(__xludf.DUMMYFUNCTION("""COMPUTED_VALUE"""),"V")</f>
        <v>V</v>
      </c>
      <c r="T397" s="12" t="str">
        <f ca="1">IFERROR(__xludf.DUMMYFUNCTION("""COMPUTED_VALUE"""),"1級能效")</f>
        <v>1級能效</v>
      </c>
      <c r="U397" s="12" t="str">
        <f ca="1">IFERROR(__xludf.DUMMYFUNCTION("""COMPUTED_VALUE"""),"1年")</f>
        <v>1年</v>
      </c>
      <c r="V397" s="12" t="str">
        <f ca="1">IFERROR(__xludf.DUMMYFUNCTION("""COMPUTED_VALUE"""),"3年")</f>
        <v>3年</v>
      </c>
      <c r="W397" s="12" t="str">
        <f ca="1">IFERROR(__xludf.DUMMYFUNCTION("""COMPUTED_VALUE"""),"(11/7-114/2/21 )隨貨送德國Carl 愛心系列 28cm單柄炒鍋")</f>
        <v>(11/7-114/2/21 )隨貨送德國Carl 愛心系列 28cm單柄炒鍋</v>
      </c>
      <c r="X397" s="12"/>
      <c r="Y397" s="12">
        <f ca="1">IFERROR(__xludf.DUMMYFUNCTION("""COMPUTED_VALUE"""),560)</f>
        <v>560</v>
      </c>
      <c r="Z397" s="14" t="str">
        <f ca="1">IFERROR(__xludf.DUMMYFUNCTION("""COMPUTED_VALUE"""),"2000")</f>
        <v>2000</v>
      </c>
      <c r="AA397" s="15" t="str">
        <f ca="1">IFERROR(__xludf.DUMMYFUNCTION("""COMPUTED_VALUE"""),"
*高質感玻璃觸控面板設計，時尚耐用兼具*極光鈦_雙抗菌三脫臭科技*Nano-Ti、負離子：雙抗菌*Nano-Ti、白金、U-manga：三脫臭*AIE智慧節能：配合使用模式自動節能省電*冷藏室_超大鏡面保濕冷凝板(保濕保鮮)*冷藏室雙側高亮度LED燈(全角度照明)*蔬果室溫感器設置，溫控升級更保鮮*冷凍室_五段溫控、急速冷凍")</f>
        <v xml:space="preserve">
*高質感玻璃觸控面板設計，時尚耐用兼具*極光鈦_雙抗菌三脫臭科技*Nano-Ti、負離子：雙抗菌*Nano-Ti、白金、U-manga：三脫臭*AIE智慧節能：配合使用模式自動節能省電*冷藏室_超大鏡面保濕冷凝板(保濕保鮮)*冷藏室雙側高亮度LED燈(全角度照明)*蔬果室溫感器設置，溫控升級更保鮮*冷凍室_五段溫控、急速冷凍</v>
      </c>
    </row>
    <row r="398" spans="1:27" ht="19.5" customHeight="1">
      <c r="A398" s="12" t="str">
        <f ca="1">IFERROR(__xludf.DUMMYFUNCTION("""COMPUTED_VALUE"""),"冰箱")</f>
        <v>冰箱</v>
      </c>
      <c r="B398" s="12" t="str">
        <f ca="1">IFERROR(__xludf.DUMMYFUNCTION("""COMPUTED_VALUE"""),"聲寶")</f>
        <v>聲寶</v>
      </c>
      <c r="C398" s="12" t="str">
        <f ca="1">IFERROR(__xludf.DUMMYFUNCTION("""COMPUTED_VALUE"""),"聲寶")</f>
        <v>聲寶</v>
      </c>
      <c r="D398" s="12" t="str">
        <f ca="1">IFERROR(__xludf.DUMMYFUNCTION("""COMPUTED_VALUE"""),"聲寶_480L一級變頻四門玻璃冰箱_SR-C48GDD")</f>
        <v>聲寶_480L一級變頻四門玻璃冰箱_SR-C48GDD</v>
      </c>
      <c r="E398" s="12" t="str">
        <f ca="1">IFERROR(__xludf.DUMMYFUNCTION("""COMPUTED_VALUE"""),"SR-C48GDD")</f>
        <v>SR-C48GDD</v>
      </c>
      <c r="F398" s="12">
        <f ca="1">IFERROR(__xludf.DUMMYFUNCTION("""COMPUTED_VALUE"""),51001286)</f>
        <v>51001286</v>
      </c>
      <c r="G398" s="12" t="str">
        <f ca="1">IFERROR(__xludf.DUMMYFUNCTION("""COMPUTED_VALUE"""),"IGEM0977")</f>
        <v>IGEM0977</v>
      </c>
      <c r="H398" s="13">
        <f ca="1">IFERROR(__xludf.DUMMYFUNCTION("""COMPUTED_VALUE"""),50900)</f>
        <v>50900</v>
      </c>
      <c r="I398" s="14">
        <f ca="1">IFERROR(__xludf.DUMMYFUNCTION("""COMPUTED_VALUE"""),37900)</f>
        <v>37900</v>
      </c>
      <c r="J398" s="16">
        <f ca="1">IFERROR(__xludf.DUMMYFUNCTION("""COMPUTED_VALUE"""),45444)</f>
        <v>45444</v>
      </c>
      <c r="K398" s="12" t="str">
        <f ca="1">IFERROR(__xludf.DUMMYFUNCTION("""COMPUTED_VALUE"""),"短促")</f>
        <v>短促</v>
      </c>
      <c r="L398" s="12" t="str">
        <f ca="1">IFERROR(__xludf.DUMMYFUNCTION("""COMPUTED_VALUE"""),"上架中")</f>
        <v>上架中</v>
      </c>
      <c r="M398" s="12" t="str">
        <f ca="1">IFERROR(__xludf.DUMMYFUNCTION("""COMPUTED_VALUE"""),"4/1新機上架")</f>
        <v>4/1新機上架</v>
      </c>
      <c r="N398" s="12" t="str">
        <f ca="1">IFERROR(__xludf.DUMMYFUNCTION("""COMPUTED_VALUE"""),"四門變頻")</f>
        <v>四門變頻</v>
      </c>
      <c r="O398" s="12" t="str">
        <f ca="1">IFERROR(__xludf.DUMMYFUNCTION("""COMPUTED_VALUE"""),"琉璃白")</f>
        <v>琉璃白</v>
      </c>
      <c r="P398" s="12" t="str">
        <f ca="1">IFERROR(__xludf.DUMMYFUNCTION("""COMPUTED_VALUE"""),"480L")</f>
        <v>480L</v>
      </c>
      <c r="Q398" s="12" t="str">
        <f ca="1">IFERROR(__xludf.DUMMYFUNCTION("""COMPUTED_VALUE"""),"1840*600*710mm")</f>
        <v>1840*600*710mm</v>
      </c>
      <c r="R398" s="12" t="str">
        <f ca="1">IFERROR(__xludf.DUMMYFUNCTION("""COMPUTED_VALUE"""),"泰國")</f>
        <v>泰國</v>
      </c>
      <c r="S398" s="12" t="str">
        <f ca="1">IFERROR(__xludf.DUMMYFUNCTION("""COMPUTED_VALUE"""),"V")</f>
        <v>V</v>
      </c>
      <c r="T398" s="12" t="str">
        <f ca="1">IFERROR(__xludf.DUMMYFUNCTION("""COMPUTED_VALUE"""),"1級能效")</f>
        <v>1級能效</v>
      </c>
      <c r="U398" s="12" t="str">
        <f ca="1">IFERROR(__xludf.DUMMYFUNCTION("""COMPUTED_VALUE"""),"1年")</f>
        <v>1年</v>
      </c>
      <c r="V398" s="12" t="str">
        <f ca="1">IFERROR(__xludf.DUMMYFUNCTION("""COMPUTED_VALUE"""),"3年")</f>
        <v>3年</v>
      </c>
      <c r="W398" s="12" t="str">
        <f ca="1">IFERROR(__xludf.DUMMYFUNCTION("""COMPUTED_VALUE"""),"(11/7-114/2/21 )隨貨送聲寶4L雙溫控鴛鴦鍋")</f>
        <v>(11/7-114/2/21 )隨貨送聲寶4L雙溫控鴛鴦鍋</v>
      </c>
      <c r="X398" s="12"/>
      <c r="Y398" s="12">
        <f ca="1">IFERROR(__xludf.DUMMYFUNCTION("""COMPUTED_VALUE"""),560)</f>
        <v>560</v>
      </c>
      <c r="Z398" s="14" t="str">
        <f ca="1">IFERROR(__xludf.DUMMYFUNCTION("""COMPUTED_VALUE"""),"2000")</f>
        <v>2000</v>
      </c>
      <c r="AA398" s="15" t="str">
        <f ca="1">IFERROR(__xludf.DUMMYFUNCTION("""COMPUTED_VALUE"""),"*自動製冰機能 衛生冰塊在家隨時取  *微凍保鮮 / 冰溫保鮮  兩段模式切換 *寬度600mm 日式質感機能冰箱  *全室LED燈照明 食材輕鬆找 *節能/環保標章	*變頻壓縮機、一級能效、R600a環保冷媒")</f>
        <v>*自動製冰機能 衛生冰塊在家隨時取  *微凍保鮮 / 冰溫保鮮  兩段模式切換 *寬度600mm 日式質感機能冰箱  *全室LED燈照明 食材輕鬆找 *節能/環保標章	*變頻壓縮機、一級能效、R600a環保冷媒</v>
      </c>
    </row>
    <row r="399" spans="1:27" ht="19.5" customHeight="1">
      <c r="A399" s="12" t="str">
        <f ca="1">IFERROR(__xludf.DUMMYFUNCTION("""COMPUTED_VALUE"""),"冰箱")</f>
        <v>冰箱</v>
      </c>
      <c r="B399" s="12" t="str">
        <f ca="1">IFERROR(__xludf.DUMMYFUNCTION("""COMPUTED_VALUE"""),"聲寶")</f>
        <v>聲寶</v>
      </c>
      <c r="C399" s="12" t="str">
        <f ca="1">IFERROR(__xludf.DUMMYFUNCTION("""COMPUTED_VALUE"""),"聲寶")</f>
        <v>聲寶</v>
      </c>
      <c r="D399" s="12" t="str">
        <f ca="1">IFERROR(__xludf.DUMMYFUNCTION("""COMPUTED_VALUE"""),"聲寶_450L一級變頻四門玻璃冰箱_SR-C45GDD")</f>
        <v>聲寶_450L一級變頻四門玻璃冰箱_SR-C45GDD</v>
      </c>
      <c r="E399" s="12" t="str">
        <f ca="1">IFERROR(__xludf.DUMMYFUNCTION("""COMPUTED_VALUE"""),"SR-C45GDD")</f>
        <v>SR-C45GDD</v>
      </c>
      <c r="F399" s="12">
        <f ca="1">IFERROR(__xludf.DUMMYFUNCTION("""COMPUTED_VALUE"""),51001287)</f>
        <v>51001287</v>
      </c>
      <c r="G399" s="12" t="str">
        <f ca="1">IFERROR(__xludf.DUMMYFUNCTION("""COMPUTED_VALUE"""),"IGEM0978")</f>
        <v>IGEM0978</v>
      </c>
      <c r="H399" s="13">
        <f ca="1">IFERROR(__xludf.DUMMYFUNCTION("""COMPUTED_VALUE"""),48900)</f>
        <v>48900</v>
      </c>
      <c r="I399" s="14">
        <f ca="1">IFERROR(__xludf.DUMMYFUNCTION("""COMPUTED_VALUE"""),35900)</f>
        <v>35900</v>
      </c>
      <c r="J399" s="16">
        <f ca="1">IFERROR(__xludf.DUMMYFUNCTION("""COMPUTED_VALUE"""),45383)</f>
        <v>45383</v>
      </c>
      <c r="K399" s="12" t="str">
        <f ca="1">IFERROR(__xludf.DUMMYFUNCTION("""COMPUTED_VALUE"""),"新機上架")</f>
        <v>新機上架</v>
      </c>
      <c r="L399" s="12" t="str">
        <f ca="1">IFERROR(__xludf.DUMMYFUNCTION("""COMPUTED_VALUE"""),"上架中")</f>
        <v>上架中</v>
      </c>
      <c r="M399" s="12" t="str">
        <f ca="1">IFERROR(__xludf.DUMMYFUNCTION("""COMPUTED_VALUE"""),"4/1新機上架")</f>
        <v>4/1新機上架</v>
      </c>
      <c r="N399" s="12" t="str">
        <f ca="1">IFERROR(__xludf.DUMMYFUNCTION("""COMPUTED_VALUE"""),"四門變頻")</f>
        <v>四門變頻</v>
      </c>
      <c r="O399" s="12" t="str">
        <f ca="1">IFERROR(__xludf.DUMMYFUNCTION("""COMPUTED_VALUE"""),"琉璃銀")</f>
        <v>琉璃銀</v>
      </c>
      <c r="P399" s="12" t="str">
        <f ca="1">IFERROR(__xludf.DUMMYFUNCTION("""COMPUTED_VALUE"""),"450L")</f>
        <v>450L</v>
      </c>
      <c r="Q399" s="12" t="str">
        <f ca="1">IFERROR(__xludf.DUMMYFUNCTION("""COMPUTED_VALUE"""),"1750*600*710")</f>
        <v>1750*600*710</v>
      </c>
      <c r="R399" s="12" t="str">
        <f ca="1">IFERROR(__xludf.DUMMYFUNCTION("""COMPUTED_VALUE"""),"泰國")</f>
        <v>泰國</v>
      </c>
      <c r="S399" s="12" t="str">
        <f ca="1">IFERROR(__xludf.DUMMYFUNCTION("""COMPUTED_VALUE"""),"V")</f>
        <v>V</v>
      </c>
      <c r="T399" s="12" t="str">
        <f ca="1">IFERROR(__xludf.DUMMYFUNCTION("""COMPUTED_VALUE"""),"1級能效")</f>
        <v>1級能效</v>
      </c>
      <c r="U399" s="12" t="str">
        <f ca="1">IFERROR(__xludf.DUMMYFUNCTION("""COMPUTED_VALUE"""),"1年")</f>
        <v>1年</v>
      </c>
      <c r="V399" s="12" t="str">
        <f ca="1">IFERROR(__xludf.DUMMYFUNCTION("""COMPUTED_VALUE"""),"3年")</f>
        <v>3年</v>
      </c>
      <c r="W399" s="12" t="str">
        <f ca="1">IFERROR(__xludf.DUMMYFUNCTION("""COMPUTED_VALUE"""),"(11/7-114/2/21 )隨貨送聲寶4L雙溫控鴛鴦鍋")</f>
        <v>(11/7-114/2/21 )隨貨送聲寶4L雙溫控鴛鴦鍋</v>
      </c>
      <c r="X399" s="12"/>
      <c r="Y399" s="12">
        <f ca="1">IFERROR(__xludf.DUMMYFUNCTION("""COMPUTED_VALUE"""),560)</f>
        <v>560</v>
      </c>
      <c r="Z399" s="14" t="str">
        <f ca="1">IFERROR(__xludf.DUMMYFUNCTION("""COMPUTED_VALUE"""),"2000")</f>
        <v>2000</v>
      </c>
      <c r="AA399" s="15" t="str">
        <f ca="1">IFERROR(__xludf.DUMMYFUNCTION("""COMPUTED_VALUE"""),"*自動製冰機能 衛生冰塊在家隨時取  *微凍保鮮 / 冰溫保鮮  兩段模式切換 *寬度600mm 日式質感機能冰箱  *全室LED燈照明 食材輕鬆找 *節能/環保標章	*變頻壓縮機、一級能效、R600a環保冷媒")</f>
        <v>*自動製冰機能 衛生冰塊在家隨時取  *微凍保鮮 / 冰溫保鮮  兩段模式切換 *寬度600mm 日式質感機能冰箱  *全室LED燈照明 食材輕鬆找 *節能/環保標章	*變頻壓縮機、一級能效、R600a環保冷媒</v>
      </c>
    </row>
    <row r="400" spans="1:27" ht="19.5" customHeight="1">
      <c r="A400" s="12" t="str">
        <f ca="1">IFERROR(__xludf.DUMMYFUNCTION("""COMPUTED_VALUE"""),"冰箱")</f>
        <v>冰箱</v>
      </c>
      <c r="B400" s="12" t="str">
        <f ca="1">IFERROR(__xludf.DUMMYFUNCTION("""COMPUTED_VALUE"""),"聲寶")</f>
        <v>聲寶</v>
      </c>
      <c r="C400" s="12" t="str">
        <f ca="1">IFERROR(__xludf.DUMMYFUNCTION("""COMPUTED_VALUE"""),"聲寶")</f>
        <v>聲寶</v>
      </c>
      <c r="D400" s="12" t="str">
        <f ca="1">IFERROR(__xludf.DUMMYFUNCTION("""COMPUTED_VALUE"""),"聲寶480L雙門變頻冰箱SR-C48D(S1)")</f>
        <v>聲寶480L雙門變頻冰箱SR-C48D(S1)</v>
      </c>
      <c r="E400" s="12" t="str">
        <f ca="1">IFERROR(__xludf.DUMMYFUNCTION("""COMPUTED_VALUE"""),"SR-C48D(S1)")</f>
        <v>SR-C48D(S1)</v>
      </c>
      <c r="F400" s="12">
        <f ca="1">IFERROR(__xludf.DUMMYFUNCTION("""COMPUTED_VALUE"""),51086148)</f>
        <v>51086148</v>
      </c>
      <c r="G400" s="12" t="str">
        <f ca="1">IFERROR(__xludf.DUMMYFUNCTION("""COMPUTED_VALUE"""),"IGEM029U")</f>
        <v>IGEM029U</v>
      </c>
      <c r="H400" s="12">
        <f ca="1">IFERROR(__xludf.DUMMYFUNCTION("""COMPUTED_VALUE"""),28490)</f>
        <v>28490</v>
      </c>
      <c r="I400" s="14">
        <f ca="1">IFERROR(__xludf.DUMMYFUNCTION("""COMPUTED_VALUE"""),23900)</f>
        <v>23900</v>
      </c>
      <c r="J400" s="12"/>
      <c r="K400" s="12"/>
      <c r="L400" s="12" t="str">
        <f ca="1">IFERROR(__xludf.DUMMYFUNCTION("""COMPUTED_VALUE"""),"上架中")</f>
        <v>上架中</v>
      </c>
      <c r="M400" s="12" t="str">
        <f ca="1">IFERROR(__xludf.DUMMYFUNCTION("""COMPUTED_VALUE"""),"2022/2/11缺貨，2021/12/1短促，8/1永久降價，2021/2/3新機上架")</f>
        <v>2022/2/11缺貨，2021/12/1短促，8/1永久降價，2021/2/3新機上架</v>
      </c>
      <c r="N400" s="12" t="str">
        <f ca="1">IFERROR(__xludf.DUMMYFUNCTION("""COMPUTED_VALUE"""),"雙門變頻")</f>
        <v>雙門變頻</v>
      </c>
      <c r="O400" s="12" t="str">
        <f ca="1">IFERROR(__xludf.DUMMYFUNCTION("""COMPUTED_VALUE"""),"髮絲銀")</f>
        <v>髮絲銀</v>
      </c>
      <c r="P400" s="12" t="str">
        <f ca="1">IFERROR(__xludf.DUMMYFUNCTION("""COMPUTED_VALUE"""),"480L")</f>
        <v>480L</v>
      </c>
      <c r="Q400" s="12" t="str">
        <f ca="1">IFERROR(__xludf.DUMMYFUNCTION("""COMPUTED_VALUE"""),"1796*674*752mm")</f>
        <v>1796*674*752mm</v>
      </c>
      <c r="R400" s="12" t="str">
        <f ca="1">IFERROR(__xludf.DUMMYFUNCTION("""COMPUTED_VALUE"""),"台灣")</f>
        <v>台灣</v>
      </c>
      <c r="S400" s="12" t="str">
        <f ca="1">IFERROR(__xludf.DUMMYFUNCTION("""COMPUTED_VALUE"""),"V/環保標章")</f>
        <v>V/環保標章</v>
      </c>
      <c r="T400" s="12" t="str">
        <f ca="1">IFERROR(__xludf.DUMMYFUNCTION("""COMPUTED_VALUE"""),"1級能效")</f>
        <v>1級能效</v>
      </c>
      <c r="U400" s="12" t="str">
        <f ca="1">IFERROR(__xludf.DUMMYFUNCTION("""COMPUTED_VALUE"""),"1年")</f>
        <v>1年</v>
      </c>
      <c r="V400" s="12"/>
      <c r="W400" s="12" t="str">
        <f ca="1">IFERROR(__xludf.DUMMYFUNCTION("""COMPUTED_VALUE"""),"(11/7-114/2/21 )隨貨送德國Carl 愛心系列 28cm單柄炒鍋")</f>
        <v>(11/7-114/2/21 )隨貨送德國Carl 愛心系列 28cm單柄炒鍋</v>
      </c>
      <c r="X400" s="12"/>
      <c r="Y400" s="12">
        <f ca="1">IFERROR(__xludf.DUMMYFUNCTION("""COMPUTED_VALUE"""),480)</f>
        <v>480</v>
      </c>
      <c r="Z400" s="14" t="str">
        <f ca="1">IFERROR(__xludf.DUMMYFUNCTION("""COMPUTED_VALUE"""),"2000")</f>
        <v>2000</v>
      </c>
      <c r="AA400" s="15" t="str">
        <f ca="1">IFERROR(__xludf.DUMMYFUNCTION("""COMPUTED_VALUE"""),"*NanoTi極光鈦高效抗菌鍍膜*全新循環冷流柵板*AIE智慧節能模式*IMD外顯式觸控面板*高亮度LED照明燈(冷凍庫/冷藏庫)*白金/U-manga雙脫臭功能")</f>
        <v>*NanoTi極光鈦高效抗菌鍍膜*全新循環冷流柵板*AIE智慧節能模式*IMD外顯式觸控面板*高亮度LED照明燈(冷凍庫/冷藏庫)*白金/U-manga雙脫臭功能</v>
      </c>
    </row>
    <row r="401" spans="1:27" ht="19.5" customHeight="1">
      <c r="A401" s="12" t="str">
        <f ca="1">IFERROR(__xludf.DUMMYFUNCTION("""COMPUTED_VALUE"""),"冰箱")</f>
        <v>冰箱</v>
      </c>
      <c r="B401" s="12" t="str">
        <f ca="1">IFERROR(__xludf.DUMMYFUNCTION("""COMPUTED_VALUE"""),"聲寶")</f>
        <v>聲寶</v>
      </c>
      <c r="C401" s="12" t="str">
        <f ca="1">IFERROR(__xludf.DUMMYFUNCTION("""COMPUTED_VALUE"""),"聲寶")</f>
        <v>聲寶</v>
      </c>
      <c r="D401" s="12" t="str">
        <f ca="1">IFERROR(__xludf.DUMMYFUNCTION("""COMPUTED_VALUE"""),"聲寶480L三門變頻冰箱SR-C48DV(Y1)")</f>
        <v>聲寶480L三門變頻冰箱SR-C48DV(Y1)</v>
      </c>
      <c r="E401" s="12" t="str">
        <f ca="1">IFERROR(__xludf.DUMMYFUNCTION("""COMPUTED_VALUE"""),"SR-C48DV(Y1)")</f>
        <v>SR-C48DV(Y1)</v>
      </c>
      <c r="F401" s="12">
        <f ca="1">IFERROR(__xludf.DUMMYFUNCTION("""COMPUTED_VALUE"""),51086149)</f>
        <v>51086149</v>
      </c>
      <c r="G401" s="12" t="str">
        <f ca="1">IFERROR(__xludf.DUMMYFUNCTION("""COMPUTED_VALUE"""),"IGEM029V")</f>
        <v>IGEM029V</v>
      </c>
      <c r="H401" s="12">
        <f ca="1">IFERROR(__xludf.DUMMYFUNCTION("""COMPUTED_VALUE"""),29900)</f>
        <v>29900</v>
      </c>
      <c r="I401" s="14">
        <f ca="1">IFERROR(__xludf.DUMMYFUNCTION("""COMPUTED_VALUE"""),25200)</f>
        <v>25200</v>
      </c>
      <c r="J401" s="16">
        <f ca="1">IFERROR(__xludf.DUMMYFUNCTION("""COMPUTED_VALUE"""),44937)</f>
        <v>44937</v>
      </c>
      <c r="K401" s="12" t="str">
        <f ca="1">IFERROR(__xludf.DUMMYFUNCTION("""COMPUTED_VALUE"""),"缺貨")</f>
        <v>缺貨</v>
      </c>
      <c r="L401" s="12" t="str">
        <f ca="1">IFERROR(__xludf.DUMMYFUNCTION("""COMPUTED_VALUE"""),"上架中")</f>
        <v>上架中</v>
      </c>
      <c r="M401" s="12" t="str">
        <f ca="1">IFERROR(__xludf.DUMMYFUNCTION("""COMPUTED_VALUE"""),"3/20到貨")</f>
        <v>3/20到貨</v>
      </c>
      <c r="N401" s="12" t="str">
        <f ca="1">IFERROR(__xludf.DUMMYFUNCTION("""COMPUTED_VALUE"""),"三門變頻")</f>
        <v>三門變頻</v>
      </c>
      <c r="O401" s="12" t="str">
        <f ca="1">IFERROR(__xludf.DUMMYFUNCTION("""COMPUTED_VALUE"""),"彩紋金")</f>
        <v>彩紋金</v>
      </c>
      <c r="P401" s="12" t="str">
        <f ca="1">IFERROR(__xludf.DUMMYFUNCTION("""COMPUTED_VALUE"""),"475L")</f>
        <v>475L</v>
      </c>
      <c r="Q401" s="12" t="str">
        <f ca="1">IFERROR(__xludf.DUMMYFUNCTION("""COMPUTED_VALUE"""),"1796*674*752mm")</f>
        <v>1796*674*752mm</v>
      </c>
      <c r="R401" s="12" t="str">
        <f ca="1">IFERROR(__xludf.DUMMYFUNCTION("""COMPUTED_VALUE"""),"台灣")</f>
        <v>台灣</v>
      </c>
      <c r="S401" s="12" t="str">
        <f ca="1">IFERROR(__xludf.DUMMYFUNCTION("""COMPUTED_VALUE"""),"V/環保標章")</f>
        <v>V/環保標章</v>
      </c>
      <c r="T401" s="12" t="str">
        <f ca="1">IFERROR(__xludf.DUMMYFUNCTION("""COMPUTED_VALUE"""),"1級能效")</f>
        <v>1級能效</v>
      </c>
      <c r="U401" s="12" t="str">
        <f ca="1">IFERROR(__xludf.DUMMYFUNCTION("""COMPUTED_VALUE"""),"1年")</f>
        <v>1年</v>
      </c>
      <c r="V401" s="12" t="str">
        <f ca="1">IFERROR(__xludf.DUMMYFUNCTION("""COMPUTED_VALUE"""),"3年")</f>
        <v>3年</v>
      </c>
      <c r="W401" s="12" t="str">
        <f ca="1">IFERROR(__xludf.DUMMYFUNCTION("""COMPUTED_VALUE"""),"(11/7-114/2/21 )隨貨送德國Carl 愛心系列 28cm單柄炒鍋")</f>
        <v>(11/7-114/2/21 )隨貨送德國Carl 愛心系列 28cm單柄炒鍋</v>
      </c>
      <c r="X401" s="12"/>
      <c r="Y401" s="12">
        <f ca="1">IFERROR(__xludf.DUMMYFUNCTION("""COMPUTED_VALUE"""),480)</f>
        <v>480</v>
      </c>
      <c r="Z401" s="14" t="str">
        <f ca="1">IFERROR(__xludf.DUMMYFUNCTION("""COMPUTED_VALUE"""),"2000")</f>
        <v>2000</v>
      </c>
      <c r="AA401" s="15" t="str">
        <f ca="1">IFERROR(__xludf.DUMMYFUNCTION("""COMPUTED_VALUE"""),"*NanoTi極光鈦高效抗菌鍍膜*全新循環冷流柵板*AIE智慧節能模式*IMD外顯式觸控面板*高亮度LED照明燈(冷凍庫/冷藏庫)*白金/U-manga雙脫臭功能
")</f>
        <v xml:space="preserve">*NanoTi極光鈦高效抗菌鍍膜*全新循環冷流柵板*AIE智慧節能模式*IMD外顯式觸控面板*高亮度LED照明燈(冷凍庫/冷藏庫)*白金/U-manga雙脫臭功能
</v>
      </c>
    </row>
    <row r="402" spans="1:27" ht="19.5" customHeight="1">
      <c r="A402" s="12" t="str">
        <f ca="1">IFERROR(__xludf.DUMMYFUNCTION("""COMPUTED_VALUE"""),"冰箱")</f>
        <v>冰箱</v>
      </c>
      <c r="B402" s="12" t="str">
        <f ca="1">IFERROR(__xludf.DUMMYFUNCTION("""COMPUTED_VALUE"""),"聲寶")</f>
        <v>聲寶</v>
      </c>
      <c r="C402" s="12" t="str">
        <f ca="1">IFERROR(__xludf.DUMMYFUNCTION("""COMPUTED_VALUE"""),"聲寶")</f>
        <v>聲寶</v>
      </c>
      <c r="D402" s="12" t="str">
        <f ca="1">IFERROR(__xludf.DUMMYFUNCTION("""COMPUTED_VALUE"""),"聲寶140公升雙門定頻冰箱(紫燦銀)SR-C14Q(R6)")</f>
        <v>聲寶140公升雙門定頻冰箱(紫燦銀)SR-C14Q(R6)</v>
      </c>
      <c r="E402" s="12" t="str">
        <f ca="1">IFERROR(__xludf.DUMMYFUNCTION("""COMPUTED_VALUE"""),"SR-C14Q(R6)")</f>
        <v>SR-C14Q(R6)</v>
      </c>
      <c r="F402" s="12">
        <f ca="1">IFERROR(__xludf.DUMMYFUNCTION("""COMPUTED_VALUE"""),51086164)</f>
        <v>51086164</v>
      </c>
      <c r="G402" s="12" t="str">
        <f ca="1">IFERROR(__xludf.DUMMYFUNCTION("""COMPUTED_VALUE"""),"IGEM037J")</f>
        <v>IGEM037J</v>
      </c>
      <c r="H402" s="12">
        <f ca="1">IFERROR(__xludf.DUMMYFUNCTION("""COMPUTED_VALUE"""),14900)</f>
        <v>14900</v>
      </c>
      <c r="I402" s="14">
        <f ca="1">IFERROR(__xludf.DUMMYFUNCTION("""COMPUTED_VALUE"""),10700)</f>
        <v>10700</v>
      </c>
      <c r="J402" s="12"/>
      <c r="K402" s="12"/>
      <c r="L402" s="12" t="str">
        <f ca="1">IFERROR(__xludf.DUMMYFUNCTION("""COMPUTED_VALUE"""),"上架中")</f>
        <v>上架中</v>
      </c>
      <c r="M402" s="12" t="str">
        <f ca="1">IFERROR(__xludf.DUMMYFUNCTION("""COMPUTED_VALUE"""),"2021/10/26到貨，7/2缺貨，2021/6/1新機上架")</f>
        <v>2021/10/26到貨，7/2缺貨，2021/6/1新機上架</v>
      </c>
      <c r="N402" s="12" t="str">
        <f ca="1">IFERROR(__xludf.DUMMYFUNCTION("""COMPUTED_VALUE"""),"雙門定頻")</f>
        <v>雙門定頻</v>
      </c>
      <c r="O402" s="12" t="str">
        <f ca="1">IFERROR(__xludf.DUMMYFUNCTION("""COMPUTED_VALUE"""),"紫燦銀")</f>
        <v>紫燦銀</v>
      </c>
      <c r="P402" s="12" t="str">
        <f ca="1">IFERROR(__xludf.DUMMYFUNCTION("""COMPUTED_VALUE"""),"140L")</f>
        <v>140L</v>
      </c>
      <c r="Q402" s="12" t="str">
        <f ca="1">IFERROR(__xludf.DUMMYFUNCTION("""COMPUTED_VALUE"""),"1282*471*549mm")</f>
        <v>1282*471*549mm</v>
      </c>
      <c r="R402" s="12" t="str">
        <f ca="1">IFERROR(__xludf.DUMMYFUNCTION("""COMPUTED_VALUE"""),"台灣")</f>
        <v>台灣</v>
      </c>
      <c r="S402" s="12" t="str">
        <f ca="1">IFERROR(__xludf.DUMMYFUNCTION("""COMPUTED_VALUE"""),"V/環保標章")</f>
        <v>V/環保標章</v>
      </c>
      <c r="T402" s="12" t="str">
        <f ca="1">IFERROR(__xludf.DUMMYFUNCTION("""COMPUTED_VALUE"""),"1級能效")</f>
        <v>1級能效</v>
      </c>
      <c r="U402" s="12" t="str">
        <f ca="1">IFERROR(__xludf.DUMMYFUNCTION("""COMPUTED_VALUE"""),"1年")</f>
        <v>1年</v>
      </c>
      <c r="V402" s="12" t="str">
        <f ca="1">IFERROR(__xludf.DUMMYFUNCTION("""COMPUTED_VALUE"""),"3年")</f>
        <v>3年</v>
      </c>
      <c r="W402" s="12"/>
      <c r="X402" s="12"/>
      <c r="Y402" s="12">
        <f ca="1">IFERROR(__xludf.DUMMYFUNCTION("""COMPUTED_VALUE"""),140)</f>
        <v>140</v>
      </c>
      <c r="Z402" s="14">
        <f ca="1">IFERROR(__xludf.DUMMYFUNCTION("""COMPUTED_VALUE"""),500)</f>
        <v>500</v>
      </c>
      <c r="AA402" s="15" t="str">
        <f ca="1">IFERROR(__xludf.DUMMYFUNCTION("""COMPUTED_VALUE"""),"*奈米銀抗菌*獨特雙邊夾框外觀*輕巧製冰盒/便利蛋架*冷藏室白熾燈*高強度水晶盤架")</f>
        <v>*奈米銀抗菌*獨特雙邊夾框外觀*輕巧製冰盒/便利蛋架*冷藏室白熾燈*高強度水晶盤架</v>
      </c>
    </row>
    <row r="403" spans="1:27" ht="19.5" customHeight="1">
      <c r="A403" s="12" t="str">
        <f ca="1">IFERROR(__xludf.DUMMYFUNCTION("""COMPUTED_VALUE"""),"冰箱")</f>
        <v>冰箱</v>
      </c>
      <c r="B403" s="12" t="str">
        <f ca="1">IFERROR(__xludf.DUMMYFUNCTION("""COMPUTED_VALUE"""),"聲寶")</f>
        <v>聲寶</v>
      </c>
      <c r="C403" s="12" t="str">
        <f ca="1">IFERROR(__xludf.DUMMYFUNCTION("""COMPUTED_VALUE"""),"聲寶")</f>
        <v>聲寶</v>
      </c>
      <c r="D403" s="12" t="str">
        <f ca="1">IFERROR(__xludf.DUMMYFUNCTION("""COMPUTED_VALUE"""),"聲寶99公升歐風美型單門定頻冰箱(粉彩紅)SR-C10(P)")</f>
        <v>聲寶99公升歐風美型單門定頻冰箱(粉彩紅)SR-C10(P)</v>
      </c>
      <c r="E403" s="12" t="str">
        <f ca="1">IFERROR(__xludf.DUMMYFUNCTION("""COMPUTED_VALUE"""),"SR-C10(P)")</f>
        <v>SR-C10(P)</v>
      </c>
      <c r="F403" s="12">
        <f ca="1">IFERROR(__xludf.DUMMYFUNCTION("""COMPUTED_VALUE"""),51086165)</f>
        <v>51086165</v>
      </c>
      <c r="G403" s="12" t="str">
        <f ca="1">IFERROR(__xludf.DUMMYFUNCTION("""COMPUTED_VALUE"""),"IGEM037K")</f>
        <v>IGEM037K</v>
      </c>
      <c r="H403" s="12">
        <f ca="1">IFERROR(__xludf.DUMMYFUNCTION("""COMPUTED_VALUE"""),10900)</f>
        <v>10900</v>
      </c>
      <c r="I403" s="14">
        <f ca="1">IFERROR(__xludf.DUMMYFUNCTION("""COMPUTED_VALUE"""),7990)</f>
        <v>7990</v>
      </c>
      <c r="J403" s="12"/>
      <c r="K403" s="12"/>
      <c r="L403" s="12" t="str">
        <f ca="1">IFERROR(__xludf.DUMMYFUNCTION("""COMPUTED_VALUE"""),"上架中")</f>
        <v>上架中</v>
      </c>
      <c r="M403" s="12" t="str">
        <f ca="1">IFERROR(__xludf.DUMMYFUNCTION("""COMPUTED_VALUE"""),"2022/2/14短促，2021/12/1短促，2021/6/1新機上架")</f>
        <v>2022/2/14短促，2021/12/1短促，2021/6/1新機上架</v>
      </c>
      <c r="N403" s="12" t="str">
        <f ca="1">IFERROR(__xludf.DUMMYFUNCTION("""COMPUTED_VALUE"""),"單門定頻")</f>
        <v>單門定頻</v>
      </c>
      <c r="O403" s="12" t="str">
        <f ca="1">IFERROR(__xludf.DUMMYFUNCTION("""COMPUTED_VALUE"""),"粉彩紅")</f>
        <v>粉彩紅</v>
      </c>
      <c r="P403" s="12" t="str">
        <f ca="1">IFERROR(__xludf.DUMMYFUNCTION("""COMPUTED_VALUE"""),"99L")</f>
        <v>99L</v>
      </c>
      <c r="Q403" s="12" t="str">
        <f ca="1">IFERROR(__xludf.DUMMYFUNCTION("""COMPUTED_VALUE"""),"906*480*565mm")</f>
        <v>906*480*565mm</v>
      </c>
      <c r="R403" s="12" t="str">
        <f ca="1">IFERROR(__xludf.DUMMYFUNCTION("""COMPUTED_VALUE"""),"台灣")</f>
        <v>台灣</v>
      </c>
      <c r="S403" s="12" t="str">
        <f ca="1">IFERROR(__xludf.DUMMYFUNCTION("""COMPUTED_VALUE"""),"V/環保標章")</f>
        <v>V/環保標章</v>
      </c>
      <c r="T403" s="12" t="str">
        <f ca="1">IFERROR(__xludf.DUMMYFUNCTION("""COMPUTED_VALUE"""),"1級能效")</f>
        <v>1級能效</v>
      </c>
      <c r="U403" s="12" t="str">
        <f ca="1">IFERROR(__xludf.DUMMYFUNCTION("""COMPUTED_VALUE"""),"1年")</f>
        <v>1年</v>
      </c>
      <c r="V403" s="12" t="str">
        <f ca="1">IFERROR(__xludf.DUMMYFUNCTION("""COMPUTED_VALUE"""),"3年")</f>
        <v>3年</v>
      </c>
      <c r="W403" s="12"/>
      <c r="X403" s="12"/>
      <c r="Y403" s="12">
        <f ca="1">IFERROR(__xludf.DUMMYFUNCTION("""COMPUTED_VALUE"""),99)</f>
        <v>99</v>
      </c>
      <c r="Z403" s="14">
        <f ca="1">IFERROR(__xludf.DUMMYFUNCTION("""COMPUTED_VALUE"""),500)</f>
        <v>500</v>
      </c>
      <c r="AA403" s="15" t="str">
        <f ca="1">IFERROR(__xludf.DUMMYFUNCTION("""COMPUTED_VALUE"""),"*時尚復古型外觀*金屬合金鍛造把手*粉彩色調門板*可調式溫控旋鈕*頂部置物板設計*強化玻璃盤架*活動式製冰盒、蛋架")</f>
        <v>*時尚復古型外觀*金屬合金鍛造把手*粉彩色調門板*可調式溫控旋鈕*頂部置物板設計*強化玻璃盤架*活動式製冰盒、蛋架</v>
      </c>
    </row>
    <row r="404" spans="1:27" ht="19.5" customHeight="1">
      <c r="A404" s="12" t="str">
        <f ca="1">IFERROR(__xludf.DUMMYFUNCTION("""COMPUTED_VALUE"""),"冰箱")</f>
        <v>冰箱</v>
      </c>
      <c r="B404" s="12" t="str">
        <f ca="1">IFERROR(__xludf.DUMMYFUNCTION("""COMPUTED_VALUE"""),"聲寶")</f>
        <v>聲寶</v>
      </c>
      <c r="C404" s="12" t="str">
        <f ca="1">IFERROR(__xludf.DUMMYFUNCTION("""COMPUTED_VALUE"""),"聲寶")</f>
        <v>聲寶</v>
      </c>
      <c r="D404" s="12" t="str">
        <f ca="1">IFERROR(__xludf.DUMMYFUNCTION("""COMPUTED_VALUE"""),"聲寶99公升歐風美型單門定頻冰箱(香氛綠)SR-C10(E)")</f>
        <v>聲寶99公升歐風美型單門定頻冰箱(香氛綠)SR-C10(E)</v>
      </c>
      <c r="E404" s="12" t="str">
        <f ca="1">IFERROR(__xludf.DUMMYFUNCTION("""COMPUTED_VALUE"""),"SR-C10(E)")</f>
        <v>SR-C10(E)</v>
      </c>
      <c r="F404" s="12">
        <f ca="1">IFERROR(__xludf.DUMMYFUNCTION("""COMPUTED_VALUE"""),51086166)</f>
        <v>51086166</v>
      </c>
      <c r="G404" s="12" t="str">
        <f ca="1">IFERROR(__xludf.DUMMYFUNCTION("""COMPUTED_VALUE"""),"IGEM037L")</f>
        <v>IGEM037L</v>
      </c>
      <c r="H404" s="12">
        <f ca="1">IFERROR(__xludf.DUMMYFUNCTION("""COMPUTED_VALUE"""),10900)</f>
        <v>10900</v>
      </c>
      <c r="I404" s="14">
        <f ca="1">IFERROR(__xludf.DUMMYFUNCTION("""COMPUTED_VALUE"""),7990)</f>
        <v>7990</v>
      </c>
      <c r="J404" s="12"/>
      <c r="K404" s="12"/>
      <c r="L404" s="12" t="str">
        <f ca="1">IFERROR(__xludf.DUMMYFUNCTION("""COMPUTED_VALUE"""),"上架中")</f>
        <v>上架中</v>
      </c>
      <c r="M404" s="12" t="str">
        <f ca="1">IFERROR(__xludf.DUMMYFUNCTION("""COMPUTED_VALUE"""),"2022/2/14短促，2021/12/1短促，2021/6/1新機上架")</f>
        <v>2022/2/14短促，2021/12/1短促，2021/6/1新機上架</v>
      </c>
      <c r="N404" s="12" t="str">
        <f ca="1">IFERROR(__xludf.DUMMYFUNCTION("""COMPUTED_VALUE"""),"單門定頻")</f>
        <v>單門定頻</v>
      </c>
      <c r="O404" s="12" t="str">
        <f ca="1">IFERROR(__xludf.DUMMYFUNCTION("""COMPUTED_VALUE"""),"香氛綠")</f>
        <v>香氛綠</v>
      </c>
      <c r="P404" s="12" t="str">
        <f ca="1">IFERROR(__xludf.DUMMYFUNCTION("""COMPUTED_VALUE"""),"99L")</f>
        <v>99L</v>
      </c>
      <c r="Q404" s="12" t="str">
        <f ca="1">IFERROR(__xludf.DUMMYFUNCTION("""COMPUTED_VALUE"""),"906*480*565mm")</f>
        <v>906*480*565mm</v>
      </c>
      <c r="R404" s="12" t="str">
        <f ca="1">IFERROR(__xludf.DUMMYFUNCTION("""COMPUTED_VALUE"""),"台灣")</f>
        <v>台灣</v>
      </c>
      <c r="S404" s="12" t="str">
        <f ca="1">IFERROR(__xludf.DUMMYFUNCTION("""COMPUTED_VALUE"""),"V/環保標章")</f>
        <v>V/環保標章</v>
      </c>
      <c r="T404" s="12" t="str">
        <f ca="1">IFERROR(__xludf.DUMMYFUNCTION("""COMPUTED_VALUE"""),"1級能效")</f>
        <v>1級能效</v>
      </c>
      <c r="U404" s="12" t="str">
        <f ca="1">IFERROR(__xludf.DUMMYFUNCTION("""COMPUTED_VALUE"""),"1年")</f>
        <v>1年</v>
      </c>
      <c r="V404" s="12" t="str">
        <f ca="1">IFERROR(__xludf.DUMMYFUNCTION("""COMPUTED_VALUE"""),"3年")</f>
        <v>3年</v>
      </c>
      <c r="W404" s="12"/>
      <c r="X404" s="12"/>
      <c r="Y404" s="12">
        <f ca="1">IFERROR(__xludf.DUMMYFUNCTION("""COMPUTED_VALUE"""),99)</f>
        <v>99</v>
      </c>
      <c r="Z404" s="14">
        <f ca="1">IFERROR(__xludf.DUMMYFUNCTION("""COMPUTED_VALUE"""),500)</f>
        <v>500</v>
      </c>
      <c r="AA404" s="15" t="str">
        <f ca="1">IFERROR(__xludf.DUMMYFUNCTION("""COMPUTED_VALUE"""),"*時尚復古型外觀*金屬合金鍛造把手*粉彩色調門板*可調式溫控旋鈕*頂部置物板設計*強化玻璃盤架*活動式製冰盒、蛋架")</f>
        <v>*時尚復古型外觀*金屬合金鍛造把手*粉彩色調門板*可調式溫控旋鈕*頂部置物板設計*強化玻璃盤架*活動式製冰盒、蛋架</v>
      </c>
    </row>
    <row r="405" spans="1:27" ht="19.5" customHeight="1">
      <c r="A405" s="12" t="str">
        <f ca="1">IFERROR(__xludf.DUMMYFUNCTION("""COMPUTED_VALUE"""),"冰箱")</f>
        <v>冰箱</v>
      </c>
      <c r="B405" s="12" t="str">
        <f ca="1">IFERROR(__xludf.DUMMYFUNCTION("""COMPUTED_VALUE"""),"聲寶")</f>
        <v>聲寶</v>
      </c>
      <c r="C405" s="12" t="str">
        <f ca="1">IFERROR(__xludf.DUMMYFUNCTION("""COMPUTED_VALUE"""),"聲寶")</f>
        <v>聲寶</v>
      </c>
      <c r="D405" s="12" t="str">
        <f ca="1">IFERROR(__xludf.DUMMYFUNCTION("""COMPUTED_VALUE"""),"聲寶210公升歐風美型雙門變頻冰箱(緋麗紅)SR-C21D(R)")</f>
        <v>聲寶210公升歐風美型雙門變頻冰箱(緋麗紅)SR-C21D(R)</v>
      </c>
      <c r="E405" s="12" t="str">
        <f ca="1">IFERROR(__xludf.DUMMYFUNCTION("""COMPUTED_VALUE"""),"SR-C21D(R)")</f>
        <v>SR-C21D(R)</v>
      </c>
      <c r="F405" s="12">
        <f ca="1">IFERROR(__xludf.DUMMYFUNCTION("""COMPUTED_VALUE"""),51086167)</f>
        <v>51086167</v>
      </c>
      <c r="G405" s="12" t="str">
        <f ca="1">IFERROR(__xludf.DUMMYFUNCTION("""COMPUTED_VALUE"""),"IGEM037M")</f>
        <v>IGEM037M</v>
      </c>
      <c r="H405" s="12">
        <f ca="1">IFERROR(__xludf.DUMMYFUNCTION("""COMPUTED_VALUE"""),29900)</f>
        <v>29900</v>
      </c>
      <c r="I405" s="14">
        <f ca="1">IFERROR(__xludf.DUMMYFUNCTION("""COMPUTED_VALUE"""),19200)</f>
        <v>19200</v>
      </c>
      <c r="J405" s="16">
        <f ca="1">IFERROR(__xludf.DUMMYFUNCTION("""COMPUTED_VALUE"""),44963)</f>
        <v>44963</v>
      </c>
      <c r="K405" s="12" t="str">
        <f ca="1">IFERROR(__xludf.DUMMYFUNCTION("""COMPUTED_VALUE"""),"到貨")</f>
        <v>到貨</v>
      </c>
      <c r="L405" s="12" t="str">
        <f ca="1">IFERROR(__xludf.DUMMYFUNCTION("""COMPUTED_VALUE"""),"上架中")</f>
        <v>上架中</v>
      </c>
      <c r="M405" s="12" t="str">
        <f ca="1">IFERROR(__xludf.DUMMYFUNCTION("""COMPUTED_VALUE"""),"2/6少量到貨，2022/10/18缺貨，2021/6/1新機上架")</f>
        <v>2/6少量到貨，2022/10/18缺貨，2021/6/1新機上架</v>
      </c>
      <c r="N405" s="12" t="str">
        <f ca="1">IFERROR(__xludf.DUMMYFUNCTION("""COMPUTED_VALUE"""),"雙門變頻")</f>
        <v>雙門變頻</v>
      </c>
      <c r="O405" s="12" t="str">
        <f ca="1">IFERROR(__xludf.DUMMYFUNCTION("""COMPUTED_VALUE"""),"緋麗紅")</f>
        <v>緋麗紅</v>
      </c>
      <c r="P405" s="12" t="str">
        <f ca="1">IFERROR(__xludf.DUMMYFUNCTION("""COMPUTED_VALUE"""),"210L")</f>
        <v>210L</v>
      </c>
      <c r="Q405" s="12" t="str">
        <f ca="1">IFERROR(__xludf.DUMMYFUNCTION("""COMPUTED_VALUE"""),"1529*545*683mm")</f>
        <v>1529*545*683mm</v>
      </c>
      <c r="R405" s="12" t="str">
        <f ca="1">IFERROR(__xludf.DUMMYFUNCTION("""COMPUTED_VALUE"""),"台灣")</f>
        <v>台灣</v>
      </c>
      <c r="S405" s="12" t="str">
        <f ca="1">IFERROR(__xludf.DUMMYFUNCTION("""COMPUTED_VALUE"""),"V/環保標章")</f>
        <v>V/環保標章</v>
      </c>
      <c r="T405" s="12" t="str">
        <f ca="1">IFERROR(__xludf.DUMMYFUNCTION("""COMPUTED_VALUE"""),"1級能效")</f>
        <v>1級能效</v>
      </c>
      <c r="U405" s="12" t="str">
        <f ca="1">IFERROR(__xludf.DUMMYFUNCTION("""COMPUTED_VALUE"""),"1年")</f>
        <v>1年</v>
      </c>
      <c r="V405" s="12" t="str">
        <f ca="1">IFERROR(__xludf.DUMMYFUNCTION("""COMPUTED_VALUE"""),"3年")</f>
        <v>3年</v>
      </c>
      <c r="W405" s="12"/>
      <c r="X405" s="12"/>
      <c r="Y405" s="12">
        <f ca="1">IFERROR(__xludf.DUMMYFUNCTION("""COMPUTED_VALUE"""),210)</f>
        <v>210</v>
      </c>
      <c r="Z405" s="14" t="str">
        <f ca="1">IFERROR(__xludf.DUMMYFUNCTION("""COMPUTED_VALUE"""),"1200")</f>
        <v>1200</v>
      </c>
      <c r="AA405" s="15" t="str">
        <f ca="1">IFERROR(__xludf.DUMMYFUNCTION("""COMPUTED_VALUE"""),"*無框界圓角復古外觀設計*滑軌式雙排製冰盒*多重循環冷流出風設計
冷凍庫強弱溫度調節*冷藏室三段(強、中、弱)溫度調節*蔬果箱高低濕度調節
金屬置酒架*強化玻璃盤架")</f>
        <v>*無框界圓角復古外觀設計*滑軌式雙排製冰盒*多重循環冷流出風設計
冷凍庫強弱溫度調節*冷藏室三段(強、中、弱)溫度調節*蔬果箱高低濕度調節
金屬置酒架*強化玻璃盤架</v>
      </c>
    </row>
    <row r="406" spans="1:27" ht="19.5" customHeight="1">
      <c r="A406" s="12" t="str">
        <f ca="1">IFERROR(__xludf.DUMMYFUNCTION("""COMPUTED_VALUE"""),"冰箱")</f>
        <v>冰箱</v>
      </c>
      <c r="B406" s="12" t="str">
        <f ca="1">IFERROR(__xludf.DUMMYFUNCTION("""COMPUTED_VALUE"""),"聲寶")</f>
        <v>聲寶</v>
      </c>
      <c r="C406" s="12" t="str">
        <f ca="1">IFERROR(__xludf.DUMMYFUNCTION("""COMPUTED_VALUE"""),"聲寶")</f>
        <v>聲寶</v>
      </c>
      <c r="D406" s="12" t="str">
        <f ca="1">IFERROR(__xludf.DUMMYFUNCTION("""COMPUTED_VALUE"""),"聲寶610LAIE全平面鋼板雙門變頻冰箱(彩紋銀)SR-C61D(S9)")</f>
        <v>聲寶610LAIE全平面鋼板雙門變頻冰箱(彩紋銀)SR-C61D(S9)</v>
      </c>
      <c r="E406" s="12" t="str">
        <f ca="1">IFERROR(__xludf.DUMMYFUNCTION("""COMPUTED_VALUE"""),"SR-C61D(S9)")</f>
        <v>SR-C61D(S9)</v>
      </c>
      <c r="F406" s="12">
        <f ca="1">IFERROR(__xludf.DUMMYFUNCTION("""COMPUTED_VALUE"""),51086210)</f>
        <v>51086210</v>
      </c>
      <c r="G406" s="12" t="str">
        <f ca="1">IFERROR(__xludf.DUMMYFUNCTION("""COMPUTED_VALUE"""),"IGEM053O")</f>
        <v>IGEM053O</v>
      </c>
      <c r="H406" s="12">
        <f ca="1">IFERROR(__xludf.DUMMYFUNCTION("""COMPUTED_VALUE"""),37900)</f>
        <v>37900</v>
      </c>
      <c r="I406" s="14">
        <f ca="1">IFERROR(__xludf.DUMMYFUNCTION("""COMPUTED_VALUE"""),30300)</f>
        <v>30300</v>
      </c>
      <c r="J406" s="16">
        <f ca="1">IFERROR(__xludf.DUMMYFUNCTION("""COMPUTED_VALUE"""),45108)</f>
        <v>45108</v>
      </c>
      <c r="K406" s="12" t="str">
        <f ca="1">IFERROR(__xludf.DUMMYFUNCTION("""COMPUTED_VALUE"""),"回價")</f>
        <v>回價</v>
      </c>
      <c r="L406" s="12" t="str">
        <f ca="1">IFERROR(__xludf.DUMMYFUNCTION("""COMPUTED_VALUE"""),"上架中")</f>
        <v>上架中</v>
      </c>
      <c r="M406" s="12" t="str">
        <f ca="1">IFERROR(__xludf.DUMMYFUNCTION("""COMPUTED_VALUE"""),"2023/1/1短促，2022/12/1短促，2022/1/1新機上架")</f>
        <v>2023/1/1短促，2022/12/1短促，2022/1/1新機上架</v>
      </c>
      <c r="N406" s="12" t="str">
        <f ca="1">IFERROR(__xludf.DUMMYFUNCTION("""COMPUTED_VALUE"""),"雙門變頻")</f>
        <v>雙門變頻</v>
      </c>
      <c r="O406" s="12" t="str">
        <f ca="1">IFERROR(__xludf.DUMMYFUNCTION("""COMPUTED_VALUE"""),"彩紋銀")</f>
        <v>彩紋銀</v>
      </c>
      <c r="P406" s="12" t="str">
        <f ca="1">IFERROR(__xludf.DUMMYFUNCTION("""COMPUTED_VALUE"""),"610L")</f>
        <v>610L</v>
      </c>
      <c r="Q406" s="12" t="str">
        <f ca="1">IFERROR(__xludf.DUMMYFUNCTION("""COMPUTED_VALUE"""),"1855*754*768mm")</f>
        <v>1855*754*768mm</v>
      </c>
      <c r="R406" s="12" t="str">
        <f ca="1">IFERROR(__xludf.DUMMYFUNCTION("""COMPUTED_VALUE"""),"台灣")</f>
        <v>台灣</v>
      </c>
      <c r="S406" s="12" t="str">
        <f ca="1">IFERROR(__xludf.DUMMYFUNCTION("""COMPUTED_VALUE"""),"V")</f>
        <v>V</v>
      </c>
      <c r="T406" s="12" t="str">
        <f ca="1">IFERROR(__xludf.DUMMYFUNCTION("""COMPUTED_VALUE"""),"1級能效")</f>
        <v>1級能效</v>
      </c>
      <c r="U406" s="12" t="str">
        <f ca="1">IFERROR(__xludf.DUMMYFUNCTION("""COMPUTED_VALUE"""),"1年")</f>
        <v>1年</v>
      </c>
      <c r="V406" s="12" t="str">
        <f ca="1">IFERROR(__xludf.DUMMYFUNCTION("""COMPUTED_VALUE"""),"3年")</f>
        <v>3年</v>
      </c>
      <c r="W406" s="12" t="str">
        <f ca="1">IFERROR(__xludf.DUMMYFUNCTION("""COMPUTED_VALUE"""),"(11/7-114/2/21 )隨貨送聲寶4L雙溫控鴛鴦鍋")</f>
        <v>(11/7-114/2/21 )隨貨送聲寶4L雙溫控鴛鴦鍋</v>
      </c>
      <c r="X406" s="12"/>
      <c r="Y406" s="12">
        <f ca="1">IFERROR(__xludf.DUMMYFUNCTION("""COMPUTED_VALUE"""),610)</f>
        <v>610</v>
      </c>
      <c r="Z406" s="14" t="str">
        <f ca="1">IFERROR(__xludf.DUMMYFUNCTION("""COMPUTED_VALUE"""),"2000")</f>
        <v>2000</v>
      </c>
      <c r="AA406" s="15" t="str">
        <f ca="1">IFERROR(__xludf.DUMMYFUNCTION("""COMPUTED_VALUE"""),"*-3°c微凍鮮魚肉專屬保鮮室*Nano-Ti極光鈦抗菌除臭更有*日本薄壁技術釋放最大容積效率*活動製冰盒可放大冷凍空間")</f>
        <v>*-3°c微凍鮮魚肉專屬保鮮室*Nano-Ti極光鈦抗菌除臭更有*日本薄壁技術釋放最大容積效率*活動製冰盒可放大冷凍空間</v>
      </c>
    </row>
    <row r="407" spans="1:27" ht="19.5" customHeight="1">
      <c r="A407" s="12" t="str">
        <f ca="1">IFERROR(__xludf.DUMMYFUNCTION("""COMPUTED_VALUE"""),"冰箱")</f>
        <v>冰箱</v>
      </c>
      <c r="B407" s="12" t="str">
        <f ca="1">IFERROR(__xludf.DUMMYFUNCTION("""COMPUTED_VALUE"""),"聲寶")</f>
        <v>聲寶</v>
      </c>
      <c r="C407" s="12" t="str">
        <f ca="1">IFERROR(__xludf.DUMMYFUNCTION("""COMPUTED_VALUE"""),"聲寶")</f>
        <v>聲寶</v>
      </c>
      <c r="D407" s="12" t="str">
        <f ca="1">IFERROR(__xludf.DUMMYFUNCTION("""COMPUTED_VALUE"""),"聲寶_535公升一級能效極光鈦變頻雙門冰箱_SR-C53D(S9)")</f>
        <v>聲寶_535公升一級能效極光鈦變頻雙門冰箱_SR-C53D(S9)</v>
      </c>
      <c r="E407" s="12" t="str">
        <f ca="1">IFERROR(__xludf.DUMMYFUNCTION("""COMPUTED_VALUE"""),"SR-C53D(S9)")</f>
        <v>SR-C53D(S9)</v>
      </c>
      <c r="F407" s="12">
        <f ca="1">IFERROR(__xludf.DUMMYFUNCTION("""COMPUTED_VALUE"""),51086298)</f>
        <v>51086298</v>
      </c>
      <c r="G407" s="12" t="str">
        <f ca="1">IFERROR(__xludf.DUMMYFUNCTION("""COMPUTED_VALUE"""),"IGEM095G")</f>
        <v>IGEM095G</v>
      </c>
      <c r="H407" s="13">
        <f ca="1">IFERROR(__xludf.DUMMYFUNCTION("""COMPUTED_VALUE"""),36900)</f>
        <v>36900</v>
      </c>
      <c r="I407" s="18">
        <f ca="1">IFERROR(__xludf.DUMMYFUNCTION("""COMPUTED_VALUE"""),26900)</f>
        <v>26900</v>
      </c>
      <c r="J407" s="12"/>
      <c r="K407" s="12"/>
      <c r="L407" s="12" t="str">
        <f ca="1">IFERROR(__xludf.DUMMYFUNCTION("""COMPUTED_VALUE"""),"上架中")</f>
        <v>上架中</v>
      </c>
      <c r="M407" s="12" t="str">
        <f ca="1">IFERROR(__xludf.DUMMYFUNCTION("""COMPUTED_VALUE"""),"2024/1/1新機上架")</f>
        <v>2024/1/1新機上架</v>
      </c>
      <c r="N407" s="12" t="str">
        <f ca="1">IFERROR(__xludf.DUMMYFUNCTION("""COMPUTED_VALUE"""),"雙門變頻")</f>
        <v>雙門變頻</v>
      </c>
      <c r="O407" s="12" t="str">
        <f ca="1">IFERROR(__xludf.DUMMYFUNCTION("""COMPUTED_VALUE"""),"彩紋銀")</f>
        <v>彩紋銀</v>
      </c>
      <c r="P407" s="12" t="str">
        <f ca="1">IFERROR(__xludf.DUMMYFUNCTION("""COMPUTED_VALUE"""),"535L")</f>
        <v>535L</v>
      </c>
      <c r="Q407" s="12" t="str">
        <f ca="1">IFERROR(__xludf.DUMMYFUNCTION("""COMPUTED_VALUE"""),"1855*754*768mm")</f>
        <v>1855*754*768mm</v>
      </c>
      <c r="R407" s="12" t="str">
        <f ca="1">IFERROR(__xludf.DUMMYFUNCTION("""COMPUTED_VALUE"""),"台灣")</f>
        <v>台灣</v>
      </c>
      <c r="S407" s="12" t="str">
        <f ca="1">IFERROR(__xludf.DUMMYFUNCTION("""COMPUTED_VALUE"""),"V")</f>
        <v>V</v>
      </c>
      <c r="T407" s="12" t="str">
        <f ca="1">IFERROR(__xludf.DUMMYFUNCTION("""COMPUTED_VALUE"""),"1級能效")</f>
        <v>1級能效</v>
      </c>
      <c r="U407" s="12" t="str">
        <f ca="1">IFERROR(__xludf.DUMMYFUNCTION("""COMPUTED_VALUE"""),"1年")</f>
        <v>1年</v>
      </c>
      <c r="V407" s="12" t="str">
        <f ca="1">IFERROR(__xludf.DUMMYFUNCTION("""COMPUTED_VALUE"""),"3年")</f>
        <v>3年</v>
      </c>
      <c r="W407" s="12" t="str">
        <f ca="1">IFERROR(__xludf.DUMMYFUNCTION("""COMPUTED_VALUE"""),"(11/7-114/2/21 )隨貨送德國Carl 愛心系列 28cm單柄炒鍋")</f>
        <v>(11/7-114/2/21 )隨貨送德國Carl 愛心系列 28cm單柄炒鍋</v>
      </c>
      <c r="X407" s="12"/>
      <c r="Y407" s="12">
        <f ca="1">IFERROR(__xludf.DUMMYFUNCTION("""COMPUTED_VALUE"""),535)</f>
        <v>535</v>
      </c>
      <c r="Z407" s="14" t="str">
        <f ca="1">IFERROR(__xludf.DUMMYFUNCTION("""COMPUTED_VALUE"""),"2000")</f>
        <v>2000</v>
      </c>
      <c r="AA407" s="15" t="str">
        <f ca="1">IFERROR(__xludf.DUMMYFUNCTION("""COMPUTED_VALUE"""),"*-3度微凍鮮 Premium Freezing 7天保鮮食材*Nano-Ti 極光鈦抗菌脫臭*負離子抗菌*U-manga/ 白金脫臭*日本同級 鏡面觸控面板*蔬果箱加大設計 輕鬆管理食材*冷凍室/冷藏室 平面式出風柵板、高亮度LED燈*變頻壓縮機、一級能效、R600a環保冷媒")</f>
        <v>*-3度微凍鮮 Premium Freezing 7天保鮮食材*Nano-Ti 極光鈦抗菌脫臭*負離子抗菌*U-manga/ 白金脫臭*日本同級 鏡面觸控面板*蔬果箱加大設計 輕鬆管理食材*冷凍室/冷藏室 平面式出風柵板、高亮度LED燈*變頻壓縮機、一級能效、R600a環保冷媒</v>
      </c>
    </row>
    <row r="408" spans="1:27" ht="19.5" customHeight="1">
      <c r="A408" s="12" t="str">
        <f ca="1">IFERROR(__xludf.DUMMYFUNCTION("""COMPUTED_VALUE"""),"冰箱")</f>
        <v>冰箱</v>
      </c>
      <c r="B408" s="12" t="str">
        <f ca="1">IFERROR(__xludf.DUMMYFUNCTION("""COMPUTED_VALUE"""),"聲寶")</f>
        <v>聲寶</v>
      </c>
      <c r="C408" s="12" t="str">
        <f ca="1">IFERROR(__xludf.DUMMYFUNCTION("""COMPUTED_VALUE"""),"聲寶")</f>
        <v>聲寶</v>
      </c>
      <c r="D408" s="12" t="str">
        <f ca="1">IFERROR(__xludf.DUMMYFUNCTION("""COMPUTED_VALUE"""),"聲寶_580公升一級能效極光鈦變頻雙門冰箱_SR-C58D(S9)")</f>
        <v>聲寶_580公升一級能效極光鈦變頻雙門冰箱_SR-C58D(S9)</v>
      </c>
      <c r="E408" s="12" t="str">
        <f ca="1">IFERROR(__xludf.DUMMYFUNCTION("""COMPUTED_VALUE"""),"SR-C58D(S9)")</f>
        <v>SR-C58D(S9)</v>
      </c>
      <c r="F408" s="12">
        <f ca="1">IFERROR(__xludf.DUMMYFUNCTION("""COMPUTED_VALUE"""),51086300)</f>
        <v>51086300</v>
      </c>
      <c r="G408" s="12" t="str">
        <f ca="1">IFERROR(__xludf.DUMMYFUNCTION("""COMPUTED_VALUE"""),"IGEM095I")</f>
        <v>IGEM095I</v>
      </c>
      <c r="H408" s="13">
        <f ca="1">IFERROR(__xludf.DUMMYFUNCTION("""COMPUTED_VALUE"""),38900)</f>
        <v>38900</v>
      </c>
      <c r="I408" s="18">
        <f ca="1">IFERROR(__xludf.DUMMYFUNCTION("""COMPUTED_VALUE"""),28900)</f>
        <v>28900</v>
      </c>
      <c r="J408" s="12"/>
      <c r="K408" s="12"/>
      <c r="L408" s="12" t="str">
        <f ca="1">IFERROR(__xludf.DUMMYFUNCTION("""COMPUTED_VALUE"""),"上架中")</f>
        <v>上架中</v>
      </c>
      <c r="M408" s="12" t="str">
        <f ca="1">IFERROR(__xludf.DUMMYFUNCTION("""COMPUTED_VALUE"""),"2024/1/1新機上架")</f>
        <v>2024/1/1新機上架</v>
      </c>
      <c r="N408" s="12" t="str">
        <f ca="1">IFERROR(__xludf.DUMMYFUNCTION("""COMPUTED_VALUE"""),"雙門變頻")</f>
        <v>雙門變頻</v>
      </c>
      <c r="O408" s="12" t="str">
        <f ca="1">IFERROR(__xludf.DUMMYFUNCTION("""COMPUTED_VALUE"""),"彩紋銀")</f>
        <v>彩紋銀</v>
      </c>
      <c r="P408" s="12" t="str">
        <f ca="1">IFERROR(__xludf.DUMMYFUNCTION("""COMPUTED_VALUE"""),"580L")</f>
        <v>580L</v>
      </c>
      <c r="Q408" s="12" t="str">
        <f ca="1">IFERROR(__xludf.DUMMYFUNCTION("""COMPUTED_VALUE"""),"1836*752*766mm")</f>
        <v>1836*752*766mm</v>
      </c>
      <c r="R408" s="12" t="str">
        <f ca="1">IFERROR(__xludf.DUMMYFUNCTION("""COMPUTED_VALUE"""),"台灣")</f>
        <v>台灣</v>
      </c>
      <c r="S408" s="12" t="str">
        <f ca="1">IFERROR(__xludf.DUMMYFUNCTION("""COMPUTED_VALUE"""),"V")</f>
        <v>V</v>
      </c>
      <c r="T408" s="12" t="str">
        <f ca="1">IFERROR(__xludf.DUMMYFUNCTION("""COMPUTED_VALUE"""),"1級能效")</f>
        <v>1級能效</v>
      </c>
      <c r="U408" s="12" t="str">
        <f ca="1">IFERROR(__xludf.DUMMYFUNCTION("""COMPUTED_VALUE"""),"1年")</f>
        <v>1年</v>
      </c>
      <c r="V408" s="12" t="str">
        <f ca="1">IFERROR(__xludf.DUMMYFUNCTION("""COMPUTED_VALUE"""),"3年")</f>
        <v>3年</v>
      </c>
      <c r="W408" s="12" t="str">
        <f ca="1">IFERROR(__xludf.DUMMYFUNCTION("""COMPUTED_VALUE"""),"(11/7-114/2/21 )隨貨送德國Carl 愛心系列 28cm單柄炒鍋")</f>
        <v>(11/7-114/2/21 )隨貨送德國Carl 愛心系列 28cm單柄炒鍋</v>
      </c>
      <c r="X408" s="12"/>
      <c r="Y408" s="12">
        <f ca="1">IFERROR(__xludf.DUMMYFUNCTION("""COMPUTED_VALUE"""),580)</f>
        <v>580</v>
      </c>
      <c r="Z408" s="14" t="str">
        <f ca="1">IFERROR(__xludf.DUMMYFUNCTION("""COMPUTED_VALUE"""),"2000")</f>
        <v>2000</v>
      </c>
      <c r="AA408" s="15" t="str">
        <f ca="1">IFERROR(__xludf.DUMMYFUNCTION("""COMPUTED_VALUE"""),"*Nano-Ti 極光鈦抗菌脫臭*負離子抗菌*U-manga/ 白金脫臭*日本同級 鏡面觸控面板*蔬果箱加大設計 輕鬆管理食材*導入日本VIP真空斷熱材 高效保冷更節能*冷凍室/冷藏室 平面式出風柵板、高亮度LED燈*變頻壓縮機、一級能效、R600a環保冷媒")</f>
        <v>*Nano-Ti 極光鈦抗菌脫臭*負離子抗菌*U-manga/ 白金脫臭*日本同級 鏡面觸控面板*蔬果箱加大設計 輕鬆管理食材*導入日本VIP真空斷熱材 高效保冷更節能*冷凍室/冷藏室 平面式出風柵板、高亮度LED燈*變頻壓縮機、一級能效、R600a環保冷媒</v>
      </c>
    </row>
    <row r="409" spans="1:27" ht="19.5" customHeight="1">
      <c r="A409" s="12" t="str">
        <f ca="1">IFERROR(__xludf.DUMMYFUNCTION("""COMPUTED_VALUE"""),"冰箱")</f>
        <v>冰箱</v>
      </c>
      <c r="B409" s="12" t="str">
        <f ca="1">IFERROR(__xludf.DUMMYFUNCTION("""COMPUTED_VALUE"""),"聲寶")</f>
        <v>聲寶</v>
      </c>
      <c r="C409" s="12" t="str">
        <f ca="1">IFERROR(__xludf.DUMMYFUNCTION("""COMPUTED_VALUE"""),"聲寶")</f>
        <v>聲寶</v>
      </c>
      <c r="D409" s="12" t="str">
        <f ca="1">IFERROR(__xludf.DUMMYFUNCTION("""COMPUTED_VALUE"""),"聲寶_250公升極光鈦星美滿一級變頻冰箱_SR-C25D(G6)")</f>
        <v>聲寶_250公升極光鈦星美滿一級變頻冰箱_SR-C25D(G6)</v>
      </c>
      <c r="E409" s="12" t="str">
        <f ca="1">IFERROR(__xludf.DUMMYFUNCTION("""COMPUTED_VALUE"""),"SR-C25D(G6)")</f>
        <v>SR-C25D(G6)</v>
      </c>
      <c r="F409" s="12">
        <f ca="1">IFERROR(__xludf.DUMMYFUNCTION("""COMPUTED_VALUE"""),51086302)</f>
        <v>51086302</v>
      </c>
      <c r="G409" s="12" t="str">
        <f ca="1">IFERROR(__xludf.DUMMYFUNCTION("""COMPUTED_VALUE"""),"IGEM095K")</f>
        <v>IGEM095K</v>
      </c>
      <c r="H409" s="13">
        <f ca="1">IFERROR(__xludf.DUMMYFUNCTION("""COMPUTED_VALUE"""),21490)</f>
        <v>21490</v>
      </c>
      <c r="I409" s="14">
        <f ca="1">IFERROR(__xludf.DUMMYFUNCTION("""COMPUTED_VALUE"""),17900)</f>
        <v>17900</v>
      </c>
      <c r="J409" s="16">
        <f ca="1">IFERROR(__xludf.DUMMYFUNCTION("""COMPUTED_VALUE"""),45444)</f>
        <v>45444</v>
      </c>
      <c r="K409" s="12" t="str">
        <f ca="1">IFERROR(__xludf.DUMMYFUNCTION("""COMPUTED_VALUE"""),"短促")</f>
        <v>短促</v>
      </c>
      <c r="L409" s="12" t="str">
        <f ca="1">IFERROR(__xludf.DUMMYFUNCTION("""COMPUTED_VALUE"""),"上架中")</f>
        <v>上架中</v>
      </c>
      <c r="M409" s="12" t="str">
        <f ca="1">IFERROR(__xludf.DUMMYFUNCTION("""COMPUTED_VALUE"""),"2024/1/1新機上架")</f>
        <v>2024/1/1新機上架</v>
      </c>
      <c r="N409" s="12" t="str">
        <f ca="1">IFERROR(__xludf.DUMMYFUNCTION("""COMPUTED_VALUE"""),"雙門變頻")</f>
        <v>雙門變頻</v>
      </c>
      <c r="O409" s="12" t="str">
        <f ca="1">IFERROR(__xludf.DUMMYFUNCTION("""COMPUTED_VALUE"""),"星辰灰")</f>
        <v>星辰灰</v>
      </c>
      <c r="P409" s="12" t="str">
        <f ca="1">IFERROR(__xludf.DUMMYFUNCTION("""COMPUTED_VALUE"""),"250L")</f>
        <v>250L</v>
      </c>
      <c r="Q409" s="12" t="str">
        <f ca="1">IFERROR(__xludf.DUMMYFUNCTION("""COMPUTED_VALUE"""),"1660*594*597mm")</f>
        <v>1660*594*597mm</v>
      </c>
      <c r="R409" s="12" t="str">
        <f ca="1">IFERROR(__xludf.DUMMYFUNCTION("""COMPUTED_VALUE"""),"台灣")</f>
        <v>台灣</v>
      </c>
      <c r="S409" s="12" t="str">
        <f ca="1">IFERROR(__xludf.DUMMYFUNCTION("""COMPUTED_VALUE"""),"V/環保標章")</f>
        <v>V/環保標章</v>
      </c>
      <c r="T409" s="12" t="str">
        <f ca="1">IFERROR(__xludf.DUMMYFUNCTION("""COMPUTED_VALUE"""),"1級能效")</f>
        <v>1級能效</v>
      </c>
      <c r="U409" s="12" t="str">
        <f ca="1">IFERROR(__xludf.DUMMYFUNCTION("""COMPUTED_VALUE"""),"1年")</f>
        <v>1年</v>
      </c>
      <c r="V409" s="12" t="str">
        <f ca="1">IFERROR(__xludf.DUMMYFUNCTION("""COMPUTED_VALUE"""),"3年")</f>
        <v>3年</v>
      </c>
      <c r="W409" s="12" t="str">
        <f ca="1">IFERROR(__xludf.DUMMYFUNCTION("""COMPUTED_VALUE"""),"(11/7-114/2/21 )隨貨送聲寶1.4L美食鍋")</f>
        <v>(11/7-114/2/21 )隨貨送聲寶1.4L美食鍋</v>
      </c>
      <c r="X409" s="12"/>
      <c r="Y409" s="12">
        <f ca="1">IFERROR(__xludf.DUMMYFUNCTION("""COMPUTED_VALUE"""),250)</f>
        <v>250</v>
      </c>
      <c r="Z409" s="14" t="str">
        <f ca="1">IFERROR(__xludf.DUMMYFUNCTION("""COMPUTED_VALUE"""),"1200")</f>
        <v>1200</v>
      </c>
      <c r="AA409" s="15" t="str">
        <f ca="1">IFERROR(__xludf.DUMMYFUNCTION("""COMPUTED_VALUE"""),"*Nano Ti 極光鈦高效抗菌鍍膜*負離子抗菌*白金 / U-manga/ Nano Ti 極光鈦 三脫臭功能*冰溫保鮮室*冷凍室/冷藏室 平面式出風柵板*R600a環保冷媒*R600a環保冷媒*冷凍庫活動式製冰盒*節能標章、環保標章、信譽品牌*節能標章、環保標章、信譽品牌					
")</f>
        <v xml:space="preserve">*Nano Ti 極光鈦高效抗菌鍍膜*負離子抗菌*白金 / U-manga/ Nano Ti 極光鈦 三脫臭功能*冰溫保鮮室*冷凍室/冷藏室 平面式出風柵板*R600a環保冷媒*R600a環保冷媒*冷凍庫活動式製冰盒*節能標章、環保標章、信譽品牌*節能標章、環保標章、信譽品牌					
</v>
      </c>
    </row>
    <row r="410" spans="1:27" ht="19.5" customHeight="1">
      <c r="A410" s="12" t="str">
        <f ca="1">IFERROR(__xludf.DUMMYFUNCTION("""COMPUTED_VALUE"""),"冰箱")</f>
        <v>冰箱</v>
      </c>
      <c r="B410" s="12" t="str">
        <f ca="1">IFERROR(__xludf.DUMMYFUNCTION("""COMPUTED_VALUE"""),"聲寶")</f>
        <v>聲寶</v>
      </c>
      <c r="C410" s="12" t="str">
        <f ca="1">IFERROR(__xludf.DUMMYFUNCTION("""COMPUTED_VALUE"""),"聲寶")</f>
        <v>聲寶</v>
      </c>
      <c r="D410" s="12" t="str">
        <f ca="1">IFERROR(__xludf.DUMMYFUNCTION("""COMPUTED_VALUE"""),"聲寶_250公升極光鈦星美滿一級變頻冰箱_SR-C25D(Y9)")</f>
        <v>聲寶_250公升極光鈦星美滿一級變頻冰箱_SR-C25D(Y9)</v>
      </c>
      <c r="E410" s="12" t="str">
        <f ca="1">IFERROR(__xludf.DUMMYFUNCTION("""COMPUTED_VALUE"""),"SR-C25D(Y9)")</f>
        <v>SR-C25D(Y9)</v>
      </c>
      <c r="F410" s="12">
        <f ca="1">IFERROR(__xludf.DUMMYFUNCTION("""COMPUTED_VALUE"""),51086303)</f>
        <v>51086303</v>
      </c>
      <c r="G410" s="12" t="str">
        <f ca="1">IFERROR(__xludf.DUMMYFUNCTION("""COMPUTED_VALUE"""),"IGEM095L")</f>
        <v>IGEM095L</v>
      </c>
      <c r="H410" s="13">
        <f ca="1">IFERROR(__xludf.DUMMYFUNCTION("""COMPUTED_VALUE"""),21490)</f>
        <v>21490</v>
      </c>
      <c r="I410" s="14">
        <f ca="1">IFERROR(__xludf.DUMMYFUNCTION("""COMPUTED_VALUE"""),17900)</f>
        <v>17900</v>
      </c>
      <c r="J410" s="16">
        <f ca="1">IFERROR(__xludf.DUMMYFUNCTION("""COMPUTED_VALUE"""),45444)</f>
        <v>45444</v>
      </c>
      <c r="K410" s="12" t="str">
        <f ca="1">IFERROR(__xludf.DUMMYFUNCTION("""COMPUTED_VALUE"""),"短促")</f>
        <v>短促</v>
      </c>
      <c r="L410" s="12" t="str">
        <f ca="1">IFERROR(__xludf.DUMMYFUNCTION("""COMPUTED_VALUE"""),"上架中")</f>
        <v>上架中</v>
      </c>
      <c r="M410" s="12" t="str">
        <f ca="1">IFERROR(__xludf.DUMMYFUNCTION("""COMPUTED_VALUE"""),"2024/1/1新機上架")</f>
        <v>2024/1/1新機上架</v>
      </c>
      <c r="N410" s="12" t="str">
        <f ca="1">IFERROR(__xludf.DUMMYFUNCTION("""COMPUTED_VALUE"""),"雙門變頻")</f>
        <v>雙門變頻</v>
      </c>
      <c r="O410" s="12" t="str">
        <f ca="1">IFERROR(__xludf.DUMMYFUNCTION("""COMPUTED_VALUE"""),"晶鑽金")</f>
        <v>晶鑽金</v>
      </c>
      <c r="P410" s="12" t="str">
        <f ca="1">IFERROR(__xludf.DUMMYFUNCTION("""COMPUTED_VALUE"""),"250L")</f>
        <v>250L</v>
      </c>
      <c r="Q410" s="12" t="str">
        <f ca="1">IFERROR(__xludf.DUMMYFUNCTION("""COMPUTED_VALUE"""),"1660*594*597mm")</f>
        <v>1660*594*597mm</v>
      </c>
      <c r="R410" s="12" t="str">
        <f ca="1">IFERROR(__xludf.DUMMYFUNCTION("""COMPUTED_VALUE"""),"台灣")</f>
        <v>台灣</v>
      </c>
      <c r="S410" s="12" t="str">
        <f ca="1">IFERROR(__xludf.DUMMYFUNCTION("""COMPUTED_VALUE"""),"V/環保標章")</f>
        <v>V/環保標章</v>
      </c>
      <c r="T410" s="12" t="str">
        <f ca="1">IFERROR(__xludf.DUMMYFUNCTION("""COMPUTED_VALUE"""),"1級能效")</f>
        <v>1級能效</v>
      </c>
      <c r="U410" s="12" t="str">
        <f ca="1">IFERROR(__xludf.DUMMYFUNCTION("""COMPUTED_VALUE"""),"1年")</f>
        <v>1年</v>
      </c>
      <c r="V410" s="12" t="str">
        <f ca="1">IFERROR(__xludf.DUMMYFUNCTION("""COMPUTED_VALUE"""),"3年")</f>
        <v>3年</v>
      </c>
      <c r="W410" s="12" t="str">
        <f ca="1">IFERROR(__xludf.DUMMYFUNCTION("""COMPUTED_VALUE"""),"(11/7-114/2/21 )隨貨送聲寶1.4L美食鍋")</f>
        <v>(11/7-114/2/21 )隨貨送聲寶1.4L美食鍋</v>
      </c>
      <c r="X410" s="12"/>
      <c r="Y410" s="12">
        <f ca="1">IFERROR(__xludf.DUMMYFUNCTION("""COMPUTED_VALUE"""),250)</f>
        <v>250</v>
      </c>
      <c r="Z410" s="14" t="str">
        <f ca="1">IFERROR(__xludf.DUMMYFUNCTION("""COMPUTED_VALUE"""),"1200")</f>
        <v>1200</v>
      </c>
      <c r="AA410" s="15" t="str">
        <f ca="1">IFERROR(__xludf.DUMMYFUNCTION("""COMPUTED_VALUE"""),"*Nano Ti 極光鈦高效抗菌鍍膜*負離子抗菌*白金 / U-manga/ Nano Ti 極光鈦 三脫臭功能*冰溫保鮮室*冷凍室/冷藏室 平面式出風柵*R600a環保冷媒*冷藏庫LED照明燈*冷凍庫活動式製冰盒*節能標章、環保標章、信譽品牌*節能標章、環保標章、信譽品牌			")</f>
        <v xml:space="preserve">*Nano Ti 極光鈦高效抗菌鍍膜*負離子抗菌*白金 / U-manga/ Nano Ti 極光鈦 三脫臭功能*冰溫保鮮室*冷凍室/冷藏室 平面式出風柵*R600a環保冷媒*冷藏庫LED照明燈*冷凍庫活動式製冰盒*節能標章、環保標章、信譽品牌*節能標章、環保標章、信譽品牌			</v>
      </c>
    </row>
    <row r="411" spans="1:27" ht="19.5" customHeight="1">
      <c r="A411" s="12" t="str">
        <f ca="1">IFERROR(__xludf.DUMMYFUNCTION("""COMPUTED_VALUE"""),"冰箱")</f>
        <v>冰箱</v>
      </c>
      <c r="B411" s="12" t="str">
        <f ca="1">IFERROR(__xludf.DUMMYFUNCTION("""COMPUTED_VALUE"""),"聲寶")</f>
        <v>聲寶</v>
      </c>
      <c r="C411" s="12" t="str">
        <f ca="1">IFERROR(__xludf.DUMMYFUNCTION("""COMPUTED_VALUE"""),"聲寶")</f>
        <v>聲寶</v>
      </c>
      <c r="D411" s="12" t="str">
        <f ca="1">IFERROR(__xludf.DUMMYFUNCTION("""COMPUTED_VALUE"""),"聲寶_580公升一級能效極光鈦變頻三門冰箱_SR-C58DV(Y7)")</f>
        <v>聲寶_580公升一級能效極光鈦變頻三門冰箱_SR-C58DV(Y7)</v>
      </c>
      <c r="E411" s="12" t="str">
        <f ca="1">IFERROR(__xludf.DUMMYFUNCTION("""COMPUTED_VALUE"""),"SR-C58DV(Y7)")</f>
        <v>SR-C58DV(Y7)</v>
      </c>
      <c r="F411" s="12">
        <f ca="1">IFERROR(__xludf.DUMMYFUNCTION("""COMPUTED_VALUE"""),51086301)</f>
        <v>51086301</v>
      </c>
      <c r="G411" s="12" t="str">
        <f ca="1">IFERROR(__xludf.DUMMYFUNCTION("""COMPUTED_VALUE"""),"IGEM095J")</f>
        <v>IGEM095J</v>
      </c>
      <c r="H411" s="13">
        <f ca="1">IFERROR(__xludf.DUMMYFUNCTION("""COMPUTED_VALUE"""),39900)</f>
        <v>39900</v>
      </c>
      <c r="I411" s="14">
        <f ca="1">IFERROR(__xludf.DUMMYFUNCTION("""COMPUTED_VALUE"""),29900)</f>
        <v>29900</v>
      </c>
      <c r="J411" s="16">
        <f ca="1">IFERROR(__xludf.DUMMYFUNCTION("""COMPUTED_VALUE"""),45413)</f>
        <v>45413</v>
      </c>
      <c r="K411" s="12" t="str">
        <f ca="1">IFERROR(__xludf.DUMMYFUNCTION("""COMPUTED_VALUE"""),"短促")</f>
        <v>短促</v>
      </c>
      <c r="L411" s="12" t="str">
        <f ca="1">IFERROR(__xludf.DUMMYFUNCTION("""COMPUTED_VALUE"""),"上架中")</f>
        <v>上架中</v>
      </c>
      <c r="M411" s="12" t="str">
        <f ca="1">IFERROR(__xludf.DUMMYFUNCTION("""COMPUTED_VALUE"""),"2024/1/1新機上架")</f>
        <v>2024/1/1新機上架</v>
      </c>
      <c r="N411" s="12" t="str">
        <f ca="1">IFERROR(__xludf.DUMMYFUNCTION("""COMPUTED_VALUE"""),"三門變頻")</f>
        <v>三門變頻</v>
      </c>
      <c r="O411" s="12" t="str">
        <f ca="1">IFERROR(__xludf.DUMMYFUNCTION("""COMPUTED_VALUE"""),"炫麥金")</f>
        <v>炫麥金</v>
      </c>
      <c r="P411" s="12" t="str">
        <f ca="1">IFERROR(__xludf.DUMMYFUNCTION("""COMPUTED_VALUE"""),"580L")</f>
        <v>580L</v>
      </c>
      <c r="Q411" s="12" t="str">
        <f ca="1">IFERROR(__xludf.DUMMYFUNCTION("""COMPUTED_VALUE"""),"1836*752*766mm")</f>
        <v>1836*752*766mm</v>
      </c>
      <c r="R411" s="12" t="str">
        <f ca="1">IFERROR(__xludf.DUMMYFUNCTION("""COMPUTED_VALUE"""),"台灣")</f>
        <v>台灣</v>
      </c>
      <c r="S411" s="12" t="str">
        <f ca="1">IFERROR(__xludf.DUMMYFUNCTION("""COMPUTED_VALUE"""),"V")</f>
        <v>V</v>
      </c>
      <c r="T411" s="12" t="str">
        <f ca="1">IFERROR(__xludf.DUMMYFUNCTION("""COMPUTED_VALUE"""),"1級能效")</f>
        <v>1級能效</v>
      </c>
      <c r="U411" s="12" t="str">
        <f ca="1">IFERROR(__xludf.DUMMYFUNCTION("""COMPUTED_VALUE"""),"1年")</f>
        <v>1年</v>
      </c>
      <c r="V411" s="12" t="str">
        <f ca="1">IFERROR(__xludf.DUMMYFUNCTION("""COMPUTED_VALUE"""),"3年")</f>
        <v>3年</v>
      </c>
      <c r="W411" s="12" t="str">
        <f ca="1">IFERROR(__xludf.DUMMYFUNCTION("""COMPUTED_VALUE"""),"(11/7-114/2/21 )隨貨送德國Carl 愛心系列 28cm單柄炒鍋")</f>
        <v>(11/7-114/2/21 )隨貨送德國Carl 愛心系列 28cm單柄炒鍋</v>
      </c>
      <c r="X411" s="12"/>
      <c r="Y411" s="12">
        <f ca="1">IFERROR(__xludf.DUMMYFUNCTION("""COMPUTED_VALUE"""),580)</f>
        <v>580</v>
      </c>
      <c r="Z411" s="14" t="str">
        <f ca="1">IFERROR(__xludf.DUMMYFUNCTION("""COMPUTED_VALUE"""),"2000")</f>
        <v>2000</v>
      </c>
      <c r="AA411" s="15" t="str">
        <f ca="1">IFERROR(__xludf.DUMMYFUNCTION("""COMPUTED_VALUE"""),"*Nano-Ti 極光鈦抗菌脫臭*負離子抗菌*U-manga/ 白金脫臭*日本同級 鏡面觸控面板*導入日本VIP真空斷熱材 高效保冷更節能*冷凍室/冷藏室 平面式出風柵板、高亮度LED燈*變頻壓縮機、一級能效、R600a環保冷媒")</f>
        <v>*Nano-Ti 極光鈦抗菌脫臭*負離子抗菌*U-manga/ 白金脫臭*日本同級 鏡面觸控面板*導入日本VIP真空斷熱材 高效保冷更節能*冷凍室/冷藏室 平面式出風柵板、高亮度LED燈*變頻壓縮機、一級能效、R600a環保冷媒</v>
      </c>
    </row>
    <row r="412" spans="1:27" ht="19.5" customHeight="1">
      <c r="A412" s="12" t="str">
        <f ca="1">IFERROR(__xludf.DUMMYFUNCTION("""COMPUTED_VALUE"""),"冰箱")</f>
        <v>冰箱</v>
      </c>
      <c r="B412" s="12" t="str">
        <f ca="1">IFERROR(__xludf.DUMMYFUNCTION("""COMPUTED_VALUE"""),"聲寶")</f>
        <v>聲寶</v>
      </c>
      <c r="C412" s="12" t="str">
        <f ca="1">IFERROR(__xludf.DUMMYFUNCTION("""COMPUTED_VALUE"""),"聲寶")</f>
        <v>聲寶</v>
      </c>
      <c r="D412" s="12" t="str">
        <f ca="1">IFERROR(__xludf.DUMMYFUNCTION("""COMPUTED_VALUE"""),"聲寶_530公升一級能效極光鈦變頻三門冰箱_SR-C53DV(Y7)")</f>
        <v>聲寶_530公升一級能效極光鈦變頻三門冰箱_SR-C53DV(Y7)</v>
      </c>
      <c r="E412" s="12" t="str">
        <f ca="1">IFERROR(__xludf.DUMMYFUNCTION("""COMPUTED_VALUE"""),"SR-C53DV(Y7)")</f>
        <v>SR-C53DV(Y7)</v>
      </c>
      <c r="F412" s="12">
        <f ca="1">IFERROR(__xludf.DUMMYFUNCTION("""COMPUTED_VALUE"""),51086299)</f>
        <v>51086299</v>
      </c>
      <c r="G412" s="12" t="str">
        <f ca="1">IFERROR(__xludf.DUMMYFUNCTION("""COMPUTED_VALUE"""),"IGEM095H")</f>
        <v>IGEM095H</v>
      </c>
      <c r="H412" s="13">
        <f ca="1">IFERROR(__xludf.DUMMYFUNCTION("""COMPUTED_VALUE"""),38900)</f>
        <v>38900</v>
      </c>
      <c r="I412" s="18">
        <f ca="1">IFERROR(__xludf.DUMMYFUNCTION("""COMPUTED_VALUE"""),28900)</f>
        <v>28900</v>
      </c>
      <c r="J412" s="12"/>
      <c r="K412" s="12"/>
      <c r="L412" s="12" t="str">
        <f ca="1">IFERROR(__xludf.DUMMYFUNCTION("""COMPUTED_VALUE"""),"上架中")</f>
        <v>上架中</v>
      </c>
      <c r="M412" s="12" t="str">
        <f ca="1">IFERROR(__xludf.DUMMYFUNCTION("""COMPUTED_VALUE"""),"2024/1/1新機上架")</f>
        <v>2024/1/1新機上架</v>
      </c>
      <c r="N412" s="12" t="str">
        <f ca="1">IFERROR(__xludf.DUMMYFUNCTION("""COMPUTED_VALUE"""),"三門變頻")</f>
        <v>三門變頻</v>
      </c>
      <c r="O412" s="12" t="str">
        <f ca="1">IFERROR(__xludf.DUMMYFUNCTION("""COMPUTED_VALUE"""),"炫麥金")</f>
        <v>炫麥金</v>
      </c>
      <c r="P412" s="12" t="str">
        <f ca="1">IFERROR(__xludf.DUMMYFUNCTION("""COMPUTED_VALUE"""),"530L")</f>
        <v>530L</v>
      </c>
      <c r="Q412" s="12" t="str">
        <f ca="1">IFERROR(__xludf.DUMMYFUNCTION("""COMPUTED_VALUE"""),"1855*754*768mm")</f>
        <v>1855*754*768mm</v>
      </c>
      <c r="R412" s="12" t="str">
        <f ca="1">IFERROR(__xludf.DUMMYFUNCTION("""COMPUTED_VALUE"""),"台灣")</f>
        <v>台灣</v>
      </c>
      <c r="S412" s="12" t="str">
        <f ca="1">IFERROR(__xludf.DUMMYFUNCTION("""COMPUTED_VALUE"""),"V")</f>
        <v>V</v>
      </c>
      <c r="T412" s="12" t="str">
        <f ca="1">IFERROR(__xludf.DUMMYFUNCTION("""COMPUTED_VALUE"""),"1級能效")</f>
        <v>1級能效</v>
      </c>
      <c r="U412" s="12" t="str">
        <f ca="1">IFERROR(__xludf.DUMMYFUNCTION("""COMPUTED_VALUE"""),"1年")</f>
        <v>1年</v>
      </c>
      <c r="V412" s="12" t="str">
        <f ca="1">IFERROR(__xludf.DUMMYFUNCTION("""COMPUTED_VALUE"""),"3年")</f>
        <v>3年</v>
      </c>
      <c r="W412" s="12" t="str">
        <f ca="1">IFERROR(__xludf.DUMMYFUNCTION("""COMPUTED_VALUE"""),"(11/7-114/2/21 )隨貨送德國Carl 愛心系列 28cm單柄炒鍋")</f>
        <v>(11/7-114/2/21 )隨貨送德國Carl 愛心系列 28cm單柄炒鍋</v>
      </c>
      <c r="X412" s="12"/>
      <c r="Y412" s="12">
        <f ca="1">IFERROR(__xludf.DUMMYFUNCTION("""COMPUTED_VALUE"""),530)</f>
        <v>530</v>
      </c>
      <c r="Z412" s="14" t="str">
        <f ca="1">IFERROR(__xludf.DUMMYFUNCTION("""COMPUTED_VALUE"""),"2000")</f>
        <v>2000</v>
      </c>
      <c r="AA412" s="15" t="str">
        <f ca="1">IFERROR(__xludf.DUMMYFUNCTION("""COMPUTED_VALUE"""),"*-3度微凍鮮 Premium Freezing 7天保鮮食材*Nano-Ti 極光鈦抗菌脫臭*負離子抗菌*U-manga/ 白金脫臭*日本同級 鏡面觸控面板*冷凍室/冷藏室 平面式出風柵板、高亮度LED燈*變頻壓縮機、一級能效、R600a環保冷媒")</f>
        <v>*-3度微凍鮮 Premium Freezing 7天保鮮食材*Nano-Ti 極光鈦抗菌脫臭*負離子抗菌*U-manga/ 白金脫臭*日本同級 鏡面觸控面板*冷凍室/冷藏室 平面式出風柵板、高亮度LED燈*變頻壓縮機、一級能效、R600a環保冷媒</v>
      </c>
    </row>
    <row r="413" spans="1:27" ht="19.5" customHeight="1">
      <c r="A413" s="12" t="str">
        <f ca="1">IFERROR(__xludf.DUMMYFUNCTION("""COMPUTED_VALUE"""),"冰箱")</f>
        <v>冰箱</v>
      </c>
      <c r="B413" s="12" t="str">
        <f ca="1">IFERROR(__xludf.DUMMYFUNCTION("""COMPUTED_VALUE"""),"聲寶")</f>
        <v>聲寶</v>
      </c>
      <c r="C413" s="12" t="str">
        <f ca="1">IFERROR(__xludf.DUMMYFUNCTION("""COMPUTED_VALUE"""),"聲寶")</f>
        <v>聲寶</v>
      </c>
      <c r="D413" s="12" t="str">
        <f ca="1">IFERROR(__xludf.DUMMYFUNCTION("""COMPUTED_VALUE"""),"聲寶605L極光鈦三門變頻冰箱(香檳金)SR-C61DV(Y5)")</f>
        <v>聲寶605L極光鈦三門變頻冰箱(香檳金)SR-C61DV(Y5)</v>
      </c>
      <c r="E413" s="12" t="str">
        <f ca="1">IFERROR(__xludf.DUMMYFUNCTION("""COMPUTED_VALUE"""),"SR-C61DV(Y5)")</f>
        <v>SR-C61DV(Y5)</v>
      </c>
      <c r="F413" s="12">
        <f ca="1">IFERROR(__xludf.DUMMYFUNCTION("""COMPUTED_VALUE"""),51086211)</f>
        <v>51086211</v>
      </c>
      <c r="G413" s="12" t="str">
        <f ca="1">IFERROR(__xludf.DUMMYFUNCTION("""COMPUTED_VALUE"""),"IGEM053P")</f>
        <v>IGEM053P</v>
      </c>
      <c r="H413" s="12">
        <f ca="1">IFERROR(__xludf.DUMMYFUNCTION("""COMPUTED_VALUE"""),42900)</f>
        <v>42900</v>
      </c>
      <c r="I413" s="14">
        <f ca="1">IFERROR(__xludf.DUMMYFUNCTION("""COMPUTED_VALUE"""),32000)</f>
        <v>32000</v>
      </c>
      <c r="J413" s="16">
        <f ca="1">IFERROR(__xludf.DUMMYFUNCTION("""COMPUTED_VALUE"""),45108)</f>
        <v>45108</v>
      </c>
      <c r="K413" s="12" t="str">
        <f ca="1">IFERROR(__xludf.DUMMYFUNCTION("""COMPUTED_VALUE"""),"回價")</f>
        <v>回價</v>
      </c>
      <c r="L413" s="12" t="str">
        <f ca="1">IFERROR(__xludf.DUMMYFUNCTION("""COMPUTED_VALUE"""),"上架中")</f>
        <v>上架中</v>
      </c>
      <c r="M413" s="12" t="str">
        <f ca="1">IFERROR(__xludf.DUMMYFUNCTION("""COMPUTED_VALUE"""),"2022/12/1短促，2022/1/1新機上架")</f>
        <v>2022/12/1短促，2022/1/1新機上架</v>
      </c>
      <c r="N413" s="12" t="str">
        <f ca="1">IFERROR(__xludf.DUMMYFUNCTION("""COMPUTED_VALUE"""),"三門變頻")</f>
        <v>三門變頻</v>
      </c>
      <c r="O413" s="12" t="str">
        <f ca="1">IFERROR(__xludf.DUMMYFUNCTION("""COMPUTED_VALUE"""),"香檳金")</f>
        <v>香檳金</v>
      </c>
      <c r="P413" s="12" t="str">
        <f ca="1">IFERROR(__xludf.DUMMYFUNCTION("""COMPUTED_VALUE"""),"605L")</f>
        <v>605L</v>
      </c>
      <c r="Q413" s="12" t="str">
        <f ca="1">IFERROR(__xludf.DUMMYFUNCTION("""COMPUTED_VALUE"""),"1854*752*760mm")</f>
        <v>1854*752*760mm</v>
      </c>
      <c r="R413" s="12" t="str">
        <f ca="1">IFERROR(__xludf.DUMMYFUNCTION("""COMPUTED_VALUE"""),"台灣")</f>
        <v>台灣</v>
      </c>
      <c r="S413" s="12" t="str">
        <f ca="1">IFERROR(__xludf.DUMMYFUNCTION("""COMPUTED_VALUE"""),"V")</f>
        <v>V</v>
      </c>
      <c r="T413" s="12" t="str">
        <f ca="1">IFERROR(__xludf.DUMMYFUNCTION("""COMPUTED_VALUE"""),"1級能效")</f>
        <v>1級能效</v>
      </c>
      <c r="U413" s="12" t="str">
        <f ca="1">IFERROR(__xludf.DUMMYFUNCTION("""COMPUTED_VALUE"""),"1年")</f>
        <v>1年</v>
      </c>
      <c r="V413" s="12" t="str">
        <f ca="1">IFERROR(__xludf.DUMMYFUNCTION("""COMPUTED_VALUE"""),"3年")</f>
        <v>3年</v>
      </c>
      <c r="W413" s="12" t="str">
        <f ca="1">IFERROR(__xludf.DUMMYFUNCTION("""COMPUTED_VALUE"""),"(11/7-114/2/21 )隨貨送聲寶4L雙溫控鴛鴦鍋")</f>
        <v>(11/7-114/2/21 )隨貨送聲寶4L雙溫控鴛鴦鍋</v>
      </c>
      <c r="X413" s="12"/>
      <c r="Y413" s="12">
        <f ca="1">IFERROR(__xludf.DUMMYFUNCTION("""COMPUTED_VALUE"""),605)</f>
        <v>605</v>
      </c>
      <c r="Z413" s="14" t="str">
        <f ca="1">IFERROR(__xludf.DUMMYFUNCTION("""COMPUTED_VALUE"""),"2000")</f>
        <v>2000</v>
      </c>
      <c r="AA413" s="15" t="str">
        <f ca="1">IFERROR(__xludf.DUMMYFUNCTION("""COMPUTED_VALUE"""),"*-3°c微凍鮮魚肉專屬保鮮室*Nano-Ti極光鈦抗菌除臭更有效*日本薄壁技術釋放最大容積效率*活動製冰盒可放大冷凍空間")</f>
        <v>*-3°c微凍鮮魚肉專屬保鮮室*Nano-Ti極光鈦抗菌除臭更有效*日本薄壁技術釋放最大容積效率*活動製冰盒可放大冷凍空間</v>
      </c>
    </row>
    <row r="414" spans="1:27" ht="19.5" customHeight="1">
      <c r="A414" s="12" t="str">
        <f ca="1">IFERROR(__xludf.DUMMYFUNCTION("""COMPUTED_VALUE"""),"冰箱")</f>
        <v>冰箱</v>
      </c>
      <c r="B414" s="12" t="str">
        <f ca="1">IFERROR(__xludf.DUMMYFUNCTION("""COMPUTED_VALUE"""),"聲寶")</f>
        <v>聲寶</v>
      </c>
      <c r="C414" s="12" t="str">
        <f ca="1">IFERROR(__xludf.DUMMYFUNCTION("""COMPUTED_VALUE"""),"聲寶")</f>
        <v>聲寶</v>
      </c>
      <c r="D414" s="12" t="str">
        <f ca="1">IFERROR(__xludf.DUMMYFUNCTION("""COMPUTED_VALUE"""),"聲寶48L電子冷藏箱KR-UB48C")</f>
        <v>聲寶48L電子冷藏箱KR-UB48C</v>
      </c>
      <c r="E414" s="12" t="str">
        <f ca="1">IFERROR(__xludf.DUMMYFUNCTION("""COMPUTED_VALUE"""),"KR-UB48C")</f>
        <v>KR-UB48C</v>
      </c>
      <c r="F414" s="12">
        <f ca="1">IFERROR(__xludf.DUMMYFUNCTION("""COMPUTED_VALUE"""),51086121)</f>
        <v>51086121</v>
      </c>
      <c r="G414" s="12" t="str">
        <f ca="1">IFERROR(__xludf.DUMMYFUNCTION("""COMPUTED_VALUE"""),"IGEM01Y8")</f>
        <v>IGEM01Y8</v>
      </c>
      <c r="H414" s="12">
        <f ca="1">IFERROR(__xludf.DUMMYFUNCTION("""COMPUTED_VALUE"""),6688)</f>
        <v>6688</v>
      </c>
      <c r="I414" s="14">
        <f ca="1">IFERROR(__xludf.DUMMYFUNCTION("""COMPUTED_VALUE"""),5840)</f>
        <v>5840</v>
      </c>
      <c r="J414" s="12"/>
      <c r="K414" s="12"/>
      <c r="L414" s="12" t="str">
        <f ca="1">IFERROR(__xludf.DUMMYFUNCTION("""COMPUTED_VALUE"""),"上架中")</f>
        <v>上架中</v>
      </c>
      <c r="M414" s="12" t="str">
        <f ca="1">IFERROR(__xludf.DUMMYFUNCTION("""COMPUTED_VALUE"""),"2022/11/9到貨，10/7缺貨，4/1回價，2022/3/1降價，2020/9/3新機上架")</f>
        <v>2022/11/9到貨，10/7缺貨，4/1回價，2022/3/1降價，2020/9/3新機上架</v>
      </c>
      <c r="N414" s="12" t="str">
        <f ca="1">IFERROR(__xludf.DUMMYFUNCTION("""COMPUTED_VALUE"""),"冷藏箱")</f>
        <v>冷藏箱</v>
      </c>
      <c r="O414" s="12" t="str">
        <f ca="1">IFERROR(__xludf.DUMMYFUNCTION("""COMPUTED_VALUE"""),"黑色")</f>
        <v>黑色</v>
      </c>
      <c r="P414" s="12" t="str">
        <f ca="1">IFERROR(__xludf.DUMMYFUNCTION("""COMPUTED_VALUE"""),"48L")</f>
        <v>48L</v>
      </c>
      <c r="Q414" s="12" t="str">
        <f ca="1">IFERROR(__xludf.DUMMYFUNCTION("""COMPUTED_VALUE"""),"510*430*480mm")</f>
        <v>510*430*480mm</v>
      </c>
      <c r="R414" s="12" t="str">
        <f ca="1">IFERROR(__xludf.DUMMYFUNCTION("""COMPUTED_VALUE"""),"中國")</f>
        <v>中國</v>
      </c>
      <c r="S414" s="12"/>
      <c r="T414" s="13" t="str">
        <f ca="1">IFERROR(__xludf.DUMMYFUNCTION("""COMPUTED_VALUE"""),"無")</f>
        <v>無</v>
      </c>
      <c r="U414" s="12" t="str">
        <f ca="1">IFERROR(__xludf.DUMMYFUNCTION("""COMPUTED_VALUE"""),"1年")</f>
        <v>1年</v>
      </c>
      <c r="V414" s="12"/>
      <c r="W414" s="12"/>
      <c r="X414" s="12"/>
      <c r="Y414" s="12"/>
      <c r="Z414" s="14"/>
      <c r="AA414" s="15" t="str">
        <f ca="1">IFERROR(__xludf.DUMMYFUNCTION("""COMPUTED_VALUE"""),"*無壓縮機噪音*先進的Heat-pipe熱導管技術*LED照明功能*精緻網架設計*三段溫控*符合台灣環境不結露*R134a環保冷媒")</f>
        <v>*無壓縮機噪音*先進的Heat-pipe熱導管技術*LED照明功能*精緻網架設計*三段溫控*符合台灣環境不結露*R134a環保冷媒</v>
      </c>
    </row>
    <row r="415" spans="1:27" ht="19.5" customHeight="1">
      <c r="A415" s="12" t="str">
        <f ca="1">IFERROR(__xludf.DUMMYFUNCTION("""COMPUTED_VALUE"""),"冰箱")</f>
        <v>冰箱</v>
      </c>
      <c r="B415" s="12" t="str">
        <f ca="1">IFERROR(__xludf.DUMMYFUNCTION("""COMPUTED_VALUE"""),"聲寶")</f>
        <v>聲寶</v>
      </c>
      <c r="C415" s="12" t="str">
        <f ca="1">IFERROR(__xludf.DUMMYFUNCTION("""COMPUTED_VALUE"""),"聲寶")</f>
        <v>聲寶</v>
      </c>
      <c r="D415" s="12" t="str">
        <f ca="1">IFERROR(__xludf.DUMMYFUNCTION("""COMPUTED_VALUE"""),"聲寶170L定頻單門直立冷凍櫃SRF-171F")</f>
        <v>聲寶170L定頻單門直立冷凍櫃SRF-171F</v>
      </c>
      <c r="E415" s="12" t="str">
        <f ca="1">IFERROR(__xludf.DUMMYFUNCTION("""COMPUTED_VALUE"""),"SRF-171F")</f>
        <v>SRF-171F</v>
      </c>
      <c r="F415" s="12">
        <f ca="1">IFERROR(__xludf.DUMMYFUNCTION("""COMPUTED_VALUE"""),51086072)</f>
        <v>51086072</v>
      </c>
      <c r="G415" s="12" t="str">
        <f ca="1">IFERROR(__xludf.DUMMYFUNCTION("""COMPUTED_VALUE"""),"IGEM01KD")</f>
        <v>IGEM01KD</v>
      </c>
      <c r="H415" s="12">
        <f ca="1">IFERROR(__xludf.DUMMYFUNCTION("""COMPUTED_VALUE"""),14500)</f>
        <v>14500</v>
      </c>
      <c r="I415" s="14">
        <f ca="1">IFERROR(__xludf.DUMMYFUNCTION("""COMPUTED_VALUE"""),10490)</f>
        <v>10490</v>
      </c>
      <c r="J415" s="12"/>
      <c r="K415" s="12"/>
      <c r="L415" s="12" t="str">
        <f ca="1">IFERROR(__xludf.DUMMYFUNCTION("""COMPUTED_VALUE"""),"上架中")</f>
        <v>上架中</v>
      </c>
      <c r="M415" s="12"/>
      <c r="N415" s="12" t="str">
        <f ca="1">IFERROR(__xludf.DUMMYFUNCTION("""COMPUTED_VALUE"""),"直立式冷凍櫃")</f>
        <v>直立式冷凍櫃</v>
      </c>
      <c r="O415" s="12" t="str">
        <f ca="1">IFERROR(__xludf.DUMMYFUNCTION("""COMPUTED_VALUE"""),"髮絲銀")</f>
        <v>髮絲銀</v>
      </c>
      <c r="P415" s="12" t="str">
        <f ca="1">IFERROR(__xludf.DUMMYFUNCTION("""COMPUTED_VALUE"""),"170L")</f>
        <v>170L</v>
      </c>
      <c r="Q415" s="12" t="str">
        <f ca="1">IFERROR(__xludf.DUMMYFUNCTION("""COMPUTED_VALUE"""),"1443*544*641mm")</f>
        <v>1443*544*641mm</v>
      </c>
      <c r="R415" s="12" t="str">
        <f ca="1">IFERROR(__xludf.DUMMYFUNCTION("""COMPUTED_VALUE"""),"中國")</f>
        <v>中國</v>
      </c>
      <c r="S415" s="12"/>
      <c r="T415" s="13" t="str">
        <f ca="1">IFERROR(__xludf.DUMMYFUNCTION("""COMPUTED_VALUE"""),"無")</f>
        <v>無</v>
      </c>
      <c r="U415" s="12" t="str">
        <f ca="1">IFERROR(__xludf.DUMMYFUNCTION("""COMPUTED_VALUE"""),"1年")</f>
        <v>1年</v>
      </c>
      <c r="V415" s="12" t="str">
        <f ca="1">IFERROR(__xludf.DUMMYFUNCTION("""COMPUTED_VALUE"""),"3年")</f>
        <v>3年</v>
      </c>
      <c r="W415" s="12"/>
      <c r="X415" s="12"/>
      <c r="Y415" s="12"/>
      <c r="Z415" s="14" t="str">
        <f ca="1">IFERROR(__xludf.DUMMYFUNCTION("""COMPUTED_VALUE"""),"無")</f>
        <v>無</v>
      </c>
      <c r="AA415" s="15" t="str">
        <f ca="1">IFERROR(__xludf.DUMMYFUNCTION("""COMPUTED_VALUE"""),"*高光髮絲銀(VCM)門板外觀*外顯式髮絲紋合金把手*後置式冷凝系統*內箱平整易清潔*2組透明擋板，3組透明抽屜*4組強化玻璃承架*未關門智慧警示音(開門3分鐘後提醒)")</f>
        <v>*高光髮絲銀(VCM)門板外觀*外顯式髮絲紋合金把手*後置式冷凝系統*內箱平整易清潔*2組透明擋板，3組透明抽屜*4組強化玻璃承架*未關門智慧警示音(開門3分鐘後提醒)</v>
      </c>
    </row>
    <row r="416" spans="1:27" ht="19.5" customHeight="1">
      <c r="A416" s="12" t="str">
        <f ca="1">IFERROR(__xludf.DUMMYFUNCTION("""COMPUTED_VALUE"""),"冰箱")</f>
        <v>冰箱</v>
      </c>
      <c r="B416" s="12" t="str">
        <f ca="1">IFERROR(__xludf.DUMMYFUNCTION("""COMPUTED_VALUE"""),"聲寶")</f>
        <v>聲寶</v>
      </c>
      <c r="C416" s="12" t="str">
        <f ca="1">IFERROR(__xludf.DUMMYFUNCTION("""COMPUTED_VALUE"""),"聲寶")</f>
        <v>聲寶</v>
      </c>
      <c r="D416" s="12" t="str">
        <f ca="1">IFERROR(__xludf.DUMMYFUNCTION("""COMPUTED_VALUE"""),"聲寶216公升單門定頻直立冷凍櫃(髮絲銀)SRF-220F")</f>
        <v>聲寶216公升單門定頻直立冷凍櫃(髮絲銀)SRF-220F</v>
      </c>
      <c r="E416" s="12" t="str">
        <f ca="1">IFERROR(__xludf.DUMMYFUNCTION("""COMPUTED_VALUE"""),"SRF-220F")</f>
        <v>SRF-220F</v>
      </c>
      <c r="F416" s="12">
        <f ca="1">IFERROR(__xludf.DUMMYFUNCTION("""COMPUTED_VALUE"""),51086169)</f>
        <v>51086169</v>
      </c>
      <c r="G416" s="12" t="str">
        <f ca="1">IFERROR(__xludf.DUMMYFUNCTION("""COMPUTED_VALUE"""),"IGEM037O")</f>
        <v>IGEM037O</v>
      </c>
      <c r="H416" s="12">
        <f ca="1">IFERROR(__xludf.DUMMYFUNCTION("""COMPUTED_VALUE"""),16900)</f>
        <v>16900</v>
      </c>
      <c r="I416" s="14">
        <f ca="1">IFERROR(__xludf.DUMMYFUNCTION("""COMPUTED_VALUE"""),14500)</f>
        <v>14500</v>
      </c>
      <c r="J416" s="12"/>
      <c r="K416" s="12"/>
      <c r="L416" s="12" t="str">
        <f ca="1">IFERROR(__xludf.DUMMYFUNCTION("""COMPUTED_VALUE"""),"上架中")</f>
        <v>上架中</v>
      </c>
      <c r="M416" s="12" t="str">
        <f ca="1">IFERROR(__xludf.DUMMYFUNCTION("""COMPUTED_VALUE"""),"2022/6/1短促，2021/10/1短促，2021/7/1新機上架")</f>
        <v>2022/6/1短促，2021/10/1短促，2021/7/1新機上架</v>
      </c>
      <c r="N416" s="12" t="str">
        <f ca="1">IFERROR(__xludf.DUMMYFUNCTION("""COMPUTED_VALUE"""),"直立式冷凍櫃")</f>
        <v>直立式冷凍櫃</v>
      </c>
      <c r="O416" s="12" t="str">
        <f ca="1">IFERROR(__xludf.DUMMYFUNCTION("""COMPUTED_VALUE"""),"髮絲銀")</f>
        <v>髮絲銀</v>
      </c>
      <c r="P416" s="12" t="str">
        <f ca="1">IFERROR(__xludf.DUMMYFUNCTION("""COMPUTED_VALUE"""),"216L")</f>
        <v>216L</v>
      </c>
      <c r="Q416" s="12" t="str">
        <f ca="1">IFERROR(__xludf.DUMMYFUNCTION("""COMPUTED_VALUE"""),"1700*540*590mm")</f>
        <v>1700*540*590mm</v>
      </c>
      <c r="R416" s="12" t="str">
        <f ca="1">IFERROR(__xludf.DUMMYFUNCTION("""COMPUTED_VALUE"""),"中國")</f>
        <v>中國</v>
      </c>
      <c r="S416" s="12"/>
      <c r="T416" s="13" t="str">
        <f ca="1">IFERROR(__xludf.DUMMYFUNCTION("""COMPUTED_VALUE"""),"無")</f>
        <v>無</v>
      </c>
      <c r="U416" s="22" t="str">
        <f ca="1">IFERROR(__xludf.DUMMYFUNCTION("""COMPUTED_VALUE"""),"1年")</f>
        <v>1年</v>
      </c>
      <c r="V416" s="22" t="str">
        <f ca="1">IFERROR(__xludf.DUMMYFUNCTION("""COMPUTED_VALUE"""),"3年")</f>
        <v>3年</v>
      </c>
      <c r="W416" s="12"/>
      <c r="X416" s="12"/>
      <c r="Y416" s="12"/>
      <c r="Z416" s="14"/>
      <c r="AA416" s="15" t="str">
        <f ca="1">IFERROR(__xludf.DUMMYFUNCTION("""COMPUTED_VALUE"""),"*外顯式髮絲紋合金把手*電子式6段溫度控制面板-16/-18/-20/-22/-24/急凍(3小時連續運轉)*後置式冷凝系統，內箱平整易清潔*4組透明抽屜*5組強化玻璃承架*2組透明門隔架*未關門智慧警示音(開門3分鐘後提醒)")</f>
        <v>*外顯式髮絲紋合金把手*電子式6段溫度控制面板-16/-18/-20/-22/-24/急凍(3小時連續運轉)*後置式冷凝系統，內箱平整易清潔*4組透明抽屜*5組強化玻璃承架*2組透明門隔架*未關門智慧警示音(開門3分鐘後提醒)</v>
      </c>
    </row>
    <row r="417" spans="1:27" ht="19.5" customHeight="1">
      <c r="A417" s="12" t="str">
        <f ca="1">IFERROR(__xludf.DUMMYFUNCTION("""COMPUTED_VALUE"""),"冰箱")</f>
        <v>冰箱</v>
      </c>
      <c r="B417" s="12" t="str">
        <f ca="1">IFERROR(__xludf.DUMMYFUNCTION("""COMPUTED_VALUE"""),"聲寶")</f>
        <v>聲寶</v>
      </c>
      <c r="C417" s="12" t="str">
        <f ca="1">IFERROR(__xludf.DUMMYFUNCTION("""COMPUTED_VALUE"""),"聲寶")</f>
        <v>聲寶</v>
      </c>
      <c r="D417" s="12" t="str">
        <f ca="1">IFERROR(__xludf.DUMMYFUNCTION("""COMPUTED_VALUE"""),"聲寶455公升單門定頻直立冷凍櫃(白色)SRF-455F
")</f>
        <v xml:space="preserve">聲寶455公升單門定頻直立冷凍櫃(白色)SRF-455F
</v>
      </c>
      <c r="E417" s="12" t="str">
        <f ca="1">IFERROR(__xludf.DUMMYFUNCTION("""COMPUTED_VALUE"""),"SRF-455F")</f>
        <v>SRF-455F</v>
      </c>
      <c r="F417" s="12">
        <f ca="1">IFERROR(__xludf.DUMMYFUNCTION("""COMPUTED_VALUE"""),51086170)</f>
        <v>51086170</v>
      </c>
      <c r="G417" s="12" t="str">
        <f ca="1">IFERROR(__xludf.DUMMYFUNCTION("""COMPUTED_VALUE"""),"IGEM037P")</f>
        <v>IGEM037P</v>
      </c>
      <c r="H417" s="12">
        <f ca="1">IFERROR(__xludf.DUMMYFUNCTION("""COMPUTED_VALUE"""),21900)</f>
        <v>21900</v>
      </c>
      <c r="I417" s="14">
        <f ca="1">IFERROR(__xludf.DUMMYFUNCTION("""COMPUTED_VALUE"""),20490)</f>
        <v>20490</v>
      </c>
      <c r="J417" s="12"/>
      <c r="K417" s="12"/>
      <c r="L417" s="12" t="str">
        <f ca="1">IFERROR(__xludf.DUMMYFUNCTION("""COMPUTED_VALUE"""),"上架中")</f>
        <v>上架中</v>
      </c>
      <c r="M417" s="12" t="str">
        <f ca="1">IFERROR(__xludf.DUMMYFUNCTION("""COMPUTED_VALUE"""),"2022/4/1回價，2021/7/26降價，2021/7/1新機上架")</f>
        <v>2022/4/1回價，2021/7/26降價，2021/7/1新機上架</v>
      </c>
      <c r="N417" s="12" t="str">
        <f ca="1">IFERROR(__xludf.DUMMYFUNCTION("""COMPUTED_VALUE"""),"直立式冷凍櫃")</f>
        <v>直立式冷凍櫃</v>
      </c>
      <c r="O417" s="12" t="str">
        <f ca="1">IFERROR(__xludf.DUMMYFUNCTION("""COMPUTED_VALUE"""),"白色")</f>
        <v>白色</v>
      </c>
      <c r="P417" s="12" t="str">
        <f ca="1">IFERROR(__xludf.DUMMYFUNCTION("""COMPUTED_VALUE"""),"455L")</f>
        <v>455L</v>
      </c>
      <c r="Q417" s="12" t="str">
        <f ca="1">IFERROR(__xludf.DUMMYFUNCTION("""COMPUTED_VALUE"""),"1720*704*760mm")</f>
        <v>1720*704*760mm</v>
      </c>
      <c r="R417" s="12" t="str">
        <f ca="1">IFERROR(__xludf.DUMMYFUNCTION("""COMPUTED_VALUE"""),"中國")</f>
        <v>中國</v>
      </c>
      <c r="S417" s="12"/>
      <c r="T417" s="13" t="str">
        <f ca="1">IFERROR(__xludf.DUMMYFUNCTION("""COMPUTED_VALUE"""),"無")</f>
        <v>無</v>
      </c>
      <c r="U417" s="22" t="str">
        <f ca="1">IFERROR(__xludf.DUMMYFUNCTION("""COMPUTED_VALUE"""),"1年")</f>
        <v>1年</v>
      </c>
      <c r="V417" s="22" t="str">
        <f ca="1">IFERROR(__xludf.DUMMYFUNCTION("""COMPUTED_VALUE"""),"3年")</f>
        <v>3年</v>
      </c>
      <c r="W417" s="12"/>
      <c r="X417" s="12"/>
      <c r="Y417" s="12"/>
      <c r="Z417" s="14"/>
      <c r="AA417" s="15" t="str">
        <f ca="1">IFERROR(__xludf.DUMMYFUNCTION("""COMPUTED_VALUE"""),"精緻平面化門板外觀
隱藏式把手設計
旋鈕式3段溫度控制(強、中、弱)
LED白光庫內照明燈
5組門隔架(門欄)
4組強化防鏽塗裝網架(食材擺置更彈性)
1組強化防鏽塗裝網籃(食材收納大空間)
未關門智慧警示音(開門5分鐘後提醒)
外箱金屬後背板設計，R600a環保冷媒")</f>
        <v>精緻平面化門板外觀
隱藏式把手設計
旋鈕式3段溫度控制(強、中、弱)
LED白光庫內照明燈
5組門隔架(門欄)
4組強化防鏽塗裝網架(食材擺置更彈性)
1組強化防鏽塗裝網籃(食材收納大空間)
未關門智慧警示音(開門5分鐘後提醒)
外箱金屬後背板設計，R600a環保冷媒</v>
      </c>
    </row>
    <row r="418" spans="1:27" ht="19.5" customHeight="1">
      <c r="A418" s="12" t="str">
        <f ca="1">IFERROR(__xludf.DUMMYFUNCTION("""COMPUTED_VALUE"""),"冰箱")</f>
        <v>冰箱</v>
      </c>
      <c r="B418" s="12" t="str">
        <f ca="1">IFERROR(__xludf.DUMMYFUNCTION("""COMPUTED_VALUE"""),"聲寶")</f>
        <v>聲寶</v>
      </c>
      <c r="C418" s="12" t="str">
        <f ca="1">IFERROR(__xludf.DUMMYFUNCTION("""COMPUTED_VALUE"""),"聲寶")</f>
        <v>聲寶</v>
      </c>
      <c r="D418" s="12" t="str">
        <f ca="1">IFERROR(__xludf.DUMMYFUNCTION("""COMPUTED_VALUE"""),"聲寶_171公升變頻直立式風冷無霜冷凍櫃_SRF-171FD")</f>
        <v>聲寶_171公升變頻直立式風冷無霜冷凍櫃_SRF-171FD</v>
      </c>
      <c r="E418" s="12" t="str">
        <f ca="1">IFERROR(__xludf.DUMMYFUNCTION("""COMPUTED_VALUE"""),"SRF-171FD")</f>
        <v>SRF-171FD</v>
      </c>
      <c r="F418" s="12">
        <f ca="1">IFERROR(__xludf.DUMMYFUNCTION("""COMPUTED_VALUE"""),51001270)</f>
        <v>51001270</v>
      </c>
      <c r="G418" s="12" t="str">
        <f ca="1">IFERROR(__xludf.DUMMYFUNCTION("""COMPUTED_VALUE"""),"IGEM0876")</f>
        <v>IGEM0876</v>
      </c>
      <c r="H418" s="13">
        <f ca="1">IFERROR(__xludf.DUMMYFUNCTION("""COMPUTED_VALUE"""),17900)</f>
        <v>17900</v>
      </c>
      <c r="I418" s="18">
        <f ca="1">IFERROR(__xludf.DUMMYFUNCTION("""COMPUTED_VALUE"""),14900)</f>
        <v>14900</v>
      </c>
      <c r="J418" s="16">
        <f ca="1">IFERROR(__xludf.DUMMYFUNCTION("""COMPUTED_VALUE"""),45140)</f>
        <v>45140</v>
      </c>
      <c r="K418" s="12" t="str">
        <f ca="1">IFERROR(__xludf.DUMMYFUNCTION("""COMPUTED_VALUE"""),"新機上架")</f>
        <v>新機上架</v>
      </c>
      <c r="L418" s="12" t="str">
        <f ca="1">IFERROR(__xludf.DUMMYFUNCTION("""COMPUTED_VALUE"""),"上架中")</f>
        <v>上架中</v>
      </c>
      <c r="M418" s="12" t="str">
        <f ca="1">IFERROR(__xludf.DUMMYFUNCTION("""COMPUTED_VALUE"""),"8/2上架")</f>
        <v>8/2上架</v>
      </c>
      <c r="N418" s="12" t="str">
        <f ca="1">IFERROR(__xludf.DUMMYFUNCTION("""COMPUTED_VALUE"""),"直立式冷凍櫃")</f>
        <v>直立式冷凍櫃</v>
      </c>
      <c r="O418" s="12" t="str">
        <f ca="1">IFERROR(__xludf.DUMMYFUNCTION("""COMPUTED_VALUE"""),"髮絲銀
")</f>
        <v xml:space="preserve">髮絲銀
</v>
      </c>
      <c r="P418" s="12" t="str">
        <f ca="1">IFERROR(__xludf.DUMMYFUNCTION("""COMPUTED_VALUE"""),"171L")</f>
        <v>171L</v>
      </c>
      <c r="Q418" s="12" t="str">
        <f ca="1">IFERROR(__xludf.DUMMYFUNCTION("""COMPUTED_VALUE"""),"1450*544*641(含把手)mm")</f>
        <v>1450*544*641(含把手)mm</v>
      </c>
      <c r="R418" s="12" t="str">
        <f ca="1">IFERROR(__xludf.DUMMYFUNCTION("""COMPUTED_VALUE"""),"大陸")</f>
        <v>大陸</v>
      </c>
      <c r="S418" s="12" t="str">
        <f ca="1">IFERROR(__xludf.DUMMYFUNCTION("""COMPUTED_VALUE"""),"V")</f>
        <v>V</v>
      </c>
      <c r="T418" s="12"/>
      <c r="U418" s="22" t="str">
        <f ca="1">IFERROR(__xludf.DUMMYFUNCTION("""COMPUTED_VALUE"""),"1年")</f>
        <v>1年</v>
      </c>
      <c r="V418" s="22" t="str">
        <f ca="1">IFERROR(__xludf.DUMMYFUNCTION("""COMPUTED_VALUE"""),"3年")</f>
        <v>3年</v>
      </c>
      <c r="W418" s="12"/>
      <c r="X418" s="12"/>
      <c r="Y418" s="12"/>
      <c r="Z418" s="14"/>
      <c r="AA418" s="15" t="str">
        <f ca="1">IFERROR(__xludf.DUMMYFUNCTION("""COMPUTED_VALUE"""),"*變頻風冷無霜*節能標章*外顯式電子6段控溫*冷藏/冷飲/微凍/急凍/冷凍 多種模式設定*鋁合金省力把手設計*2組翻蓋承架抽屜+3組高強度抽屜設計*R600a環保冷媒")</f>
        <v>*變頻風冷無霜*節能標章*外顯式電子6段控溫*冷藏/冷飲/微凍/急凍/冷凍 多種模式設定*鋁合金省力把手設計*2組翻蓋承架抽屜+3組高強度抽屜設計*R600a環保冷媒</v>
      </c>
    </row>
    <row r="419" spans="1:27" ht="19.5" customHeight="1">
      <c r="A419" s="12" t="str">
        <f ca="1">IFERROR(__xludf.DUMMYFUNCTION("""COMPUTED_VALUE"""),"冰箱")</f>
        <v>冰箱</v>
      </c>
      <c r="B419" s="12" t="str">
        <f ca="1">IFERROR(__xludf.DUMMYFUNCTION("""COMPUTED_VALUE"""),"聲寶")</f>
        <v>聲寶</v>
      </c>
      <c r="C419" s="12" t="str">
        <f ca="1">IFERROR(__xludf.DUMMYFUNCTION("""COMPUTED_VALUE"""),"聲寶")</f>
        <v>聲寶</v>
      </c>
      <c r="D419" s="12" t="str">
        <f ca="1">IFERROR(__xludf.DUMMYFUNCTION("""COMPUTED_VALUE"""),"聲寶 325公升變頻直立式冷凍櫃(黑鋼色)SRF-325FD")</f>
        <v>聲寶 325公升變頻直立式冷凍櫃(黑鋼色)SRF-325FD</v>
      </c>
      <c r="E419" s="12" t="str">
        <f ca="1">IFERROR(__xludf.DUMMYFUNCTION("""COMPUTED_VALUE"""),"SRF-325FD")</f>
        <v>SRF-325FD</v>
      </c>
      <c r="F419" s="12">
        <f ca="1">IFERROR(__xludf.DUMMYFUNCTION("""COMPUTED_VALUE"""),51086267)</f>
        <v>51086267</v>
      </c>
      <c r="G419" s="12" t="str">
        <f ca="1">IFERROR(__xludf.DUMMYFUNCTION("""COMPUTED_VALUE"""),"IGEM068R")</f>
        <v>IGEM068R</v>
      </c>
      <c r="H419" s="12">
        <f ca="1">IFERROR(__xludf.DUMMYFUNCTION("""COMPUTED_VALUE"""),28490)</f>
        <v>28490</v>
      </c>
      <c r="I419" s="14">
        <f ca="1">IFERROR(__xludf.DUMMYFUNCTION("""COMPUTED_VALUE"""),20500)</f>
        <v>20500</v>
      </c>
      <c r="J419" s="16">
        <f ca="1">IFERROR(__xludf.DUMMYFUNCTION("""COMPUTED_VALUE"""),45071)</f>
        <v>45071</v>
      </c>
      <c r="K419" s="12" t="str">
        <f ca="1">IFERROR(__xludf.DUMMYFUNCTION("""COMPUTED_VALUE"""),"到貨")</f>
        <v>到貨</v>
      </c>
      <c r="L419" s="12" t="str">
        <f ca="1">IFERROR(__xludf.DUMMYFUNCTION("""COMPUTED_VALUE"""),"上架中")</f>
        <v>上架中</v>
      </c>
      <c r="M419" s="12"/>
      <c r="N419" s="12" t="str">
        <f ca="1">IFERROR(__xludf.DUMMYFUNCTION("""COMPUTED_VALUE"""),"直立式冷凍櫃")</f>
        <v>直立式冷凍櫃</v>
      </c>
      <c r="O419" s="12" t="str">
        <f ca="1">IFERROR(__xludf.DUMMYFUNCTION("""COMPUTED_VALUE"""),"黑鋼色")</f>
        <v>黑鋼色</v>
      </c>
      <c r="P419" s="12" t="str">
        <f ca="1">IFERROR(__xludf.DUMMYFUNCTION("""COMPUTED_VALUE"""),"325L")</f>
        <v>325L</v>
      </c>
      <c r="Q419" s="12" t="str">
        <f ca="1">IFERROR(__xludf.DUMMYFUNCTION("""COMPUTED_VALUE"""),"1570*717*770mm")</f>
        <v>1570*717*770mm</v>
      </c>
      <c r="R419" s="12" t="str">
        <f ca="1">IFERROR(__xludf.DUMMYFUNCTION("""COMPUTED_VALUE"""),"中國")</f>
        <v>中國</v>
      </c>
      <c r="S419" s="12"/>
      <c r="T419" s="13" t="str">
        <f ca="1">IFERROR(__xludf.DUMMYFUNCTION("""COMPUTED_VALUE"""),"無")</f>
        <v>無</v>
      </c>
      <c r="U419" s="22" t="str">
        <f ca="1">IFERROR(__xludf.DUMMYFUNCTION("""COMPUTED_VALUE"""),"1年")</f>
        <v>1年</v>
      </c>
      <c r="V419" s="22" t="str">
        <f ca="1">IFERROR(__xludf.DUMMYFUNCTION("""COMPUTED_VALUE"""),"3年")</f>
        <v>3年</v>
      </c>
      <c r="W419" s="12"/>
      <c r="X419" s="12"/>
      <c r="Y419" s="12"/>
      <c r="Z419" s="14"/>
      <c r="AA419" s="15" t="str">
        <f ca="1">IFERROR(__xludf.DUMMYFUNCTION("""COMPUTED_VALUE"""),"*電子觸控面板*庫內LED照明燈*鋁合金省力把手*3組高強度抽屜/2組掀蓋抽屜 /4組玻璃盤架* 全冷凍/全冷藏切換*四星級冷凍能力*急速冷凍/自動除霜/多重循環冷流*R600a環保新冷媒")</f>
        <v>*電子觸控面板*庫內LED照明燈*鋁合金省力把手*3組高強度抽屜/2組掀蓋抽屜 /4組玻璃盤架* 全冷凍/全冷藏切換*四星級冷凍能力*急速冷凍/自動除霜/多重循環冷流*R600a環保新冷媒</v>
      </c>
    </row>
    <row r="420" spans="1:27" ht="19.5" customHeight="1">
      <c r="A420" s="12" t="str">
        <f ca="1">IFERROR(__xludf.DUMMYFUNCTION("""COMPUTED_VALUE"""),"冰箱")</f>
        <v>冰箱</v>
      </c>
      <c r="B420" s="12" t="str">
        <f ca="1">IFERROR(__xludf.DUMMYFUNCTION("""COMPUTED_VALUE"""),"聲寶")</f>
        <v>聲寶</v>
      </c>
      <c r="C420" s="12" t="str">
        <f ca="1">IFERROR(__xludf.DUMMYFUNCTION("""COMPUTED_VALUE"""),"聲寶")</f>
        <v>聲寶</v>
      </c>
      <c r="D420" s="12" t="str">
        <f ca="1">IFERROR(__xludf.DUMMYFUNCTION("""COMPUTED_VALUE"""),"聲寶 285公升變頻直立式冷凍櫃(不鏽鋼色)SRF-285FD")</f>
        <v>聲寶 285公升變頻直立式冷凍櫃(不鏽鋼色)SRF-285FD</v>
      </c>
      <c r="E420" s="12" t="str">
        <f ca="1">IFERROR(__xludf.DUMMYFUNCTION("""COMPUTED_VALUE"""),"SRF-285FD")</f>
        <v>SRF-285FD</v>
      </c>
      <c r="F420" s="12">
        <f ca="1">IFERROR(__xludf.DUMMYFUNCTION("""COMPUTED_VALUE"""),51086268)</f>
        <v>51086268</v>
      </c>
      <c r="G420" s="12" t="str">
        <f ca="1">IFERROR(__xludf.DUMMYFUNCTION("""COMPUTED_VALUE"""),"IGEM068S")</f>
        <v>IGEM068S</v>
      </c>
      <c r="H420" s="12">
        <f ca="1">IFERROR(__xludf.DUMMYFUNCTION("""COMPUTED_VALUE"""),26490)</f>
        <v>26490</v>
      </c>
      <c r="I420" s="14">
        <f ca="1">IFERROR(__xludf.DUMMYFUNCTION("""COMPUTED_VALUE"""),20650)</f>
        <v>20650</v>
      </c>
      <c r="J420" s="16">
        <f ca="1">IFERROR(__xludf.DUMMYFUNCTION("""COMPUTED_VALUE"""),44943)</f>
        <v>44943</v>
      </c>
      <c r="K420" s="12" t="str">
        <f ca="1">IFERROR(__xludf.DUMMYFUNCTION("""COMPUTED_VALUE"""),"到貨")</f>
        <v>到貨</v>
      </c>
      <c r="L420" s="12" t="str">
        <f ca="1">IFERROR(__xludf.DUMMYFUNCTION("""COMPUTED_VALUE"""),"上架中")</f>
        <v>上架中</v>
      </c>
      <c r="M420" s="12" t="str">
        <f ca="1">IFERROR(__xludf.DUMMYFUNCTION("""COMPUTED_VALUE"""),"1/17少量到貨，1/7缺貨，2022/9/1新機上架")</f>
        <v>1/17少量到貨，1/7缺貨，2022/9/1新機上架</v>
      </c>
      <c r="N420" s="12" t="str">
        <f ca="1">IFERROR(__xludf.DUMMYFUNCTION("""COMPUTED_VALUE"""),"直立式冷凍櫃")</f>
        <v>直立式冷凍櫃</v>
      </c>
      <c r="O420" s="12" t="str">
        <f ca="1">IFERROR(__xludf.DUMMYFUNCTION("""COMPUTED_VALUE"""),"不銹鋼色")</f>
        <v>不銹鋼色</v>
      </c>
      <c r="P420" s="12" t="str">
        <f ca="1">IFERROR(__xludf.DUMMYFUNCTION("""COMPUTED_VALUE"""),"285L")</f>
        <v>285L</v>
      </c>
      <c r="Q420" s="12" t="str">
        <f ca="1">IFERROR(__xludf.DUMMYFUNCTION("""COMPUTED_VALUE"""),"1850*600*710mm")</f>
        <v>1850*600*710mm</v>
      </c>
      <c r="R420" s="12" t="str">
        <f ca="1">IFERROR(__xludf.DUMMYFUNCTION("""COMPUTED_VALUE"""),"中國")</f>
        <v>中國</v>
      </c>
      <c r="S420" s="12"/>
      <c r="T420" s="13" t="str">
        <f ca="1">IFERROR(__xludf.DUMMYFUNCTION("""COMPUTED_VALUE"""),"無")</f>
        <v>無</v>
      </c>
      <c r="U420" s="22" t="str">
        <f ca="1">IFERROR(__xludf.DUMMYFUNCTION("""COMPUTED_VALUE"""),"1年")</f>
        <v>1年</v>
      </c>
      <c r="V420" s="22" t="str">
        <f ca="1">IFERROR(__xludf.DUMMYFUNCTION("""COMPUTED_VALUE"""),"3年")</f>
        <v>3年</v>
      </c>
      <c r="W420" s="12"/>
      <c r="X420" s="12"/>
      <c r="Y420" s="12"/>
      <c r="Z420" s="14"/>
      <c r="AA420" s="15" t="str">
        <f ca="1">IFERROR(__xludf.DUMMYFUNCTION("""COMPUTED_VALUE"""),"*電子觸控面板*庫內LED照明燈*鋁合金省力把手*3組高強度抽屜/2組掀蓋抽屜 /4組玻璃盤架*四星級冷凍能力*急速冷凍/自動除霜/多重循環冷流*R600a環保新冷媒")</f>
        <v>*電子觸控面板*庫內LED照明燈*鋁合金省力把手*3組高強度抽屜/2組掀蓋抽屜 /4組玻璃盤架*四星級冷凍能力*急速冷凍/自動除霜/多重循環冷流*R600a環保新冷媒</v>
      </c>
    </row>
    <row r="421" spans="1:27" ht="19.5" customHeight="1">
      <c r="A421" s="12" t="str">
        <f ca="1">IFERROR(__xludf.DUMMYFUNCTION("""COMPUTED_VALUE"""),"冰箱")</f>
        <v>冰箱</v>
      </c>
      <c r="B421" s="12" t="str">
        <f ca="1">IFERROR(__xludf.DUMMYFUNCTION("""COMPUTED_VALUE"""),"聲寶")</f>
        <v>聲寶</v>
      </c>
      <c r="C421" s="12" t="str">
        <f ca="1">IFERROR(__xludf.DUMMYFUNCTION("""COMPUTED_VALUE"""),"聲寶")</f>
        <v>聲寶</v>
      </c>
      <c r="D421" s="12" t="str">
        <f ca="1">IFERROR(__xludf.DUMMYFUNCTION("""COMPUTED_VALUE"""),"聲寶 150L 上掀式定頻冷凍櫃 SRF-152G")</f>
        <v>聲寶 150L 上掀式定頻冷凍櫃 SRF-152G</v>
      </c>
      <c r="E421" s="12" t="str">
        <f ca="1">IFERROR(__xludf.DUMMYFUNCTION("""COMPUTED_VALUE"""),"SRF-152G")</f>
        <v>SRF-152G</v>
      </c>
      <c r="F421" s="12">
        <f ca="1">IFERROR(__xludf.DUMMYFUNCTION("""COMPUTED_VALUE"""),51086273)</f>
        <v>51086273</v>
      </c>
      <c r="G421" s="12" t="str">
        <f ca="1">IFERROR(__xludf.DUMMYFUNCTION("""COMPUTED_VALUE"""),"IGEM0708")</f>
        <v>IGEM0708</v>
      </c>
      <c r="H421" s="13">
        <f ca="1">IFERROR(__xludf.DUMMYFUNCTION("""COMPUTED_VALUE"""),10590)</f>
        <v>10590</v>
      </c>
      <c r="I421" s="14">
        <f ca="1">IFERROR(__xludf.DUMMYFUNCTION("""COMPUTED_VALUE"""),8290)</f>
        <v>8290</v>
      </c>
      <c r="J421" s="12"/>
      <c r="K421" s="12"/>
      <c r="L421" s="12" t="str">
        <f ca="1">IFERROR(__xludf.DUMMYFUNCTION("""COMPUTED_VALUE"""),"上架中")</f>
        <v>上架中</v>
      </c>
      <c r="M421" s="12" t="str">
        <f ca="1">IFERROR(__xludf.DUMMYFUNCTION("""COMPUTED_VALUE"""),"2022/10/14 新機上架")</f>
        <v>2022/10/14 新機上架</v>
      </c>
      <c r="N421" s="12" t="str">
        <f ca="1">IFERROR(__xludf.DUMMYFUNCTION("""COMPUTED_VALUE"""),"上掀式冷凍櫃")</f>
        <v>上掀式冷凍櫃</v>
      </c>
      <c r="O421" s="12" t="str">
        <f ca="1">IFERROR(__xludf.DUMMYFUNCTION("""COMPUTED_VALUE"""),"白色")</f>
        <v>白色</v>
      </c>
      <c r="P421" s="12" t="str">
        <f ca="1">IFERROR(__xludf.DUMMYFUNCTION("""COMPUTED_VALUE"""),"150L")</f>
        <v>150L</v>
      </c>
      <c r="Q421" s="12" t="str">
        <f ca="1">IFERROR(__xludf.DUMMYFUNCTION("""COMPUTED_VALUE"""),"835*635*556mm")</f>
        <v>835*635*556mm</v>
      </c>
      <c r="R421" s="12" t="str">
        <f ca="1">IFERROR(__xludf.DUMMYFUNCTION("""COMPUTED_VALUE"""),"中國")</f>
        <v>中國</v>
      </c>
      <c r="S421" s="12"/>
      <c r="T421" s="13" t="str">
        <f ca="1">IFERROR(__xludf.DUMMYFUNCTION("""COMPUTED_VALUE"""),"無")</f>
        <v>無</v>
      </c>
      <c r="U421" s="22" t="str">
        <f ca="1">IFERROR(__xludf.DUMMYFUNCTION("""COMPUTED_VALUE"""),"1年")</f>
        <v>1年</v>
      </c>
      <c r="V421" s="22" t="str">
        <f ca="1">IFERROR(__xludf.DUMMYFUNCTION("""COMPUTED_VALUE"""),"3年")</f>
        <v>3年</v>
      </c>
      <c r="W421" s="12"/>
      <c r="X421" s="12"/>
      <c r="Y421" s="12"/>
      <c r="Z421" s="14"/>
      <c r="AA421" s="15" t="str">
        <f ca="1">IFERROR(__xludf.DUMMYFUNCTION("""COMPUTED_VALUE"""),"冷凍冷藏功能切換、冷凍5段溫控設計庫內LED照明燈、活動式收納籃搭載玻璃滑門、隱藏式把手附鎖設計
 省電25%(相較於SRF-151G)
 冷凍冷藏功能切換、冷凍5段溫控設計
 庫內LED照明燈、活動式收納籃
 搭載玻璃滑門、隱藏式把手附鎖設計
 R600a環保冷媒、急凍功能、防凝露設計
 便利滾輪設計
 冷凍溫度:-2~-24
 冷藏溫度: 0-5")</f>
        <v>冷凍冷藏功能切換、冷凍5段溫控設計庫內LED照明燈、活動式收納籃搭載玻璃滑門、隱藏式把手附鎖設計
 省電25%(相較於SRF-151G)
 冷凍冷藏功能切換、冷凍5段溫控設計
 庫內LED照明燈、活動式收納籃
 搭載玻璃滑門、隱藏式把手附鎖設計
 R600a環保冷媒、急凍功能、防凝露設計
 便利滾輪設計
 冷凍溫度:-2~-24
 冷藏溫度: 0-5</v>
      </c>
    </row>
    <row r="422" spans="1:27" ht="19.5" customHeight="1">
      <c r="A422" s="12" t="str">
        <f ca="1">IFERROR(__xludf.DUMMYFUNCTION("""COMPUTED_VALUE"""),"冰箱")</f>
        <v>冰箱</v>
      </c>
      <c r="B422" s="12" t="str">
        <f ca="1">IFERROR(__xludf.DUMMYFUNCTION("""COMPUTED_VALUE"""),"聲寶")</f>
        <v>聲寶</v>
      </c>
      <c r="C422" s="12" t="str">
        <f ca="1">IFERROR(__xludf.DUMMYFUNCTION("""COMPUTED_VALUE"""),"聲寶")</f>
        <v>聲寶</v>
      </c>
      <c r="D422" s="12" t="str">
        <f ca="1">IFERROR(__xludf.DUMMYFUNCTION("""COMPUTED_VALUE"""),"聲寶_200公升變頻臥式冷凍櫃_SRF-201GD")</f>
        <v>聲寶_200公升變頻臥式冷凍櫃_SRF-201GD</v>
      </c>
      <c r="E422" s="12" t="str">
        <f ca="1">IFERROR(__xludf.DUMMYFUNCTION("""COMPUTED_VALUE"""),"SRF-201GD")</f>
        <v>SRF-201GD</v>
      </c>
      <c r="F422" s="12">
        <f ca="1">IFERROR(__xludf.DUMMYFUNCTION("""COMPUTED_VALUE"""),51086318)</f>
        <v>51086318</v>
      </c>
      <c r="G422" s="12" t="str">
        <f ca="1">IFERROR(__xludf.DUMMYFUNCTION("""COMPUTED_VALUE"""),"IGEM113W")</f>
        <v>IGEM113W</v>
      </c>
      <c r="H422" s="13">
        <f ca="1">IFERROR(__xludf.DUMMYFUNCTION("""COMPUTED_VALUE"""),13590)</f>
        <v>13590</v>
      </c>
      <c r="I422" s="18">
        <f ca="1">IFERROR(__xludf.DUMMYFUNCTION("""COMPUTED_VALUE"""),10900)</f>
        <v>10900</v>
      </c>
      <c r="J422" s="16">
        <f ca="1">IFERROR(__xludf.DUMMYFUNCTION("""COMPUTED_VALUE"""),45627)</f>
        <v>45627</v>
      </c>
      <c r="K422" s="12" t="str">
        <f ca="1">IFERROR(__xludf.DUMMYFUNCTION("""COMPUTED_VALUE"""),"新機上架")</f>
        <v>新機上架</v>
      </c>
      <c r="L422" s="12" t="str">
        <f ca="1">IFERROR(__xludf.DUMMYFUNCTION("""COMPUTED_VALUE"""),"上架中")</f>
        <v>上架中</v>
      </c>
      <c r="M422" s="12" t="str">
        <f ca="1">IFERROR(__xludf.DUMMYFUNCTION("""COMPUTED_VALUE"""),"12/1新機上架")</f>
        <v>12/1新機上架</v>
      </c>
      <c r="N422" s="12" t="str">
        <f ca="1">IFERROR(__xludf.DUMMYFUNCTION("""COMPUTED_VALUE"""),"上掀式冷凍櫃")</f>
        <v>上掀式冷凍櫃</v>
      </c>
      <c r="O422" s="12" t="str">
        <f ca="1">IFERROR(__xludf.DUMMYFUNCTION("""COMPUTED_VALUE"""),"白色")</f>
        <v>白色</v>
      </c>
      <c r="P422" s="12" t="str">
        <f ca="1">IFERROR(__xludf.DUMMYFUNCTION("""COMPUTED_VALUE"""),"297L")</f>
        <v>297L</v>
      </c>
      <c r="Q422" s="12" t="str">
        <f ca="1">IFERROR(__xludf.DUMMYFUNCTION("""COMPUTED_VALUE""")," (高)847 *(寬)1117* (深)685(含把手)mm")</f>
        <v xml:space="preserve"> (高)847 *(寬)1117* (深)685(含把手)mm</v>
      </c>
      <c r="R422" s="12" t="str">
        <f ca="1">IFERROR(__xludf.DUMMYFUNCTION("""COMPUTED_VALUE"""),"中國")</f>
        <v>中國</v>
      </c>
      <c r="S422" s="12"/>
      <c r="T422" s="12"/>
      <c r="U422" s="22" t="str">
        <f ca="1">IFERROR(__xludf.DUMMYFUNCTION("""COMPUTED_VALUE"""),"1年")</f>
        <v>1年</v>
      </c>
      <c r="V422" s="22" t="str">
        <f ca="1">IFERROR(__xludf.DUMMYFUNCTION("""COMPUTED_VALUE"""),"3年")</f>
        <v>3年</v>
      </c>
      <c r="W422" s="12"/>
      <c r="X422" s="12"/>
      <c r="Y422" s="12"/>
      <c r="Z422" s="14" t="str">
        <f ca="1">IFERROR(__xludf.DUMMYFUNCTION("""COMPUTED_VALUE"""),"無")</f>
        <v>無</v>
      </c>
      <c r="AA422" s="15" t="str">
        <f ca="1">IFERROR(__xludf.DUMMYFUNCTION("""COMPUTED_VALUE"""),"*把手帶鎖*LED照明燈*防凝露設計*冷凍/冷藏*冷凍: -1~ -30度、冷藏:0 ~ 10度")</f>
        <v>*把手帶鎖*LED照明燈*防凝露設計*冷凍/冷藏*冷凍: -1~ -30度、冷藏:0 ~ 10度</v>
      </c>
    </row>
    <row r="423" spans="1:27" ht="19.5" customHeight="1">
      <c r="A423" s="12" t="str">
        <f ca="1">IFERROR(__xludf.DUMMYFUNCTION("""COMPUTED_VALUE"""),"冰箱")</f>
        <v>冰箱</v>
      </c>
      <c r="B423" s="12" t="str">
        <f ca="1">IFERROR(__xludf.DUMMYFUNCTION("""COMPUTED_VALUE"""),"聲寶")</f>
        <v>聲寶</v>
      </c>
      <c r="C423" s="12" t="str">
        <f ca="1">IFERROR(__xludf.DUMMYFUNCTION("""COMPUTED_VALUE"""),"聲寶")</f>
        <v>聲寶</v>
      </c>
      <c r="D423" s="12" t="str">
        <f ca="1">IFERROR(__xludf.DUMMYFUNCTION("""COMPUTED_VALUE"""),"聲寶_125公升變頻直立式風冷無霜冷凍櫃_SRF-125FD")</f>
        <v>聲寶_125公升變頻直立式風冷無霜冷凍櫃_SRF-125FD</v>
      </c>
      <c r="E423" s="12" t="str">
        <f ca="1">IFERROR(__xludf.DUMMYFUNCTION("""COMPUTED_VALUE"""),"SRF-125FD")</f>
        <v>SRF-125FD</v>
      </c>
      <c r="F423" s="12">
        <f ca="1">IFERROR(__xludf.DUMMYFUNCTION("""COMPUTED_VALUE"""),51086319)</f>
        <v>51086319</v>
      </c>
      <c r="G423" s="12" t="str">
        <f ca="1">IFERROR(__xludf.DUMMYFUNCTION("""COMPUTED_VALUE"""),"IGEM113X")</f>
        <v>IGEM113X</v>
      </c>
      <c r="H423" s="13">
        <f ca="1">IFERROR(__xludf.DUMMYFUNCTION("""COMPUTED_VALUE"""),15900)</f>
        <v>15900</v>
      </c>
      <c r="I423" s="18">
        <f ca="1">IFERROR(__xludf.DUMMYFUNCTION("""COMPUTED_VALUE"""),12900)</f>
        <v>12900</v>
      </c>
      <c r="J423" s="16">
        <f ca="1">IFERROR(__xludf.DUMMYFUNCTION("""COMPUTED_VALUE"""),45627)</f>
        <v>45627</v>
      </c>
      <c r="K423" s="12" t="str">
        <f ca="1">IFERROR(__xludf.DUMMYFUNCTION("""COMPUTED_VALUE"""),"新機上架")</f>
        <v>新機上架</v>
      </c>
      <c r="L423" s="12" t="str">
        <f ca="1">IFERROR(__xludf.DUMMYFUNCTION("""COMPUTED_VALUE"""),"上架中")</f>
        <v>上架中</v>
      </c>
      <c r="M423" s="12" t="str">
        <f ca="1">IFERROR(__xludf.DUMMYFUNCTION("""COMPUTED_VALUE"""),"12/1新機上架")</f>
        <v>12/1新機上架</v>
      </c>
      <c r="N423" s="12" t="str">
        <f ca="1">IFERROR(__xludf.DUMMYFUNCTION("""COMPUTED_VALUE"""),"直立式冷凍櫃")</f>
        <v>直立式冷凍櫃</v>
      </c>
      <c r="O423" s="12" t="str">
        <f ca="1">IFERROR(__xludf.DUMMYFUNCTION("""COMPUTED_VALUE"""),"白色")</f>
        <v>白色</v>
      </c>
      <c r="P423" s="12" t="str">
        <f ca="1">IFERROR(__xludf.DUMMYFUNCTION("""COMPUTED_VALUE"""),"125L")</f>
        <v>125L</v>
      </c>
      <c r="Q423" s="12" t="str">
        <f ca="1">IFERROR(__xludf.DUMMYFUNCTION("""COMPUTED_VALUE""")," (高)1155 *(寬)475* (深)565(含把手)mm")</f>
        <v xml:space="preserve"> (高)1155 *(寬)475* (深)565(含把手)mm</v>
      </c>
      <c r="R423" s="12" t="str">
        <f ca="1">IFERROR(__xludf.DUMMYFUNCTION("""COMPUTED_VALUE"""),"中國")</f>
        <v>中國</v>
      </c>
      <c r="S423" s="12"/>
      <c r="T423" s="12"/>
      <c r="U423" s="22" t="str">
        <f ca="1">IFERROR(__xludf.DUMMYFUNCTION("""COMPUTED_VALUE"""),"1年")</f>
        <v>1年</v>
      </c>
      <c r="V423" s="22" t="str">
        <f ca="1">IFERROR(__xludf.DUMMYFUNCTION("""COMPUTED_VALUE"""),"3年")</f>
        <v>3年</v>
      </c>
      <c r="W423" s="12"/>
      <c r="X423" s="12"/>
      <c r="Y423" s="12"/>
      <c r="Z423" s="14" t="str">
        <f ca="1">IFERROR(__xludf.DUMMYFUNCTION("""COMPUTED_VALUE"""),"無")</f>
        <v>無</v>
      </c>
      <c r="AA423" s="15" t="str">
        <f ca="1">IFERROR(__xludf.DUMMYFUNCTION("""COMPUTED_VALUE"""),"*冷凍櫃 : 外顯溫度顯示*LED照明燈、急速冷凍、自動除霜*冷凍/微凍/冷藏/藏鮮/酒類/冷飲  六種模式設定*全冷凍/全冷藏切換*冷凍:-1~-24 ；冷藏:0~11度")</f>
        <v>*冷凍櫃 : 外顯溫度顯示*LED照明燈、急速冷凍、自動除霜*冷凍/微凍/冷藏/藏鮮/酒類/冷飲  六種模式設定*全冷凍/全冷藏切換*冷凍:-1~-24 ；冷藏:0~11度</v>
      </c>
    </row>
    <row r="424" spans="1:27" ht="19.5" customHeight="1">
      <c r="A424" s="12" t="str">
        <f ca="1">IFERROR(__xludf.DUMMYFUNCTION("""COMPUTED_VALUE"""),"冰箱")</f>
        <v>冰箱</v>
      </c>
      <c r="B424" s="12" t="str">
        <f ca="1">IFERROR(__xludf.DUMMYFUNCTION("""COMPUTED_VALUE"""),"聲寶")</f>
        <v>聲寶</v>
      </c>
      <c r="C424" s="12" t="str">
        <f ca="1">IFERROR(__xludf.DUMMYFUNCTION("""COMPUTED_VALUE"""),"聲寶")</f>
        <v>聲寶</v>
      </c>
      <c r="D424" s="12" t="str">
        <f ca="1">IFERROR(__xludf.DUMMYFUNCTION("""COMPUTED_VALUE"""),"聲寶_150公升變頻臥式冷凍櫃_SRF-151D")</f>
        <v>聲寶_150公升變頻臥式冷凍櫃_SRF-151D</v>
      </c>
      <c r="E424" s="12" t="str">
        <f ca="1">IFERROR(__xludf.DUMMYFUNCTION("""COMPUTED_VALUE"""),"SRF-151D")</f>
        <v>SRF-151D</v>
      </c>
      <c r="F424" s="12">
        <f ca="1">IFERROR(__xludf.DUMMYFUNCTION("""COMPUTED_VALUE"""),51086320)</f>
        <v>51086320</v>
      </c>
      <c r="G424" s="12" t="str">
        <f ca="1">IFERROR(__xludf.DUMMYFUNCTION("""COMPUTED_VALUE"""),"IGEM113Y")</f>
        <v>IGEM113Y</v>
      </c>
      <c r="H424" s="13">
        <f ca="1">IFERROR(__xludf.DUMMYFUNCTION("""COMPUTED_VALUE"""),12590)</f>
        <v>12590</v>
      </c>
      <c r="I424" s="18">
        <f ca="1">IFERROR(__xludf.DUMMYFUNCTION("""COMPUTED_VALUE"""),9900)</f>
        <v>9900</v>
      </c>
      <c r="J424" s="16">
        <f ca="1">IFERROR(__xludf.DUMMYFUNCTION("""COMPUTED_VALUE"""),45627)</f>
        <v>45627</v>
      </c>
      <c r="K424" s="12" t="str">
        <f ca="1">IFERROR(__xludf.DUMMYFUNCTION("""COMPUTED_VALUE"""),"新機上架")</f>
        <v>新機上架</v>
      </c>
      <c r="L424" s="12" t="str">
        <f ca="1">IFERROR(__xludf.DUMMYFUNCTION("""COMPUTED_VALUE"""),"上架中")</f>
        <v>上架中</v>
      </c>
      <c r="M424" s="12" t="str">
        <f ca="1">IFERROR(__xludf.DUMMYFUNCTION("""COMPUTED_VALUE"""),"12/1新機上架")</f>
        <v>12/1新機上架</v>
      </c>
      <c r="N424" s="12" t="str">
        <f ca="1">IFERROR(__xludf.DUMMYFUNCTION("""COMPUTED_VALUE"""),"上掀式冷凍櫃")</f>
        <v>上掀式冷凍櫃</v>
      </c>
      <c r="O424" s="12" t="str">
        <f ca="1">IFERROR(__xludf.DUMMYFUNCTION("""COMPUTED_VALUE"""),"白色")</f>
        <v>白色</v>
      </c>
      <c r="P424" s="12" t="str">
        <f ca="1">IFERROR(__xludf.DUMMYFUNCTION("""COMPUTED_VALUE"""),"150L")</f>
        <v>150L</v>
      </c>
      <c r="Q424" s="12" t="str">
        <f ca="1">IFERROR(__xludf.DUMMYFUNCTION("""COMPUTED_VALUE"""),"(高)850 *(寬)632* (深)593(含把手)mm")</f>
        <v>(高)850 *(寬)632* (深)593(含把手)mm</v>
      </c>
      <c r="R424" s="12" t="str">
        <f ca="1">IFERROR(__xludf.DUMMYFUNCTION("""COMPUTED_VALUE"""),"中國")</f>
        <v>中國</v>
      </c>
      <c r="S424" s="12"/>
      <c r="T424" s="12"/>
      <c r="U424" s="22" t="str">
        <f ca="1">IFERROR(__xludf.DUMMYFUNCTION("""COMPUTED_VALUE"""),"1年")</f>
        <v>1年</v>
      </c>
      <c r="V424" s="22" t="str">
        <f ca="1">IFERROR(__xludf.DUMMYFUNCTION("""COMPUTED_VALUE"""),"3年")</f>
        <v>3年</v>
      </c>
      <c r="W424" s="12"/>
      <c r="X424" s="12"/>
      <c r="Y424" s="12"/>
      <c r="Z424" s="14" t="str">
        <f ca="1">IFERROR(__xludf.DUMMYFUNCTION("""COMPUTED_VALUE"""),"無")</f>
        <v>無</v>
      </c>
      <c r="AA424" s="15" t="str">
        <f ca="1">IFERROR(__xludf.DUMMYFUNCTION("""COMPUTED_VALUE"""),"*把手帶鎖*LED照明燈*防凝露設計*冷凍/冷藏*冷凍: -1~ -30度、冷藏:0 ~ 10度")</f>
        <v>*把手帶鎖*LED照明燈*防凝露設計*冷凍/冷藏*冷凍: -1~ -30度、冷藏:0 ~ 10度</v>
      </c>
    </row>
    <row r="425" spans="1:27" ht="19.5" customHeight="1">
      <c r="A425" s="12" t="str">
        <f ca="1">IFERROR(__xludf.DUMMYFUNCTION("""COMPUTED_VALUE"""),"冰箱")</f>
        <v>冰箱</v>
      </c>
      <c r="B425" s="12" t="str">
        <f ca="1">IFERROR(__xludf.DUMMYFUNCTION("""COMPUTED_VALUE"""),"聲寶")</f>
        <v>聲寶</v>
      </c>
      <c r="C425" s="12" t="str">
        <f ca="1">IFERROR(__xludf.DUMMYFUNCTION("""COMPUTED_VALUE"""),"聲寶")</f>
        <v>聲寶</v>
      </c>
      <c r="D425" s="12" t="str">
        <f ca="1">IFERROR(__xludf.DUMMYFUNCTION("""COMPUTED_VALUE"""),"聲寶_250公升一級變頻雙門冰箱_SR-M25D")</f>
        <v>聲寶_250公升一級變頻雙門冰箱_SR-M25D</v>
      </c>
      <c r="E425" s="12" t="str">
        <f ca="1">IFERROR(__xludf.DUMMYFUNCTION("""COMPUTED_VALUE"""),"SR-M25D")</f>
        <v>SR-M25D</v>
      </c>
      <c r="F425" s="12">
        <f ca="1">IFERROR(__xludf.DUMMYFUNCTION("""COMPUTED_VALUE"""),51086321)</f>
        <v>51086321</v>
      </c>
      <c r="G425" s="12" t="str">
        <f ca="1">IFERROR(__xludf.DUMMYFUNCTION("""COMPUTED_VALUE"""),"IGEM113Z")</f>
        <v>IGEM113Z</v>
      </c>
      <c r="H425" s="13">
        <f ca="1">IFERROR(__xludf.DUMMYFUNCTION("""COMPUTED_VALUE"""),17900)</f>
        <v>17900</v>
      </c>
      <c r="I425" s="18">
        <f ca="1">IFERROR(__xludf.DUMMYFUNCTION("""COMPUTED_VALUE"""),15900)</f>
        <v>15900</v>
      </c>
      <c r="J425" s="16">
        <f ca="1">IFERROR(__xludf.DUMMYFUNCTION("""COMPUTED_VALUE"""),45627)</f>
        <v>45627</v>
      </c>
      <c r="K425" s="12" t="str">
        <f ca="1">IFERROR(__xludf.DUMMYFUNCTION("""COMPUTED_VALUE"""),"新機上架")</f>
        <v>新機上架</v>
      </c>
      <c r="L425" s="12" t="str">
        <f ca="1">IFERROR(__xludf.DUMMYFUNCTION("""COMPUTED_VALUE"""),"上架中")</f>
        <v>上架中</v>
      </c>
      <c r="M425" s="12" t="str">
        <f ca="1">IFERROR(__xludf.DUMMYFUNCTION("""COMPUTED_VALUE"""),"12/1新機上架")</f>
        <v>12/1新機上架</v>
      </c>
      <c r="N425" s="12" t="str">
        <f ca="1">IFERROR(__xludf.DUMMYFUNCTION("""COMPUTED_VALUE"""),"雙門定頻")</f>
        <v>雙門定頻</v>
      </c>
      <c r="O425" s="12" t="str">
        <f ca="1">IFERROR(__xludf.DUMMYFUNCTION("""COMPUTED_VALUE"""),"不鏽鋼色")</f>
        <v>不鏽鋼色</v>
      </c>
      <c r="P425" s="12" t="str">
        <f ca="1">IFERROR(__xludf.DUMMYFUNCTION("""COMPUTED_VALUE"""),"250L")</f>
        <v>250L</v>
      </c>
      <c r="Q425" s="12" t="str">
        <f ca="1">IFERROR(__xludf.DUMMYFUNCTION("""COMPUTED_VALUE"""),"(高)1670*(寬)545* (深)560(含把手)mm")</f>
        <v>(高)1670*(寬)545* (深)560(含把手)mm</v>
      </c>
      <c r="R425" s="12" t="str">
        <f ca="1">IFERROR(__xludf.DUMMYFUNCTION("""COMPUTED_VALUE"""),"中國")</f>
        <v>中國</v>
      </c>
      <c r="S425" s="12" t="str">
        <f ca="1">IFERROR(__xludf.DUMMYFUNCTION("""COMPUTED_VALUE"""),"V")</f>
        <v>V</v>
      </c>
      <c r="T425" s="13" t="str">
        <f ca="1">IFERROR(__xludf.DUMMYFUNCTION("""COMPUTED_VALUE"""),"1級能效")</f>
        <v>1級能效</v>
      </c>
      <c r="U425" s="22" t="str">
        <f ca="1">IFERROR(__xludf.DUMMYFUNCTION("""COMPUTED_VALUE"""),"1年")</f>
        <v>1年</v>
      </c>
      <c r="V425" s="22" t="str">
        <f ca="1">IFERROR(__xludf.DUMMYFUNCTION("""COMPUTED_VALUE"""),"3年")</f>
        <v>3年</v>
      </c>
      <c r="W425" s="12"/>
      <c r="X425" s="12"/>
      <c r="Y425" s="12">
        <f ca="1">IFERROR(__xludf.DUMMYFUNCTION("""COMPUTED_VALUE"""),250)</f>
        <v>250</v>
      </c>
      <c r="Z425" s="14" t="str">
        <f ca="1">IFERROR(__xludf.DUMMYFUNCTION("""COMPUTED_VALUE"""),"1200")</f>
        <v>1200</v>
      </c>
      <c r="AA425" s="15" t="str">
        <f ca="1">IFERROR(__xludf.DUMMYFUNCTION("""COMPUTED_VALUE"""),"*雙門變頻*強化玻璃盤架*全平面出風柵板、隱藏式把手設計*冰溫保鮮室 / 大型精緻蔬果室 簡易微收納空間*簡易式製冰格 / 蛋架")</f>
        <v>*雙門變頻*強化玻璃盤架*全平面出風柵板、隱藏式把手設計*冰溫保鮮室 / 大型精緻蔬果室 簡易微收納空間*簡易式製冰格 / 蛋架</v>
      </c>
    </row>
    <row r="426" spans="1:27" ht="19.5" customHeight="1">
      <c r="A426" s="12" t="str">
        <f ca="1">IFERROR(__xludf.DUMMYFUNCTION("""COMPUTED_VALUE"""),"冰箱")</f>
        <v>冰箱</v>
      </c>
      <c r="B426" s="12" t="str">
        <f ca="1">IFERROR(__xludf.DUMMYFUNCTION("""COMPUTED_VALUE"""),"聲寶")</f>
        <v>聲寶</v>
      </c>
      <c r="C426" s="12" t="str">
        <f ca="1">IFERROR(__xludf.DUMMYFUNCTION("""COMPUTED_VALUE"""),"聲寶")</f>
        <v>聲寶</v>
      </c>
      <c r="D426" s="12" t="str">
        <f ca="1">IFERROR(__xludf.DUMMYFUNCTION("""COMPUTED_VALUE"""),"聲寶_ 605公升一級星美滿變頻三門冰箱_SR-F61DV(Y7)")</f>
        <v>聲寶_ 605公升一級星美滿變頻三門冰箱_SR-F61DV(Y7)</v>
      </c>
      <c r="E426" s="12" t="str">
        <f ca="1">IFERROR(__xludf.DUMMYFUNCTION("""COMPUTED_VALUE"""),"SR-F61DV(Y7)")</f>
        <v>SR-F61DV(Y7)</v>
      </c>
      <c r="F426" s="12">
        <f ca="1">IFERROR(__xludf.DUMMYFUNCTION("""COMPUTED_VALUE"""),51001328)</f>
        <v>51001328</v>
      </c>
      <c r="G426" s="12" t="str">
        <f ca="1">IFERROR(__xludf.DUMMYFUNCTION("""COMPUTED_VALUE"""),"IGEM114K")</f>
        <v>IGEM114K</v>
      </c>
      <c r="H426" s="12">
        <f ca="1">IFERROR(__xludf.DUMMYFUNCTION("""COMPUTED_VALUE"""),42900)</f>
        <v>42900</v>
      </c>
      <c r="I426" s="14">
        <f ca="1">IFERROR(__xludf.DUMMYFUNCTION("""COMPUTED_VALUE"""),35990)</f>
        <v>35990</v>
      </c>
      <c r="J426" s="16">
        <f ca="1">IFERROR(__xludf.DUMMYFUNCTION("""COMPUTED_VALUE"""),45627)</f>
        <v>45627</v>
      </c>
      <c r="K426" s="12" t="str">
        <f ca="1">IFERROR(__xludf.DUMMYFUNCTION("""COMPUTED_VALUE"""),"新機上架")</f>
        <v>新機上架</v>
      </c>
      <c r="L426" s="12" t="str">
        <f ca="1">IFERROR(__xludf.DUMMYFUNCTION("""COMPUTED_VALUE"""),"上架中")</f>
        <v>上架中</v>
      </c>
      <c r="M426" s="12" t="str">
        <f ca="1">IFERROR(__xludf.DUMMYFUNCTION("""COMPUTED_VALUE"""),"12/1新機上架")</f>
        <v>12/1新機上架</v>
      </c>
      <c r="N426" s="12" t="str">
        <f ca="1">IFERROR(__xludf.DUMMYFUNCTION("""COMPUTED_VALUE"""),"三門變頻")</f>
        <v>三門變頻</v>
      </c>
      <c r="O426" s="12" t="str">
        <f ca="1">IFERROR(__xludf.DUMMYFUNCTION("""COMPUTED_VALUE"""),"炫彩金 ")</f>
        <v xml:space="preserve">炫彩金 </v>
      </c>
      <c r="P426" s="12" t="str">
        <f ca="1">IFERROR(__xludf.DUMMYFUNCTION("""COMPUTED_VALUE"""),"605L")</f>
        <v>605L</v>
      </c>
      <c r="Q426" s="12" t="str">
        <f ca="1">IFERROR(__xludf.DUMMYFUNCTION("""COMPUTED_VALUE""")," (高)1885*(寬)754* (深)768mm")</f>
        <v xml:space="preserve"> (高)1885*(寬)754* (深)768mm</v>
      </c>
      <c r="R426" s="12" t="str">
        <f ca="1">IFERROR(__xludf.DUMMYFUNCTION("""COMPUTED_VALUE"""),"台灣")</f>
        <v>台灣</v>
      </c>
      <c r="S426" s="12" t="str">
        <f ca="1">IFERROR(__xludf.DUMMYFUNCTION("""COMPUTED_VALUE"""),"V")</f>
        <v>V</v>
      </c>
      <c r="T426" s="13" t="str">
        <f ca="1">IFERROR(__xludf.DUMMYFUNCTION("""COMPUTED_VALUE"""),"1級能效")</f>
        <v>1級能效</v>
      </c>
      <c r="U426" s="22" t="str">
        <f ca="1">IFERROR(__xludf.DUMMYFUNCTION("""COMPUTED_VALUE"""),"1年")</f>
        <v>1年</v>
      </c>
      <c r="V426" s="22" t="str">
        <f ca="1">IFERROR(__xludf.DUMMYFUNCTION("""COMPUTED_VALUE"""),"3年")</f>
        <v>3年</v>
      </c>
      <c r="W426" s="12" t="str">
        <f ca="1">IFERROR(__xludf.DUMMYFUNCTION("""COMPUTED_VALUE"""),"(11/7-114/2/21 )隨貨送聲寶4L雙溫控鴛鴦鍋")</f>
        <v>(11/7-114/2/21 )隨貨送聲寶4L雙溫控鴛鴦鍋</v>
      </c>
      <c r="X426" s="12"/>
      <c r="Y426" s="12">
        <f ca="1">IFERROR(__xludf.DUMMYFUNCTION("""COMPUTED_VALUE"""),605)</f>
        <v>605</v>
      </c>
      <c r="Z426" s="14" t="str">
        <f ca="1">IFERROR(__xludf.DUMMYFUNCTION("""COMPUTED_VALUE"""),"2000")</f>
        <v>2000</v>
      </c>
      <c r="AA426" s="15" t="str">
        <f ca="1">IFERROR(__xludf.DUMMYFUNCTION("""COMPUTED_VALUE"""),"*'-3度微凍鮮 Premium Freezing 7天保鮮食材*Nano-Ti 極光鈦抗菌脫臭*負離子抗菌*U-manga/ 白金脫臭*日本同級 鏡面觸控面板*蔬果箱加大設計 輕鬆管理食材*冷凍室/冷藏室 平面式出風柵板、高亮度LED燈*變頻壓縮機、一級能效、R600a環保冷媒")</f>
        <v>*'-3度微凍鮮 Premium Freezing 7天保鮮食材*Nano-Ti 極光鈦抗菌脫臭*負離子抗菌*U-manga/ 白金脫臭*日本同級 鏡面觸控面板*蔬果箱加大設計 輕鬆管理食材*冷凍室/冷藏室 平面式出風柵板、高亮度LED燈*變頻壓縮機、一級能效、R600a環保冷媒</v>
      </c>
    </row>
    <row r="427" spans="1:27" ht="19.5" customHeight="1">
      <c r="A427" s="12" t="str">
        <f ca="1">IFERROR(__xludf.DUMMYFUNCTION("""COMPUTED_VALUE"""),"冰箱")</f>
        <v>冰箱</v>
      </c>
      <c r="B427" s="12" t="str">
        <f ca="1">IFERROR(__xludf.DUMMYFUNCTION("""COMPUTED_VALUE"""),"聲寶")</f>
        <v>聲寶</v>
      </c>
      <c r="C427" s="12" t="str">
        <f ca="1">IFERROR(__xludf.DUMMYFUNCTION("""COMPUTED_VALUE"""),"聲寶")</f>
        <v>聲寶</v>
      </c>
      <c r="D427" s="12" t="str">
        <f ca="1">IFERROR(__xludf.DUMMYFUNCTION("""COMPUTED_VALUE"""),"聲寶_ 610公升一級星美滿變頻兩門冰箱_SR-F61D(S2)")</f>
        <v>聲寶_ 610公升一級星美滿變頻兩門冰箱_SR-F61D(S2)</v>
      </c>
      <c r="E427" s="12" t="str">
        <f ca="1">IFERROR(__xludf.DUMMYFUNCTION("""COMPUTED_VALUE"""),"SR-F61D(S2)")</f>
        <v>SR-F61D(S2)</v>
      </c>
      <c r="F427" s="12">
        <f ca="1">IFERROR(__xludf.DUMMYFUNCTION("""COMPUTED_VALUE"""),51001329)</f>
        <v>51001329</v>
      </c>
      <c r="G427" s="12" t="str">
        <f ca="1">IFERROR(__xludf.DUMMYFUNCTION("""COMPUTED_VALUE"""),"IGEM114L")</f>
        <v>IGEM114L</v>
      </c>
      <c r="H427" s="12">
        <f ca="1">IFERROR(__xludf.DUMMYFUNCTION("""COMPUTED_VALUE"""),39900)</f>
        <v>39900</v>
      </c>
      <c r="I427" s="14">
        <f ca="1">IFERROR(__xludf.DUMMYFUNCTION("""COMPUTED_VALUE"""),33490)</f>
        <v>33490</v>
      </c>
      <c r="J427" s="16">
        <f ca="1">IFERROR(__xludf.DUMMYFUNCTION("""COMPUTED_VALUE"""),45627)</f>
        <v>45627</v>
      </c>
      <c r="K427" s="12" t="str">
        <f ca="1">IFERROR(__xludf.DUMMYFUNCTION("""COMPUTED_VALUE"""),"新機上架")</f>
        <v>新機上架</v>
      </c>
      <c r="L427" s="12" t="str">
        <f ca="1">IFERROR(__xludf.DUMMYFUNCTION("""COMPUTED_VALUE"""),"上架中")</f>
        <v>上架中</v>
      </c>
      <c r="M427" s="12" t="str">
        <f ca="1">IFERROR(__xludf.DUMMYFUNCTION("""COMPUTED_VALUE"""),"12/1新機上架")</f>
        <v>12/1新機上架</v>
      </c>
      <c r="N427" s="12" t="str">
        <f ca="1">IFERROR(__xludf.DUMMYFUNCTION("""COMPUTED_VALUE"""),"雙門變頻")</f>
        <v>雙門變頻</v>
      </c>
      <c r="O427" s="12" t="str">
        <f ca="1">IFERROR(__xludf.DUMMYFUNCTION("""COMPUTED_VALUE"""),"炫彩銀 ")</f>
        <v xml:space="preserve">炫彩銀 </v>
      </c>
      <c r="P427" s="12" t="str">
        <f ca="1">IFERROR(__xludf.DUMMYFUNCTION("""COMPUTED_VALUE"""),"610L")</f>
        <v>610L</v>
      </c>
      <c r="Q427" s="12" t="str">
        <f ca="1">IFERROR(__xludf.DUMMYFUNCTION("""COMPUTED_VALUE"""),"(高)1885*(寬)754* (深)768mm")</f>
        <v>(高)1885*(寬)754* (深)768mm</v>
      </c>
      <c r="R427" s="12" t="str">
        <f ca="1">IFERROR(__xludf.DUMMYFUNCTION("""COMPUTED_VALUE"""),"台灣")</f>
        <v>台灣</v>
      </c>
      <c r="S427" s="12" t="str">
        <f ca="1">IFERROR(__xludf.DUMMYFUNCTION("""COMPUTED_VALUE"""),"V")</f>
        <v>V</v>
      </c>
      <c r="T427" s="13" t="str">
        <f ca="1">IFERROR(__xludf.DUMMYFUNCTION("""COMPUTED_VALUE"""),"1級能效")</f>
        <v>1級能效</v>
      </c>
      <c r="U427" s="22" t="str">
        <f ca="1">IFERROR(__xludf.DUMMYFUNCTION("""COMPUTED_VALUE"""),"1年")</f>
        <v>1年</v>
      </c>
      <c r="V427" s="22" t="str">
        <f ca="1">IFERROR(__xludf.DUMMYFUNCTION("""COMPUTED_VALUE"""),"3年")</f>
        <v>3年</v>
      </c>
      <c r="W427" s="12" t="str">
        <f ca="1">IFERROR(__xludf.DUMMYFUNCTION("""COMPUTED_VALUE"""),"(11/7-114/2/21 )隨貨送聲寶4L雙溫控鴛鴦鍋")</f>
        <v>(11/7-114/2/21 )隨貨送聲寶4L雙溫控鴛鴦鍋</v>
      </c>
      <c r="X427" s="12"/>
      <c r="Y427" s="12">
        <f ca="1">IFERROR(__xludf.DUMMYFUNCTION("""COMPUTED_VALUE"""),610)</f>
        <v>610</v>
      </c>
      <c r="Z427" s="14" t="str">
        <f ca="1">IFERROR(__xludf.DUMMYFUNCTION("""COMPUTED_VALUE"""),"2000")</f>
        <v>2000</v>
      </c>
      <c r="AA427" s="15" t="str">
        <f ca="1">IFERROR(__xludf.DUMMYFUNCTION("""COMPUTED_VALUE"""),"*'-3度微凍鮮 Premium Freezing 7天保鮮食材*Nano-Ti 極光鈦抗抗菌、Umanga/ 白金脫臭*日本同級 鏡面觸控面板*冷凍室/冷藏室 平面式出風柵板*冷凍室/冷藏室 高亮度LED燈*變頻壓縮機、一級能效、R600a環保冷媒")</f>
        <v>*'-3度微凍鮮 Premium Freezing 7天保鮮食材*Nano-Ti 極光鈦抗抗菌、Umanga/ 白金脫臭*日本同級 鏡面觸控面板*冷凍室/冷藏室 平面式出風柵板*冷凍室/冷藏室 高亮度LED燈*變頻壓縮機、一級能效、R600a環保冷媒</v>
      </c>
    </row>
    <row r="428" spans="1:27" ht="19.5" customHeight="1">
      <c r="A428" s="12" t="str">
        <f ca="1">IFERROR(__xludf.DUMMYFUNCTION("""COMPUTED_VALUE"""),"冰箱")</f>
        <v>冰箱</v>
      </c>
      <c r="B428" s="12" t="str">
        <f ca="1">IFERROR(__xludf.DUMMYFUNCTION("""COMPUTED_VALUE"""),"聲寶")</f>
        <v>聲寶</v>
      </c>
      <c r="C428" s="12" t="str">
        <f ca="1">IFERROR(__xludf.DUMMYFUNCTION("""COMPUTED_VALUE"""),"聲寶")</f>
        <v>聲寶</v>
      </c>
      <c r="D428" s="12" t="str">
        <f ca="1">IFERROR(__xludf.DUMMYFUNCTION("""COMPUTED_VALUE"""),"聲寶_ 253公升一級星漾美滿變頻兩門冰箱_SR-F26D")</f>
        <v>聲寶_ 253公升一級星漾美滿變頻兩門冰箱_SR-F26D</v>
      </c>
      <c r="E428" s="12" t="str">
        <f ca="1">IFERROR(__xludf.DUMMYFUNCTION("""COMPUTED_VALUE"""),"SR-F26D")</f>
        <v>SR-F26D</v>
      </c>
      <c r="F428" s="12">
        <f ca="1">IFERROR(__xludf.DUMMYFUNCTION("""COMPUTED_VALUE"""),51001330)</f>
        <v>51001330</v>
      </c>
      <c r="G428" s="12" t="str">
        <f ca="1">IFERROR(__xludf.DUMMYFUNCTION("""COMPUTED_VALUE"""),"IGEM114M")</f>
        <v>IGEM114M</v>
      </c>
      <c r="H428" s="12">
        <f ca="1">IFERROR(__xludf.DUMMYFUNCTION("""COMPUTED_VALUE"""),24900)</f>
        <v>24900</v>
      </c>
      <c r="I428" s="14">
        <f ca="1">IFERROR(__xludf.DUMMYFUNCTION("""COMPUTED_VALUE"""),22900)</f>
        <v>22900</v>
      </c>
      <c r="J428" s="16">
        <f ca="1">IFERROR(__xludf.DUMMYFUNCTION("""COMPUTED_VALUE"""),45658)</f>
        <v>45658</v>
      </c>
      <c r="K428" s="12" t="str">
        <f ca="1">IFERROR(__xludf.DUMMYFUNCTION("""COMPUTED_VALUE"""),"新機上架")</f>
        <v>新機上架</v>
      </c>
      <c r="L428" s="12" t="str">
        <f ca="1">IFERROR(__xludf.DUMMYFUNCTION("""COMPUTED_VALUE"""),"上架中")</f>
        <v>上架中</v>
      </c>
      <c r="M428" s="12" t="str">
        <f ca="1">IFERROR(__xludf.DUMMYFUNCTION("""COMPUTED_VALUE"""),"1/1新機上架")</f>
        <v>1/1新機上架</v>
      </c>
      <c r="N428" s="12" t="str">
        <f ca="1">IFERROR(__xludf.DUMMYFUNCTION("""COMPUTED_VALUE"""),"雙門變頻")</f>
        <v>雙門變頻</v>
      </c>
      <c r="O428" s="12" t="str">
        <f ca="1">IFERROR(__xludf.DUMMYFUNCTION("""COMPUTED_VALUE"""),"不鏽鋼色")</f>
        <v>不鏽鋼色</v>
      </c>
      <c r="P428" s="12" t="str">
        <f ca="1">IFERROR(__xludf.DUMMYFUNCTION("""COMPUTED_VALUE"""),"253L")</f>
        <v>253L</v>
      </c>
      <c r="Q428" s="12" t="str">
        <f ca="1">IFERROR(__xludf.DUMMYFUNCTION("""COMPUTED_VALUE"""),"(高)1810* (寬)545* (深)600mm")</f>
        <v>(高)1810* (寬)545* (深)600mm</v>
      </c>
      <c r="R428" s="12" t="str">
        <f ca="1">IFERROR(__xludf.DUMMYFUNCTION("""COMPUTED_VALUE"""),"台灣")</f>
        <v>台灣</v>
      </c>
      <c r="S428" s="12" t="str">
        <f ca="1">IFERROR(__xludf.DUMMYFUNCTION("""COMPUTED_VALUE"""),"V")</f>
        <v>V</v>
      </c>
      <c r="T428" s="13" t="str">
        <f ca="1">IFERROR(__xludf.DUMMYFUNCTION("""COMPUTED_VALUE"""),"1級能效")</f>
        <v>1級能效</v>
      </c>
      <c r="U428" s="22" t="str">
        <f ca="1">IFERROR(__xludf.DUMMYFUNCTION("""COMPUTED_VALUE"""),"1年")</f>
        <v>1年</v>
      </c>
      <c r="V428" s="22" t="str">
        <f ca="1">IFERROR(__xludf.DUMMYFUNCTION("""COMPUTED_VALUE"""),"3年")</f>
        <v>3年</v>
      </c>
      <c r="W428" s="12" t="str">
        <f ca="1">IFERROR(__xludf.DUMMYFUNCTION("""COMPUTED_VALUE"""),"(11/7-114/2/21 )隨貨送聲寶1.4L美食鍋")</f>
        <v>(11/7-114/2/21 )隨貨送聲寶1.4L美食鍋</v>
      </c>
      <c r="X428" s="12"/>
      <c r="Y428" s="12">
        <f ca="1">IFERROR(__xludf.DUMMYFUNCTION("""COMPUTED_VALUE"""),253)</f>
        <v>253</v>
      </c>
      <c r="Z428" s="14" t="str">
        <f ca="1">IFERROR(__xludf.DUMMYFUNCTION("""COMPUTED_VALUE"""),"1200")</f>
        <v>1200</v>
      </c>
      <c r="AA428" s="15" t="str">
        <f ca="1">IFERROR(__xludf.DUMMYFUNCTION("""COMPUTED_VALUE"""),"*上冷藏下冷凍 符合人體工學設計*保鮮蔬果室、多層出風柵板*冷藏/冷凍 三段控溫、冷藏室LED照明燈*冷凍室托盤/抽屜設計 增加食材收納性*配合左右換門配件 裝潢免擔心 空間運用不設限*變頻壓縮機、一級能效、R600a環保冷媒")</f>
        <v>*上冷藏下冷凍 符合人體工學設計*保鮮蔬果室、多層出風柵板*冷藏/冷凍 三段控溫、冷藏室LED照明燈*冷凍室托盤/抽屜設計 增加食材收納性*配合左右換門配件 裝潢免擔心 空間運用不設限*變頻壓縮機、一級能效、R600a環保冷媒</v>
      </c>
    </row>
    <row r="429" spans="1:27" ht="19.5" customHeight="1">
      <c r="A429" s="12" t="str">
        <f ca="1">IFERROR(__xludf.DUMMYFUNCTION("""COMPUTED_VALUE"""),"冰箱")</f>
        <v>冰箱</v>
      </c>
      <c r="B429" s="12" t="str">
        <f ca="1">IFERROR(__xludf.DUMMYFUNCTION("""COMPUTED_VALUE"""),"聲寶")</f>
        <v>聲寶</v>
      </c>
      <c r="C429" s="12" t="str">
        <f ca="1">IFERROR(__xludf.DUMMYFUNCTION("""COMPUTED_VALUE"""),"聲寶")</f>
        <v>聲寶</v>
      </c>
      <c r="D429" s="12" t="str">
        <f ca="1">IFERROR(__xludf.DUMMYFUNCTION("""COMPUTED_VALUE"""),"聲寶_300公升變頻風冷無霜冷凍櫃_SRF-300D")</f>
        <v>聲寶_300公升變頻風冷無霜冷凍櫃_SRF-300D</v>
      </c>
      <c r="E429" s="12" t="str">
        <f ca="1">IFERROR(__xludf.DUMMYFUNCTION("""COMPUTED_VALUE"""),"SRF-300D")</f>
        <v>SRF-300D</v>
      </c>
      <c r="F429" s="12">
        <f ca="1">IFERROR(__xludf.DUMMYFUNCTION("""COMPUTED_VALUE"""),51001332)</f>
        <v>51001332</v>
      </c>
      <c r="G429" s="12" t="str">
        <f ca="1">IFERROR(__xludf.DUMMYFUNCTION("""COMPUTED_VALUE"""),"IGEM114O")</f>
        <v>IGEM114O</v>
      </c>
      <c r="H429" s="12">
        <f ca="1">IFERROR(__xludf.DUMMYFUNCTION("""COMPUTED_VALUE"""),19800)</f>
        <v>19800</v>
      </c>
      <c r="I429" s="14">
        <f ca="1">IFERROR(__xludf.DUMMYFUNCTION("""COMPUTED_VALUE"""),14490)</f>
        <v>14490</v>
      </c>
      <c r="J429" s="16">
        <f ca="1">IFERROR(__xludf.DUMMYFUNCTION("""COMPUTED_VALUE"""),45678)</f>
        <v>45678</v>
      </c>
      <c r="K429" s="12" t="str">
        <f ca="1">IFERROR(__xludf.DUMMYFUNCTION("""COMPUTED_VALUE"""),"新機上架")</f>
        <v>新機上架</v>
      </c>
      <c r="L429" s="12" t="str">
        <f ca="1">IFERROR(__xludf.DUMMYFUNCTION("""COMPUTED_VALUE"""),"上架中")</f>
        <v>上架中</v>
      </c>
      <c r="M429" s="12" t="str">
        <f ca="1">IFERROR(__xludf.DUMMYFUNCTION("""COMPUTED_VALUE"""),"1/21新機上架")</f>
        <v>1/21新機上架</v>
      </c>
      <c r="N429" s="12" t="str">
        <f ca="1">IFERROR(__xludf.DUMMYFUNCTION("""COMPUTED_VALUE"""),"直立式冷凍櫃")</f>
        <v>直立式冷凍櫃</v>
      </c>
      <c r="O429" s="12" t="str">
        <f ca="1">IFERROR(__xludf.DUMMYFUNCTION("""COMPUTED_VALUE"""),"白色")</f>
        <v>白色</v>
      </c>
      <c r="P429" s="12" t="str">
        <f ca="1">IFERROR(__xludf.DUMMYFUNCTION("""COMPUTED_VALUE"""),"300L")</f>
        <v>300L</v>
      </c>
      <c r="Q429" s="12" t="str">
        <f ca="1">IFERROR(__xludf.DUMMYFUNCTION("""COMPUTED_VALUE"""),"(高)850*(寬)1090* (深)700mm")</f>
        <v>(高)850*(寬)1090* (深)700mm</v>
      </c>
      <c r="R429" s="12"/>
      <c r="S429" s="12"/>
      <c r="T429" s="12"/>
      <c r="U429" s="22" t="str">
        <f ca="1">IFERROR(__xludf.DUMMYFUNCTION("""COMPUTED_VALUE"""),"1年")</f>
        <v>1年</v>
      </c>
      <c r="V429" s="22" t="str">
        <f ca="1">IFERROR(__xludf.DUMMYFUNCTION("""COMPUTED_VALUE"""),"3年")</f>
        <v>3年</v>
      </c>
      <c r="W429" s="12"/>
      <c r="X429" s="12"/>
      <c r="Y429" s="12"/>
      <c r="Z429" s="14" t="str">
        <f ca="1">IFERROR(__xludf.DUMMYFUNCTION("""COMPUTED_VALUE"""),"無")</f>
        <v>無</v>
      </c>
      <c r="AA429" s="15" t="str">
        <f ca="1">IFERROR(__xludf.DUMMYFUNCTION("""COMPUTED_VALUE"""),"*變頻直冷式*冷凍/冷藏切換、電子式控溫*活動式收納籃*LED照明燈*附鎖把手設計*R600a環保冷媒")</f>
        <v>*變頻直冷式*冷凍/冷藏切換、電子式控溫*活動式收納籃*LED照明燈*附鎖把手設計*R600a環保冷媒</v>
      </c>
    </row>
    <row r="430" spans="1:27" ht="19.5" customHeight="1">
      <c r="A430" s="12" t="str">
        <f ca="1">IFERROR(__xludf.DUMMYFUNCTION("""COMPUTED_VALUE"""),"冰箱")</f>
        <v>冰箱</v>
      </c>
      <c r="B430" s="12" t="str">
        <f ca="1">IFERROR(__xludf.DUMMYFUNCTION("""COMPUTED_VALUE"""),"聲寶")</f>
        <v>聲寶</v>
      </c>
      <c r="C430" s="12" t="str">
        <f ca="1">IFERROR(__xludf.DUMMYFUNCTION("""COMPUTED_VALUE"""),"聲寶")</f>
        <v>聲寶</v>
      </c>
      <c r="D430" s="12" t="str">
        <f ca="1">IFERROR(__xludf.DUMMYFUNCTION("""COMPUTED_VALUE"""),"聲寶_216公升變頻風冷無霜直立式冷凍櫃_SRF-220FD")</f>
        <v>聲寶_216公升變頻風冷無霜直立式冷凍櫃_SRF-220FD</v>
      </c>
      <c r="E430" s="12" t="str">
        <f ca="1">IFERROR(__xludf.DUMMYFUNCTION("""COMPUTED_VALUE"""),"SRF-220FD")</f>
        <v>SRF-220FD</v>
      </c>
      <c r="F430" s="12">
        <f ca="1">IFERROR(__xludf.DUMMYFUNCTION("""COMPUTED_VALUE"""),51001333)</f>
        <v>51001333</v>
      </c>
      <c r="G430" s="12" t="str">
        <f ca="1">IFERROR(__xludf.DUMMYFUNCTION("""COMPUTED_VALUE"""),"IGEM114P")</f>
        <v>IGEM114P</v>
      </c>
      <c r="H430" s="12">
        <f ca="1">IFERROR(__xludf.DUMMYFUNCTION("""COMPUTED_VALUE"""),21900)</f>
        <v>21900</v>
      </c>
      <c r="I430" s="14">
        <f ca="1">IFERROR(__xludf.DUMMYFUNCTION("""COMPUTED_VALUE"""),18000)</f>
        <v>18000</v>
      </c>
      <c r="J430" s="16">
        <f ca="1">IFERROR(__xludf.DUMMYFUNCTION("""COMPUTED_VALUE"""),45658)</f>
        <v>45658</v>
      </c>
      <c r="K430" s="12" t="str">
        <f ca="1">IFERROR(__xludf.DUMMYFUNCTION("""COMPUTED_VALUE"""),"新機上架")</f>
        <v>新機上架</v>
      </c>
      <c r="L430" s="12" t="str">
        <f ca="1">IFERROR(__xludf.DUMMYFUNCTION("""COMPUTED_VALUE"""),"上架中")</f>
        <v>上架中</v>
      </c>
      <c r="M430" s="12" t="str">
        <f ca="1">IFERROR(__xludf.DUMMYFUNCTION("""COMPUTED_VALUE"""),"1/1新機上架")</f>
        <v>1/1新機上架</v>
      </c>
      <c r="N430" s="12" t="str">
        <f ca="1">IFERROR(__xludf.DUMMYFUNCTION("""COMPUTED_VALUE"""),"直立式冷凍櫃")</f>
        <v>直立式冷凍櫃</v>
      </c>
      <c r="O430" s="12" t="str">
        <f ca="1">IFERROR(__xludf.DUMMYFUNCTION("""COMPUTED_VALUE"""),"髮絲銀")</f>
        <v>髮絲銀</v>
      </c>
      <c r="P430" s="12" t="str">
        <f ca="1">IFERROR(__xludf.DUMMYFUNCTION("""COMPUTED_VALUE"""),"216L")</f>
        <v>216L</v>
      </c>
      <c r="Q430" s="12" t="str">
        <f ca="1">IFERROR(__xludf.DUMMYFUNCTION("""COMPUTED_VALUE"""),"(高)1770*(寬)544*  (深)641mm")</f>
        <v>(高)1770*(寬)544*  (深)641mm</v>
      </c>
      <c r="R430" s="12"/>
      <c r="S430" s="12"/>
      <c r="T430" s="12"/>
      <c r="U430" s="22" t="str">
        <f ca="1">IFERROR(__xludf.DUMMYFUNCTION("""COMPUTED_VALUE"""),"1年")</f>
        <v>1年</v>
      </c>
      <c r="V430" s="22" t="str">
        <f ca="1">IFERROR(__xludf.DUMMYFUNCTION("""COMPUTED_VALUE"""),"3年")</f>
        <v>3年</v>
      </c>
      <c r="W430" s="12"/>
      <c r="X430" s="12"/>
      <c r="Y430" s="12"/>
      <c r="Z430" s="14" t="str">
        <f ca="1">IFERROR(__xludf.DUMMYFUNCTION("""COMPUTED_VALUE"""),"無")</f>
        <v>無</v>
      </c>
      <c r="AA430" s="15" t="str">
        <f ca="1">IFERROR(__xludf.DUMMYFUNCTION("""COMPUTED_VALUE"""),"*變頻壓縮機、自動除霜、急速冷凍*金屬背板、LED照明燈、鋁合金省力把手*電子觸控面板、未關門智慧警示音*多重循環冷流、4星級冷凍能力*冷凍/冷藏切換*R600a環保冷媒")</f>
        <v>*變頻壓縮機、自動除霜、急速冷凍*金屬背板、LED照明燈、鋁合金省力把手*電子觸控面板、未關門智慧警示音*多重循環冷流、4星級冷凍能力*冷凍/冷藏切換*R600a環保冷媒</v>
      </c>
    </row>
    <row r="431" spans="1:27" ht="19.5" customHeight="1">
      <c r="A431" s="12" t="str">
        <f ca="1">IFERROR(__xludf.DUMMYFUNCTION("""COMPUTED_VALUE"""),"冰箱")</f>
        <v>冰箱</v>
      </c>
      <c r="B431" s="12" t="str">
        <f ca="1">IFERROR(__xludf.DUMMYFUNCTION("""COMPUTED_VALUE"""),"聲寶")</f>
        <v>聲寶</v>
      </c>
      <c r="C431" s="12" t="str">
        <f ca="1">IFERROR(__xludf.DUMMYFUNCTION("""COMPUTED_VALUE"""),"聲寶")</f>
        <v>聲寶</v>
      </c>
      <c r="D431" s="12" t="str">
        <f ca="1">IFERROR(__xludf.DUMMYFUNCTION("""COMPUTED_VALUE"""),"聲寶_410公升變頻風冷無霜直立式冷凍櫃_SRF-410FD")</f>
        <v>聲寶_410公升變頻風冷無霜直立式冷凍櫃_SRF-410FD</v>
      </c>
      <c r="E431" s="12" t="str">
        <f ca="1">IFERROR(__xludf.DUMMYFUNCTION("""COMPUTED_VALUE"""),"SRF-410FD")</f>
        <v>SRF-410FD</v>
      </c>
      <c r="F431" s="12">
        <f ca="1">IFERROR(__xludf.DUMMYFUNCTION("""COMPUTED_VALUE"""),51001334)</f>
        <v>51001334</v>
      </c>
      <c r="G431" s="12" t="str">
        <f ca="1">IFERROR(__xludf.DUMMYFUNCTION("""COMPUTED_VALUE"""),"IGEM114Q")</f>
        <v>IGEM114Q</v>
      </c>
      <c r="H431" s="12">
        <f ca="1">IFERROR(__xludf.DUMMYFUNCTION("""COMPUTED_VALUE"""),27500)</f>
        <v>27500</v>
      </c>
      <c r="I431" s="14">
        <f ca="1">IFERROR(__xludf.DUMMYFUNCTION("""COMPUTED_VALUE"""),24000)</f>
        <v>24000</v>
      </c>
      <c r="J431" s="16">
        <f ca="1">IFERROR(__xludf.DUMMYFUNCTION("""COMPUTED_VALUE"""),45658)</f>
        <v>45658</v>
      </c>
      <c r="K431" s="12" t="str">
        <f ca="1">IFERROR(__xludf.DUMMYFUNCTION("""COMPUTED_VALUE"""),"新機上架")</f>
        <v>新機上架</v>
      </c>
      <c r="L431" s="12" t="str">
        <f ca="1">IFERROR(__xludf.DUMMYFUNCTION("""COMPUTED_VALUE"""),"上架中")</f>
        <v>上架中</v>
      </c>
      <c r="M431" s="12" t="str">
        <f ca="1">IFERROR(__xludf.DUMMYFUNCTION("""COMPUTED_VALUE"""),"1/1新機上架")</f>
        <v>1/1新機上架</v>
      </c>
      <c r="N431" s="12" t="str">
        <f ca="1">IFERROR(__xludf.DUMMYFUNCTION("""COMPUTED_VALUE"""),"直立式冷凍櫃")</f>
        <v>直立式冷凍櫃</v>
      </c>
      <c r="O431" s="12" t="str">
        <f ca="1">IFERROR(__xludf.DUMMYFUNCTION("""COMPUTED_VALUE"""),"白色")</f>
        <v>白色</v>
      </c>
      <c r="P431" s="12" t="str">
        <f ca="1">IFERROR(__xludf.DUMMYFUNCTION("""COMPUTED_VALUE"""),"410L")</f>
        <v>410L</v>
      </c>
      <c r="Q431" s="12" t="str">
        <f ca="1">IFERROR(__xludf.DUMMYFUNCTION("""COMPUTED_VALUE"""),"(高)1570*(寬)711* (深)800mm")</f>
        <v>(高)1570*(寬)711* (深)800mm</v>
      </c>
      <c r="R431" s="12"/>
      <c r="S431" s="12"/>
      <c r="T431" s="12"/>
      <c r="U431" s="22" t="str">
        <f ca="1">IFERROR(__xludf.DUMMYFUNCTION("""COMPUTED_VALUE"""),"1年")</f>
        <v>1年</v>
      </c>
      <c r="V431" s="22" t="str">
        <f ca="1">IFERROR(__xludf.DUMMYFUNCTION("""COMPUTED_VALUE"""),"3年")</f>
        <v>3年</v>
      </c>
      <c r="W431" s="12"/>
      <c r="X431" s="12"/>
      <c r="Y431" s="12"/>
      <c r="Z431" s="14" t="str">
        <f ca="1">IFERROR(__xludf.DUMMYFUNCTION("""COMPUTED_VALUE"""),"無")</f>
        <v>無</v>
      </c>
      <c r="AA431" s="15" t="str">
        <f ca="1">IFERROR(__xludf.DUMMYFUNCTION("""COMPUTED_VALUE"""),"*變頻壓縮機、自動除霜、急速冷凍*金屬背板、LED照明燈、鋁合金省力把手*電子觸控面板、未關門智慧警示音*多重循環冷流、4星級冷凍能力*冷凍/冷藏切換*R600a環保冷媒")</f>
        <v>*變頻壓縮機、自動除霜、急速冷凍*金屬背板、LED照明燈、鋁合金省力把手*電子觸控面板、未關門智慧警示音*多重循環冷流、4星級冷凍能力*冷凍/冷藏切換*R600a環保冷媒</v>
      </c>
    </row>
    <row r="432" spans="1:27" ht="19.5" customHeight="1">
      <c r="A432" s="12" t="str">
        <f ca="1">IFERROR(__xludf.DUMMYFUNCTION("""COMPUTED_VALUE"""),"冰箱")</f>
        <v>冰箱</v>
      </c>
      <c r="B432" s="12" t="str">
        <f ca="1">IFERROR(__xludf.DUMMYFUNCTION("""COMPUTED_VALUE"""),"聲寶")</f>
        <v>聲寶</v>
      </c>
      <c r="C432" s="12" t="str">
        <f ca="1">IFERROR(__xludf.DUMMYFUNCTION("""COMPUTED_VALUE"""),"聲寶")</f>
        <v>聲寶</v>
      </c>
      <c r="D432" s="12" t="str">
        <f ca="1">IFERROR(__xludf.DUMMYFUNCTION("""COMPUTED_VALUE"""),"聲寶_455公升變頻風冷無霜直立式冷凍櫃_SRF-455FD")</f>
        <v>聲寶_455公升變頻風冷無霜直立式冷凍櫃_SRF-455FD</v>
      </c>
      <c r="E432" s="12" t="str">
        <f ca="1">IFERROR(__xludf.DUMMYFUNCTION("""COMPUTED_VALUE"""),"SRF-455FD")</f>
        <v>SRF-455FD</v>
      </c>
      <c r="F432" s="12">
        <f ca="1">IFERROR(__xludf.DUMMYFUNCTION("""COMPUTED_VALUE"""),51001335)</f>
        <v>51001335</v>
      </c>
      <c r="G432" s="12" t="str">
        <f ca="1">IFERROR(__xludf.DUMMYFUNCTION("""COMPUTED_VALUE"""),"IGEM114R")</f>
        <v>IGEM114R</v>
      </c>
      <c r="H432" s="12">
        <f ca="1">IFERROR(__xludf.DUMMYFUNCTION("""COMPUTED_VALUE"""),29800)</f>
        <v>29800</v>
      </c>
      <c r="I432" s="14">
        <f ca="1">IFERROR(__xludf.DUMMYFUNCTION("""COMPUTED_VALUE"""),24900)</f>
        <v>24900</v>
      </c>
      <c r="J432" s="16">
        <f ca="1">IFERROR(__xludf.DUMMYFUNCTION("""COMPUTED_VALUE"""),45674)</f>
        <v>45674</v>
      </c>
      <c r="K432" s="12" t="str">
        <f ca="1">IFERROR(__xludf.DUMMYFUNCTION("""COMPUTED_VALUE"""),"短促")</f>
        <v>短促</v>
      </c>
      <c r="L432" s="12" t="str">
        <f ca="1">IFERROR(__xludf.DUMMYFUNCTION("""COMPUTED_VALUE"""),"上架中")</f>
        <v>上架中</v>
      </c>
      <c r="M432" s="12" t="str">
        <f ca="1">IFERROR(__xludf.DUMMYFUNCTION("""COMPUTED_VALUE"""),"1/1新機上架")</f>
        <v>1/1新機上架</v>
      </c>
      <c r="N432" s="12" t="str">
        <f ca="1">IFERROR(__xludf.DUMMYFUNCTION("""COMPUTED_VALUE"""),"直立式冷凍櫃")</f>
        <v>直立式冷凍櫃</v>
      </c>
      <c r="O432" s="12" t="str">
        <f ca="1">IFERROR(__xludf.DUMMYFUNCTION("""COMPUTED_VALUE"""),"白色")</f>
        <v>白色</v>
      </c>
      <c r="P432" s="12" t="str">
        <f ca="1">IFERROR(__xludf.DUMMYFUNCTION("""COMPUTED_VALUE"""),"455L")</f>
        <v>455L</v>
      </c>
      <c r="Q432" s="12" t="str">
        <f ca="1">IFERROR(__xludf.DUMMYFUNCTION("""COMPUTED_VALUE"""),"(高)1720*(寬)704* (深)760mm")</f>
        <v>(高)1720*(寬)704* (深)760mm</v>
      </c>
      <c r="R432" s="12"/>
      <c r="S432" s="12"/>
      <c r="T432" s="12"/>
      <c r="U432" s="22" t="str">
        <f ca="1">IFERROR(__xludf.DUMMYFUNCTION("""COMPUTED_VALUE"""),"1年")</f>
        <v>1年</v>
      </c>
      <c r="V432" s="22" t="str">
        <f ca="1">IFERROR(__xludf.DUMMYFUNCTION("""COMPUTED_VALUE"""),"3年")</f>
        <v>3年</v>
      </c>
      <c r="W432" s="12"/>
      <c r="X432" s="12"/>
      <c r="Y432" s="12"/>
      <c r="Z432" s="14" t="str">
        <f ca="1">IFERROR(__xludf.DUMMYFUNCTION("""COMPUTED_VALUE"""),"無")</f>
        <v>無</v>
      </c>
      <c r="AA432" s="15" t="str">
        <f ca="1">IFERROR(__xludf.DUMMYFUNCTION("""COMPUTED_VALUE"""),"*變頻壓縮機、自動除霜、急速冷凍*金屬背板、LED照明燈、鋁合金省力把手*電子觸控面板、未關門智慧警示音*多重循環冷流、4星級冷凍能力*冷凍/冷藏切換*R600a環保冷媒")</f>
        <v>*變頻壓縮機、自動除霜、急速冷凍*金屬背板、LED照明燈、鋁合金省力把手*電子觸控面板、未關門智慧警示音*多重循環冷流、4星級冷凍能力*冷凍/冷藏切換*R600a環保冷媒</v>
      </c>
    </row>
    <row r="433" spans="1:27" ht="19.5" customHeight="1">
      <c r="A433" s="12" t="str">
        <f ca="1">IFERROR(__xludf.DUMMYFUNCTION("""COMPUTED_VALUE"""),"冰箱")</f>
        <v>冰箱</v>
      </c>
      <c r="B433" s="12" t="str">
        <f ca="1">IFERROR(__xludf.DUMMYFUNCTION("""COMPUTED_VALUE"""),"安悅")</f>
        <v>安悅</v>
      </c>
      <c r="C433" s="12" t="str">
        <f ca="1">IFERROR(__xludf.DUMMYFUNCTION("""COMPUTED_VALUE"""),"東元")</f>
        <v>東元</v>
      </c>
      <c r="D433" s="12" t="str">
        <f ca="1">IFERROR(__xludf.DUMMYFUNCTION("""COMPUTED_VALUE"""),"東元99L單門小冰箱R1091W")</f>
        <v>東元99L單門小冰箱R1091W</v>
      </c>
      <c r="E433" s="12" t="str">
        <f ca="1">IFERROR(__xludf.DUMMYFUNCTION("""COMPUTED_VALUE"""),"R1091W")</f>
        <v>R1091W</v>
      </c>
      <c r="F433" s="12">
        <f ca="1">IFERROR(__xludf.DUMMYFUNCTION("""COMPUTED_VALUE"""),51082059)</f>
        <v>51082059</v>
      </c>
      <c r="G433" s="12" t="str">
        <f ca="1">IFERROR(__xludf.DUMMYFUNCTION("""COMPUTED_VALUE"""),"IGEM00NV")</f>
        <v>IGEM00NV</v>
      </c>
      <c r="H433" s="12">
        <f ca="1">IFERROR(__xludf.DUMMYFUNCTION("""COMPUTED_VALUE"""),7690)</f>
        <v>7690</v>
      </c>
      <c r="I433" s="14">
        <f ca="1">IFERROR(__xludf.DUMMYFUNCTION("""COMPUTED_VALUE"""),5990)</f>
        <v>5990</v>
      </c>
      <c r="J433" s="12"/>
      <c r="K433" s="12"/>
      <c r="L433" s="12" t="str">
        <f ca="1">IFERROR(__xludf.DUMMYFUNCTION("""COMPUTED_VALUE"""),"上架中")</f>
        <v>上架中</v>
      </c>
      <c r="M433" s="12" t="str">
        <f ca="1">IFERROR(__xludf.DUMMYFUNCTION("""COMPUTED_VALUE"""),"2022/9/1回價，7/1到貨，6/13缺貨，2021/9/23缺貨，6/27到貨，2021/6/9缺貨，2020/12/10到貨，2020/8/14上架")</f>
        <v>2022/9/1回價，7/1到貨，6/13缺貨，2021/9/23缺貨，6/27到貨，2021/6/9缺貨，2020/12/10到貨，2020/8/14上架</v>
      </c>
      <c r="N433" s="12" t="str">
        <f ca="1">IFERROR(__xludf.DUMMYFUNCTION("""COMPUTED_VALUE"""),"單門定頻")</f>
        <v>單門定頻</v>
      </c>
      <c r="O433" s="12" t="str">
        <f ca="1">IFERROR(__xludf.DUMMYFUNCTION("""COMPUTED_VALUE"""),"珍珠白")</f>
        <v>珍珠白</v>
      </c>
      <c r="P433" s="12" t="str">
        <f ca="1">IFERROR(__xludf.DUMMYFUNCTION("""COMPUTED_VALUE"""),"99L")</f>
        <v>99L</v>
      </c>
      <c r="Q433" s="12" t="str">
        <f ca="1">IFERROR(__xludf.DUMMYFUNCTION("""COMPUTED_VALUE"""),"845*480*495mm")</f>
        <v>845*480*495mm</v>
      </c>
      <c r="R433" s="12" t="str">
        <f ca="1">IFERROR(__xludf.DUMMYFUNCTION("""COMPUTED_VALUE"""),"台灣")</f>
        <v>台灣</v>
      </c>
      <c r="S433" s="12" t="str">
        <f ca="1">IFERROR(__xludf.DUMMYFUNCTION("""COMPUTED_VALUE"""),"V")</f>
        <v>V</v>
      </c>
      <c r="T433" s="12" t="str">
        <f ca="1">IFERROR(__xludf.DUMMYFUNCTION("""COMPUTED_VALUE"""),"1級能效")</f>
        <v>1級能效</v>
      </c>
      <c r="U433" s="12" t="str">
        <f ca="1">IFERROR(__xludf.DUMMYFUNCTION("""COMPUTED_VALUE"""),"1年")</f>
        <v>1年</v>
      </c>
      <c r="V433" s="12" t="str">
        <f ca="1">IFERROR(__xludf.DUMMYFUNCTION("""COMPUTED_VALUE"""),"3年")</f>
        <v>3年</v>
      </c>
      <c r="W433" s="12"/>
      <c r="X433" s="12"/>
      <c r="Y433" s="12">
        <f ca="1">IFERROR(__xludf.DUMMYFUNCTION("""COMPUTED_VALUE"""),99)</f>
        <v>99</v>
      </c>
      <c r="Z433" s="14">
        <f ca="1">IFERROR(__xludf.DUMMYFUNCTION("""COMPUTED_VALUE"""),500)</f>
        <v>500</v>
      </c>
      <c r="AA433" s="15" t="str">
        <f ca="1">IFERROR(__xludf.DUMMYFUNCTION("""COMPUTED_VALUE"""),"*2018年能源效率一級*直冷式冷藏冰箱圓弧門造型*隱藏式把手透明門置物棚防火金屬背材環保R600a新冷媒，節能愛地球庫內LED燈照明手動除霜手動復歸強化玻璃盤架可調式腳座可調式盤架設計(多段盤溝)環保材質全機一體發泡可製冰塊")</f>
        <v>*2018年能源效率一級*直冷式冷藏冰箱圓弧門造型*隱藏式把手透明門置物棚防火金屬背材環保R600a新冷媒，節能愛地球庫內LED燈照明手動除霜手動復歸強化玻璃盤架可調式腳座可調式盤架設計(多段盤溝)環保材質全機一體發泡可製冰塊</v>
      </c>
    </row>
    <row r="434" spans="1:27" ht="19.5" customHeight="1">
      <c r="A434" s="12" t="str">
        <f ca="1">IFERROR(__xludf.DUMMYFUNCTION("""COMPUTED_VALUE"""),"冰箱")</f>
        <v>冰箱</v>
      </c>
      <c r="B434" s="12" t="str">
        <f ca="1">IFERROR(__xludf.DUMMYFUNCTION("""COMPUTED_VALUE"""),"安悅")</f>
        <v>安悅</v>
      </c>
      <c r="C434" s="12" t="str">
        <f ca="1">IFERROR(__xludf.DUMMYFUNCTION("""COMPUTED_VALUE"""),"東元")</f>
        <v>東元</v>
      </c>
      <c r="D434" s="12" t="str">
        <f ca="1">IFERROR(__xludf.DUMMYFUNCTION("""COMPUTED_VALUE"""),"東元_231公升雙門變頻冰箱(爵士灰)_R2311XHS")</f>
        <v>東元_231公升雙門變頻冰箱(爵士灰)_R2311XHS</v>
      </c>
      <c r="E434" s="12" t="str">
        <f ca="1">IFERROR(__xludf.DUMMYFUNCTION("""COMPUTED_VALUE"""),"R2311XHS")</f>
        <v>R2311XHS</v>
      </c>
      <c r="F434" s="12">
        <f ca="1">IFERROR(__xludf.DUMMYFUNCTION("""COMPUTED_VALUE"""),51082273)</f>
        <v>51082273</v>
      </c>
      <c r="G434" s="12" t="str">
        <f ca="1">IFERROR(__xludf.DUMMYFUNCTION("""COMPUTED_VALUE"""),"IGEM084A")</f>
        <v>IGEM084A</v>
      </c>
      <c r="H434" s="13">
        <f ca="1">IFERROR(__xludf.DUMMYFUNCTION("""COMPUTED_VALUE"""),16990)</f>
        <v>16990</v>
      </c>
      <c r="I434" s="14">
        <f ca="1">IFERROR(__xludf.DUMMYFUNCTION("""COMPUTED_VALUE"""),15500)</f>
        <v>15500</v>
      </c>
      <c r="J434" s="16">
        <f ca="1">IFERROR(__xludf.DUMMYFUNCTION("""COMPUTED_VALUE"""),45078)</f>
        <v>45078</v>
      </c>
      <c r="K434" s="12" t="str">
        <f ca="1">IFERROR(__xludf.DUMMYFUNCTION("""COMPUTED_VALUE"""),"新機上架")</f>
        <v>新機上架</v>
      </c>
      <c r="L434" s="12" t="str">
        <f ca="1">IFERROR(__xludf.DUMMYFUNCTION("""COMPUTED_VALUE"""),"上架中")</f>
        <v>上架中</v>
      </c>
      <c r="M434" s="12"/>
      <c r="N434" s="12" t="str">
        <f ca="1">IFERROR(__xludf.DUMMYFUNCTION("""COMPUTED_VALUE"""),"雙門變頻")</f>
        <v>雙門變頻</v>
      </c>
      <c r="O434" s="12" t="str">
        <f ca="1">IFERROR(__xludf.DUMMYFUNCTION("""COMPUTED_VALUE"""),"爵士灰
")</f>
        <v xml:space="preserve">爵士灰
</v>
      </c>
      <c r="P434" s="12" t="str">
        <f ca="1">IFERROR(__xludf.DUMMYFUNCTION("""COMPUTED_VALUE"""),"231L")</f>
        <v>231L</v>
      </c>
      <c r="Q434" s="12" t="str">
        <f ca="1">IFERROR(__xludf.DUMMYFUNCTION("""COMPUTED_VALUE"""),"1545*545*623mm")</f>
        <v>1545*545*623mm</v>
      </c>
      <c r="R434" s="12" t="str">
        <f ca="1">IFERROR(__xludf.DUMMYFUNCTION("""COMPUTED_VALUE"""),"泰國")</f>
        <v>泰國</v>
      </c>
      <c r="S434" s="12" t="str">
        <f ca="1">IFERROR(__xludf.DUMMYFUNCTION("""COMPUTED_VALUE"""),"V")</f>
        <v>V</v>
      </c>
      <c r="T434" s="12" t="str">
        <f ca="1">IFERROR(__xludf.DUMMYFUNCTION("""COMPUTED_VALUE"""),"1級能效")</f>
        <v>1級能效</v>
      </c>
      <c r="U434" s="22" t="str">
        <f ca="1">IFERROR(__xludf.DUMMYFUNCTION("""COMPUTED_VALUE"""),"1年")</f>
        <v>1年</v>
      </c>
      <c r="V434" s="12" t="str">
        <f ca="1">IFERROR(__xludf.DUMMYFUNCTION("""COMPUTED_VALUE"""),"3年")</f>
        <v>3年</v>
      </c>
      <c r="W434" s="12"/>
      <c r="X434" s="12"/>
      <c r="Y434" s="12">
        <f ca="1">IFERROR(__xludf.DUMMYFUNCTION("""COMPUTED_VALUE"""),231)</f>
        <v>231</v>
      </c>
      <c r="Z434" s="14" t="str">
        <f ca="1">IFERROR(__xludf.DUMMYFUNCTION("""COMPUTED_VALUE"""),"1200")</f>
        <v>1200</v>
      </c>
      <c r="AA434" s="15" t="str">
        <f ca="1">IFERROR(__xludf.DUMMYFUNCTION("""COMPUTED_VALUE"""),"*冷藏BIO混合除臭裝置*冷凍低温除臭裝置*雙冷流保鮮*大蔬果箱設計*開放式冷卻保鮮室*可調式門邊架*R600a環保冷媒")</f>
        <v>*冷藏BIO混合除臭裝置*冷凍低温除臭裝置*雙冷流保鮮*大蔬果箱設計*開放式冷卻保鮮室*可調式門邊架*R600a環保冷媒</v>
      </c>
    </row>
    <row r="435" spans="1:27" ht="19.5" customHeight="1">
      <c r="A435" s="12" t="str">
        <f ca="1">IFERROR(__xludf.DUMMYFUNCTION("""COMPUTED_VALUE"""),"冰箱")</f>
        <v>冰箱</v>
      </c>
      <c r="B435" s="12" t="str">
        <f ca="1">IFERROR(__xludf.DUMMYFUNCTION("""COMPUTED_VALUE"""),"安悅")</f>
        <v>安悅</v>
      </c>
      <c r="C435" s="12" t="str">
        <f ca="1">IFERROR(__xludf.DUMMYFUNCTION("""COMPUTED_VALUE"""),"東元")</f>
        <v>東元</v>
      </c>
      <c r="D435" s="12" t="str">
        <f ca="1">IFERROR(__xludf.DUMMYFUNCTION("""COMPUTED_VALUE"""),"東元_334公升雙門變頻冰箱(拉絲銀)_R3342XS")</f>
        <v>東元_334公升雙門變頻冰箱(拉絲銀)_R3342XS</v>
      </c>
      <c r="E435" s="12" t="str">
        <f ca="1">IFERROR(__xludf.DUMMYFUNCTION("""COMPUTED_VALUE"""),"R3342XS")</f>
        <v>R3342XS</v>
      </c>
      <c r="F435" s="12">
        <f ca="1">IFERROR(__xludf.DUMMYFUNCTION("""COMPUTED_VALUE"""),51082274)</f>
        <v>51082274</v>
      </c>
      <c r="G435" s="12" t="str">
        <f ca="1">IFERROR(__xludf.DUMMYFUNCTION("""COMPUTED_VALUE"""),"IGEM084B")</f>
        <v>IGEM084B</v>
      </c>
      <c r="H435" s="13">
        <f ca="1">IFERROR(__xludf.DUMMYFUNCTION("""COMPUTED_VALUE"""),19400)</f>
        <v>19400</v>
      </c>
      <c r="I435" s="14">
        <f ca="1">IFERROR(__xludf.DUMMYFUNCTION("""COMPUTED_VALUE"""),18500)</f>
        <v>18500</v>
      </c>
      <c r="J435" s="16">
        <f ca="1">IFERROR(__xludf.DUMMYFUNCTION("""COMPUTED_VALUE"""),45078)</f>
        <v>45078</v>
      </c>
      <c r="K435" s="12" t="str">
        <f ca="1">IFERROR(__xludf.DUMMYFUNCTION("""COMPUTED_VALUE"""),"新機上架")</f>
        <v>新機上架</v>
      </c>
      <c r="L435" s="12" t="str">
        <f ca="1">IFERROR(__xludf.DUMMYFUNCTION("""COMPUTED_VALUE"""),"上架中")</f>
        <v>上架中</v>
      </c>
      <c r="M435" s="12"/>
      <c r="N435" s="12" t="str">
        <f ca="1">IFERROR(__xludf.DUMMYFUNCTION("""COMPUTED_VALUE"""),"雙門變頻")</f>
        <v>雙門變頻</v>
      </c>
      <c r="O435" s="12" t="str">
        <f ca="1">IFERROR(__xludf.DUMMYFUNCTION("""COMPUTED_VALUE"""),"拉絲銀")</f>
        <v>拉絲銀</v>
      </c>
      <c r="P435" s="12" t="str">
        <f ca="1">IFERROR(__xludf.DUMMYFUNCTION("""COMPUTED_VALUE"""),"334L")</f>
        <v>334L</v>
      </c>
      <c r="Q435" s="12" t="str">
        <f ca="1">IFERROR(__xludf.DUMMYFUNCTION("""COMPUTED_VALUE"""),"1700*605*665mm")</f>
        <v>1700*605*665mm</v>
      </c>
      <c r="R435" s="12" t="str">
        <f ca="1">IFERROR(__xludf.DUMMYFUNCTION("""COMPUTED_VALUE"""),"台灣")</f>
        <v>台灣</v>
      </c>
      <c r="S435" s="12" t="str">
        <f ca="1">IFERROR(__xludf.DUMMYFUNCTION("""COMPUTED_VALUE"""),"V")</f>
        <v>V</v>
      </c>
      <c r="T435" s="12" t="str">
        <f ca="1">IFERROR(__xludf.DUMMYFUNCTION("""COMPUTED_VALUE"""),"1級能效")</f>
        <v>1級能效</v>
      </c>
      <c r="U435" s="22" t="str">
        <f ca="1">IFERROR(__xludf.DUMMYFUNCTION("""COMPUTED_VALUE"""),"1年")</f>
        <v>1年</v>
      </c>
      <c r="V435" s="12" t="str">
        <f ca="1">IFERROR(__xludf.DUMMYFUNCTION("""COMPUTED_VALUE"""),"3年")</f>
        <v>3年</v>
      </c>
      <c r="W435" s="12"/>
      <c r="X435" s="12" t="str">
        <f ca="1">IFERROR(__xludf.DUMMYFUNCTION("""COMPUTED_VALUE"""),"(114/1/1-2/28)隨貨送ISITO 輕巧雙電壓吹風機(型號:IS-23E07D)
")</f>
        <v xml:space="preserve">(114/1/1-2/28)隨貨送ISITO 輕巧雙電壓吹風機(型號:IS-23E07D)
</v>
      </c>
      <c r="Y435" s="12">
        <f ca="1">IFERROR(__xludf.DUMMYFUNCTION("""COMPUTED_VALUE"""),334)</f>
        <v>334</v>
      </c>
      <c r="Z435" s="14" t="str">
        <f ca="1">IFERROR(__xludf.DUMMYFUNCTION("""COMPUTED_VALUE"""),"1200")</f>
        <v>1200</v>
      </c>
      <c r="AA435" s="15" t="str">
        <f ca="1">IFERROR(__xludf.DUMMYFUNCTION("""COMPUTED_VALUE"""),"*奈米殺菌*無邊框鏡面鋼板、隱藏式把手*LED燈照明*高纖蔬果室*強化玻璃棚架*R600a環保冷媒")</f>
        <v>*奈米殺菌*無邊框鏡面鋼板、隱藏式把手*LED燈照明*高纖蔬果室*強化玻璃棚架*R600a環保冷媒</v>
      </c>
    </row>
    <row r="436" spans="1:27" ht="19.5" customHeight="1">
      <c r="A436" s="12" t="str">
        <f ca="1">IFERROR(__xludf.DUMMYFUNCTION("""COMPUTED_VALUE"""),"冰箱")</f>
        <v>冰箱</v>
      </c>
      <c r="B436" s="12" t="str">
        <f ca="1">IFERROR(__xludf.DUMMYFUNCTION("""COMPUTED_VALUE"""),"安悅")</f>
        <v>安悅</v>
      </c>
      <c r="C436" s="12" t="str">
        <f ca="1">IFERROR(__xludf.DUMMYFUNCTION("""COMPUTED_VALUE"""),"東元")</f>
        <v>東元</v>
      </c>
      <c r="D436" s="12" t="str">
        <f ca="1">IFERROR(__xludf.DUMMYFUNCTION("""COMPUTED_VALUE"""),"東元101L雙門定頻冰箱(爵士灰)R1011S")</f>
        <v>東元101L雙門定頻冰箱(爵士灰)R1011S</v>
      </c>
      <c r="E436" s="12" t="str">
        <f ca="1">IFERROR(__xludf.DUMMYFUNCTION("""COMPUTED_VALUE"""),"R1011S")</f>
        <v>R1011S</v>
      </c>
      <c r="F436" s="12">
        <f ca="1">IFERROR(__xludf.DUMMYFUNCTION("""COMPUTED_VALUE"""),51082212)</f>
        <v>51082212</v>
      </c>
      <c r="G436" s="12" t="str">
        <f ca="1">IFERROR(__xludf.DUMMYFUNCTION("""COMPUTED_VALUE"""),"IGEM0479")</f>
        <v>IGEM0479</v>
      </c>
      <c r="H436" s="12">
        <f ca="1">IFERROR(__xludf.DUMMYFUNCTION("""COMPUTED_VALUE"""),8900)</f>
        <v>8900</v>
      </c>
      <c r="I436" s="14">
        <f ca="1">IFERROR(__xludf.DUMMYFUNCTION("""COMPUTED_VALUE"""),7390)</f>
        <v>7390</v>
      </c>
      <c r="J436" s="16">
        <f ca="1">IFERROR(__xludf.DUMMYFUNCTION("""COMPUTED_VALUE"""),45547)</f>
        <v>45547</v>
      </c>
      <c r="K436" s="12" t="str">
        <f ca="1">IFERROR(__xludf.DUMMYFUNCTION("""COMPUTED_VALUE"""),"新機上架")</f>
        <v>新機上架</v>
      </c>
      <c r="L436" s="13" t="str">
        <f ca="1">IFERROR(__xludf.DUMMYFUNCTION("""COMPUTED_VALUE"""),"上架中")</f>
        <v>上架中</v>
      </c>
      <c r="M436" s="12" t="str">
        <f ca="1">IFERROR(__xludf.DUMMYFUNCTION("""COMPUTED_VALUE"""),"9/12新機上架")</f>
        <v>9/12新機上架</v>
      </c>
      <c r="N436" s="12" t="str">
        <f ca="1">IFERROR(__xludf.DUMMYFUNCTION("""COMPUTED_VALUE"""),"雙門定頻")</f>
        <v>雙門定頻</v>
      </c>
      <c r="O436" s="12" t="str">
        <f ca="1">IFERROR(__xludf.DUMMYFUNCTION("""COMPUTED_VALUE"""),"爵士灰")</f>
        <v>爵士灰</v>
      </c>
      <c r="P436" s="12" t="str">
        <f ca="1">IFERROR(__xludf.DUMMYFUNCTION("""COMPUTED_VALUE"""),"101L")</f>
        <v>101L</v>
      </c>
      <c r="Q436" s="12" t="str">
        <f ca="1">IFERROR(__xludf.DUMMYFUNCTION("""COMPUTED_VALUE"""),"835*470*570mm")</f>
        <v>835*470*570mm</v>
      </c>
      <c r="R436" s="12" t="str">
        <f ca="1">IFERROR(__xludf.DUMMYFUNCTION("""COMPUTED_VALUE"""),"泰國")</f>
        <v>泰國</v>
      </c>
      <c r="S436" s="12" t="str">
        <f ca="1">IFERROR(__xludf.DUMMYFUNCTION("""COMPUTED_VALUE"""),"V")</f>
        <v>V</v>
      </c>
      <c r="T436" s="22" t="str">
        <f ca="1">IFERROR(__xludf.DUMMYFUNCTION("""COMPUTED_VALUE"""),"1級能效")</f>
        <v>1級能效</v>
      </c>
      <c r="U436" s="22" t="str">
        <f ca="1">IFERROR(__xludf.DUMMYFUNCTION("""COMPUTED_VALUE"""),"1年")</f>
        <v>1年</v>
      </c>
      <c r="V436" s="12" t="str">
        <f ca="1">IFERROR(__xludf.DUMMYFUNCTION("""COMPUTED_VALUE"""),"3年")</f>
        <v>3年</v>
      </c>
      <c r="W436" s="12"/>
      <c r="X436" s="12"/>
      <c r="Y436" s="12">
        <f ca="1">IFERROR(__xludf.DUMMYFUNCTION("""COMPUTED_VALUE"""),101)</f>
        <v>101</v>
      </c>
      <c r="Z436" s="14">
        <f ca="1">IFERROR(__xludf.DUMMYFUNCTION("""COMPUTED_VALUE"""),500)</f>
        <v>500</v>
      </c>
      <c r="AA436" s="15" t="str">
        <f ca="1">IFERROR(__xludf.DUMMYFUNCTION("""COMPUTED_VALUE"""),"*透明門置物棚*強化玻璃盤架*防火背材*環保R600a新冷媒")</f>
        <v>*透明門置物棚*強化玻璃盤架*防火背材*環保R600a新冷媒</v>
      </c>
    </row>
    <row r="437" spans="1:27" ht="19.5" customHeight="1">
      <c r="A437" s="12" t="str">
        <f ca="1">IFERROR(__xludf.DUMMYFUNCTION("""COMPUTED_VALUE"""),"冰箱")</f>
        <v>冰箱</v>
      </c>
      <c r="B437" s="12" t="str">
        <f ca="1">IFERROR(__xludf.DUMMYFUNCTION("""COMPUTED_VALUE"""),"安悅")</f>
        <v>安悅</v>
      </c>
      <c r="C437" s="12" t="str">
        <f ca="1">IFERROR(__xludf.DUMMYFUNCTION("""COMPUTED_VALUE"""),"東元")</f>
        <v>東元</v>
      </c>
      <c r="D437" s="12" t="str">
        <f ca="1">IFERROR(__xludf.DUMMYFUNCTION("""COMPUTED_VALUE"""),"東元101L雙門定頻冰箱(白)R1011W")</f>
        <v>東元101L雙門定頻冰箱(白)R1011W</v>
      </c>
      <c r="E437" s="12" t="str">
        <f ca="1">IFERROR(__xludf.DUMMYFUNCTION("""COMPUTED_VALUE"""),"R1011W")</f>
        <v>R1011W</v>
      </c>
      <c r="F437" s="12">
        <f ca="1">IFERROR(__xludf.DUMMYFUNCTION("""COMPUTED_VALUE"""),51082213)</f>
        <v>51082213</v>
      </c>
      <c r="G437" s="12" t="str">
        <f ca="1">IFERROR(__xludf.DUMMYFUNCTION("""COMPUTED_VALUE"""),"IGEM047A")</f>
        <v>IGEM047A</v>
      </c>
      <c r="H437" s="12">
        <f ca="1">IFERROR(__xludf.DUMMYFUNCTION("""COMPUTED_VALUE"""),8900)</f>
        <v>8900</v>
      </c>
      <c r="I437" s="14">
        <f ca="1">IFERROR(__xludf.DUMMYFUNCTION("""COMPUTED_VALUE"""),7390)</f>
        <v>7390</v>
      </c>
      <c r="J437" s="16">
        <f ca="1">IFERROR(__xludf.DUMMYFUNCTION("""COMPUTED_VALUE"""),45627)</f>
        <v>45627</v>
      </c>
      <c r="K437" s="12" t="str">
        <f ca="1">IFERROR(__xludf.DUMMYFUNCTION("""COMPUTED_VALUE"""),"到貨")</f>
        <v>到貨</v>
      </c>
      <c r="L437" s="13" t="str">
        <f ca="1">IFERROR(__xludf.DUMMYFUNCTION("""COMPUTED_VALUE"""),"上架中")</f>
        <v>上架中</v>
      </c>
      <c r="M437" s="12" t="str">
        <f ca="1">IFERROR(__xludf.DUMMYFUNCTION("""COMPUTED_VALUE"""),"12/1到貨")</f>
        <v>12/1到貨</v>
      </c>
      <c r="N437" s="12" t="str">
        <f ca="1">IFERROR(__xludf.DUMMYFUNCTION("""COMPUTED_VALUE"""),"雙門定頻")</f>
        <v>雙門定頻</v>
      </c>
      <c r="O437" s="12" t="str">
        <f ca="1">IFERROR(__xludf.DUMMYFUNCTION("""COMPUTED_VALUE"""),"珍珠白")</f>
        <v>珍珠白</v>
      </c>
      <c r="P437" s="12" t="str">
        <f ca="1">IFERROR(__xludf.DUMMYFUNCTION("""COMPUTED_VALUE"""),"101L")</f>
        <v>101L</v>
      </c>
      <c r="Q437" s="12" t="str">
        <f ca="1">IFERROR(__xludf.DUMMYFUNCTION("""COMPUTED_VALUE"""),"835*470*570mm")</f>
        <v>835*470*570mm</v>
      </c>
      <c r="R437" s="12" t="str">
        <f ca="1">IFERROR(__xludf.DUMMYFUNCTION("""COMPUTED_VALUE"""),"泰國")</f>
        <v>泰國</v>
      </c>
      <c r="S437" s="12" t="str">
        <f ca="1">IFERROR(__xludf.DUMMYFUNCTION("""COMPUTED_VALUE"""),"V")</f>
        <v>V</v>
      </c>
      <c r="T437" s="22" t="str">
        <f ca="1">IFERROR(__xludf.DUMMYFUNCTION("""COMPUTED_VALUE"""),"1級能效")</f>
        <v>1級能效</v>
      </c>
      <c r="U437" s="22" t="str">
        <f ca="1">IFERROR(__xludf.DUMMYFUNCTION("""COMPUTED_VALUE"""),"1年")</f>
        <v>1年</v>
      </c>
      <c r="V437" s="12" t="str">
        <f ca="1">IFERROR(__xludf.DUMMYFUNCTION("""COMPUTED_VALUE"""),"3年")</f>
        <v>3年</v>
      </c>
      <c r="W437" s="12"/>
      <c r="X437" s="12"/>
      <c r="Y437" s="12">
        <f ca="1">IFERROR(__xludf.DUMMYFUNCTION("""COMPUTED_VALUE"""),101)</f>
        <v>101</v>
      </c>
      <c r="Z437" s="14">
        <f ca="1">IFERROR(__xludf.DUMMYFUNCTION("""COMPUTED_VALUE"""),500)</f>
        <v>500</v>
      </c>
      <c r="AA437" s="15" t="str">
        <f ca="1">IFERROR(__xludf.DUMMYFUNCTION("""COMPUTED_VALUE"""),"*透明門置物棚*強化玻璃盤架*防火背材*環保R600a新冷媒")</f>
        <v>*透明門置物棚*強化玻璃盤架*防火背材*環保R600a新冷媒</v>
      </c>
    </row>
    <row r="438" spans="1:27" ht="19.5" customHeight="1">
      <c r="A438" s="12" t="str">
        <f ca="1">IFERROR(__xludf.DUMMYFUNCTION("""COMPUTED_VALUE"""),"冰箱")</f>
        <v>冰箱</v>
      </c>
      <c r="B438" s="12" t="str">
        <f ca="1">IFERROR(__xludf.DUMMYFUNCTION("""COMPUTED_VALUE"""),"安悅")</f>
        <v>安悅</v>
      </c>
      <c r="C438" s="12" t="str">
        <f ca="1">IFERROR(__xludf.DUMMYFUNCTION("""COMPUTED_VALUE"""),"東元")</f>
        <v>東元</v>
      </c>
      <c r="D438" s="12" t="str">
        <f ca="1">IFERROR(__xludf.DUMMYFUNCTION("""COMPUTED_VALUE"""),"東元_158L雙門定頻下冷凍冰箱(拉絲銀)_R1583TS")</f>
        <v>東元_158L雙門定頻下冷凍冰箱(拉絲銀)_R1583TS</v>
      </c>
      <c r="E438" s="12" t="str">
        <f ca="1">IFERROR(__xludf.DUMMYFUNCTION("""COMPUTED_VALUE"""),"R1583TS")</f>
        <v>R1583TS</v>
      </c>
      <c r="F438" s="12">
        <f ca="1">IFERROR(__xludf.DUMMYFUNCTION("""COMPUTED_VALUE"""),51082305)</f>
        <v>51082305</v>
      </c>
      <c r="G438" s="12" t="str">
        <f ca="1">IFERROR(__xludf.DUMMYFUNCTION("""COMPUTED_VALUE"""),"IGEM093A")</f>
        <v>IGEM093A</v>
      </c>
      <c r="H438" s="13">
        <f ca="1">IFERROR(__xludf.DUMMYFUNCTION("""COMPUTED_VALUE"""),16900)</f>
        <v>16900</v>
      </c>
      <c r="I438" s="18">
        <f ca="1">IFERROR(__xludf.DUMMYFUNCTION("""COMPUTED_VALUE"""),13900)</f>
        <v>13900</v>
      </c>
      <c r="J438" s="16">
        <f ca="1">IFERROR(__xludf.DUMMYFUNCTION("""COMPUTED_VALUE"""),45244)</f>
        <v>45244</v>
      </c>
      <c r="K438" s="12" t="str">
        <f ca="1">IFERROR(__xludf.DUMMYFUNCTION("""COMPUTED_VALUE"""),"新機上架")</f>
        <v>新機上架</v>
      </c>
      <c r="L438" s="12" t="str">
        <f ca="1">IFERROR(__xludf.DUMMYFUNCTION("""COMPUTED_VALUE"""),"上架中")</f>
        <v>上架中</v>
      </c>
      <c r="M438" s="12" t="str">
        <f ca="1">IFERROR(__xludf.DUMMYFUNCTION("""COMPUTED_VALUE"""),"11/14上架")</f>
        <v>11/14上架</v>
      </c>
      <c r="N438" s="12" t="str">
        <f ca="1">IFERROR(__xludf.DUMMYFUNCTION("""COMPUTED_VALUE"""),"雙門定頻")</f>
        <v>雙門定頻</v>
      </c>
      <c r="O438" s="12" t="str">
        <f ca="1">IFERROR(__xludf.DUMMYFUNCTION("""COMPUTED_VALUE"""),"拉絲銀")</f>
        <v>拉絲銀</v>
      </c>
      <c r="P438" s="12" t="str">
        <f ca="1">IFERROR(__xludf.DUMMYFUNCTION("""COMPUTED_VALUE"""),"158L")</f>
        <v>158L</v>
      </c>
      <c r="Q438" s="12" t="str">
        <f ca="1">IFERROR(__xludf.DUMMYFUNCTION("""COMPUTED_VALUE"""),"1292*500*617mm")</f>
        <v>1292*500*617mm</v>
      </c>
      <c r="R438" s="12" t="str">
        <f ca="1">IFERROR(__xludf.DUMMYFUNCTION("""COMPUTED_VALUE"""),"台灣")</f>
        <v>台灣</v>
      </c>
      <c r="S438" s="12" t="str">
        <f ca="1">IFERROR(__xludf.DUMMYFUNCTION("""COMPUTED_VALUE"""),"V")</f>
        <v>V</v>
      </c>
      <c r="T438" s="22" t="str">
        <f ca="1">IFERROR(__xludf.DUMMYFUNCTION("""COMPUTED_VALUE"""),"1級能效")</f>
        <v>1級能效</v>
      </c>
      <c r="U438" s="22" t="str">
        <f ca="1">IFERROR(__xludf.DUMMYFUNCTION("""COMPUTED_VALUE"""),"1年")</f>
        <v>1年</v>
      </c>
      <c r="V438" s="12" t="str">
        <f ca="1">IFERROR(__xludf.DUMMYFUNCTION("""COMPUTED_VALUE"""),"3年")</f>
        <v>3年</v>
      </c>
      <c r="W438" s="12"/>
      <c r="X438" s="12"/>
      <c r="Y438" s="12">
        <f ca="1">IFERROR(__xludf.DUMMYFUNCTION("""COMPUTED_VALUE"""),158)</f>
        <v>158</v>
      </c>
      <c r="Z438" s="14">
        <f ca="1">IFERROR(__xludf.DUMMYFUNCTION("""COMPUTED_VALUE"""),500)</f>
        <v>500</v>
      </c>
      <c r="AA438" s="15" t="str">
        <f ca="1">IFERROR(__xludf.DUMMYFUNCTION("""COMPUTED_VALUE"""),"*一級能效*無霜風冷*隱藏式側門把手/觸控面板*50cm寬窄身設計*上冷藏下冷凍*62L冷凍空間*四星級冷凍能力")</f>
        <v>*一級能效*無霜風冷*隱藏式側門把手/觸控面板*50cm寬窄身設計*上冷藏下冷凍*62L冷凍空間*四星級冷凍能力</v>
      </c>
    </row>
    <row r="439" spans="1:27" ht="19.5" customHeight="1">
      <c r="A439" s="12" t="str">
        <f ca="1">IFERROR(__xludf.DUMMYFUNCTION("""COMPUTED_VALUE"""),"冰箱")</f>
        <v>冰箱</v>
      </c>
      <c r="B439" s="12" t="str">
        <f ca="1">IFERROR(__xludf.DUMMYFUNCTION("""COMPUTED_VALUE"""),"安悅")</f>
        <v>安悅</v>
      </c>
      <c r="C439" s="12" t="str">
        <f ca="1">IFERROR(__xludf.DUMMYFUNCTION("""COMPUTED_VALUE"""),"東元")</f>
        <v>東元</v>
      </c>
      <c r="D439" s="12" t="str">
        <f ca="1">IFERROR(__xludf.DUMMYFUNCTION("""COMPUTED_VALUE"""),"東元_440L雙門變頻冰箱(拉絲銀)_R4402XN")</f>
        <v>東元_440L雙門變頻冰箱(拉絲銀)_R4402XN</v>
      </c>
      <c r="E439" s="12" t="str">
        <f ca="1">IFERROR(__xludf.DUMMYFUNCTION("""COMPUTED_VALUE"""),"R4402XN")</f>
        <v>R4402XN</v>
      </c>
      <c r="F439" s="12">
        <f ca="1">IFERROR(__xludf.DUMMYFUNCTION("""COMPUTED_VALUE"""),51082306)</f>
        <v>51082306</v>
      </c>
      <c r="G439" s="12" t="str">
        <f ca="1">IFERROR(__xludf.DUMMYFUNCTION("""COMPUTED_VALUE"""),"IGEM093B")</f>
        <v>IGEM093B</v>
      </c>
      <c r="H439" s="13">
        <f ca="1">IFERROR(__xludf.DUMMYFUNCTION("""COMPUTED_VALUE"""),22900)</f>
        <v>22900</v>
      </c>
      <c r="I439" s="18">
        <f ca="1">IFERROR(__xludf.DUMMYFUNCTION("""COMPUTED_VALUE"""),19900)</f>
        <v>19900</v>
      </c>
      <c r="J439" s="16">
        <f ca="1">IFERROR(__xludf.DUMMYFUNCTION("""COMPUTED_VALUE"""),45244)</f>
        <v>45244</v>
      </c>
      <c r="K439" s="12" t="str">
        <f ca="1">IFERROR(__xludf.DUMMYFUNCTION("""COMPUTED_VALUE"""),"新機上架")</f>
        <v>新機上架</v>
      </c>
      <c r="L439" s="12" t="str">
        <f ca="1">IFERROR(__xludf.DUMMYFUNCTION("""COMPUTED_VALUE"""),"上架中")</f>
        <v>上架中</v>
      </c>
      <c r="M439" s="12" t="str">
        <f ca="1">IFERROR(__xludf.DUMMYFUNCTION("""COMPUTED_VALUE"""),"11/14上架")</f>
        <v>11/14上架</v>
      </c>
      <c r="N439" s="12" t="str">
        <f ca="1">IFERROR(__xludf.DUMMYFUNCTION("""COMPUTED_VALUE"""),"雙門變頻")</f>
        <v>雙門變頻</v>
      </c>
      <c r="O439" s="12" t="str">
        <f ca="1">IFERROR(__xludf.DUMMYFUNCTION("""COMPUTED_VALUE"""),"拉絲銀")</f>
        <v>拉絲銀</v>
      </c>
      <c r="P439" s="12" t="str">
        <f ca="1">IFERROR(__xludf.DUMMYFUNCTION("""COMPUTED_VALUE"""),"440L")</f>
        <v>440L</v>
      </c>
      <c r="Q439" s="12" t="str">
        <f ca="1">IFERROR(__xludf.DUMMYFUNCTION("""COMPUTED_VALUE"""),"1780*710*685mm")</f>
        <v>1780*710*685mm</v>
      </c>
      <c r="R439" s="12" t="str">
        <f ca="1">IFERROR(__xludf.DUMMYFUNCTION("""COMPUTED_VALUE"""),"台灣")</f>
        <v>台灣</v>
      </c>
      <c r="S439" s="12" t="str">
        <f ca="1">IFERROR(__xludf.DUMMYFUNCTION("""COMPUTED_VALUE"""),"V")</f>
        <v>V</v>
      </c>
      <c r="T439" s="22" t="str">
        <f ca="1">IFERROR(__xludf.DUMMYFUNCTION("""COMPUTED_VALUE"""),"1級能效")</f>
        <v>1級能效</v>
      </c>
      <c r="U439" s="22" t="str">
        <f ca="1">IFERROR(__xludf.DUMMYFUNCTION("""COMPUTED_VALUE"""),"1年")</f>
        <v>1年</v>
      </c>
      <c r="V439" s="12" t="str">
        <f ca="1">IFERROR(__xludf.DUMMYFUNCTION("""COMPUTED_VALUE"""),"3年")</f>
        <v>3年</v>
      </c>
      <c r="W439" s="12"/>
      <c r="X439" s="12" t="str">
        <f ca="1">IFERROR(__xludf.DUMMYFUNCTION("""COMPUTED_VALUE"""),"(114/1/1-2/28)隨貨送ISITO 輕巧雙電壓吹風機(型號:IS-23E07D)
")</f>
        <v xml:space="preserve">(114/1/1-2/28)隨貨送ISITO 輕巧雙電壓吹風機(型號:IS-23E07D)
</v>
      </c>
      <c r="Y439" s="12">
        <f ca="1">IFERROR(__xludf.DUMMYFUNCTION("""COMPUTED_VALUE"""),440)</f>
        <v>440</v>
      </c>
      <c r="Z439" s="14" t="str">
        <f ca="1">IFERROR(__xludf.DUMMYFUNCTION("""COMPUTED_VALUE"""),"2000")</f>
        <v>2000</v>
      </c>
      <c r="AA439" s="15" t="str">
        <f ca="1">IFERROR(__xludf.DUMMYFUNCTION("""COMPUTED_VALUE"""),"*一級能效*電子式控溫*無邊框鏡面鋼板/隱藏式把手*風冷/四星級冷凍能力*冷凍/冷藏室LED燈")</f>
        <v>*一級能效*電子式控溫*無邊框鏡面鋼板/隱藏式把手*風冷/四星級冷凍能力*冷凍/冷藏室LED燈</v>
      </c>
    </row>
    <row r="440" spans="1:27" ht="19.5" customHeight="1">
      <c r="A440" s="12" t="str">
        <f ca="1">IFERROR(__xludf.DUMMYFUNCTION("""COMPUTED_VALUE"""),"冰箱")</f>
        <v>冰箱</v>
      </c>
      <c r="B440" s="12" t="str">
        <f ca="1">IFERROR(__xludf.DUMMYFUNCTION("""COMPUTED_VALUE"""),"禾聯")</f>
        <v>禾聯</v>
      </c>
      <c r="C440" s="12" t="str">
        <f ca="1">IFERROR(__xludf.DUMMYFUNCTION("""COMPUTED_VALUE"""),"禾聯")</f>
        <v>禾聯</v>
      </c>
      <c r="D440" s="12" t="str">
        <f ca="1">IFERROR(__xludf.DUMMYFUNCTION("""COMPUTED_VALUE"""),"禾聯 50L 電子冷藏箱HBO-0571 (BL)")</f>
        <v>禾聯 50L 電子冷藏箱HBO-0571 (BL)</v>
      </c>
      <c r="E440" s="12" t="str">
        <f ca="1">IFERROR(__xludf.DUMMYFUNCTION("""COMPUTED_VALUE"""),"HBO-0571 (BL)")</f>
        <v>HBO-0571 (BL)</v>
      </c>
      <c r="F440" s="12">
        <f ca="1">IFERROR(__xludf.DUMMYFUNCTION("""COMPUTED_VALUE"""),51008257)</f>
        <v>51008257</v>
      </c>
      <c r="G440" s="12" t="str">
        <f ca="1">IFERROR(__xludf.DUMMYFUNCTION("""COMPUTED_VALUE"""),"IGEM0747")</f>
        <v>IGEM0747</v>
      </c>
      <c r="H440" s="13">
        <f ca="1">IFERROR(__xludf.DUMMYFUNCTION("""COMPUTED_VALUE"""),6600)</f>
        <v>6600</v>
      </c>
      <c r="I440" s="14">
        <f ca="1">IFERROR(__xludf.DUMMYFUNCTION("""COMPUTED_VALUE"""),6000)</f>
        <v>6000</v>
      </c>
      <c r="J440" s="16">
        <f ca="1">IFERROR(__xludf.DUMMYFUNCTION("""COMPUTED_VALUE"""),44927)</f>
        <v>44927</v>
      </c>
      <c r="K440" s="12" t="str">
        <f ca="1">IFERROR(__xludf.DUMMYFUNCTION("""COMPUTED_VALUE"""),"新機上架")</f>
        <v>新機上架</v>
      </c>
      <c r="L440" s="12" t="str">
        <f ca="1">IFERROR(__xludf.DUMMYFUNCTION("""COMPUTED_VALUE"""),"上架中")</f>
        <v>上架中</v>
      </c>
      <c r="M440" s="12" t="str">
        <f ca="1">IFERROR(__xludf.DUMMYFUNCTION("""COMPUTED_VALUE"""),"2023/1/1新機上架")</f>
        <v>2023/1/1新機上架</v>
      </c>
      <c r="N440" s="12" t="str">
        <f ca="1">IFERROR(__xludf.DUMMYFUNCTION("""COMPUTED_VALUE"""),"冷藏箱")</f>
        <v>冷藏箱</v>
      </c>
      <c r="O440" s="12"/>
      <c r="P440" s="12" t="str">
        <f ca="1">IFERROR(__xludf.DUMMYFUNCTION("""COMPUTED_VALUE"""),"AC110V/60HZ 消耗功率:75W 重量:13.4kg")</f>
        <v>AC110V/60HZ 消耗功率:75W 重量:13.4kg</v>
      </c>
      <c r="Q440" s="12" t="str">
        <f ca="1">IFERROR(__xludf.DUMMYFUNCTION("""COMPUTED_VALUE"""),"518*500*422")</f>
        <v>518*500*422</v>
      </c>
      <c r="R440" s="12" t="str">
        <f ca="1">IFERROR(__xludf.DUMMYFUNCTION("""COMPUTED_VALUE"""),"中國")</f>
        <v>中國</v>
      </c>
      <c r="S440" s="12" t="str">
        <f ca="1">IFERROR(__xludf.DUMMYFUNCTION("""COMPUTED_VALUE"""),"X")</f>
        <v>X</v>
      </c>
      <c r="T440" s="13" t="str">
        <f ca="1">IFERROR(__xludf.DUMMYFUNCTION("""COMPUTED_VALUE"""),"X")</f>
        <v>X</v>
      </c>
      <c r="U440" s="22" t="str">
        <f ca="1">IFERROR(__xludf.DUMMYFUNCTION("""COMPUTED_VALUE"""),"全機保固1年")</f>
        <v>全機保固1年</v>
      </c>
      <c r="V440" s="22" t="str">
        <f ca="1">IFERROR(__xludf.DUMMYFUNCTION("""COMPUTED_VALUE"""),"壓縮機保固5年")</f>
        <v>壓縮機保固5年</v>
      </c>
      <c r="W440" s="12"/>
      <c r="X440" s="12"/>
      <c r="Y440" s="12"/>
      <c r="Z440" s="14"/>
      <c r="AA440" s="15" t="str">
        <f ca="1">IFERROR(__xludf.DUMMYFUNCTION("""COMPUTED_VALUE"""),"超靜音*  三段溫控*  LED省電照明*  半導體製冷*  環保低汙染*  耐重網架設計")</f>
        <v>超靜音*  三段溫控*  LED省電照明*  半導體製冷*  環保低汙染*  耐重網架設計</v>
      </c>
    </row>
    <row r="441" spans="1:27" ht="19.5" customHeight="1">
      <c r="A441" s="12" t="str">
        <f ca="1">IFERROR(__xludf.DUMMYFUNCTION("""COMPUTED_VALUE"""),"冰箱")</f>
        <v>冰箱</v>
      </c>
      <c r="B441" s="12" t="str">
        <f ca="1">IFERROR(__xludf.DUMMYFUNCTION("""COMPUTED_VALUE"""),"禾聯")</f>
        <v>禾聯</v>
      </c>
      <c r="C441" s="12" t="str">
        <f ca="1">IFERROR(__xludf.DUMMYFUNCTION("""COMPUTED_VALUE"""),"禾聯")</f>
        <v>禾聯</v>
      </c>
      <c r="D441" s="12" t="str">
        <f ca="1">IFERROR(__xludf.DUMMYFUNCTION("""COMPUTED_VALUE"""),"禾聯260L變頻直立式冷凍櫃HFZ-B2651FV")</f>
        <v>禾聯260L變頻直立式冷凍櫃HFZ-B2651FV</v>
      </c>
      <c r="E441" s="12" t="str">
        <f ca="1">IFERROR(__xludf.DUMMYFUNCTION("""COMPUTED_VALUE"""),"HFZ-B2651FV")</f>
        <v>HFZ-B2651FV</v>
      </c>
      <c r="F441" s="12">
        <f ca="1">IFERROR(__xludf.DUMMYFUNCTION("""COMPUTED_VALUE"""),51008250)</f>
        <v>51008250</v>
      </c>
      <c r="G441" s="12" t="str">
        <f ca="1">IFERROR(__xludf.DUMMYFUNCTION("""COMPUTED_VALUE"""),"IGEM073Z")</f>
        <v>IGEM073Z</v>
      </c>
      <c r="H441" s="13">
        <f ca="1">IFERROR(__xludf.DUMMYFUNCTION("""COMPUTED_VALUE"""),20400)</f>
        <v>20400</v>
      </c>
      <c r="I441" s="14">
        <f ca="1">IFERROR(__xludf.DUMMYFUNCTION("""COMPUTED_VALUE"""),18500)</f>
        <v>18500</v>
      </c>
      <c r="J441" s="16">
        <f ca="1">IFERROR(__xludf.DUMMYFUNCTION("""COMPUTED_VALUE"""),44927)</f>
        <v>44927</v>
      </c>
      <c r="K441" s="12" t="str">
        <f ca="1">IFERROR(__xludf.DUMMYFUNCTION("""COMPUTED_VALUE"""),"新機上架")</f>
        <v>新機上架</v>
      </c>
      <c r="L441" s="12" t="str">
        <f ca="1">IFERROR(__xludf.DUMMYFUNCTION("""COMPUTED_VALUE"""),"上架中")</f>
        <v>上架中</v>
      </c>
      <c r="M441" s="12" t="str">
        <f ca="1">IFERROR(__xludf.DUMMYFUNCTION("""COMPUTED_VALUE"""),"2023/1/1新機上架")</f>
        <v>2023/1/1新機上架</v>
      </c>
      <c r="N441" s="12" t="str">
        <f ca="1">IFERROR(__xludf.DUMMYFUNCTION("""COMPUTED_VALUE"""),"直立式冷凍櫃")</f>
        <v>直立式冷凍櫃</v>
      </c>
      <c r="O441" s="12"/>
      <c r="P441" s="12" t="str">
        <f ca="1">IFERROR(__xludf.DUMMYFUNCTION("""COMPUTED_VALUE"""),"AC110V/60HZ 消耗功率:85W 重量:64kg")</f>
        <v>AC110V/60HZ 消耗功率:85W 重量:64kg</v>
      </c>
      <c r="Q441" s="12" t="str">
        <f ca="1">IFERROR(__xludf.DUMMYFUNCTION("""COMPUTED_VALUE"""),"1850*595*625")</f>
        <v>1850*595*625</v>
      </c>
      <c r="R441" s="12" t="str">
        <f ca="1">IFERROR(__xludf.DUMMYFUNCTION("""COMPUTED_VALUE"""),"中國")</f>
        <v>中國</v>
      </c>
      <c r="S441" s="12"/>
      <c r="T441" s="13" t="str">
        <f ca="1">IFERROR(__xludf.DUMMYFUNCTION("""COMPUTED_VALUE"""),"X")</f>
        <v>X</v>
      </c>
      <c r="U441" s="22" t="str">
        <f ca="1">IFERROR(__xludf.DUMMYFUNCTION("""COMPUTED_VALUE"""),"全機保固1年")</f>
        <v>全機保固1年</v>
      </c>
      <c r="V441" s="22" t="str">
        <f ca="1">IFERROR(__xludf.DUMMYFUNCTION("""COMPUTED_VALUE"""),"壓縮機保固5年")</f>
        <v>壓縮機保固5年</v>
      </c>
      <c r="W441" s="12"/>
      <c r="X441" s="12"/>
      <c r="Y441" s="12"/>
      <c r="Z441" s="14"/>
      <c r="AA441" s="15" t="str">
        <f ca="1">IFERROR(__xludf.DUMMYFUNCTION("""COMPUTED_VALUE"""),"智能溫度控制*  急速冷凍功能*  四星急凍*  自動除霜*  可變式廂門(左右開門互換)*  開門警報")</f>
        <v>智能溫度控制*  急速冷凍功能*  四星急凍*  自動除霜*  可變式廂門(左右開門互換)*  開門警報</v>
      </c>
    </row>
    <row r="442" spans="1:27" ht="19.5" customHeight="1">
      <c r="A442" s="12" t="str">
        <f ca="1">IFERROR(__xludf.DUMMYFUNCTION("""COMPUTED_VALUE"""),"冰箱")</f>
        <v>冰箱</v>
      </c>
      <c r="B442" s="12" t="str">
        <f ca="1">IFERROR(__xludf.DUMMYFUNCTION("""COMPUTED_VALUE"""),"禾聯")</f>
        <v>禾聯</v>
      </c>
      <c r="C442" s="12" t="str">
        <f ca="1">IFERROR(__xludf.DUMMYFUNCTION("""COMPUTED_VALUE"""),"禾聯")</f>
        <v>禾聯</v>
      </c>
      <c r="D442" s="12" t="str">
        <f ca="1">IFERROR(__xludf.DUMMYFUNCTION("""COMPUTED_VALUE"""),"禾聯383L變頻直立式冷凍櫃 HFZ-B3862FV")</f>
        <v>禾聯383L變頻直立式冷凍櫃 HFZ-B3862FV</v>
      </c>
      <c r="E442" s="12" t="str">
        <f ca="1">IFERROR(__xludf.DUMMYFUNCTION("""COMPUTED_VALUE"""),"HFZ-B3862FV")</f>
        <v>HFZ-B3862FV</v>
      </c>
      <c r="F442" s="12">
        <f ca="1">IFERROR(__xludf.DUMMYFUNCTION("""COMPUTED_VALUE"""),51008251)</f>
        <v>51008251</v>
      </c>
      <c r="G442" s="12" t="str">
        <f ca="1">IFERROR(__xludf.DUMMYFUNCTION("""COMPUTED_VALUE"""),"IGEM0741")</f>
        <v>IGEM0741</v>
      </c>
      <c r="H442" s="13">
        <f ca="1">IFERROR(__xludf.DUMMYFUNCTION("""COMPUTED_VALUE"""),25490)</f>
        <v>25490</v>
      </c>
      <c r="I442" s="14">
        <f ca="1">IFERROR(__xludf.DUMMYFUNCTION("""COMPUTED_VALUE"""),22900)</f>
        <v>22900</v>
      </c>
      <c r="J442" s="16">
        <f ca="1">IFERROR(__xludf.DUMMYFUNCTION("""COMPUTED_VALUE"""),45077)</f>
        <v>45077</v>
      </c>
      <c r="K442" s="12" t="str">
        <f ca="1">IFERROR(__xludf.DUMMYFUNCTION("""COMPUTED_VALUE"""),"到貨")</f>
        <v>到貨</v>
      </c>
      <c r="L442" s="12" t="str">
        <f ca="1">IFERROR(__xludf.DUMMYFUNCTION("""COMPUTED_VALUE"""),"上架中")</f>
        <v>上架中</v>
      </c>
      <c r="M442" s="12" t="str">
        <f ca="1">IFERROR(__xludf.DUMMYFUNCTION("""COMPUTED_VALUE"""),"5/31恢復供貨，1/9缺貨，2023/1/1新機上架")</f>
        <v>5/31恢復供貨，1/9缺貨，2023/1/1新機上架</v>
      </c>
      <c r="N442" s="12" t="str">
        <f ca="1">IFERROR(__xludf.DUMMYFUNCTION("""COMPUTED_VALUE"""),"直立式冷凍櫃")</f>
        <v>直立式冷凍櫃</v>
      </c>
      <c r="O442" s="12"/>
      <c r="P442" s="12" t="str">
        <f ca="1">IFERROR(__xludf.DUMMYFUNCTION("""COMPUTED_VALUE"""),"AC110V/60HZ 消耗功率:330W 重量:86kg")</f>
        <v>AC110V/60HZ 消耗功率:330W 重量:86kg</v>
      </c>
      <c r="Q442" s="12" t="str">
        <f ca="1">IFERROR(__xludf.DUMMYFUNCTION("""COMPUTED_VALUE"""),"1850*700*700")</f>
        <v>1850*700*700</v>
      </c>
      <c r="R442" s="12" t="str">
        <f ca="1">IFERROR(__xludf.DUMMYFUNCTION("""COMPUTED_VALUE"""),"中國")</f>
        <v>中國</v>
      </c>
      <c r="S442" s="12" t="str">
        <f ca="1">IFERROR(__xludf.DUMMYFUNCTION("""COMPUTED_VALUE"""),"O")</f>
        <v>O</v>
      </c>
      <c r="T442" s="13" t="str">
        <f ca="1">IFERROR(__xludf.DUMMYFUNCTION("""COMPUTED_VALUE"""),"X")</f>
        <v>X</v>
      </c>
      <c r="U442" s="22" t="str">
        <f ca="1">IFERROR(__xludf.DUMMYFUNCTION("""COMPUTED_VALUE"""),"全機保固1年")</f>
        <v>全機保固1年</v>
      </c>
      <c r="V442" s="22" t="str">
        <f ca="1">IFERROR(__xludf.DUMMYFUNCTION("""COMPUTED_VALUE"""),"壓縮機保固5年")</f>
        <v>壓縮機保固5年</v>
      </c>
      <c r="W442" s="12"/>
      <c r="X442" s="12"/>
      <c r="Y442" s="12"/>
      <c r="Z442" s="14"/>
      <c r="AA442" s="15" t="str">
        <f ca="1">IFERROR(__xludf.DUMMYFUNCTION("""COMPUTED_VALUE"""),"智能溫度控制*  急速冷凍功能*  四星急凍*  自動除霜*  可變式廂門(左右開門互換)*  開門警報")</f>
        <v>智能溫度控制*  急速冷凍功能*  四星急凍*  自動除霜*  可變式廂門(左右開門互換)*  開門警報</v>
      </c>
    </row>
    <row r="443" spans="1:27" ht="19.5" customHeight="1">
      <c r="A443" s="12" t="str">
        <f ca="1">IFERROR(__xludf.DUMMYFUNCTION("""COMPUTED_VALUE"""),"冰箱")</f>
        <v>冰箱</v>
      </c>
      <c r="B443" s="12" t="str">
        <f ca="1">IFERROR(__xludf.DUMMYFUNCTION("""COMPUTED_VALUE"""),"禾聯")</f>
        <v>禾聯</v>
      </c>
      <c r="C443" s="12" t="str">
        <f ca="1">IFERROR(__xludf.DUMMYFUNCTION("""COMPUTED_VALUE"""),"禾聯")</f>
        <v>禾聯</v>
      </c>
      <c r="D443" s="12" t="str">
        <f ca="1">IFERROR(__xludf.DUMMYFUNCTION("""COMPUTED_VALUE"""),"禾聯142L 變頻直立式冷凍櫃 HFZ-B14A1FV")</f>
        <v>禾聯142L 變頻直立式冷凍櫃 HFZ-B14A1FV</v>
      </c>
      <c r="E443" s="12" t="str">
        <f ca="1">IFERROR(__xludf.DUMMYFUNCTION("""COMPUTED_VALUE"""),"HFZ-B14A1FV")</f>
        <v>HFZ-B14A1FV</v>
      </c>
      <c r="F443" s="12">
        <f ca="1">IFERROR(__xludf.DUMMYFUNCTION("""COMPUTED_VALUE"""),51008248)</f>
        <v>51008248</v>
      </c>
      <c r="G443" s="12" t="str">
        <f ca="1">IFERROR(__xludf.DUMMYFUNCTION("""COMPUTED_VALUE"""),"IGEM073X")</f>
        <v>IGEM073X</v>
      </c>
      <c r="H443" s="13">
        <f ca="1">IFERROR(__xludf.DUMMYFUNCTION("""COMPUTED_VALUE"""),14900)</f>
        <v>14900</v>
      </c>
      <c r="I443" s="14">
        <f ca="1">IFERROR(__xludf.DUMMYFUNCTION("""COMPUTED_VALUE"""),13400)</f>
        <v>13400</v>
      </c>
      <c r="J443" s="16">
        <f ca="1">IFERROR(__xludf.DUMMYFUNCTION("""COMPUTED_VALUE"""),44927)</f>
        <v>44927</v>
      </c>
      <c r="K443" s="12" t="str">
        <f ca="1">IFERROR(__xludf.DUMMYFUNCTION("""COMPUTED_VALUE"""),"新機上架")</f>
        <v>新機上架</v>
      </c>
      <c r="L443" s="12" t="str">
        <f ca="1">IFERROR(__xludf.DUMMYFUNCTION("""COMPUTED_VALUE"""),"上架中")</f>
        <v>上架中</v>
      </c>
      <c r="M443" s="12" t="str">
        <f ca="1">IFERROR(__xludf.DUMMYFUNCTION("""COMPUTED_VALUE"""),"2023/1/1新機上架")</f>
        <v>2023/1/1新機上架</v>
      </c>
      <c r="N443" s="12" t="str">
        <f ca="1">IFERROR(__xludf.DUMMYFUNCTION("""COMPUTED_VALUE"""),"直立式冷凍櫃")</f>
        <v>直立式冷凍櫃</v>
      </c>
      <c r="O443" s="12"/>
      <c r="P443" s="12" t="str">
        <f ca="1">IFERROR(__xludf.DUMMYFUNCTION("""COMPUTED_VALUE"""),"AC110V/60HZ 消耗功率:270W 重量:38kg")</f>
        <v>AC110V/60HZ 消耗功率:270W 重量:38kg</v>
      </c>
      <c r="Q443" s="12" t="str">
        <f ca="1">IFERROR(__xludf.DUMMYFUNCTION("""COMPUTED_VALUE"""),"1290*476*632")</f>
        <v>1290*476*632</v>
      </c>
      <c r="R443" s="12" t="str">
        <f ca="1">IFERROR(__xludf.DUMMYFUNCTION("""COMPUTED_VALUE"""),"中國")</f>
        <v>中國</v>
      </c>
      <c r="S443" s="12" t="str">
        <f ca="1">IFERROR(__xludf.DUMMYFUNCTION("""COMPUTED_VALUE"""),"O")</f>
        <v>O</v>
      </c>
      <c r="T443" s="13" t="str">
        <f ca="1">IFERROR(__xludf.DUMMYFUNCTION("""COMPUTED_VALUE"""),"X")</f>
        <v>X</v>
      </c>
      <c r="U443" s="22" t="str">
        <f ca="1">IFERROR(__xludf.DUMMYFUNCTION("""COMPUTED_VALUE"""),"全機保固1年")</f>
        <v>全機保固1年</v>
      </c>
      <c r="V443" s="22" t="str">
        <f ca="1">IFERROR(__xludf.DUMMYFUNCTION("""COMPUTED_VALUE"""),"壓縮機保固5年")</f>
        <v>壓縮機保固5年</v>
      </c>
      <c r="W443" s="12"/>
      <c r="X443" s="12"/>
      <c r="Y443" s="12"/>
      <c r="Z443" s="14"/>
      <c r="AA443" s="15" t="str">
        <f ca="1">IFERROR(__xludf.DUMMYFUNCTION("""COMPUTED_VALUE"""),"智能溫度控制*  急速冷凍功能*  四星急凍*  自動除霜*  可變式廂門(左右開門互換)*  開門警報")</f>
        <v>智能溫度控制*  急速冷凍功能*  四星急凍*  自動除霜*  可變式廂門(左右開門互換)*  開門警報</v>
      </c>
    </row>
    <row r="444" spans="1:27" ht="19.5" customHeight="1">
      <c r="A444" s="12" t="str">
        <f ca="1">IFERROR(__xludf.DUMMYFUNCTION("""COMPUTED_VALUE"""),"冰箱")</f>
        <v>冰箱</v>
      </c>
      <c r="B444" s="12" t="str">
        <f ca="1">IFERROR(__xludf.DUMMYFUNCTION("""COMPUTED_VALUE"""),"禾聯")</f>
        <v>禾聯</v>
      </c>
      <c r="C444" s="12" t="str">
        <f ca="1">IFERROR(__xludf.DUMMYFUNCTION("""COMPUTED_VALUE"""),"禾聯")</f>
        <v>禾聯</v>
      </c>
      <c r="D444" s="12" t="str">
        <f ca="1">IFERROR(__xludf.DUMMYFUNCTION("""COMPUTED_VALUE"""),"禾聯206L變頻直立式冷凍櫃HFZ-B2061FV")</f>
        <v>禾聯206L變頻直立式冷凍櫃HFZ-B2061FV</v>
      </c>
      <c r="E444" s="12" t="str">
        <f ca="1">IFERROR(__xludf.DUMMYFUNCTION("""COMPUTED_VALUE"""),"HFZ-B2061FV")</f>
        <v>HFZ-B2061FV</v>
      </c>
      <c r="F444" s="12">
        <f ca="1">IFERROR(__xludf.DUMMYFUNCTION("""COMPUTED_VALUE"""),51008249)</f>
        <v>51008249</v>
      </c>
      <c r="G444" s="12" t="str">
        <f ca="1">IFERROR(__xludf.DUMMYFUNCTION("""COMPUTED_VALUE"""),"IGEM073Y")</f>
        <v>IGEM073Y</v>
      </c>
      <c r="H444" s="13">
        <f ca="1">IFERROR(__xludf.DUMMYFUNCTION("""COMPUTED_VALUE"""),19900)</f>
        <v>19900</v>
      </c>
      <c r="I444" s="14">
        <f ca="1">IFERROR(__xludf.DUMMYFUNCTION("""COMPUTED_VALUE"""),17900)</f>
        <v>17900</v>
      </c>
      <c r="J444" s="16">
        <f ca="1">IFERROR(__xludf.DUMMYFUNCTION("""COMPUTED_VALUE"""),44927)</f>
        <v>44927</v>
      </c>
      <c r="K444" s="12" t="str">
        <f ca="1">IFERROR(__xludf.DUMMYFUNCTION("""COMPUTED_VALUE"""),"新機上架")</f>
        <v>新機上架</v>
      </c>
      <c r="L444" s="12" t="str">
        <f ca="1">IFERROR(__xludf.DUMMYFUNCTION("""COMPUTED_VALUE"""),"上架中")</f>
        <v>上架中</v>
      </c>
      <c r="M444" s="12" t="str">
        <f ca="1">IFERROR(__xludf.DUMMYFUNCTION("""COMPUTED_VALUE"""),"2023/1/1新機上架")</f>
        <v>2023/1/1新機上架</v>
      </c>
      <c r="N444" s="12" t="str">
        <f ca="1">IFERROR(__xludf.DUMMYFUNCTION("""COMPUTED_VALUE"""),"直立式冷凍櫃")</f>
        <v>直立式冷凍櫃</v>
      </c>
      <c r="O444" s="12"/>
      <c r="P444" s="12" t="str">
        <f ca="1">IFERROR(__xludf.DUMMYFUNCTION("""COMPUTED_VALUE"""),"AC110V/60HZ 消耗功率:224W 重量:54kg")</f>
        <v>AC110V/60HZ 消耗功率:224W 重量:54kg</v>
      </c>
      <c r="Q444" s="12" t="str">
        <f ca="1">IFERROR(__xludf.DUMMYFUNCTION("""COMPUTED_VALUE"""),"1700*540*590")</f>
        <v>1700*540*590</v>
      </c>
      <c r="R444" s="12" t="str">
        <f ca="1">IFERROR(__xludf.DUMMYFUNCTION("""COMPUTED_VALUE"""),"中國")</f>
        <v>中國</v>
      </c>
      <c r="S444" s="12" t="str">
        <f ca="1">IFERROR(__xludf.DUMMYFUNCTION("""COMPUTED_VALUE"""),"O")</f>
        <v>O</v>
      </c>
      <c r="T444" s="13" t="str">
        <f ca="1">IFERROR(__xludf.DUMMYFUNCTION("""COMPUTED_VALUE"""),"X")</f>
        <v>X</v>
      </c>
      <c r="U444" s="22" t="str">
        <f ca="1">IFERROR(__xludf.DUMMYFUNCTION("""COMPUTED_VALUE"""),"全機保固1年")</f>
        <v>全機保固1年</v>
      </c>
      <c r="V444" s="22" t="str">
        <f ca="1">IFERROR(__xludf.DUMMYFUNCTION("""COMPUTED_VALUE"""),"壓縮機保固5年")</f>
        <v>壓縮機保固5年</v>
      </c>
      <c r="W444" s="12"/>
      <c r="X444" s="12"/>
      <c r="Y444" s="12"/>
      <c r="Z444" s="14"/>
      <c r="AA444" s="15" t="str">
        <f ca="1">IFERROR(__xludf.DUMMYFUNCTION("""COMPUTED_VALUE"""),"智能溫度控制*  急速冷凍功能*  四星急凍*  自動除霜*  可變式廂門(左右開門互換)*  開門警報")</f>
        <v>智能溫度控制*  急速冷凍功能*  四星急凍*  自動除霜*  可變式廂門(左右開門互換)*  開門警報</v>
      </c>
    </row>
    <row r="445" spans="1:27" ht="19.5" customHeight="1">
      <c r="A445" s="12" t="str">
        <f ca="1">IFERROR(__xludf.DUMMYFUNCTION("""COMPUTED_VALUE"""),"冰箱")</f>
        <v>冰箱</v>
      </c>
      <c r="B445" s="12" t="str">
        <f ca="1">IFERROR(__xludf.DUMMYFUNCTION("""COMPUTED_VALUE"""),"台灣三洋")</f>
        <v>台灣三洋</v>
      </c>
      <c r="C445" s="12" t="str">
        <f ca="1">IFERROR(__xludf.DUMMYFUNCTION("""COMPUTED_VALUE"""),"台灣三洋")</f>
        <v>台灣三洋</v>
      </c>
      <c r="D445" s="12" t="str">
        <f ca="1">IFERROR(__xludf.DUMMYFUNCTION("""COMPUTED_VALUE"""),"台灣三洋480公升雙門變頻冰箱SR-C480BV1A")</f>
        <v>台灣三洋480公升雙門變頻冰箱SR-C480BV1A</v>
      </c>
      <c r="E445" s="12" t="str">
        <f ca="1">IFERROR(__xludf.DUMMYFUNCTION("""COMPUTED_VALUE"""),"SR-C480BV1A")</f>
        <v>SR-C480BV1A</v>
      </c>
      <c r="F445" s="12">
        <f ca="1">IFERROR(__xludf.DUMMYFUNCTION("""COMPUTED_VALUE"""),51075005)</f>
        <v>51075005</v>
      </c>
      <c r="G445" s="12" t="str">
        <f ca="1">IFERROR(__xludf.DUMMYFUNCTION("""COMPUTED_VALUE"""),"IGEM019A")</f>
        <v>IGEM019A</v>
      </c>
      <c r="H445" s="12">
        <f ca="1">IFERROR(__xludf.DUMMYFUNCTION("""COMPUTED_VALUE"""),28200)</f>
        <v>28200</v>
      </c>
      <c r="I445" s="14">
        <f ca="1">IFERROR(__xludf.DUMMYFUNCTION("""COMPUTED_VALUE"""),25400)</f>
        <v>25400</v>
      </c>
      <c r="J445" s="21">
        <f ca="1">IFERROR(__xludf.DUMMYFUNCTION("""COMPUTED_VALUE"""),45292)</f>
        <v>45292</v>
      </c>
      <c r="K445" s="12" t="str">
        <f ca="1">IFERROR(__xludf.DUMMYFUNCTION("""COMPUTED_VALUE"""),"回價")</f>
        <v>回價</v>
      </c>
      <c r="L445" s="12" t="str">
        <f ca="1">IFERROR(__xludf.DUMMYFUNCTION("""COMPUTED_VALUE"""),"上架中")</f>
        <v>上架中</v>
      </c>
      <c r="M445" s="12" t="str">
        <f ca="1">IFERROR(__xludf.DUMMYFUNCTION("""COMPUTED_VALUE"""),"2022/4回價。2020/11月短促。")</f>
        <v>2022/4回價。2020/11月短促。</v>
      </c>
      <c r="N445" s="12" t="str">
        <f ca="1">IFERROR(__xludf.DUMMYFUNCTION("""COMPUTED_VALUE"""),"雙門變頻")</f>
        <v>雙門變頻</v>
      </c>
      <c r="O445" s="12" t="str">
        <f ca="1">IFERROR(__xludf.DUMMYFUNCTION("""COMPUTED_VALUE"""),"閃耀銀")</f>
        <v>閃耀銀</v>
      </c>
      <c r="P445" s="12" t="str">
        <f ca="1">IFERROR(__xludf.DUMMYFUNCTION("""COMPUTED_VALUE"""),"480L")</f>
        <v>480L</v>
      </c>
      <c r="Q445" s="12" t="str">
        <f ca="1">IFERROR(__xludf.DUMMYFUNCTION("""COMPUTED_VALUE"""),"1750*726*754mm")</f>
        <v>1750*726*754mm</v>
      </c>
      <c r="R445" s="12" t="str">
        <f ca="1">IFERROR(__xludf.DUMMYFUNCTION("""COMPUTED_VALUE"""),"台灣")</f>
        <v>台灣</v>
      </c>
      <c r="S445" s="12" t="str">
        <f ca="1">IFERROR(__xludf.DUMMYFUNCTION("""COMPUTED_VALUE"""),"V")</f>
        <v>V</v>
      </c>
      <c r="T445" s="12" t="str">
        <f ca="1">IFERROR(__xludf.DUMMYFUNCTION("""COMPUTED_VALUE"""),"1級能效")</f>
        <v>1級能效</v>
      </c>
      <c r="U445" s="12" t="str">
        <f ca="1">IFERROR(__xludf.DUMMYFUNCTION("""COMPUTED_VALUE"""),"1年")</f>
        <v>1年</v>
      </c>
      <c r="V445" s="22" t="str">
        <f ca="1">IFERROR(__xludf.DUMMYFUNCTION("""COMPUTED_VALUE"""),"3年")</f>
        <v>3年</v>
      </c>
      <c r="W445" s="12"/>
      <c r="X445" s="12"/>
      <c r="Y445" s="12">
        <f ca="1">IFERROR(__xludf.DUMMYFUNCTION("""COMPUTED_VALUE"""),480)</f>
        <v>480</v>
      </c>
      <c r="Z445" s="14" t="str">
        <f ca="1">IFERROR(__xludf.DUMMYFUNCTION("""COMPUTED_VALUE"""),"2000")</f>
        <v>2000</v>
      </c>
      <c r="AA445" s="15" t="str">
        <f ca="1">IFERROR(__xludf.DUMMYFUNCTION("""COMPUTED_VALUE"""),"*ECO全智慧記憶節能模式*霜能再利用節能科技*冷藏/冷凍LED燈照明*移動式密閉蛋盒*活動製冰盒")</f>
        <v>*ECO全智慧記憶節能模式*霜能再利用節能科技*冷藏/冷凍LED燈照明*移動式密閉蛋盒*活動製冰盒</v>
      </c>
    </row>
    <row r="446" spans="1:27" ht="19.5" customHeight="1">
      <c r="A446" s="12" t="str">
        <f ca="1">IFERROR(__xludf.DUMMYFUNCTION("""COMPUTED_VALUE"""),"冰箱")</f>
        <v>冰箱</v>
      </c>
      <c r="B446" s="12" t="str">
        <f ca="1">IFERROR(__xludf.DUMMYFUNCTION("""COMPUTED_VALUE"""),"台灣三洋")</f>
        <v>台灣三洋</v>
      </c>
      <c r="C446" s="12" t="str">
        <f ca="1">IFERROR(__xludf.DUMMYFUNCTION("""COMPUTED_VALUE"""),"台灣三洋")</f>
        <v>台灣三洋</v>
      </c>
      <c r="D446" s="12" t="str">
        <f ca="1">IFERROR(__xludf.DUMMYFUNCTION("""COMPUTED_VALUE"""),"台灣三洋_98公升單門定頻冰箱(白)_SR-C98A1")</f>
        <v>台灣三洋_98公升單門定頻冰箱(白)_SR-C98A1</v>
      </c>
      <c r="E446" s="12" t="str">
        <f ca="1">IFERROR(__xludf.DUMMYFUNCTION("""COMPUTED_VALUE"""),"SR-C98A1")</f>
        <v>SR-C98A1</v>
      </c>
      <c r="F446" s="12">
        <f ca="1">IFERROR(__xludf.DUMMYFUNCTION("""COMPUTED_VALUE"""),51075087)</f>
        <v>51075087</v>
      </c>
      <c r="G446" s="12" t="str">
        <f ca="1">IFERROR(__xludf.DUMMYFUNCTION("""COMPUTED_VALUE"""),"IGEM098W")</f>
        <v>IGEM098W</v>
      </c>
      <c r="H446" s="13">
        <f ca="1">IFERROR(__xludf.DUMMYFUNCTION("""COMPUTED_VALUE"""),6790)</f>
        <v>6790</v>
      </c>
      <c r="I446" s="14">
        <f ca="1">IFERROR(__xludf.DUMMYFUNCTION("""COMPUTED_VALUE"""),5820)</f>
        <v>5820</v>
      </c>
      <c r="J446" s="16">
        <f ca="1">IFERROR(__xludf.DUMMYFUNCTION("""COMPUTED_VALUE"""),45383)</f>
        <v>45383</v>
      </c>
      <c r="K446" s="12" t="str">
        <f ca="1">IFERROR(__xludf.DUMMYFUNCTION("""COMPUTED_VALUE"""),"新機上架")</f>
        <v>新機上架</v>
      </c>
      <c r="L446" s="12" t="str">
        <f ca="1">IFERROR(__xludf.DUMMYFUNCTION("""COMPUTED_VALUE"""),"上架中")</f>
        <v>上架中</v>
      </c>
      <c r="M446" s="12" t="str">
        <f ca="1">IFERROR(__xludf.DUMMYFUNCTION("""COMPUTED_VALUE"""),"4/1新機上架")</f>
        <v>4/1新機上架</v>
      </c>
      <c r="N446" s="12" t="str">
        <f ca="1">IFERROR(__xludf.DUMMYFUNCTION("""COMPUTED_VALUE"""),"單門定頻")</f>
        <v>單門定頻</v>
      </c>
      <c r="O446" s="12" t="str">
        <f ca="1">IFERROR(__xludf.DUMMYFUNCTION("""COMPUTED_VALUE"""),"白")</f>
        <v>白</v>
      </c>
      <c r="P446" s="12" t="str">
        <f ca="1">IFERROR(__xludf.DUMMYFUNCTION("""COMPUTED_VALUE"""),"98公升")</f>
        <v>98公升</v>
      </c>
      <c r="Q446" s="12" t="str">
        <f ca="1">IFERROR(__xludf.DUMMYFUNCTION("""COMPUTED_VALUE"""),"
830*485*450mm")</f>
        <v xml:space="preserve">
830*485*450mm</v>
      </c>
      <c r="R446" s="12" t="str">
        <f ca="1">IFERROR(__xludf.DUMMYFUNCTION("""COMPUTED_VALUE"""),"台灣")</f>
        <v>台灣</v>
      </c>
      <c r="S446" s="22" t="str">
        <f ca="1">IFERROR(__xludf.DUMMYFUNCTION("""COMPUTED_VALUE"""),"V")</f>
        <v>V</v>
      </c>
      <c r="T446" s="13" t="str">
        <f ca="1">IFERROR(__xludf.DUMMYFUNCTION("""COMPUTED_VALUE"""),"1級能效")</f>
        <v>1級能效</v>
      </c>
      <c r="U446" s="22" t="str">
        <f ca="1">IFERROR(__xludf.DUMMYFUNCTION("""COMPUTED_VALUE"""),"1年")</f>
        <v>1年</v>
      </c>
      <c r="V446" s="22" t="str">
        <f ca="1">IFERROR(__xludf.DUMMYFUNCTION("""COMPUTED_VALUE"""),"1年")</f>
        <v>1年</v>
      </c>
      <c r="W446" s="12"/>
      <c r="X446" s="12"/>
      <c r="Y446" s="12">
        <f ca="1">IFERROR(__xludf.DUMMYFUNCTION("""COMPUTED_VALUE"""),98)</f>
        <v>98</v>
      </c>
      <c r="Z446" s="14">
        <f ca="1">IFERROR(__xludf.DUMMYFUNCTION("""COMPUTED_VALUE"""),500)</f>
        <v>500</v>
      </c>
      <c r="AA446" s="15" t="str">
        <f ca="1">IFERROR(__xludf.DUMMYFUNCTION("""COMPUTED_VALUE"""),"*R600a環保冷媒*美背式設計*冷藏室LED燈")</f>
        <v>*R600a環保冷媒*美背式設計*冷藏室LED燈</v>
      </c>
    </row>
    <row r="447" spans="1:27" ht="19.5" customHeight="1">
      <c r="A447" s="12" t="str">
        <f ca="1">IFERROR(__xludf.DUMMYFUNCTION("""COMPUTED_VALUE"""),"冰箱")</f>
        <v>冰箱</v>
      </c>
      <c r="B447" s="12" t="str">
        <f ca="1">IFERROR(__xludf.DUMMYFUNCTION("""COMPUTED_VALUE"""),"台灣三洋")</f>
        <v>台灣三洋</v>
      </c>
      <c r="C447" s="12" t="str">
        <f ca="1">IFERROR(__xludf.DUMMYFUNCTION("""COMPUTED_VALUE"""),"台灣三洋")</f>
        <v>台灣三洋</v>
      </c>
      <c r="D447" s="12" t="str">
        <f ca="1">IFERROR(__xludf.DUMMYFUNCTION("""COMPUTED_VALUE"""),"台灣三洋102公升雙門定頻冰箱(珍珠白)SR-C102B1")</f>
        <v>台灣三洋102公升雙門定頻冰箱(珍珠白)SR-C102B1</v>
      </c>
      <c r="E447" s="12" t="str">
        <f ca="1">IFERROR(__xludf.DUMMYFUNCTION("""COMPUTED_VALUE"""),"SR-C102B1")</f>
        <v>SR-C102B1</v>
      </c>
      <c r="F447" s="12">
        <f ca="1">IFERROR(__xludf.DUMMYFUNCTION("""COMPUTED_VALUE"""),51075034)</f>
        <v>51075034</v>
      </c>
      <c r="G447" s="12" t="str">
        <f ca="1">IFERROR(__xludf.DUMMYFUNCTION("""COMPUTED_VALUE"""),"IGEM025Q")</f>
        <v>IGEM025Q</v>
      </c>
      <c r="H447" s="12">
        <f ca="1">IFERROR(__xludf.DUMMYFUNCTION("""COMPUTED_VALUE"""),9100)</f>
        <v>9100</v>
      </c>
      <c r="I447" s="14">
        <f ca="1">IFERROR(__xludf.DUMMYFUNCTION("""COMPUTED_VALUE"""),7900)</f>
        <v>7900</v>
      </c>
      <c r="J447" s="21">
        <f ca="1">IFERROR(__xludf.DUMMYFUNCTION("""COMPUTED_VALUE"""),45211)</f>
        <v>45211</v>
      </c>
      <c r="K447" s="12" t="str">
        <f ca="1">IFERROR(__xludf.DUMMYFUNCTION("""COMPUTED_VALUE"""),"到貨")</f>
        <v>到貨</v>
      </c>
      <c r="L447" s="12" t="str">
        <f ca="1">IFERROR(__xludf.DUMMYFUNCTION("""COMPUTED_VALUE"""),"上架中")</f>
        <v>上架中</v>
      </c>
      <c r="M447" s="12" t="str">
        <f ca="1">IFERROR(__xludf.DUMMYFUNCTION("""COMPUTED_VALUE"""),"12/12到貨")</f>
        <v>12/12到貨</v>
      </c>
      <c r="N447" s="12" t="str">
        <f ca="1">IFERROR(__xludf.DUMMYFUNCTION("""COMPUTED_VALUE"""),"雙門定頻")</f>
        <v>雙門定頻</v>
      </c>
      <c r="O447" s="12" t="str">
        <f ca="1">IFERROR(__xludf.DUMMYFUNCTION("""COMPUTED_VALUE"""),"珍珠白(S)")</f>
        <v>珍珠白(S)</v>
      </c>
      <c r="P447" s="12" t="str">
        <f ca="1">IFERROR(__xludf.DUMMYFUNCTION("""COMPUTED_VALUE"""),"102公升")</f>
        <v>102公升</v>
      </c>
      <c r="Q447" s="12" t="str">
        <f ca="1">IFERROR(__xludf.DUMMYFUNCTION("""COMPUTED_VALUE"""),"838*477*557mm")</f>
        <v>838*477*557mm</v>
      </c>
      <c r="R447" s="12" t="str">
        <f ca="1">IFERROR(__xludf.DUMMYFUNCTION("""COMPUTED_VALUE"""),"台灣")</f>
        <v>台灣</v>
      </c>
      <c r="S447" s="22" t="str">
        <f ca="1">IFERROR(__xludf.DUMMYFUNCTION("""COMPUTED_VALUE"""),"V")</f>
        <v>V</v>
      </c>
      <c r="T447" s="13" t="str">
        <f ca="1">IFERROR(__xludf.DUMMYFUNCTION("""COMPUTED_VALUE"""),"1級能效")</f>
        <v>1級能效</v>
      </c>
      <c r="U447" s="22" t="str">
        <f ca="1">IFERROR(__xludf.DUMMYFUNCTION("""COMPUTED_VALUE"""),"1年")</f>
        <v>1年</v>
      </c>
      <c r="V447" s="22" t="str">
        <f ca="1">IFERROR(__xludf.DUMMYFUNCTION("""COMPUTED_VALUE"""),"電冰箱冷媒路徑系統、壓縮機及主基板(不含顯示基板)保證三年")</f>
        <v>電冰箱冷媒路徑系統、壓縮機及主基板(不含顯示基板)保證三年</v>
      </c>
      <c r="W447" s="12"/>
      <c r="X447" s="12"/>
      <c r="Y447" s="12">
        <f ca="1">IFERROR(__xludf.DUMMYFUNCTION("""COMPUTED_VALUE"""),102)</f>
        <v>102</v>
      </c>
      <c r="Z447" s="14">
        <f ca="1">IFERROR(__xludf.DUMMYFUNCTION("""COMPUTED_VALUE"""),500)</f>
        <v>500</v>
      </c>
      <c r="AA447" s="15" t="str">
        <f ca="1">IFERROR(__xludf.DUMMYFUNCTION("""COMPUTED_VALUE"""),"*美背式設計*冷藏室LED燈*R600a冷媒")</f>
        <v>*美背式設計*冷藏室LED燈*R600a冷媒</v>
      </c>
    </row>
    <row r="448" spans="1:27" ht="19.5" customHeight="1">
      <c r="A448" s="12" t="str">
        <f ca="1">IFERROR(__xludf.DUMMYFUNCTION("""COMPUTED_VALUE"""),"冰箱")</f>
        <v>冰箱</v>
      </c>
      <c r="B448" s="12" t="str">
        <f ca="1">IFERROR(__xludf.DUMMYFUNCTION("""COMPUTED_VALUE"""),"台灣三洋")</f>
        <v>台灣三洋</v>
      </c>
      <c r="C448" s="12" t="str">
        <f ca="1">IFERROR(__xludf.DUMMYFUNCTION("""COMPUTED_VALUE"""),"台灣三洋")</f>
        <v>台灣三洋</v>
      </c>
      <c r="D448" s="12" t="str">
        <f ca="1">IFERROR(__xludf.DUMMYFUNCTION("""COMPUTED_VALUE"""),"台灣三洋321公升雙門定頻冰箱(星光銀)SR-C321B1B")</f>
        <v>台灣三洋321公升雙門定頻冰箱(星光銀)SR-C321B1B</v>
      </c>
      <c r="E448" s="12" t="str">
        <f ca="1">IFERROR(__xludf.DUMMYFUNCTION("""COMPUTED_VALUE"""),"SR-C321B1B")</f>
        <v>SR-C321B1B</v>
      </c>
      <c r="F448" s="12">
        <f ca="1">IFERROR(__xludf.DUMMYFUNCTION("""COMPUTED_VALUE"""),51075035)</f>
        <v>51075035</v>
      </c>
      <c r="G448" s="12" t="str">
        <f ca="1">IFERROR(__xludf.DUMMYFUNCTION("""COMPUTED_VALUE"""),"IGEM025S")</f>
        <v>IGEM025S</v>
      </c>
      <c r="H448" s="12">
        <f ca="1">IFERROR(__xludf.DUMMYFUNCTION("""COMPUTED_VALUE"""),20800)</f>
        <v>20800</v>
      </c>
      <c r="I448" s="14">
        <f ca="1">IFERROR(__xludf.DUMMYFUNCTION("""COMPUTED_VALUE"""),19300)</f>
        <v>19300</v>
      </c>
      <c r="J448" s="16">
        <f ca="1">IFERROR(__xludf.DUMMYFUNCTION("""COMPUTED_VALUE"""),44927)</f>
        <v>44927</v>
      </c>
      <c r="K448" s="12" t="str">
        <f ca="1">IFERROR(__xludf.DUMMYFUNCTION("""COMPUTED_VALUE"""),"回價")</f>
        <v>回價</v>
      </c>
      <c r="L448" s="12" t="str">
        <f ca="1">IFERROR(__xludf.DUMMYFUNCTION("""COMPUTED_VALUE"""),"上架中")</f>
        <v>上架中</v>
      </c>
      <c r="M448" s="12" t="str">
        <f ca="1">IFERROR(__xludf.DUMMYFUNCTION("""COMPUTED_VALUE"""),"2020/11/1新機上架+短促")</f>
        <v>2020/11/1新機上架+短促</v>
      </c>
      <c r="N448" s="12" t="str">
        <f ca="1">IFERROR(__xludf.DUMMYFUNCTION("""COMPUTED_VALUE"""),"雙門定頻")</f>
        <v>雙門定頻</v>
      </c>
      <c r="O448" s="12" t="str">
        <f ca="1">IFERROR(__xludf.DUMMYFUNCTION("""COMPUTED_VALUE"""),"星光銀(L)")</f>
        <v>星光銀(L)</v>
      </c>
      <c r="P448" s="12" t="str">
        <f ca="1">IFERROR(__xludf.DUMMYFUNCTION("""COMPUTED_VALUE"""),"321公升")</f>
        <v>321公升</v>
      </c>
      <c r="Q448" s="12" t="str">
        <f ca="1">IFERROR(__xludf.DUMMYFUNCTION("""COMPUTED_VALUE"""),"1605*616*719mm")</f>
        <v>1605*616*719mm</v>
      </c>
      <c r="R448" s="12" t="str">
        <f ca="1">IFERROR(__xludf.DUMMYFUNCTION("""COMPUTED_VALUE"""),"台灣")</f>
        <v>台灣</v>
      </c>
      <c r="S448" s="22" t="str">
        <f ca="1">IFERROR(__xludf.DUMMYFUNCTION("""COMPUTED_VALUE"""),"V")</f>
        <v>V</v>
      </c>
      <c r="T448" s="13" t="str">
        <f ca="1">IFERROR(__xludf.DUMMYFUNCTION("""COMPUTED_VALUE"""),"1級能效")</f>
        <v>1級能效</v>
      </c>
      <c r="U448" s="22" t="str">
        <f ca="1">IFERROR(__xludf.DUMMYFUNCTION("""COMPUTED_VALUE"""),"1年")</f>
        <v>1年</v>
      </c>
      <c r="V448" s="22" t="str">
        <f ca="1">IFERROR(__xludf.DUMMYFUNCTION("""COMPUTED_VALUE"""),"電冰箱冷媒路徑系統、壓縮機及主基板(不含顯示基板)保證三年")</f>
        <v>電冰箱冷媒路徑系統、壓縮機及主基板(不含顯示基板)保證三年</v>
      </c>
      <c r="W448" s="12"/>
      <c r="X448" s="12"/>
      <c r="Y448" s="12">
        <f ca="1">IFERROR(__xludf.DUMMYFUNCTION("""COMPUTED_VALUE"""),321)</f>
        <v>321</v>
      </c>
      <c r="Z448" s="14" t="str">
        <f ca="1">IFERROR(__xludf.DUMMYFUNCTION("""COMPUTED_VALUE"""),"1200")</f>
        <v>1200</v>
      </c>
      <c r="AA448" s="15" t="str">
        <f ca="1">IFERROR(__xludf.DUMMYFUNCTION("""COMPUTED_VALUE"""),"*蔬果室加大*冷藏室/冷凍室LED燈*R600a冷媒")</f>
        <v>*蔬果室加大*冷藏室/冷凍室LED燈*R600a冷媒</v>
      </c>
    </row>
    <row r="449" spans="1:27" ht="19.5" customHeight="1">
      <c r="A449" s="12" t="str">
        <f ca="1">IFERROR(__xludf.DUMMYFUNCTION("""COMPUTED_VALUE"""),"冰箱")</f>
        <v>冰箱</v>
      </c>
      <c r="B449" s="12" t="str">
        <f ca="1">IFERROR(__xludf.DUMMYFUNCTION("""COMPUTED_VALUE"""),"台灣三洋")</f>
        <v>台灣三洋</v>
      </c>
      <c r="C449" s="12" t="str">
        <f ca="1">IFERROR(__xludf.DUMMYFUNCTION("""COMPUTED_VALUE"""),"台灣三洋")</f>
        <v>台灣三洋</v>
      </c>
      <c r="D449" s="12" t="str">
        <f ca="1">IFERROR(__xludf.DUMMYFUNCTION("""COMPUTED_VALUE"""),"台灣三洋_580公升雙門變頻冰箱_SR-V580B")</f>
        <v>台灣三洋_580公升雙門變頻冰箱_SR-V580B</v>
      </c>
      <c r="E449" s="12" t="str">
        <f ca="1">IFERROR(__xludf.DUMMYFUNCTION("""COMPUTED_VALUE"""),"SR-V580B")</f>
        <v>SR-V580B</v>
      </c>
      <c r="F449" s="12">
        <f ca="1">IFERROR(__xludf.DUMMYFUNCTION("""COMPUTED_VALUE"""),51075085)</f>
        <v>51075085</v>
      </c>
      <c r="G449" s="12" t="str">
        <f ca="1">IFERROR(__xludf.DUMMYFUNCTION("""COMPUTED_VALUE"""),"IGEM089Y")</f>
        <v>IGEM089Y</v>
      </c>
      <c r="H449" s="13">
        <f ca="1">IFERROR(__xludf.DUMMYFUNCTION("""COMPUTED_VALUE"""),31900)</f>
        <v>31900</v>
      </c>
      <c r="I449" s="14">
        <f ca="1">IFERROR(__xludf.DUMMYFUNCTION("""COMPUTED_VALUE"""),28700)</f>
        <v>28700</v>
      </c>
      <c r="J449" s="16">
        <f ca="1">IFERROR(__xludf.DUMMYFUNCTION("""COMPUTED_VALUE"""),45200)</f>
        <v>45200</v>
      </c>
      <c r="K449" s="12" t="str">
        <f ca="1">IFERROR(__xludf.DUMMYFUNCTION("""COMPUTED_VALUE"""),"新機上架")</f>
        <v>新機上架</v>
      </c>
      <c r="L449" s="12" t="str">
        <f ca="1">IFERROR(__xludf.DUMMYFUNCTION("""COMPUTED_VALUE"""),"上架中")</f>
        <v>上架中</v>
      </c>
      <c r="M449" s="12"/>
      <c r="N449" s="12" t="str">
        <f ca="1">IFERROR(__xludf.DUMMYFUNCTION("""COMPUTED_VALUE"""),"雙門變頻")</f>
        <v>雙門變頻</v>
      </c>
      <c r="O449" s="12" t="str">
        <f ca="1">IFERROR(__xludf.DUMMYFUNCTION("""COMPUTED_VALUE"""),"雅致金")</f>
        <v>雅致金</v>
      </c>
      <c r="P449" s="12" t="str">
        <f ca="1">IFERROR(__xludf.DUMMYFUNCTION("""COMPUTED_VALUE"""),"580公升")</f>
        <v>580公升</v>
      </c>
      <c r="Q449" s="12" t="str">
        <f ca="1">IFERROR(__xludf.DUMMYFUNCTION("""COMPUTED_VALUE"""),"高1828*寬766*深774mm")</f>
        <v>高1828*寬766*深774mm</v>
      </c>
      <c r="R449" s="12" t="str">
        <f ca="1">IFERROR(__xludf.DUMMYFUNCTION("""COMPUTED_VALUE"""),"台灣")</f>
        <v>台灣</v>
      </c>
      <c r="S449" s="22" t="str">
        <f ca="1">IFERROR(__xludf.DUMMYFUNCTION("""COMPUTED_VALUE"""),"V")</f>
        <v>V</v>
      </c>
      <c r="T449" s="13" t="str">
        <f ca="1">IFERROR(__xludf.DUMMYFUNCTION("""COMPUTED_VALUE"""),"1級能效")</f>
        <v>1級能效</v>
      </c>
      <c r="U449" s="22" t="str">
        <f ca="1">IFERROR(__xludf.DUMMYFUNCTION("""COMPUTED_VALUE"""),"1年")</f>
        <v>1年</v>
      </c>
      <c r="V449" s="22" t="str">
        <f ca="1">IFERROR(__xludf.DUMMYFUNCTION("""COMPUTED_VALUE"""),"1年")</f>
        <v>1年</v>
      </c>
      <c r="W449" s="12"/>
      <c r="X449" s="12"/>
      <c r="Y449" s="12">
        <f ca="1">IFERROR(__xludf.DUMMYFUNCTION("""COMPUTED_VALUE"""),580)</f>
        <v>580</v>
      </c>
      <c r="Z449" s="14" t="str">
        <f ca="1">IFERROR(__xludf.DUMMYFUNCTION("""COMPUTED_VALUE"""),"2000")</f>
        <v>2000</v>
      </c>
      <c r="AA449" s="15" t="str">
        <f ca="1">IFERROR(__xludf.DUMMYFUNCTION("""COMPUTED_VALUE"""),"*觸控式溫度調整*UV殺菌燈*冷凍室/冷藏室LED燈*蔬果室加大")</f>
        <v>*觸控式溫度調整*UV殺菌燈*冷凍室/冷藏室LED燈*蔬果室加大</v>
      </c>
    </row>
    <row r="450" spans="1:27" ht="19.5" customHeight="1">
      <c r="A450" s="12" t="str">
        <f ca="1">IFERROR(__xludf.DUMMYFUNCTION("""COMPUTED_VALUE"""),"冰箱")</f>
        <v>冰箱</v>
      </c>
      <c r="B450" s="12" t="str">
        <f ca="1">IFERROR(__xludf.DUMMYFUNCTION("""COMPUTED_VALUE"""),"台灣三洋")</f>
        <v>台灣三洋</v>
      </c>
      <c r="C450" s="12" t="str">
        <f ca="1">IFERROR(__xludf.DUMMYFUNCTION("""COMPUTED_VALUE"""),"台灣三洋")</f>
        <v>台灣三洋</v>
      </c>
      <c r="D450" s="12" t="str">
        <f ca="1">IFERROR(__xludf.DUMMYFUNCTION("""COMPUTED_VALUE"""),"台灣三洋_156公升雙門變頻下冷凍冰箱(白)_SR-V150BF")</f>
        <v>台灣三洋_156公升雙門變頻下冷凍冰箱(白)_SR-V150BF</v>
      </c>
      <c r="E450" s="12" t="str">
        <f ca="1">IFERROR(__xludf.DUMMYFUNCTION("""COMPUTED_VALUE"""),"SR-V150BF")</f>
        <v>SR-V150BF</v>
      </c>
      <c r="F450" s="12">
        <f ca="1">IFERROR(__xludf.DUMMYFUNCTION("""COMPUTED_VALUE"""),51075088)</f>
        <v>51075088</v>
      </c>
      <c r="G450" s="12" t="str">
        <f ca="1">IFERROR(__xludf.DUMMYFUNCTION("""COMPUTED_VALUE"""),"IGEM098X")</f>
        <v>IGEM098X</v>
      </c>
      <c r="H450" s="13">
        <f ca="1">IFERROR(__xludf.DUMMYFUNCTION("""COMPUTED_VALUE"""),14900)</f>
        <v>14900</v>
      </c>
      <c r="I450" s="14">
        <f ca="1">IFERROR(__xludf.DUMMYFUNCTION("""COMPUTED_VALUE"""),11900)</f>
        <v>11900</v>
      </c>
      <c r="J450" s="16">
        <f ca="1">IFERROR(__xludf.DUMMYFUNCTION("""COMPUTED_VALUE"""),45383)</f>
        <v>45383</v>
      </c>
      <c r="K450" s="12" t="str">
        <f ca="1">IFERROR(__xludf.DUMMYFUNCTION("""COMPUTED_VALUE"""),"新機上架")</f>
        <v>新機上架</v>
      </c>
      <c r="L450" s="12" t="str">
        <f ca="1">IFERROR(__xludf.DUMMYFUNCTION("""COMPUTED_VALUE"""),"上架中")</f>
        <v>上架中</v>
      </c>
      <c r="M450" s="12" t="str">
        <f ca="1">IFERROR(__xludf.DUMMYFUNCTION("""COMPUTED_VALUE"""),"4/1新機上架")</f>
        <v>4/1新機上架</v>
      </c>
      <c r="N450" s="12" t="str">
        <f ca="1">IFERROR(__xludf.DUMMYFUNCTION("""COMPUTED_VALUE"""),"雙門變頻")</f>
        <v>雙門變頻</v>
      </c>
      <c r="O450" s="12" t="str">
        <f ca="1">IFERROR(__xludf.DUMMYFUNCTION("""COMPUTED_VALUE""")," 白")</f>
        <v xml:space="preserve"> 白</v>
      </c>
      <c r="P450" s="12" t="str">
        <f ca="1">IFERROR(__xludf.DUMMYFUNCTION("""COMPUTED_VALUE"""),"156公升")</f>
        <v>156公升</v>
      </c>
      <c r="Q450" s="12" t="str">
        <f ca="1">IFERROR(__xludf.DUMMYFUNCTION("""COMPUTED_VALUE"""),"1292*480*580mm")</f>
        <v>1292*480*580mm</v>
      </c>
      <c r="R450" s="12" t="str">
        <f ca="1">IFERROR(__xludf.DUMMYFUNCTION("""COMPUTED_VALUE"""),"台灣")</f>
        <v>台灣</v>
      </c>
      <c r="S450" s="22" t="str">
        <f ca="1">IFERROR(__xludf.DUMMYFUNCTION("""COMPUTED_VALUE"""),"V")</f>
        <v>V</v>
      </c>
      <c r="T450" s="13" t="str">
        <f ca="1">IFERROR(__xludf.DUMMYFUNCTION("""COMPUTED_VALUE"""),"1級能效")</f>
        <v>1級能效</v>
      </c>
      <c r="U450" s="22" t="str">
        <f ca="1">IFERROR(__xludf.DUMMYFUNCTION("""COMPUTED_VALUE"""),"1年")</f>
        <v>1年</v>
      </c>
      <c r="V450" s="22" t="str">
        <f ca="1">IFERROR(__xludf.DUMMYFUNCTION("""COMPUTED_VALUE"""),"1年")</f>
        <v>1年</v>
      </c>
      <c r="W450" s="12"/>
      <c r="X450" s="12"/>
      <c r="Y450" s="12">
        <f ca="1">IFERROR(__xludf.DUMMYFUNCTION("""COMPUTED_VALUE"""),156)</f>
        <v>156</v>
      </c>
      <c r="Z450" s="14">
        <f ca="1">IFERROR(__xludf.DUMMYFUNCTION("""COMPUTED_VALUE"""),500)</f>
        <v>500</v>
      </c>
      <c r="AA450" s="15" t="str">
        <f ca="1">IFERROR(__xludf.DUMMYFUNCTION("""COMPUTED_VALUE"""),"*R600a環保冷媒*上冷藏下冷凍*美背式設計*冷藏室LED燈")</f>
        <v>*R600a環保冷媒*上冷藏下冷凍*美背式設計*冷藏室LED燈</v>
      </c>
    </row>
    <row r="451" spans="1:27" ht="19.5" customHeight="1">
      <c r="A451" s="12" t="str">
        <f ca="1">IFERROR(__xludf.DUMMYFUNCTION("""COMPUTED_VALUE"""),"冰箱")</f>
        <v>冰箱</v>
      </c>
      <c r="B451" s="12" t="str">
        <f ca="1">IFERROR(__xludf.DUMMYFUNCTION("""COMPUTED_VALUE"""),"台灣三洋")</f>
        <v>台灣三洋</v>
      </c>
      <c r="C451" s="12" t="str">
        <f ca="1">IFERROR(__xludf.DUMMYFUNCTION("""COMPUTED_VALUE"""),"台灣三洋")</f>
        <v>台灣三洋</v>
      </c>
      <c r="D451" s="12" t="str">
        <f ca="1">IFERROR(__xludf.DUMMYFUNCTION("""COMPUTED_VALUE"""),"台灣三洋_250公升雙門變頻下冷凍冰箱(白)_SR-V250BF")</f>
        <v>台灣三洋_250公升雙門變頻下冷凍冰箱(白)_SR-V250BF</v>
      </c>
      <c r="E451" s="12" t="str">
        <f ca="1">IFERROR(__xludf.DUMMYFUNCTION("""COMPUTED_VALUE"""),"SR-V250BF")</f>
        <v>SR-V250BF</v>
      </c>
      <c r="F451" s="12">
        <f ca="1">IFERROR(__xludf.DUMMYFUNCTION("""COMPUTED_VALUE"""),51075089)</f>
        <v>51075089</v>
      </c>
      <c r="G451" s="12" t="str">
        <f ca="1">IFERROR(__xludf.DUMMYFUNCTION("""COMPUTED_VALUE"""),"IGEM098Y")</f>
        <v>IGEM098Y</v>
      </c>
      <c r="H451" s="13">
        <f ca="1">IFERROR(__xludf.DUMMYFUNCTION("""COMPUTED_VALUE"""),21900)</f>
        <v>21900</v>
      </c>
      <c r="I451" s="14">
        <f ca="1">IFERROR(__xludf.DUMMYFUNCTION("""COMPUTED_VALUE"""),18900)</f>
        <v>18900</v>
      </c>
      <c r="J451" s="16">
        <f ca="1">IFERROR(__xludf.DUMMYFUNCTION("""COMPUTED_VALUE"""),45407)</f>
        <v>45407</v>
      </c>
      <c r="K451" s="12" t="str">
        <f ca="1">IFERROR(__xludf.DUMMYFUNCTION("""COMPUTED_VALUE"""),"到貨")</f>
        <v>到貨</v>
      </c>
      <c r="L451" s="12" t="str">
        <f ca="1">IFERROR(__xludf.DUMMYFUNCTION("""COMPUTED_VALUE"""),"上架中")</f>
        <v>上架中</v>
      </c>
      <c r="M451" s="12" t="str">
        <f ca="1">IFERROR(__xludf.DUMMYFUNCTION("""COMPUTED_VALUE"""),"4/25到貨")</f>
        <v>4/25到貨</v>
      </c>
      <c r="N451" s="12" t="str">
        <f ca="1">IFERROR(__xludf.DUMMYFUNCTION("""COMPUTED_VALUE"""),"雙門變頻")</f>
        <v>雙門變頻</v>
      </c>
      <c r="O451" s="12" t="str">
        <f ca="1">IFERROR(__xludf.DUMMYFUNCTION("""COMPUTED_VALUE""")," 白")</f>
        <v xml:space="preserve"> 白</v>
      </c>
      <c r="P451" s="12" t="str">
        <f ca="1">IFERROR(__xludf.DUMMYFUNCTION("""COMPUTED_VALUE"""),"250公升")</f>
        <v>250公升</v>
      </c>
      <c r="Q451" s="12" t="str">
        <f ca="1">IFERROR(__xludf.DUMMYFUNCTION("""COMPUTED_VALUE"""),"1810*540*590mm")</f>
        <v>1810*540*590mm</v>
      </c>
      <c r="R451" s="12" t="str">
        <f ca="1">IFERROR(__xludf.DUMMYFUNCTION("""COMPUTED_VALUE"""),"台灣")</f>
        <v>台灣</v>
      </c>
      <c r="S451" s="22" t="str">
        <f ca="1">IFERROR(__xludf.DUMMYFUNCTION("""COMPUTED_VALUE"""),"V")</f>
        <v>V</v>
      </c>
      <c r="T451" s="13" t="str">
        <f ca="1">IFERROR(__xludf.DUMMYFUNCTION("""COMPUTED_VALUE"""),"1級能效")</f>
        <v>1級能效</v>
      </c>
      <c r="U451" s="22" t="str">
        <f ca="1">IFERROR(__xludf.DUMMYFUNCTION("""COMPUTED_VALUE"""),"1年")</f>
        <v>1年</v>
      </c>
      <c r="V451" s="22" t="str">
        <f ca="1">IFERROR(__xludf.DUMMYFUNCTION("""COMPUTED_VALUE"""),"1年")</f>
        <v>1年</v>
      </c>
      <c r="W451" s="12"/>
      <c r="X451" s="12"/>
      <c r="Y451" s="12">
        <f ca="1">IFERROR(__xludf.DUMMYFUNCTION("""COMPUTED_VALUE"""),250)</f>
        <v>250</v>
      </c>
      <c r="Z451" s="14" t="str">
        <f ca="1">IFERROR(__xludf.DUMMYFUNCTION("""COMPUTED_VALUE"""),"1200")</f>
        <v>1200</v>
      </c>
      <c r="AA451" s="15" t="str">
        <f ca="1">IFERROR(__xludf.DUMMYFUNCTION("""COMPUTED_VALUE"""),"*R600a環保冷媒*上冷藏下冷凍*美背式設計*冷藏室LED燈")</f>
        <v>*R600a環保冷媒*上冷藏下冷凍*美背式設計*冷藏室LED燈</v>
      </c>
    </row>
    <row r="452" spans="1:27" ht="19.5" customHeight="1">
      <c r="A452" s="12" t="str">
        <f ca="1">IFERROR(__xludf.DUMMYFUNCTION("""COMPUTED_VALUE"""),"冰箱")</f>
        <v>冰箱</v>
      </c>
      <c r="B452" s="12" t="str">
        <f ca="1">IFERROR(__xludf.DUMMYFUNCTION("""COMPUTED_VALUE"""),"台灣三洋")</f>
        <v>台灣三洋</v>
      </c>
      <c r="C452" s="12" t="str">
        <f ca="1">IFERROR(__xludf.DUMMYFUNCTION("""COMPUTED_VALUE"""),"台灣三洋")</f>
        <v>台灣三洋</v>
      </c>
      <c r="D452" s="12" t="str">
        <f ca="1">IFERROR(__xludf.DUMMYFUNCTION("""COMPUTED_VALUE"""),"台灣三洋_325公升雙門變頻下冷凍冰箱(白)_SR-V350BF")</f>
        <v>台灣三洋_325公升雙門變頻下冷凍冰箱(白)_SR-V350BF</v>
      </c>
      <c r="E452" s="12" t="str">
        <f ca="1">IFERROR(__xludf.DUMMYFUNCTION("""COMPUTED_VALUE"""),"SR-V350BF")</f>
        <v>SR-V350BF</v>
      </c>
      <c r="F452" s="12">
        <f ca="1">IFERROR(__xludf.DUMMYFUNCTION("""COMPUTED_VALUE"""),51075090)</f>
        <v>51075090</v>
      </c>
      <c r="G452" s="12" t="str">
        <f ca="1">IFERROR(__xludf.DUMMYFUNCTION("""COMPUTED_VALUE"""),"IGEM098Z")</f>
        <v>IGEM098Z</v>
      </c>
      <c r="H452" s="13">
        <f ca="1">IFERROR(__xludf.DUMMYFUNCTION("""COMPUTED_VALUE"""),27500)</f>
        <v>27500</v>
      </c>
      <c r="I452" s="14">
        <f ca="1">IFERROR(__xludf.DUMMYFUNCTION("""COMPUTED_VALUE"""),22000)</f>
        <v>22000</v>
      </c>
      <c r="J452" s="16">
        <f ca="1">IFERROR(__xludf.DUMMYFUNCTION("""COMPUTED_VALUE"""),45444)</f>
        <v>45444</v>
      </c>
      <c r="K452" s="12" t="str">
        <f ca="1">IFERROR(__xludf.DUMMYFUNCTION("""COMPUTED_VALUE"""),"短促")</f>
        <v>短促</v>
      </c>
      <c r="L452" s="12" t="str">
        <f ca="1">IFERROR(__xludf.DUMMYFUNCTION("""COMPUTED_VALUE"""),"上架中")</f>
        <v>上架中</v>
      </c>
      <c r="M452" s="12" t="str">
        <f ca="1">IFERROR(__xludf.DUMMYFUNCTION("""COMPUTED_VALUE"""),"4/1新機上架")</f>
        <v>4/1新機上架</v>
      </c>
      <c r="N452" s="12" t="str">
        <f ca="1">IFERROR(__xludf.DUMMYFUNCTION("""COMPUTED_VALUE"""),"雙門變頻")</f>
        <v>雙門變頻</v>
      </c>
      <c r="O452" s="12" t="str">
        <f ca="1">IFERROR(__xludf.DUMMYFUNCTION("""COMPUTED_VALUE""")," 白")</f>
        <v xml:space="preserve"> 白</v>
      </c>
      <c r="P452" s="12" t="str">
        <f ca="1">IFERROR(__xludf.DUMMYFUNCTION("""COMPUTED_VALUE"""),"325公升")</f>
        <v>325公升</v>
      </c>
      <c r="Q452" s="12" t="str">
        <f ca="1">IFERROR(__xludf.DUMMYFUNCTION("""COMPUTED_VALUE"""),"1855*595*635mm")</f>
        <v>1855*595*635mm</v>
      </c>
      <c r="R452" s="12" t="str">
        <f ca="1">IFERROR(__xludf.DUMMYFUNCTION("""COMPUTED_VALUE"""),"台灣")</f>
        <v>台灣</v>
      </c>
      <c r="S452" s="22" t="str">
        <f ca="1">IFERROR(__xludf.DUMMYFUNCTION("""COMPUTED_VALUE"""),"V")</f>
        <v>V</v>
      </c>
      <c r="T452" s="13" t="str">
        <f ca="1">IFERROR(__xludf.DUMMYFUNCTION("""COMPUTED_VALUE"""),"1級能效")</f>
        <v>1級能效</v>
      </c>
      <c r="U452" s="22" t="str">
        <f ca="1">IFERROR(__xludf.DUMMYFUNCTION("""COMPUTED_VALUE"""),"1年")</f>
        <v>1年</v>
      </c>
      <c r="V452" s="22" t="str">
        <f ca="1">IFERROR(__xludf.DUMMYFUNCTION("""COMPUTED_VALUE"""),"1年")</f>
        <v>1年</v>
      </c>
      <c r="W452" s="12"/>
      <c r="X452" s="12"/>
      <c r="Y452" s="12">
        <f ca="1">IFERROR(__xludf.DUMMYFUNCTION("""COMPUTED_VALUE"""),325)</f>
        <v>325</v>
      </c>
      <c r="Z452" s="14" t="str">
        <f ca="1">IFERROR(__xludf.DUMMYFUNCTION("""COMPUTED_VALUE"""),"1200")</f>
        <v>1200</v>
      </c>
      <c r="AA452" s="15" t="str">
        <f ca="1">IFERROR(__xludf.DUMMYFUNCTION("""COMPUTED_VALUE"""),"*R600a環保冷媒*上冷藏下冷凍*美背式設計*附紅酒架")</f>
        <v>*R600a環保冷媒*上冷藏下冷凍*美背式設計*附紅酒架</v>
      </c>
    </row>
    <row r="453" spans="1:27" ht="19.5" customHeight="1">
      <c r="A453" s="12" t="str">
        <f ca="1">IFERROR(__xludf.DUMMYFUNCTION("""COMPUTED_VALUE"""),"冰箱")</f>
        <v>冰箱</v>
      </c>
      <c r="B453" s="12" t="str">
        <f ca="1">IFERROR(__xludf.DUMMYFUNCTION("""COMPUTED_VALUE"""),"台灣三洋")</f>
        <v>台灣三洋</v>
      </c>
      <c r="C453" s="12" t="str">
        <f ca="1">IFERROR(__xludf.DUMMYFUNCTION("""COMPUTED_VALUE"""),"台灣三洋")</f>
        <v>台灣三洋</v>
      </c>
      <c r="D453" s="12" t="str">
        <f ca="1">IFERROR(__xludf.DUMMYFUNCTION("""COMPUTED_VALUE"""),"台灣三洋_490公升雙門變頻冰箱(灰黑)_SR-V490B")</f>
        <v>台灣三洋_490公升雙門變頻冰箱(灰黑)_SR-V490B</v>
      </c>
      <c r="E453" s="12" t="str">
        <f ca="1">IFERROR(__xludf.DUMMYFUNCTION("""COMPUTED_VALUE"""),"SR-V490B")</f>
        <v>SR-V490B</v>
      </c>
      <c r="F453" s="12">
        <f ca="1">IFERROR(__xludf.DUMMYFUNCTION("""COMPUTED_VALUE"""),51075091)</f>
        <v>51075091</v>
      </c>
      <c r="G453" s="12" t="str">
        <f ca="1">IFERROR(__xludf.DUMMYFUNCTION("""COMPUTED_VALUE"""),"IGEM0991")</f>
        <v>IGEM0991</v>
      </c>
      <c r="H453" s="13">
        <f ca="1">IFERROR(__xludf.DUMMYFUNCTION("""COMPUTED_VALUE"""),25900)</f>
        <v>25900</v>
      </c>
      <c r="I453" s="14">
        <f ca="1">IFERROR(__xludf.DUMMYFUNCTION("""COMPUTED_VALUE"""),22000)</f>
        <v>22000</v>
      </c>
      <c r="J453" s="16">
        <f ca="1">IFERROR(__xludf.DUMMYFUNCTION("""COMPUTED_VALUE"""),45645)</f>
        <v>45645</v>
      </c>
      <c r="K453" s="12" t="str">
        <f ca="1">IFERROR(__xludf.DUMMYFUNCTION("""COMPUTED_VALUE"""),"到貨")</f>
        <v>到貨</v>
      </c>
      <c r="L453" s="12" t="str">
        <f ca="1">IFERROR(__xludf.DUMMYFUNCTION("""COMPUTED_VALUE"""),"上架中")</f>
        <v>上架中</v>
      </c>
      <c r="M453" s="12" t="str">
        <f ca="1">IFERROR(__xludf.DUMMYFUNCTION("""COMPUTED_VALUE"""),"12/19到貨")</f>
        <v>12/19到貨</v>
      </c>
      <c r="N453" s="12" t="str">
        <f ca="1">IFERROR(__xludf.DUMMYFUNCTION("""COMPUTED_VALUE"""),"雙門變頻")</f>
        <v>雙門變頻</v>
      </c>
      <c r="O453" s="12" t="str">
        <f ca="1">IFERROR(__xludf.DUMMYFUNCTION("""COMPUTED_VALUE"""),"灰黑")</f>
        <v>灰黑</v>
      </c>
      <c r="P453" s="12" t="str">
        <f ca="1">IFERROR(__xludf.DUMMYFUNCTION("""COMPUTED_VALUE"""),"490公升")</f>
        <v>490公升</v>
      </c>
      <c r="Q453" s="12" t="str">
        <f ca="1">IFERROR(__xludf.DUMMYFUNCTION("""COMPUTED_VALUE"""),"1855*700*700mm")</f>
        <v>1855*700*700mm</v>
      </c>
      <c r="R453" s="12" t="str">
        <f ca="1">IFERROR(__xludf.DUMMYFUNCTION("""COMPUTED_VALUE"""),"台灣")</f>
        <v>台灣</v>
      </c>
      <c r="S453" s="22" t="str">
        <f ca="1">IFERROR(__xludf.DUMMYFUNCTION("""COMPUTED_VALUE"""),"V")</f>
        <v>V</v>
      </c>
      <c r="T453" s="13" t="str">
        <f ca="1">IFERROR(__xludf.DUMMYFUNCTION("""COMPUTED_VALUE"""),"1級能效")</f>
        <v>1級能效</v>
      </c>
      <c r="U453" s="22" t="str">
        <f ca="1">IFERROR(__xludf.DUMMYFUNCTION("""COMPUTED_VALUE"""),"1年")</f>
        <v>1年</v>
      </c>
      <c r="V453" s="22" t="str">
        <f ca="1">IFERROR(__xludf.DUMMYFUNCTION("""COMPUTED_VALUE"""),"1年")</f>
        <v>1年</v>
      </c>
      <c r="W453" s="12"/>
      <c r="X453" s="12"/>
      <c r="Y453" s="12">
        <f ca="1">IFERROR(__xludf.DUMMYFUNCTION("""COMPUTED_VALUE"""),490)</f>
        <v>490</v>
      </c>
      <c r="Z453" s="14" t="str">
        <f ca="1">IFERROR(__xludf.DUMMYFUNCTION("""COMPUTED_VALUE"""),"2000")</f>
        <v>2000</v>
      </c>
      <c r="AA453" s="15" t="str">
        <f ca="1">IFERROR(__xludf.DUMMYFUNCTION("""COMPUTED_VALUE"""),"*R600a環保冷媒*強化玻璃棚架*冷凍室/冷藏室LED燈*蔬果室加大")</f>
        <v>*R600a環保冷媒*強化玻璃棚架*冷凍室/冷藏室LED燈*蔬果室加大</v>
      </c>
    </row>
    <row r="454" spans="1:27" ht="19.5" customHeight="1">
      <c r="A454" s="12" t="str">
        <f ca="1">IFERROR(__xludf.DUMMYFUNCTION("""COMPUTED_VALUE"""),"冰箱")</f>
        <v>冰箱</v>
      </c>
      <c r="B454" s="12" t="str">
        <f ca="1">IFERROR(__xludf.DUMMYFUNCTION("""COMPUTED_VALUE"""),"台灣三洋")</f>
        <v>台灣三洋</v>
      </c>
      <c r="C454" s="12" t="str">
        <f ca="1">IFERROR(__xludf.DUMMYFUNCTION("""COMPUTED_VALUE"""),"台灣三洋")</f>
        <v>台灣三洋</v>
      </c>
      <c r="D454" s="12" t="str">
        <f ca="1">IFERROR(__xludf.DUMMYFUNCTION("""COMPUTED_VALUE"""),"台灣三洋_580公升三門變頻冰箱_SR-V580C")</f>
        <v>台灣三洋_580公升三門變頻冰箱_SR-V580C</v>
      </c>
      <c r="E454" s="12" t="str">
        <f ca="1">IFERROR(__xludf.DUMMYFUNCTION("""COMPUTED_VALUE"""),"SR-V580C")</f>
        <v>SR-V580C</v>
      </c>
      <c r="F454" s="12">
        <f ca="1">IFERROR(__xludf.DUMMYFUNCTION("""COMPUTED_VALUE"""),51075086)</f>
        <v>51075086</v>
      </c>
      <c r="G454" s="12" t="str">
        <f ca="1">IFERROR(__xludf.DUMMYFUNCTION("""COMPUTED_VALUE"""),"IGEM089Z")</f>
        <v>IGEM089Z</v>
      </c>
      <c r="H454" s="13">
        <f ca="1">IFERROR(__xludf.DUMMYFUNCTION("""COMPUTED_VALUE"""),33800)</f>
        <v>33800</v>
      </c>
      <c r="I454" s="14">
        <f ca="1">IFERROR(__xludf.DUMMYFUNCTION("""COMPUTED_VALUE"""),30400)</f>
        <v>30400</v>
      </c>
      <c r="J454" s="16">
        <f ca="1">IFERROR(__xludf.DUMMYFUNCTION("""COMPUTED_VALUE"""),45200)</f>
        <v>45200</v>
      </c>
      <c r="K454" s="12" t="str">
        <f ca="1">IFERROR(__xludf.DUMMYFUNCTION("""COMPUTED_VALUE"""),"新機上架")</f>
        <v>新機上架</v>
      </c>
      <c r="L454" s="12" t="str">
        <f ca="1">IFERROR(__xludf.DUMMYFUNCTION("""COMPUTED_VALUE"""),"上架中")</f>
        <v>上架中</v>
      </c>
      <c r="M454" s="12"/>
      <c r="N454" s="12" t="str">
        <f ca="1">IFERROR(__xludf.DUMMYFUNCTION("""COMPUTED_VALUE"""),"三門變頻")</f>
        <v>三門變頻</v>
      </c>
      <c r="O454" s="12" t="str">
        <f ca="1">IFERROR(__xludf.DUMMYFUNCTION("""COMPUTED_VALUE"""),"雅致金")</f>
        <v>雅致金</v>
      </c>
      <c r="P454" s="12" t="str">
        <f ca="1">IFERROR(__xludf.DUMMYFUNCTION("""COMPUTED_VALUE"""),"580公升")</f>
        <v>580公升</v>
      </c>
      <c r="Q454" s="12" t="str">
        <f ca="1">IFERROR(__xludf.DUMMYFUNCTION("""COMPUTED_VALUE"""),"高1828*寬766*深774mm")</f>
        <v>高1828*寬766*深774mm</v>
      </c>
      <c r="R454" s="12" t="str">
        <f ca="1">IFERROR(__xludf.DUMMYFUNCTION("""COMPUTED_VALUE"""),"台灣")</f>
        <v>台灣</v>
      </c>
      <c r="S454" s="22" t="str">
        <f ca="1">IFERROR(__xludf.DUMMYFUNCTION("""COMPUTED_VALUE"""),"V")</f>
        <v>V</v>
      </c>
      <c r="T454" s="13" t="str">
        <f ca="1">IFERROR(__xludf.DUMMYFUNCTION("""COMPUTED_VALUE"""),"1級能效")</f>
        <v>1級能效</v>
      </c>
      <c r="U454" s="22" t="str">
        <f ca="1">IFERROR(__xludf.DUMMYFUNCTION("""COMPUTED_VALUE"""),"1年")</f>
        <v>1年</v>
      </c>
      <c r="V454" s="22" t="str">
        <f ca="1">IFERROR(__xludf.DUMMYFUNCTION("""COMPUTED_VALUE"""),"1年")</f>
        <v>1年</v>
      </c>
      <c r="W454" s="12"/>
      <c r="X454" s="12"/>
      <c r="Y454" s="12">
        <f ca="1">IFERROR(__xludf.DUMMYFUNCTION("""COMPUTED_VALUE"""),580)</f>
        <v>580</v>
      </c>
      <c r="Z454" s="14" t="str">
        <f ca="1">IFERROR(__xludf.DUMMYFUNCTION("""COMPUTED_VALUE"""),"2000")</f>
        <v>2000</v>
      </c>
      <c r="AA454" s="15" t="str">
        <f ca="1">IFERROR(__xludf.DUMMYFUNCTION("""COMPUTED_VALUE"""),"*觸控式溫度調整*UV殺菌燈*冷凍室/冷藏室LED燈*蔬果室加大")</f>
        <v>*觸控式溫度調整*UV殺菌燈*冷凍室/冷藏室LED燈*蔬果室加大</v>
      </c>
    </row>
    <row r="455" spans="1:27" ht="19.5" customHeight="1">
      <c r="A455" s="12" t="str">
        <f ca="1">IFERROR(__xludf.DUMMYFUNCTION("""COMPUTED_VALUE"""),"冰箱")</f>
        <v>冰箱</v>
      </c>
      <c r="B455" s="12" t="str">
        <f ca="1">IFERROR(__xludf.DUMMYFUNCTION("""COMPUTED_VALUE"""),"台灣三洋")</f>
        <v>台灣三洋</v>
      </c>
      <c r="C455" s="12" t="str">
        <f ca="1">IFERROR(__xludf.DUMMYFUNCTION("""COMPUTED_VALUE"""),"台灣三洋")</f>
        <v>台灣三洋</v>
      </c>
      <c r="D455" s="12" t="str">
        <f ca="1">IFERROR(__xludf.DUMMYFUNCTION("""COMPUTED_VALUE"""),"台灣三洋240公升變頻直立式冷凍櫃(銀)SCR-V240F")</f>
        <v>台灣三洋240公升變頻直立式冷凍櫃(銀)SCR-V240F</v>
      </c>
      <c r="E455" s="12" t="str">
        <f ca="1">IFERROR(__xludf.DUMMYFUNCTION("""COMPUTED_VALUE"""),"SCR-V240F")</f>
        <v>SCR-V240F</v>
      </c>
      <c r="F455" s="12">
        <f ca="1">IFERROR(__xludf.DUMMYFUNCTION("""COMPUTED_VALUE"""),51075047)</f>
        <v>51075047</v>
      </c>
      <c r="G455" s="12" t="str">
        <f ca="1">IFERROR(__xludf.DUMMYFUNCTION("""COMPUTED_VALUE"""),"IGEM060T")</f>
        <v>IGEM060T</v>
      </c>
      <c r="H455" s="12">
        <f ca="1">IFERROR(__xludf.DUMMYFUNCTION("""COMPUTED_VALUE"""),21500)</f>
        <v>21500</v>
      </c>
      <c r="I455" s="14">
        <f ca="1">IFERROR(__xludf.DUMMYFUNCTION("""COMPUTED_VALUE"""),18200)</f>
        <v>18200</v>
      </c>
      <c r="J455" s="21">
        <f ca="1">IFERROR(__xludf.DUMMYFUNCTION("""COMPUTED_VALUE"""),45078)</f>
        <v>45078</v>
      </c>
      <c r="K455" s="12" t="str">
        <f ca="1">IFERROR(__xludf.DUMMYFUNCTION("""COMPUTED_VALUE"""),"短促")</f>
        <v>短促</v>
      </c>
      <c r="L455" s="12" t="str">
        <f ca="1">IFERROR(__xludf.DUMMYFUNCTION("""COMPUTED_VALUE"""),"上架中")</f>
        <v>上架中</v>
      </c>
      <c r="M455" s="12" t="str">
        <f ca="1">IFERROR(__xludf.DUMMYFUNCTION("""COMPUTED_VALUE"""),"8/1起調漲。1110524停售/1110505到貨/1110301缺貨/1100709到貨/1100705缺貨")</f>
        <v>8/1起調漲。1110524停售/1110505到貨/1110301缺貨/1100709到貨/1100705缺貨</v>
      </c>
      <c r="N455" s="12" t="str">
        <f ca="1">IFERROR(__xludf.DUMMYFUNCTION("""COMPUTED_VALUE"""),"直立式冷凍櫃")</f>
        <v>直立式冷凍櫃</v>
      </c>
      <c r="O455" s="12" t="str">
        <f ca="1">IFERROR(__xludf.DUMMYFUNCTION("""COMPUTED_VALUE"""),"灰")</f>
        <v>灰</v>
      </c>
      <c r="P455" s="12" t="str">
        <f ca="1">IFERROR(__xludf.DUMMYFUNCTION("""COMPUTED_VALUE"""),"240公升")</f>
        <v>240公升</v>
      </c>
      <c r="Q455" s="12" t="str">
        <f ca="1">IFERROR(__xludf.DUMMYFUNCTION("""COMPUTED_VALUE"""),"高1645*寬595*深645mm")</f>
        <v>高1645*寬595*深645mm</v>
      </c>
      <c r="R455" s="12" t="str">
        <f ca="1">IFERROR(__xludf.DUMMYFUNCTION("""COMPUTED_VALUE"""),"中國")</f>
        <v>中國</v>
      </c>
      <c r="S455" s="12"/>
      <c r="T455" s="13" t="str">
        <f ca="1">IFERROR(__xludf.DUMMYFUNCTION("""COMPUTED_VALUE"""),"無")</f>
        <v>無</v>
      </c>
      <c r="U455" s="22" t="str">
        <f ca="1">IFERROR(__xludf.DUMMYFUNCTION("""COMPUTED_VALUE"""),"1年")</f>
        <v>1年</v>
      </c>
      <c r="V455" s="22" t="str">
        <f ca="1">IFERROR(__xludf.DUMMYFUNCTION("""COMPUTED_VALUE"""),"1年")</f>
        <v>1年</v>
      </c>
      <c r="W455" s="12"/>
      <c r="X455" s="12"/>
      <c r="Y455" s="12"/>
      <c r="Z455" s="14"/>
      <c r="AA455" s="15" t="str">
        <f ca="1">IFERROR(__xludf.DUMMYFUNCTION("""COMPUTED_VALUE"""),"*R600a環保冷媒*省力把手*變頻高效*自動除霜")</f>
        <v>*R600a環保冷媒*省力把手*變頻高效*自動除霜</v>
      </c>
    </row>
    <row r="456" spans="1:27" ht="19.5" customHeight="1">
      <c r="A456" s="12" t="str">
        <f ca="1">IFERROR(__xludf.DUMMYFUNCTION("""COMPUTED_VALUE"""),"冰箱")</f>
        <v>冰箱</v>
      </c>
      <c r="B456" s="12" t="str">
        <f ca="1">IFERROR(__xludf.DUMMYFUNCTION("""COMPUTED_VALUE"""),"台灣三洋")</f>
        <v>台灣三洋</v>
      </c>
      <c r="C456" s="12" t="str">
        <f ca="1">IFERROR(__xludf.DUMMYFUNCTION("""COMPUTED_VALUE"""),"台灣三洋")</f>
        <v>台灣三洋</v>
      </c>
      <c r="D456" s="12" t="str">
        <f ca="1">IFERROR(__xludf.DUMMYFUNCTION("""COMPUTED_VALUE"""),"台灣三洋240公升變頻直立式冷凍櫃SCR-V248GF")</f>
        <v>台灣三洋240公升變頻直立式冷凍櫃SCR-V248GF</v>
      </c>
      <c r="E456" s="12" t="str">
        <f ca="1">IFERROR(__xludf.DUMMYFUNCTION("""COMPUTED_VALUE"""),"SCR-V248GF")</f>
        <v>SCR-V248GF</v>
      </c>
      <c r="F456" s="12">
        <f ca="1">IFERROR(__xludf.DUMMYFUNCTION("""COMPUTED_VALUE"""),51075051)</f>
        <v>51075051</v>
      </c>
      <c r="G456" s="12" t="str">
        <f ca="1">IFERROR(__xludf.DUMMYFUNCTION("""COMPUTED_VALUE"""),"IGEM060X")</f>
        <v>IGEM060X</v>
      </c>
      <c r="H456" s="12">
        <f ca="1">IFERROR(__xludf.DUMMYFUNCTION("""COMPUTED_VALUE"""),21600)</f>
        <v>21600</v>
      </c>
      <c r="I456" s="14">
        <f ca="1">IFERROR(__xludf.DUMMYFUNCTION("""COMPUTED_VALUE"""),19300)</f>
        <v>19300</v>
      </c>
      <c r="J456" s="12"/>
      <c r="K456" s="12"/>
      <c r="L456" s="12" t="str">
        <f ca="1">IFERROR(__xludf.DUMMYFUNCTION("""COMPUTED_VALUE"""),"上架中")</f>
        <v>上架中</v>
      </c>
      <c r="M456" s="12"/>
      <c r="N456" s="12" t="str">
        <f ca="1">IFERROR(__xludf.DUMMYFUNCTION("""COMPUTED_VALUE"""),"直立式冷凍櫃")</f>
        <v>直立式冷凍櫃</v>
      </c>
      <c r="O456" s="12" t="str">
        <f ca="1">IFERROR(__xludf.DUMMYFUNCTION("""COMPUTED_VALUE"""),"白")</f>
        <v>白</v>
      </c>
      <c r="P456" s="12" t="str">
        <f ca="1">IFERROR(__xludf.DUMMYFUNCTION("""COMPUTED_VALUE"""),"240公升")</f>
        <v>240公升</v>
      </c>
      <c r="Q456" s="12" t="str">
        <f ca="1">IFERROR(__xludf.DUMMYFUNCTION("""COMPUTED_VALUE"""),"高1645*寬595*深645mm")</f>
        <v>高1645*寬595*深645mm</v>
      </c>
      <c r="R456" s="12" t="str">
        <f ca="1">IFERROR(__xludf.DUMMYFUNCTION("""COMPUTED_VALUE"""),"中國")</f>
        <v>中國</v>
      </c>
      <c r="S456" s="12"/>
      <c r="T456" s="13" t="str">
        <f ca="1">IFERROR(__xludf.DUMMYFUNCTION("""COMPUTED_VALUE"""),"無")</f>
        <v>無</v>
      </c>
      <c r="U456" s="22" t="str">
        <f ca="1">IFERROR(__xludf.DUMMYFUNCTION("""COMPUTED_VALUE"""),"1年")</f>
        <v>1年</v>
      </c>
      <c r="V456" s="22" t="str">
        <f ca="1">IFERROR(__xludf.DUMMYFUNCTION("""COMPUTED_VALUE"""),"1年")</f>
        <v>1年</v>
      </c>
      <c r="W456" s="12"/>
      <c r="X456" s="12"/>
      <c r="Y456" s="12"/>
      <c r="Z456" s="14"/>
      <c r="AA456" s="15" t="str">
        <f ca="1">IFERROR(__xludf.DUMMYFUNCTION("""COMPUTED_VALUE"""),"*R600a環保冷媒*數位觸控面板*美型隱藏式把手*變頻高效")</f>
        <v>*R600a環保冷媒*數位觸控面板*美型隱藏式把手*變頻高效</v>
      </c>
    </row>
    <row r="457" spans="1:27" ht="19.5" customHeight="1">
      <c r="A457" s="12" t="str">
        <f ca="1">IFERROR(__xludf.DUMMYFUNCTION("""COMPUTED_VALUE"""),"冰箱")</f>
        <v>冰箱</v>
      </c>
      <c r="B457" s="12" t="str">
        <f ca="1">IFERROR(__xludf.DUMMYFUNCTION("""COMPUTED_VALUE"""),"台灣三洋")</f>
        <v>台灣三洋</v>
      </c>
      <c r="C457" s="12" t="str">
        <f ca="1">IFERROR(__xludf.DUMMYFUNCTION("""COMPUTED_VALUE"""),"台灣三洋")</f>
        <v>台灣三洋</v>
      </c>
      <c r="D457" s="12" t="str">
        <f ca="1">IFERROR(__xludf.DUMMYFUNCTION("""COMPUTED_VALUE"""),"台灣三洋165公升變頻直立式冷凍櫃SCR-V168F")</f>
        <v>台灣三洋165公升變頻直立式冷凍櫃SCR-V168F</v>
      </c>
      <c r="E457" s="12" t="str">
        <f ca="1">IFERROR(__xludf.DUMMYFUNCTION("""COMPUTED_VALUE"""),"SCR-V168F")</f>
        <v>SCR-V168F</v>
      </c>
      <c r="F457" s="12">
        <f ca="1">IFERROR(__xludf.DUMMYFUNCTION("""COMPUTED_VALUE"""),51075050)</f>
        <v>51075050</v>
      </c>
      <c r="G457" s="12" t="str">
        <f ca="1">IFERROR(__xludf.DUMMYFUNCTION("""COMPUTED_VALUE"""),"IGEM060W")</f>
        <v>IGEM060W</v>
      </c>
      <c r="H457" s="12">
        <f ca="1">IFERROR(__xludf.DUMMYFUNCTION("""COMPUTED_VALUE"""),16600)</f>
        <v>16600</v>
      </c>
      <c r="I457" s="14">
        <f ca="1">IFERROR(__xludf.DUMMYFUNCTION("""COMPUTED_VALUE"""),14500)</f>
        <v>14500</v>
      </c>
      <c r="J457" s="21">
        <f ca="1">IFERROR(__xludf.DUMMYFUNCTION("""COMPUTED_VALUE"""),45078)</f>
        <v>45078</v>
      </c>
      <c r="K457" s="12" t="str">
        <f ca="1">IFERROR(__xludf.DUMMYFUNCTION("""COMPUTED_VALUE"""),"短促")</f>
        <v>短促</v>
      </c>
      <c r="L457" s="12" t="str">
        <f ca="1">IFERROR(__xludf.DUMMYFUNCTION("""COMPUTED_VALUE"""),"上架中")</f>
        <v>上架中</v>
      </c>
      <c r="M457" s="12" t="str">
        <f ca="1">IFERROR(__xludf.DUMMYFUNCTION("""COMPUTED_VALUE"""),"8/1起調漲。4/19新機上架")</f>
        <v>8/1起調漲。4/19新機上架</v>
      </c>
      <c r="N457" s="12" t="str">
        <f ca="1">IFERROR(__xludf.DUMMYFUNCTION("""COMPUTED_VALUE"""),"直立式冷凍櫃")</f>
        <v>直立式冷凍櫃</v>
      </c>
      <c r="O457" s="12" t="str">
        <f ca="1">IFERROR(__xludf.DUMMYFUNCTION("""COMPUTED_VALUE"""),"白")</f>
        <v>白</v>
      </c>
      <c r="P457" s="12" t="str">
        <f ca="1">IFERROR(__xludf.DUMMYFUNCTION("""COMPUTED_VALUE"""),"165公升")</f>
        <v>165公升</v>
      </c>
      <c r="Q457" s="12" t="str">
        <f ca="1">IFERROR(__xludf.DUMMYFUNCTION("""COMPUTED_VALUE"""),"高1300*寬515*深620mm")</f>
        <v>高1300*寬515*深620mm</v>
      </c>
      <c r="R457" s="12" t="str">
        <f ca="1">IFERROR(__xludf.DUMMYFUNCTION("""COMPUTED_VALUE"""),"中國")</f>
        <v>中國</v>
      </c>
      <c r="S457" s="12"/>
      <c r="T457" s="13" t="str">
        <f ca="1">IFERROR(__xludf.DUMMYFUNCTION("""COMPUTED_VALUE"""),"無")</f>
        <v>無</v>
      </c>
      <c r="U457" s="22" t="str">
        <f ca="1">IFERROR(__xludf.DUMMYFUNCTION("""COMPUTED_VALUE"""),"1年")</f>
        <v>1年</v>
      </c>
      <c r="V457" s="22" t="str">
        <f ca="1">IFERROR(__xludf.DUMMYFUNCTION("""COMPUTED_VALUE"""),"1年")</f>
        <v>1年</v>
      </c>
      <c r="W457" s="12"/>
      <c r="X457" s="12"/>
      <c r="Y457" s="12"/>
      <c r="Z457" s="14"/>
      <c r="AA457" s="15" t="str">
        <f ca="1">IFERROR(__xludf.DUMMYFUNCTION("""COMPUTED_VALUE"""),"*R600a環保冷媒*觸碰式溫度控制*彩晶玻璃門扉*隱形側拉把手*自動除霜")</f>
        <v>*R600a環保冷媒*觸碰式溫度控制*彩晶玻璃門扉*隱形側拉把手*自動除霜</v>
      </c>
    </row>
    <row r="458" spans="1:27" ht="19.5" customHeight="1">
      <c r="A458" s="12" t="str">
        <f ca="1">IFERROR(__xludf.DUMMYFUNCTION("""COMPUTED_VALUE"""),"冰箱")</f>
        <v>冰箱</v>
      </c>
      <c r="B458" s="12" t="str">
        <f ca="1">IFERROR(__xludf.DUMMYFUNCTION("""COMPUTED_VALUE"""),"台灣三洋")</f>
        <v>台灣三洋</v>
      </c>
      <c r="C458" s="12" t="str">
        <f ca="1">IFERROR(__xludf.DUMMYFUNCTION("""COMPUTED_VALUE"""),"台灣三洋")</f>
        <v>台灣三洋</v>
      </c>
      <c r="D458" s="12" t="str">
        <f ca="1">IFERROR(__xludf.DUMMYFUNCTION("""COMPUTED_VALUE"""),"台灣三洋410公升變頻直立式冷凍櫃SCR-V420FA")</f>
        <v>台灣三洋410公升變頻直立式冷凍櫃SCR-V420FA</v>
      </c>
      <c r="E458" s="12" t="str">
        <f ca="1">IFERROR(__xludf.DUMMYFUNCTION("""COMPUTED_VALUE"""),"SCR-V420FA")</f>
        <v>SCR-V420FA</v>
      </c>
      <c r="F458" s="12">
        <f ca="1">IFERROR(__xludf.DUMMYFUNCTION("""COMPUTED_VALUE"""),51075064)</f>
        <v>51075064</v>
      </c>
      <c r="G458" s="12" t="str">
        <f ca="1">IFERROR(__xludf.DUMMYFUNCTION("""COMPUTED_VALUE"""),"IGEM067F")</f>
        <v>IGEM067F</v>
      </c>
      <c r="H458" s="13">
        <f ca="1">IFERROR(__xludf.DUMMYFUNCTION("""COMPUTED_VALUE"""),27900)</f>
        <v>27900</v>
      </c>
      <c r="I458" s="14">
        <f ca="1">IFERROR(__xludf.DUMMYFUNCTION("""COMPUTED_VALUE"""),23300)</f>
        <v>23300</v>
      </c>
      <c r="J458" s="21">
        <f ca="1">IFERROR(__xludf.DUMMYFUNCTION("""COMPUTED_VALUE"""),45597)</f>
        <v>45597</v>
      </c>
      <c r="K458" s="12" t="str">
        <f ca="1">IFERROR(__xludf.DUMMYFUNCTION("""COMPUTED_VALUE"""),"到貨")</f>
        <v>到貨</v>
      </c>
      <c r="L458" s="12" t="str">
        <f ca="1">IFERROR(__xludf.DUMMYFUNCTION("""COMPUTED_VALUE"""),"上架中")</f>
        <v>上架中</v>
      </c>
      <c r="M458" s="12"/>
      <c r="N458" s="12" t="str">
        <f ca="1">IFERROR(__xludf.DUMMYFUNCTION("""COMPUTED_VALUE"""),"直立式冷凍櫃")</f>
        <v>直立式冷凍櫃</v>
      </c>
      <c r="O458" s="12" t="str">
        <f ca="1">IFERROR(__xludf.DUMMYFUNCTION("""COMPUTED_VALUE"""),"銀")</f>
        <v>銀</v>
      </c>
      <c r="P458" s="12" t="str">
        <f ca="1">IFERROR(__xludf.DUMMYFUNCTION("""COMPUTED_VALUE"""),"410L")</f>
        <v>410L</v>
      </c>
      <c r="Q458" s="12" t="str">
        <f ca="1">IFERROR(__xludf.DUMMYFUNCTION("""COMPUTED_VALUE"""),"高1570*寬711*深810mm")</f>
        <v>高1570*寬711*深810mm</v>
      </c>
      <c r="R458" s="12" t="str">
        <f ca="1">IFERROR(__xludf.DUMMYFUNCTION("""COMPUTED_VALUE"""),"中國")</f>
        <v>中國</v>
      </c>
      <c r="S458" s="12"/>
      <c r="T458" s="13" t="str">
        <f ca="1">IFERROR(__xludf.DUMMYFUNCTION("""COMPUTED_VALUE"""),"無")</f>
        <v>無</v>
      </c>
      <c r="U458" s="22" t="str">
        <f ca="1">IFERROR(__xludf.DUMMYFUNCTION("""COMPUTED_VALUE"""),"1年")</f>
        <v>1年</v>
      </c>
      <c r="V458" s="22" t="str">
        <f ca="1">IFERROR(__xludf.DUMMYFUNCTION("""COMPUTED_VALUE"""),"1年")</f>
        <v>1年</v>
      </c>
      <c r="W458" s="12"/>
      <c r="X458" s="12"/>
      <c r="Y458" s="12"/>
      <c r="Z458" s="14"/>
      <c r="AA458" s="15" t="str">
        <f ca="1">IFERROR(__xludf.DUMMYFUNCTION("""COMPUTED_VALUE"""),"*R600a環保冷媒、活動式置物棚、高溫警示提醒、大型省力把手")</f>
        <v>*R600a環保冷媒、活動式置物棚、高溫警示提醒、大型省力把手</v>
      </c>
    </row>
    <row r="459" spans="1:27" ht="19.5" customHeight="1">
      <c r="A459" s="12" t="str">
        <f ca="1">IFERROR(__xludf.DUMMYFUNCTION("""COMPUTED_VALUE"""),"冰箱")</f>
        <v>冰箱</v>
      </c>
      <c r="B459" s="12" t="str">
        <f ca="1">IFERROR(__xludf.DUMMYFUNCTION("""COMPUTED_VALUE"""),"大同")</f>
        <v>大同</v>
      </c>
      <c r="C459" s="12" t="str">
        <f ca="1">IFERROR(__xludf.DUMMYFUNCTION("""COMPUTED_VALUE"""),"PANASONIC")</f>
        <v>PANASONIC</v>
      </c>
      <c r="D459" s="12" t="str">
        <f ca="1">IFERROR(__xludf.DUMMYFUNCTION("""COMPUTED_VALUE"""),"Panasonic_325公升下冷凍雙門變頻冰箱(鑽石黑)_NR-B331VG-X1")</f>
        <v>Panasonic_325公升下冷凍雙門變頻冰箱(鑽石黑)_NR-B331VG-X1</v>
      </c>
      <c r="E459" s="12" t="str">
        <f ca="1">IFERROR(__xludf.DUMMYFUNCTION("""COMPUTED_VALUE"""),"NR-B331VG-X1")</f>
        <v>NR-B331VG-X1</v>
      </c>
      <c r="F459" s="12">
        <f ca="1">IFERROR(__xludf.DUMMYFUNCTION("""COMPUTED_VALUE"""),51081339)</f>
        <v>51081339</v>
      </c>
      <c r="G459" s="12" t="str">
        <f ca="1">IFERROR(__xludf.DUMMYFUNCTION("""COMPUTED_VALUE"""),"IGEM0862")</f>
        <v>IGEM0862</v>
      </c>
      <c r="H459" s="13">
        <f ca="1">IFERROR(__xludf.DUMMYFUNCTION("""COMPUTED_VALUE"""),26900)</f>
        <v>26900</v>
      </c>
      <c r="I459" s="14">
        <f ca="1">IFERROR(__xludf.DUMMYFUNCTION("""COMPUTED_VALUE"""),24990)</f>
        <v>24990</v>
      </c>
      <c r="J459" s="16">
        <f ca="1">IFERROR(__xludf.DUMMYFUNCTION("""COMPUTED_VALUE"""),45140)</f>
        <v>45140</v>
      </c>
      <c r="K459" s="12" t="str">
        <f ca="1">IFERROR(__xludf.DUMMYFUNCTION("""COMPUTED_VALUE"""),"新機上架")</f>
        <v>新機上架</v>
      </c>
      <c r="L459" s="12" t="str">
        <f ca="1">IFERROR(__xludf.DUMMYFUNCTION("""COMPUTED_VALUE"""),"上架中")</f>
        <v>上架中</v>
      </c>
      <c r="M459" s="12" t="str">
        <f ca="1">IFERROR(__xludf.DUMMYFUNCTION("""COMPUTED_VALUE"""),"8/2上架")</f>
        <v>8/2上架</v>
      </c>
      <c r="N459" s="12" t="str">
        <f ca="1">IFERROR(__xludf.DUMMYFUNCTION("""COMPUTED_VALUE"""),"雙門變頻")</f>
        <v>雙門變頻</v>
      </c>
      <c r="O459" s="12" t="str">
        <f ca="1">IFERROR(__xludf.DUMMYFUNCTION("""COMPUTED_VALUE"""),"黑")</f>
        <v>黑</v>
      </c>
      <c r="P459" s="12" t="str">
        <f ca="1">IFERROR(__xludf.DUMMYFUNCTION("""COMPUTED_VALUE"""),"325公升")</f>
        <v>325公升</v>
      </c>
      <c r="Q459" s="12" t="str">
        <f ca="1">IFERROR(__xludf.DUMMYFUNCTION("""COMPUTED_VALUE"""),"1790x601x653mm")</f>
        <v>1790x601x653mm</v>
      </c>
      <c r="R459" s="12" t="str">
        <f ca="1">IFERROR(__xludf.DUMMYFUNCTION("""COMPUTED_VALUE"""),"越南")</f>
        <v>越南</v>
      </c>
      <c r="S459" s="22" t="str">
        <f ca="1">IFERROR(__xludf.DUMMYFUNCTION("""COMPUTED_VALUE"""),"V")</f>
        <v>V</v>
      </c>
      <c r="T459" s="12" t="str">
        <f ca="1">IFERROR(__xludf.DUMMYFUNCTION("""COMPUTED_VALUE"""),"1級能效")</f>
        <v>1級能效</v>
      </c>
      <c r="U459" s="22" t="str">
        <f ca="1">IFERROR(__xludf.DUMMYFUNCTION("""COMPUTED_VALUE"""),"1年")</f>
        <v>1年</v>
      </c>
      <c r="V459" s="22" t="str">
        <f ca="1">IFERROR(__xludf.DUMMYFUNCTION("""COMPUTED_VALUE"""),"3年")</f>
        <v>3年</v>
      </c>
      <c r="W459" s="12"/>
      <c r="X459" s="12"/>
      <c r="Y459" s="12">
        <f ca="1">IFERROR(__xludf.DUMMYFUNCTION("""COMPUTED_VALUE"""),325)</f>
        <v>325</v>
      </c>
      <c r="Z459" s="14" t="str">
        <f ca="1">IFERROR(__xludf.DUMMYFUNCTION("""COMPUTED_VALUE"""),"1200")</f>
        <v>1200</v>
      </c>
      <c r="AA459" s="15" t="str">
        <f ca="1">IFERROR(__xludf.DUMMYFUNCTION("""COMPUTED_VALUE"""),"* 有效容積325L*上冷藏下冷凍*-3°C微凍結*nanoe™ X 健康科技*Ag銀抑菌*冷凍大空間*ECONAVI智慧節能科技*新1級能源效率")</f>
        <v>* 有效容積325L*上冷藏下冷凍*-3°C微凍結*nanoe™ X 健康科技*Ag銀抑菌*冷凍大空間*ECONAVI智慧節能科技*新1級能源效率</v>
      </c>
    </row>
    <row r="460" spans="1:27" ht="19.5" customHeight="1">
      <c r="A460" s="12" t="str">
        <f ca="1">IFERROR(__xludf.DUMMYFUNCTION("""COMPUTED_VALUE"""),"冰箱")</f>
        <v>冰箱</v>
      </c>
      <c r="B460" s="12" t="str">
        <f ca="1">IFERROR(__xludf.DUMMYFUNCTION("""COMPUTED_VALUE"""),"大同")</f>
        <v>大同</v>
      </c>
      <c r="C460" s="12" t="str">
        <f ca="1">IFERROR(__xludf.DUMMYFUNCTION("""COMPUTED_VALUE"""),"PANASONIC")</f>
        <v>PANASONIC</v>
      </c>
      <c r="D460" s="12" t="str">
        <f ca="1">IFERROR(__xludf.DUMMYFUNCTION("""COMPUTED_VALUE"""),"PANASONIC_385公升無邊框鋼板三門變頻冰箱(香檳金)_NR-C384HV-N1")</f>
        <v>PANASONIC_385公升無邊框鋼板三門變頻冰箱(香檳金)_NR-C384HV-N1</v>
      </c>
      <c r="E460" s="12" t="str">
        <f ca="1">IFERROR(__xludf.DUMMYFUNCTION("""COMPUTED_VALUE"""),"NR-C384HV-N1")</f>
        <v>NR-C384HV-N1</v>
      </c>
      <c r="F460" s="12">
        <f ca="1">IFERROR(__xludf.DUMMYFUNCTION("""COMPUTED_VALUE"""),51081352)</f>
        <v>51081352</v>
      </c>
      <c r="G460" s="12" t="str">
        <f ca="1">IFERROR(__xludf.DUMMYFUNCTION("""COMPUTED_VALUE"""),"IGEM0941")</f>
        <v>IGEM0941</v>
      </c>
      <c r="H460" s="12">
        <f ca="1">IFERROR(__xludf.DUMMYFUNCTION("""COMPUTED_VALUE"""),32800)</f>
        <v>32800</v>
      </c>
      <c r="I460" s="18">
        <f ca="1">IFERROR(__xludf.DUMMYFUNCTION("""COMPUTED_VALUE"""),29520)</f>
        <v>29520</v>
      </c>
      <c r="J460" s="16">
        <f ca="1">IFERROR(__xludf.DUMMYFUNCTION("""COMPUTED_VALUE"""),45261)</f>
        <v>45261</v>
      </c>
      <c r="K460" s="12" t="str">
        <f ca="1">IFERROR(__xludf.DUMMYFUNCTION("""COMPUTED_VALUE"""),"新機上架")</f>
        <v>新機上架</v>
      </c>
      <c r="L460" s="12" t="str">
        <f ca="1">IFERROR(__xludf.DUMMYFUNCTION("""COMPUTED_VALUE"""),"上架中")</f>
        <v>上架中</v>
      </c>
      <c r="M460" s="12" t="str">
        <f ca="1">IFERROR(__xludf.DUMMYFUNCTION("""COMPUTED_VALUE"""),"12/1新機上架")</f>
        <v>12/1新機上架</v>
      </c>
      <c r="N460" s="12" t="str">
        <f ca="1">IFERROR(__xludf.DUMMYFUNCTION("""COMPUTED_VALUE"""),"三門變頻")</f>
        <v>三門變頻</v>
      </c>
      <c r="O460" s="12" t="str">
        <f ca="1">IFERROR(__xludf.DUMMYFUNCTION("""COMPUTED_VALUE"""),"金")</f>
        <v>金</v>
      </c>
      <c r="P460" s="12" t="str">
        <f ca="1">IFERROR(__xludf.DUMMYFUNCTION("""COMPUTED_VALUE"""),"385L")</f>
        <v>385L</v>
      </c>
      <c r="Q460" s="12" t="str">
        <f ca="1">IFERROR(__xludf.DUMMYFUNCTION("""COMPUTED_VALUE"""),"高1830 X 寬600 X 深695mm")</f>
        <v>高1830 X 寬600 X 深695mm</v>
      </c>
      <c r="R460" s="12" t="str">
        <f ca="1">IFERROR(__xludf.DUMMYFUNCTION("""COMPUTED_VALUE"""),"台灣")</f>
        <v>台灣</v>
      </c>
      <c r="S460" s="22" t="str">
        <f ca="1">IFERROR(__xludf.DUMMYFUNCTION("""COMPUTED_VALUE"""),"V")</f>
        <v>V</v>
      </c>
      <c r="T460" s="13" t="str">
        <f ca="1">IFERROR(__xludf.DUMMYFUNCTION("""COMPUTED_VALUE"""),"1級能效")</f>
        <v>1級能效</v>
      </c>
      <c r="U460" s="22" t="str">
        <f ca="1">IFERROR(__xludf.DUMMYFUNCTION("""COMPUTED_VALUE"""),"1年")</f>
        <v>1年</v>
      </c>
      <c r="V460" s="22" t="str">
        <f ca="1">IFERROR(__xludf.DUMMYFUNCTION("""COMPUTED_VALUE"""),"3年")</f>
        <v>3年</v>
      </c>
      <c r="W460" s="12"/>
      <c r="X460" s="12"/>
      <c r="Y460" s="12">
        <f ca="1">IFERROR(__xludf.DUMMYFUNCTION("""COMPUTED_VALUE"""),385)</f>
        <v>385</v>
      </c>
      <c r="Z460" s="14" t="str">
        <f ca="1">IFERROR(__xludf.DUMMYFUNCTION("""COMPUTED_VALUE"""),"1200")</f>
        <v>1200</v>
      </c>
      <c r="AA460" s="15" t="str">
        <f ca="1">IFERROR(__xludf.DUMMYFUNCTION("""COMPUTED_VALUE"""),"*冷藏室203L / 冷凍室84L / 蔬果室 98L*雙層蔬果保鮮盒*ECONAVI 智慧節能*100% 全開式抽屜*即鮮魚肉保鮮室*急速冷凍行程*Ag 銀離子抑菌*3D 循環氣流")</f>
        <v>*冷藏室203L / 冷凍室84L / 蔬果室 98L*雙層蔬果保鮮盒*ECONAVI 智慧節能*100% 全開式抽屜*即鮮魚肉保鮮室*急速冷凍行程*Ag 銀離子抑菌*3D 循環氣流</v>
      </c>
    </row>
    <row r="461" spans="1:27" ht="19.5" customHeight="1">
      <c r="A461" s="12" t="str">
        <f ca="1">IFERROR(__xludf.DUMMYFUNCTION("""COMPUTED_VALUE"""),"冰箱")</f>
        <v>冰箱</v>
      </c>
      <c r="B461" s="12" t="str">
        <f ca="1">IFERROR(__xludf.DUMMYFUNCTION("""COMPUTED_VALUE"""),"大同")</f>
        <v>大同</v>
      </c>
      <c r="C461" s="12" t="str">
        <f ca="1">IFERROR(__xludf.DUMMYFUNCTION("""COMPUTED_VALUE"""),"PANASONIC")</f>
        <v>PANASONIC</v>
      </c>
      <c r="D461" s="12" t="str">
        <f ca="1">IFERROR(__xludf.DUMMYFUNCTION("""COMPUTED_VALUE"""),"PANASONIC_385公升無邊框鋼板三門變頻冰箱(晶鑽白)_NR-C384HV-W1")</f>
        <v>PANASONIC_385公升無邊框鋼板三門變頻冰箱(晶鑽白)_NR-C384HV-W1</v>
      </c>
      <c r="E461" s="12" t="str">
        <f ca="1">IFERROR(__xludf.DUMMYFUNCTION("""COMPUTED_VALUE"""),"NR-C384HV-W1")</f>
        <v>NR-C384HV-W1</v>
      </c>
      <c r="F461" s="12">
        <f ca="1">IFERROR(__xludf.DUMMYFUNCTION("""COMPUTED_VALUE"""),51081353)</f>
        <v>51081353</v>
      </c>
      <c r="G461" s="12" t="str">
        <f ca="1">IFERROR(__xludf.DUMMYFUNCTION("""COMPUTED_VALUE"""),"IGEM0942")</f>
        <v>IGEM0942</v>
      </c>
      <c r="H461" s="12">
        <f ca="1">IFERROR(__xludf.DUMMYFUNCTION("""COMPUTED_VALUE"""),32800)</f>
        <v>32800</v>
      </c>
      <c r="I461" s="18">
        <f ca="1">IFERROR(__xludf.DUMMYFUNCTION("""COMPUTED_VALUE"""),29520)</f>
        <v>29520</v>
      </c>
      <c r="J461" s="16">
        <f ca="1">IFERROR(__xludf.DUMMYFUNCTION("""COMPUTED_VALUE"""),45261)</f>
        <v>45261</v>
      </c>
      <c r="K461" s="12" t="str">
        <f ca="1">IFERROR(__xludf.DUMMYFUNCTION("""COMPUTED_VALUE"""),"新機上架")</f>
        <v>新機上架</v>
      </c>
      <c r="L461" s="12" t="str">
        <f ca="1">IFERROR(__xludf.DUMMYFUNCTION("""COMPUTED_VALUE"""),"上架中")</f>
        <v>上架中</v>
      </c>
      <c r="M461" s="12" t="str">
        <f ca="1">IFERROR(__xludf.DUMMYFUNCTION("""COMPUTED_VALUE"""),"12/1新機上架")</f>
        <v>12/1新機上架</v>
      </c>
      <c r="N461" s="12" t="str">
        <f ca="1">IFERROR(__xludf.DUMMYFUNCTION("""COMPUTED_VALUE"""),"三門變頻")</f>
        <v>三門變頻</v>
      </c>
      <c r="O461" s="12" t="str">
        <f ca="1">IFERROR(__xludf.DUMMYFUNCTION("""COMPUTED_VALUE"""),"白")</f>
        <v>白</v>
      </c>
      <c r="P461" s="12" t="str">
        <f ca="1">IFERROR(__xludf.DUMMYFUNCTION("""COMPUTED_VALUE"""),"385L")</f>
        <v>385L</v>
      </c>
      <c r="Q461" s="12" t="str">
        <f ca="1">IFERROR(__xludf.DUMMYFUNCTION("""COMPUTED_VALUE"""),"高1830 X 寬600 X 深695mm")</f>
        <v>高1830 X 寬600 X 深695mm</v>
      </c>
      <c r="R461" s="12" t="str">
        <f ca="1">IFERROR(__xludf.DUMMYFUNCTION("""COMPUTED_VALUE"""),"台灣")</f>
        <v>台灣</v>
      </c>
      <c r="S461" s="22" t="str">
        <f ca="1">IFERROR(__xludf.DUMMYFUNCTION("""COMPUTED_VALUE"""),"V")</f>
        <v>V</v>
      </c>
      <c r="T461" s="13" t="str">
        <f ca="1">IFERROR(__xludf.DUMMYFUNCTION("""COMPUTED_VALUE"""),"1級能效")</f>
        <v>1級能效</v>
      </c>
      <c r="U461" s="22" t="str">
        <f ca="1">IFERROR(__xludf.DUMMYFUNCTION("""COMPUTED_VALUE"""),"1年")</f>
        <v>1年</v>
      </c>
      <c r="V461" s="22" t="str">
        <f ca="1">IFERROR(__xludf.DUMMYFUNCTION("""COMPUTED_VALUE"""),"3年")</f>
        <v>3年</v>
      </c>
      <c r="W461" s="12"/>
      <c r="X461" s="12"/>
      <c r="Y461" s="12">
        <f ca="1">IFERROR(__xludf.DUMMYFUNCTION("""COMPUTED_VALUE"""),385)</f>
        <v>385</v>
      </c>
      <c r="Z461" s="14" t="str">
        <f ca="1">IFERROR(__xludf.DUMMYFUNCTION("""COMPUTED_VALUE"""),"1200")</f>
        <v>1200</v>
      </c>
      <c r="AA461" s="15" t="str">
        <f ca="1">IFERROR(__xludf.DUMMYFUNCTION("""COMPUTED_VALUE"""),"*冷藏室203L / 冷凍室84L / 蔬果室 98L*雙層蔬果保鮮盒*ECONAVI 智慧節能*100% 全開式抽屜*即鮮魚肉保鮮室*急速冷凍行程*Ag 銀離子抑菌*3D 循環氣流")</f>
        <v>*冷藏室203L / 冷凍室84L / 蔬果室 98L*雙層蔬果保鮮盒*ECONAVI 智慧節能*100% 全開式抽屜*即鮮魚肉保鮮室*急速冷凍行程*Ag 銀離子抑菌*3D 循環氣流</v>
      </c>
    </row>
    <row r="462" spans="1:27" ht="19.5" customHeight="1">
      <c r="A462" s="12" t="str">
        <f ca="1">IFERROR(__xludf.DUMMYFUNCTION("""COMPUTED_VALUE"""),"冰箱")</f>
        <v>冰箱</v>
      </c>
      <c r="B462" s="12" t="str">
        <f ca="1">IFERROR(__xludf.DUMMYFUNCTION("""COMPUTED_VALUE"""),"未來創意生活")</f>
        <v>未來創意生活</v>
      </c>
      <c r="C462" s="12" t="str">
        <f ca="1">IFERROR(__xludf.DUMMYFUNCTION("""COMPUTED_VALUE"""),"TOSHIBA")</f>
        <v>TOSHIBA</v>
      </c>
      <c r="D462" s="12" t="str">
        <f ca="1">IFERROR(__xludf.DUMMYFUNCTION("""COMPUTED_VALUE"""),"TOSHIBA東芝601L六門變頻冰箱(極光鏡面)GR-ZP600TFW(X)")</f>
        <v>TOSHIBA東芝601L六門變頻冰箱(極光鏡面)GR-ZP600TFW(X)</v>
      </c>
      <c r="E462" s="12" t="str">
        <f ca="1">IFERROR(__xludf.DUMMYFUNCTION("""COMPUTED_VALUE"""),"GR-ZP600TFW(X)")</f>
        <v>GR-ZP600TFW(X)</v>
      </c>
      <c r="F462" s="12">
        <f ca="1">IFERROR(__xludf.DUMMYFUNCTION("""COMPUTED_VALUE"""),51093003)</f>
        <v>51093003</v>
      </c>
      <c r="G462" s="12" t="str">
        <f ca="1">IFERROR(__xludf.DUMMYFUNCTION("""COMPUTED_VALUE"""),"IGEM052J")</f>
        <v>IGEM052J</v>
      </c>
      <c r="H462" s="12">
        <f ca="1">IFERROR(__xludf.DUMMYFUNCTION("""COMPUTED_VALUE"""),77900)</f>
        <v>77900</v>
      </c>
      <c r="I462" s="14">
        <f ca="1">IFERROR(__xludf.DUMMYFUNCTION("""COMPUTED_VALUE"""),68000)</f>
        <v>68000</v>
      </c>
      <c r="J462" s="12"/>
      <c r="K462" s="12"/>
      <c r="L462" s="12" t="str">
        <f ca="1">IFERROR(__xludf.DUMMYFUNCTION("""COMPUTED_VALUE"""),"上架中")</f>
        <v>上架中</v>
      </c>
      <c r="M462" s="12" t="str">
        <f ca="1">IFERROR(__xludf.DUMMYFUNCTION("""COMPUTED_VALUE"""),"2022/7/1降價、2022/3/10到貨、2022/1/1新品上架")</f>
        <v>2022/7/1降價、2022/3/10到貨、2022/1/1新品上架</v>
      </c>
      <c r="N462" s="12" t="str">
        <f ca="1">IFERROR(__xludf.DUMMYFUNCTION("""COMPUTED_VALUE"""),"六門變頻")</f>
        <v>六門變頻</v>
      </c>
      <c r="O462" s="12" t="str">
        <f ca="1">IFERROR(__xludf.DUMMYFUNCTION("""COMPUTED_VALUE"""),"極光鏡面")</f>
        <v>極光鏡面</v>
      </c>
      <c r="P462" s="12" t="str">
        <f ca="1">IFERROR(__xludf.DUMMYFUNCTION("""COMPUTED_VALUE"""),"601L")</f>
        <v>601L</v>
      </c>
      <c r="Q462" s="12" t="str">
        <f ca="1">IFERROR(__xludf.DUMMYFUNCTION("""COMPUTED_VALUE"""),"1833*685*745mm")</f>
        <v>1833*685*745mm</v>
      </c>
      <c r="R462" s="12" t="str">
        <f ca="1">IFERROR(__xludf.DUMMYFUNCTION("""COMPUTED_VALUE"""),"泰國")</f>
        <v>泰國</v>
      </c>
      <c r="S462" s="22" t="str">
        <f ca="1">IFERROR(__xludf.DUMMYFUNCTION("""COMPUTED_VALUE"""),"V")</f>
        <v>V</v>
      </c>
      <c r="T462" s="13" t="str">
        <f ca="1">IFERROR(__xludf.DUMMYFUNCTION("""COMPUTED_VALUE"""),"1級能效")</f>
        <v>1級能效</v>
      </c>
      <c r="U462" s="22" t="str">
        <f ca="1">IFERROR(__xludf.DUMMYFUNCTION("""COMPUTED_VALUE"""),"1年")</f>
        <v>1年</v>
      </c>
      <c r="V462" s="22" t="str">
        <f ca="1">IFERROR(__xludf.DUMMYFUNCTION("""COMPUTED_VALUE"""),"10年")</f>
        <v>10年</v>
      </c>
      <c r="W462" s="12"/>
      <c r="X462" s="12"/>
      <c r="Y462" s="12">
        <f ca="1">IFERROR(__xludf.DUMMYFUNCTION("""COMPUTED_VALUE"""),601)</f>
        <v>601</v>
      </c>
      <c r="Z462" s="14" t="str">
        <f ca="1">IFERROR(__xludf.DUMMYFUNCTION("""COMPUTED_VALUE"""),"2000")</f>
        <v>2000</v>
      </c>
      <c r="AA462" s="15" t="str">
        <f ca="1">IFERROR(__xludf.DUMMYFUNCTION("""COMPUTED_VALUE"""),"*雙電動觸控門ECO節能設計*中置蔬果室設計*抗菌鮮凍保鮮室*東芝獨家光倍淨RENECAT搭載*東芝雙冷卻系統")</f>
        <v>*雙電動觸控門ECO節能設計*中置蔬果室設計*抗菌鮮凍保鮮室*東芝獨家光倍淨RENECAT搭載*東芝雙冷卻系統</v>
      </c>
    </row>
    <row r="463" spans="1:27" ht="19.5" customHeight="1">
      <c r="A463" s="12" t="str">
        <f ca="1">IFERROR(__xludf.DUMMYFUNCTION("""COMPUTED_VALUE"""),"冰箱")</f>
        <v>冰箱</v>
      </c>
      <c r="B463" s="12" t="str">
        <f ca="1">IFERROR(__xludf.DUMMYFUNCTION("""COMPUTED_VALUE"""),"未來創意生活")</f>
        <v>未來創意生活</v>
      </c>
      <c r="C463" s="12" t="str">
        <f ca="1">IFERROR(__xludf.DUMMYFUNCTION("""COMPUTED_VALUE"""),"TOSHIBA")</f>
        <v>TOSHIBA</v>
      </c>
      <c r="D463" s="12" t="str">
        <f ca="1">IFERROR(__xludf.DUMMYFUNCTION("""COMPUTED_VALUE"""),"TOSHIBA東芝608L雙門變頻冰箱(極光鏡面)GR-AG66T(X)")</f>
        <v>TOSHIBA東芝608L雙門變頻冰箱(極光鏡面)GR-AG66T(X)</v>
      </c>
      <c r="E463" s="12" t="str">
        <f ca="1">IFERROR(__xludf.DUMMYFUNCTION("""COMPUTED_VALUE"""),"GR-AG66T(X)")</f>
        <v>GR-AG66T(X)</v>
      </c>
      <c r="F463" s="12">
        <f ca="1">IFERROR(__xludf.DUMMYFUNCTION("""COMPUTED_VALUE"""),51093004)</f>
        <v>51093004</v>
      </c>
      <c r="G463" s="12" t="str">
        <f ca="1">IFERROR(__xludf.DUMMYFUNCTION("""COMPUTED_VALUE"""),"IGEM052K")</f>
        <v>IGEM052K</v>
      </c>
      <c r="H463" s="12">
        <f ca="1">IFERROR(__xludf.DUMMYFUNCTION("""COMPUTED_VALUE"""),47900)</f>
        <v>47900</v>
      </c>
      <c r="I463" s="14">
        <f ca="1">IFERROR(__xludf.DUMMYFUNCTION("""COMPUTED_VALUE"""),39000)</f>
        <v>39000</v>
      </c>
      <c r="J463" s="16">
        <f ca="1">IFERROR(__xludf.DUMMYFUNCTION("""COMPUTED_VALUE"""),44896)</f>
        <v>44896</v>
      </c>
      <c r="K463" s="12" t="str">
        <f ca="1">IFERROR(__xludf.DUMMYFUNCTION("""COMPUTED_VALUE"""),"到貨")</f>
        <v>到貨</v>
      </c>
      <c r="L463" s="12" t="str">
        <f ca="1">IFERROR(__xludf.DUMMYFUNCTION("""COMPUTED_VALUE"""),"上架中")</f>
        <v>上架中</v>
      </c>
      <c r="M463" s="12" t="str">
        <f ca="1">IFERROR(__xludf.DUMMYFUNCTION("""COMPUTED_VALUE"""),"2022/12/1到貨、1月短促、2022/1/1新品上架")</f>
        <v>2022/12/1到貨、1月短促、2022/1/1新品上架</v>
      </c>
      <c r="N463" s="12" t="str">
        <f ca="1">IFERROR(__xludf.DUMMYFUNCTION("""COMPUTED_VALUE"""),"雙門變頻")</f>
        <v>雙門變頻</v>
      </c>
      <c r="O463" s="12" t="str">
        <f ca="1">IFERROR(__xludf.DUMMYFUNCTION("""COMPUTED_VALUE"""),"極光鏡面")</f>
        <v>極光鏡面</v>
      </c>
      <c r="P463" s="12" t="str">
        <f ca="1">IFERROR(__xludf.DUMMYFUNCTION("""COMPUTED_VALUE"""),"608L")</f>
        <v>608L</v>
      </c>
      <c r="Q463" s="12" t="str">
        <f ca="1">IFERROR(__xludf.DUMMYFUNCTION("""COMPUTED_VALUE"""),"1848*803*739mm")</f>
        <v>1848*803*739mm</v>
      </c>
      <c r="R463" s="12" t="str">
        <f ca="1">IFERROR(__xludf.DUMMYFUNCTION("""COMPUTED_VALUE"""),"泰國")</f>
        <v>泰國</v>
      </c>
      <c r="S463" s="22" t="str">
        <f ca="1">IFERROR(__xludf.DUMMYFUNCTION("""COMPUTED_VALUE"""),"V")</f>
        <v>V</v>
      </c>
      <c r="T463" s="13" t="str">
        <f ca="1">IFERROR(__xludf.DUMMYFUNCTION("""COMPUTED_VALUE"""),"1級能效")</f>
        <v>1級能效</v>
      </c>
      <c r="U463" s="22" t="str">
        <f ca="1">IFERROR(__xludf.DUMMYFUNCTION("""COMPUTED_VALUE"""),"1年")</f>
        <v>1年</v>
      </c>
      <c r="V463" s="22" t="str">
        <f ca="1">IFERROR(__xludf.DUMMYFUNCTION("""COMPUTED_VALUE"""),"10年")</f>
        <v>10年</v>
      </c>
      <c r="W463" s="12"/>
      <c r="X463" s="12"/>
      <c r="Y463" s="12">
        <f ca="1">IFERROR(__xludf.DUMMYFUNCTION("""COMPUTED_VALUE"""),608)</f>
        <v>608</v>
      </c>
      <c r="Z463" s="14" t="str">
        <f ca="1">IFERROR(__xludf.DUMMYFUNCTION("""COMPUTED_VALUE"""),"2000")</f>
        <v>2000</v>
      </c>
      <c r="AA463" s="15" t="str">
        <f ca="1">IFERROR(__xludf.DUMMYFUNCTION("""COMPUTED_VALUE"""),"*約-3度C微冷凍*快速冷卻*抗菌鮮凍*冷藏冷凍雙層除臭DUOHYBRID")</f>
        <v>*約-3度C微冷凍*快速冷卻*抗菌鮮凍*冷藏冷凍雙層除臭DUOHYBRID</v>
      </c>
    </row>
    <row r="464" spans="1:27" ht="19.5" customHeight="1">
      <c r="A464" s="12" t="str">
        <f ca="1">IFERROR(__xludf.DUMMYFUNCTION("""COMPUTED_VALUE"""),"空氣清淨機")</f>
        <v>空氣清淨機</v>
      </c>
      <c r="B464" s="12" t="str">
        <f ca="1">IFERROR(__xludf.DUMMYFUNCTION("""COMPUTED_VALUE"""),"大同")</f>
        <v>大同</v>
      </c>
      <c r="C464" s="12" t="str">
        <f ca="1">IFERROR(__xludf.DUMMYFUNCTION("""COMPUTED_VALUE"""),"PANASONIC")</f>
        <v>PANASONIC</v>
      </c>
      <c r="D464" s="12" t="str">
        <f ca="1">IFERROR(__xludf.DUMMYFUNCTION("""COMPUTED_VALUE"""),"Panasonic 12坪 NanoeX空氣清淨機(銀灰)F-P60LH")</f>
        <v>Panasonic 12坪 NanoeX空氣清淨機(銀灰)F-P60LH</v>
      </c>
      <c r="E464" s="12" t="str">
        <f ca="1">IFERROR(__xludf.DUMMYFUNCTION("""COMPUTED_VALUE"""),"F-P60LH")</f>
        <v>F-P60LH</v>
      </c>
      <c r="F464" s="12">
        <f ca="1">IFERROR(__xludf.DUMMYFUNCTION("""COMPUTED_VALUE"""),51089436)</f>
        <v>51089436</v>
      </c>
      <c r="G464" s="12" t="str">
        <f ca="1">IFERROR(__xludf.DUMMYFUNCTION("""COMPUTED_VALUE"""),"IGEM071P")</f>
        <v>IGEM071P</v>
      </c>
      <c r="H464" s="13">
        <f ca="1">IFERROR(__xludf.DUMMYFUNCTION("""COMPUTED_VALUE"""),12990)</f>
        <v>12990</v>
      </c>
      <c r="I464" s="14">
        <f ca="1">IFERROR(__xludf.DUMMYFUNCTION("""COMPUTED_VALUE"""),11500)</f>
        <v>11500</v>
      </c>
      <c r="J464" s="16">
        <f ca="1">IFERROR(__xludf.DUMMYFUNCTION("""COMPUTED_VALUE"""),45658)</f>
        <v>45658</v>
      </c>
      <c r="K464" s="12" t="str">
        <f ca="1">IFERROR(__xludf.DUMMYFUNCTION("""COMPUTED_VALUE"""),"回價")</f>
        <v>回價</v>
      </c>
      <c r="L464" s="12" t="str">
        <f ca="1">IFERROR(__xludf.DUMMYFUNCTION("""COMPUTED_VALUE"""),"缺貨")</f>
        <v>缺貨</v>
      </c>
      <c r="M464" s="12" t="str">
        <f ca="1">IFERROR(__xludf.DUMMYFUNCTION("""COMPUTED_VALUE"""),"2024/12/26缺貨 預計2025/5月到貨，2024/12/1短促，2024/8/1回價，2024/7/1短促，2024/1/1 回價，12/1短促，2023/1/1回價，2022/12/1短促，11/1新機上架")</f>
        <v>2024/12/26缺貨 預計2025/5月到貨，2024/12/1短促，2024/8/1回價，2024/7/1短促，2024/1/1 回價，12/1短促，2023/1/1回價，2022/12/1短促，11/1新機上架</v>
      </c>
      <c r="N464" s="12" t="str">
        <f ca="1">IFERROR(__xludf.DUMMYFUNCTION("""COMPUTED_VALUE"""),"空氣清淨機")</f>
        <v>空氣清淨機</v>
      </c>
      <c r="O464" s="12" t="str">
        <f ca="1">IFERROR(__xludf.DUMMYFUNCTION("""COMPUTED_VALUE"""),"銀灰")</f>
        <v>銀灰</v>
      </c>
      <c r="P464" s="12" t="str">
        <f ca="1">IFERROR(__xludf.DUMMYFUNCTION("""COMPUTED_VALUE"""),"12坪")</f>
        <v>12坪</v>
      </c>
      <c r="Q464" s="12" t="str">
        <f ca="1">IFERROR(__xludf.DUMMYFUNCTION("""COMPUTED_VALUE"""),"商品尺寸:寬280 x 高600 x 深305mm
外箱尺寸:寬358 x 高667 x 深393mm
")</f>
        <v xml:space="preserve">商品尺寸:寬280 x 高600 x 深305mm
外箱尺寸:寬358 x 高667 x 深393mm
</v>
      </c>
      <c r="R464" s="12" t="str">
        <f ca="1">IFERROR(__xludf.DUMMYFUNCTION("""COMPUTED_VALUE"""),"台灣")</f>
        <v>台灣</v>
      </c>
      <c r="S464" s="12" t="str">
        <f ca="1">IFERROR(__xludf.DUMMYFUNCTION("""COMPUTED_VALUE"""),"V")</f>
        <v>V</v>
      </c>
      <c r="T464" s="12"/>
      <c r="U464" s="22" t="str">
        <f ca="1">IFERROR(__xludf.DUMMYFUNCTION("""COMPUTED_VALUE"""),"1年")</f>
        <v>1年</v>
      </c>
      <c r="V464" s="12"/>
      <c r="W464" s="12" t="str">
        <f ca="1">IFERROR(__xludf.DUMMYFUNCTION("""COMPUTED_VALUE"""),"(10/1-114/2/28)隨貨送SP-2507-PR時尚手動研磨罐+登錄送原廠濾網")</f>
        <v>(10/1-114/2/28)隨貨送SP-2507-PR時尚手動研磨罐+登錄送原廠濾網</v>
      </c>
      <c r="X464" s="12"/>
      <c r="Y464" s="12"/>
      <c r="Z464" s="14"/>
      <c r="AA464" s="15" t="str">
        <f ca="1">IFERROR(__xludf.DUMMYFUNCTION("""COMPUTED_VALUE"""),"*nanoe™ X健康科技* 圓筒狀濾網(HEPA+活性碳濾網)* IoT智慧家電* 全方位淨氣口
")</f>
        <v xml:space="preserve">*nanoe™ X健康科技* 圓筒狀濾網(HEPA+活性碳濾網)* IoT智慧家電* 全方位淨氣口
</v>
      </c>
    </row>
    <row r="465" spans="1:27" ht="19.5" customHeight="1">
      <c r="A465" s="12" t="str">
        <f ca="1">IFERROR(__xludf.DUMMYFUNCTION("""COMPUTED_VALUE"""),"空氣清淨機")</f>
        <v>空氣清淨機</v>
      </c>
      <c r="B465" s="12" t="str">
        <f ca="1">IFERROR(__xludf.DUMMYFUNCTION("""COMPUTED_VALUE"""),"大同")</f>
        <v>大同</v>
      </c>
      <c r="C465" s="12" t="str">
        <f ca="1">IFERROR(__xludf.DUMMYFUNCTION("""COMPUTED_VALUE"""),"Panasonic")</f>
        <v>Panasonic</v>
      </c>
      <c r="D465" s="12" t="str">
        <f ca="1">IFERROR(__xludf.DUMMYFUNCTION("""COMPUTED_VALUE"""),"Panasonic 18坪 IOT Nanoe X 空氣清淨機 F-P90MH (黑色)")</f>
        <v>Panasonic 18坪 IOT Nanoe X 空氣清淨機 F-P90MH (黑色)</v>
      </c>
      <c r="E465" s="12" t="str">
        <f ca="1">IFERROR(__xludf.DUMMYFUNCTION("""COMPUTED_VALUE"""),"F-P90MH")</f>
        <v>F-P90MH</v>
      </c>
      <c r="F465" s="12">
        <f ca="1">IFERROR(__xludf.DUMMYFUNCTION("""COMPUTED_VALUE"""),51081355)</f>
        <v>51081355</v>
      </c>
      <c r="G465" s="12" t="str">
        <f ca="1">IFERROR(__xludf.DUMMYFUNCTION("""COMPUTED_VALUE"""),"IGEM097Z")</f>
        <v>IGEM097Z</v>
      </c>
      <c r="H465" s="13">
        <f ca="1">IFERROR(__xludf.DUMMYFUNCTION("""COMPUTED_VALUE"""),18900)</f>
        <v>18900</v>
      </c>
      <c r="I465" s="14">
        <f ca="1">IFERROR(__xludf.DUMMYFUNCTION("""COMPUTED_VALUE"""),17100)</f>
        <v>17100</v>
      </c>
      <c r="J465" s="16">
        <f ca="1">IFERROR(__xludf.DUMMYFUNCTION("""COMPUTED_VALUE"""),45700)</f>
        <v>45700</v>
      </c>
      <c r="K465" s="12" t="str">
        <f ca="1">IFERROR(__xludf.DUMMYFUNCTION("""COMPUTED_VALUE"""),"短促")</f>
        <v>短促</v>
      </c>
      <c r="L465" s="12" t="str">
        <f ca="1">IFERROR(__xludf.DUMMYFUNCTION("""COMPUTED_VALUE"""),"上架中")</f>
        <v>上架中</v>
      </c>
      <c r="M465" s="12" t="str">
        <f ca="1">IFERROR(__xludf.DUMMYFUNCTION("""COMPUTED_VALUE"""),"2025/2/12短促，2024/3/12上架")</f>
        <v>2025/2/12短促，2024/3/12上架</v>
      </c>
      <c r="N465" s="12" t="str">
        <f ca="1">IFERROR(__xludf.DUMMYFUNCTION("""COMPUTED_VALUE"""),"空氣清淨機")</f>
        <v>空氣清淨機</v>
      </c>
      <c r="O465" s="12" t="str">
        <f ca="1">IFERROR(__xludf.DUMMYFUNCTION("""COMPUTED_VALUE"""),"質感黑")</f>
        <v>質感黑</v>
      </c>
      <c r="P465" s="12" t="str">
        <f ca="1">IFERROR(__xludf.DUMMYFUNCTION("""COMPUTED_VALUE"""),"適用11-22坪")</f>
        <v>適用11-22坪</v>
      </c>
      <c r="Q465" s="12" t="str">
        <f ca="1">IFERROR(__xludf.DUMMYFUNCTION("""COMPUTED_VALUE"""),"高700x寛315x長315mm")</f>
        <v>高700x寛315x長315mm</v>
      </c>
      <c r="R465" s="12" t="str">
        <f ca="1">IFERROR(__xludf.DUMMYFUNCTION("""COMPUTED_VALUE"""),"台灣")</f>
        <v>台灣</v>
      </c>
      <c r="S465" s="12" t="str">
        <f ca="1">IFERROR(__xludf.DUMMYFUNCTION("""COMPUTED_VALUE"""),"V")</f>
        <v>V</v>
      </c>
      <c r="T465" s="13" t="str">
        <f ca="1">IFERROR(__xludf.DUMMYFUNCTION("""COMPUTED_VALUE"""),"1級能效")</f>
        <v>1級能效</v>
      </c>
      <c r="U465" s="22" t="str">
        <f ca="1">IFERROR(__xludf.DUMMYFUNCTION("""COMPUTED_VALUE"""),"主機保固1年")</f>
        <v>主機保固1年</v>
      </c>
      <c r="V465" s="12"/>
      <c r="W465" s="12"/>
      <c r="X465" s="12"/>
      <c r="Y465" s="12"/>
      <c r="Z465" s="14"/>
      <c r="AA465" s="15" t="str">
        <f ca="1">IFERROR(__xludf.DUMMYFUNCTION("""COMPUTED_VALUE"""),"*nanoe™ X 48兆*複合式圓筒高效濾網*寵物模式*甲醛/PM2.5偵測顯示*異味/氣氛燈顯示*磁吸式背蓋*IoT智慧健康家電*基準坪數：18坪*適用坪數：11-22坪")</f>
        <v>*nanoe™ X 48兆*複合式圓筒高效濾網*寵物模式*甲醛/PM2.5偵測顯示*異味/氣氛燈顯示*磁吸式背蓋*IoT智慧健康家電*基準坪數：18坪*適用坪數：11-22坪</v>
      </c>
    </row>
    <row r="466" spans="1:27" ht="19.5" customHeight="1">
      <c r="A466" s="12" t="str">
        <f ca="1">IFERROR(__xludf.DUMMYFUNCTION("""COMPUTED_VALUE"""),"空氣清淨機")</f>
        <v>空氣清淨機</v>
      </c>
      <c r="B466" s="12" t="str">
        <f ca="1">IFERROR(__xludf.DUMMYFUNCTION("""COMPUTED_VALUE"""),"順發")</f>
        <v>順發</v>
      </c>
      <c r="C466" s="12" t="str">
        <f ca="1">IFERROR(__xludf.DUMMYFUNCTION("""COMPUTED_VALUE"""),"Honeywell")</f>
        <v>Honeywell</v>
      </c>
      <c r="D466" s="12" t="str">
        <f ca="1">IFERROR(__xludf.DUMMYFUNCTION("""COMPUTED_VALUE"""),"Honeywell 5-10坪 淨味空氣清淨機_HPA5150WTWV1")</f>
        <v>Honeywell 5-10坪 淨味空氣清淨機_HPA5150WTWV1</v>
      </c>
      <c r="E466" s="12" t="str">
        <f ca="1">IFERROR(__xludf.DUMMYFUNCTION("""COMPUTED_VALUE"""),"HPA5150WTWV1")</f>
        <v>HPA5150WTWV1</v>
      </c>
      <c r="F466" s="12">
        <f ca="1">IFERROR(__xludf.DUMMYFUNCTION("""COMPUTED_VALUE"""),51095618)</f>
        <v>51095618</v>
      </c>
      <c r="G466" s="12" t="str">
        <f ca="1">IFERROR(__xludf.DUMMYFUNCTION("""COMPUTED_VALUE"""),"IGEM075R")</f>
        <v>IGEM075R</v>
      </c>
      <c r="H466" s="13">
        <f ca="1">IFERROR(__xludf.DUMMYFUNCTION("""COMPUTED_VALUE"""),6990)</f>
        <v>6990</v>
      </c>
      <c r="I466" s="14">
        <f ca="1">IFERROR(__xludf.DUMMYFUNCTION("""COMPUTED_VALUE"""),5550)</f>
        <v>5550</v>
      </c>
      <c r="J466" s="12"/>
      <c r="K466" s="12"/>
      <c r="L466" s="12" t="str">
        <f ca="1">IFERROR(__xludf.DUMMYFUNCTION("""COMPUTED_VALUE"""),"上架中")</f>
        <v>上架中</v>
      </c>
      <c r="M466" s="12" t="str">
        <f ca="1">IFERROR(__xludf.DUMMYFUNCTION("""COMPUTED_VALUE"""),"2024/6/1短促，5/11到貨，4/7停售，3/1新機上架")</f>
        <v>2024/6/1短促，5/11到貨，4/7停售，3/1新機上架</v>
      </c>
      <c r="N466" s="12" t="str">
        <f ca="1">IFERROR(__xludf.DUMMYFUNCTION("""COMPUTED_VALUE"""),"空氣清淨機")</f>
        <v>空氣清淨機</v>
      </c>
      <c r="O466" s="12" t="str">
        <f ca="1">IFERROR(__xludf.DUMMYFUNCTION("""COMPUTED_VALUE"""),"白")</f>
        <v>白</v>
      </c>
      <c r="P466" s="12" t="str">
        <f ca="1">IFERROR(__xludf.DUMMYFUNCTION("""COMPUTED_VALUE"""),"5-10坪")</f>
        <v>5-10坪</v>
      </c>
      <c r="Q466" s="12" t="str">
        <f ca="1">IFERROR(__xludf.DUMMYFUNCTION("""COMPUTED_VALUE"""),"380(H)x234(W)x354(L)mm")</f>
        <v>380(H)x234(W)x354(L)mm</v>
      </c>
      <c r="R466" s="12" t="str">
        <f ca="1">IFERROR(__xludf.DUMMYFUNCTION("""COMPUTED_VALUE"""),"中國")</f>
        <v>中國</v>
      </c>
      <c r="S466" s="12" t="str">
        <f ca="1">IFERROR(__xludf.DUMMYFUNCTION("""COMPUTED_VALUE"""),"V")</f>
        <v>V</v>
      </c>
      <c r="T466" s="13" t="str">
        <f ca="1">IFERROR(__xludf.DUMMYFUNCTION("""COMPUTED_VALUE"""),"1級能效")</f>
        <v>1級能效</v>
      </c>
      <c r="U466" s="12" t="str">
        <f ca="1">IFERROR(__xludf.DUMMYFUNCTION("""COMPUTED_VALUE"""),"1年")</f>
        <v>1年</v>
      </c>
      <c r="V466" s="22" t="str">
        <f ca="1">IFERROR(__xludf.DUMMYFUNCTION("""COMPUTED_VALUE"""),"5年")</f>
        <v>5年</v>
      </c>
      <c r="W466" s="12"/>
      <c r="X466" s="12"/>
      <c r="Y466" s="12"/>
      <c r="Z466" s="14"/>
      <c r="AA466" s="15" t="str">
        <f ca="1">IFERROR(__xludf.DUMMYFUNCTION("""COMPUTED_VALUE"""),"*3重過濾，H13醫療等級HEPA濾網，有效阻隔病菌與過敏原*強效淨味濾網 - 四款針對常見居家異味的顆粒活性碳濾網，還給室內清新空氣*超高效能　1小時可淨化4.8次*潔淨效率受「美國家電製造協會」認證*即刻帶來好空氣
")</f>
        <v xml:space="preserve">*3重過濾，H13醫療等級HEPA濾網，有效阻隔病菌與過敏原*強效淨味濾網 - 四款針對常見居家異味的顆粒活性碳濾網，還給室內清新空氣*超高效能　1小時可淨化4.8次*潔淨效率受「美國家電製造協會」認證*即刻帶來好空氣
</v>
      </c>
    </row>
    <row r="467" spans="1:27" ht="19.5" customHeight="1">
      <c r="A467" s="12" t="str">
        <f ca="1">IFERROR(__xludf.DUMMYFUNCTION("""COMPUTED_VALUE"""),"空氣清淨機")</f>
        <v>空氣清淨機</v>
      </c>
      <c r="B467" s="12" t="str">
        <f ca="1">IFERROR(__xludf.DUMMYFUNCTION("""COMPUTED_VALUE"""),"凱創")</f>
        <v>凱創</v>
      </c>
      <c r="C467" s="12" t="str">
        <f ca="1">IFERROR(__xludf.DUMMYFUNCTION("""COMPUTED_VALUE"""),"奇美")</f>
        <v>奇美</v>
      </c>
      <c r="D467" s="12" t="str">
        <f ca="1">IFERROR(__xludf.DUMMYFUNCTION("""COMPUTED_VALUE"""),"奇美智能淨化空氣清淨機AP-06SRC1")</f>
        <v>奇美智能淨化空氣清淨機AP-06SRC1</v>
      </c>
      <c r="E467" s="12" t="str">
        <f ca="1">IFERROR(__xludf.DUMMYFUNCTION("""COMPUTED_VALUE"""),"AP-06SRC1")</f>
        <v>AP-06SRC1</v>
      </c>
      <c r="F467" s="12">
        <f ca="1">IFERROR(__xludf.DUMMYFUNCTION("""COMPUTED_VALUE"""),51084116)</f>
        <v>51084116</v>
      </c>
      <c r="G467" s="12" t="str">
        <f ca="1">IFERROR(__xludf.DUMMYFUNCTION("""COMPUTED_VALUE"""),"IGEM0205")</f>
        <v>IGEM0205</v>
      </c>
      <c r="H467" s="12">
        <f ca="1">IFERROR(__xludf.DUMMYFUNCTION("""COMPUTED_VALUE"""),5988)</f>
        <v>5988</v>
      </c>
      <c r="I467" s="14">
        <f ca="1">IFERROR(__xludf.DUMMYFUNCTION("""COMPUTED_VALUE"""),4890)</f>
        <v>4890</v>
      </c>
      <c r="J467" s="16">
        <f ca="1">IFERROR(__xludf.DUMMYFUNCTION("""COMPUTED_VALUE"""),45474)</f>
        <v>45474</v>
      </c>
      <c r="K467" s="12" t="str">
        <f ca="1">IFERROR(__xludf.DUMMYFUNCTION("""COMPUTED_VALUE"""),"回價")</f>
        <v>回價</v>
      </c>
      <c r="L467" s="12" t="str">
        <f ca="1">IFERROR(__xludf.DUMMYFUNCTION("""COMPUTED_VALUE"""),"上架中")</f>
        <v>上架中</v>
      </c>
      <c r="M467" s="12" t="str">
        <f ca="1">IFERROR(__xludf.DUMMYFUNCTION("""COMPUTED_VALUE"""),"2024/4/1短促，3/1回價，2021/4/1-8/31短促")</f>
        <v>2024/4/1短促，3/1回價，2021/4/1-8/31短促</v>
      </c>
      <c r="N467" s="12" t="str">
        <f ca="1">IFERROR(__xludf.DUMMYFUNCTION("""COMPUTED_VALUE"""),"空氣清淨機")</f>
        <v>空氣清淨機</v>
      </c>
      <c r="O467" s="12"/>
      <c r="P467" s="12"/>
      <c r="Q467" s="12" t="str">
        <f ca="1">IFERROR(__xludf.DUMMYFUNCTION("""COMPUTED_VALUE"""),"高503*寬234*深234mm")</f>
        <v>高503*寬234*深234mm</v>
      </c>
      <c r="R467" s="12"/>
      <c r="S467" s="12"/>
      <c r="T467" s="12"/>
      <c r="U467" s="12"/>
      <c r="V467" s="12"/>
      <c r="W467" s="12"/>
      <c r="X467" s="12"/>
      <c r="Y467" s="12"/>
      <c r="Z467" s="14"/>
      <c r="AA467" s="15" t="str">
        <f ca="1">IFERROR(__xludf.DUMMYFUNCTION("""COMPUTED_VALUE"""),"*全面清除空氣霾害 智能啟動淨化看得見*Smart Sensor智能偵測*三合一 HEPA微濾淨-抑菌除臭強效濾淨PM2.5*UV光殺菌- 高效率UV光 殺菌一把照*關機記憶功能*安全保護機制*DC馬達 節能省電*觸控面板 操作簡單*睡眠模式 安靜舒適")</f>
        <v>*全面清除空氣霾害 智能啟動淨化看得見*Smart Sensor智能偵測*三合一 HEPA微濾淨-抑菌除臭強效濾淨PM2.5*UV光殺菌- 高效率UV光 殺菌一把照*關機記憶功能*安全保護機制*DC馬達 節能省電*觸控面板 操作簡單*睡眠模式 安靜舒適</v>
      </c>
    </row>
    <row r="468" spans="1:27" ht="19.5" customHeight="1">
      <c r="A468" s="12" t="str">
        <f ca="1">IFERROR(__xludf.DUMMYFUNCTION("""COMPUTED_VALUE"""),"空氣清淨機")</f>
        <v>空氣清淨機</v>
      </c>
      <c r="B468" s="12" t="str">
        <f ca="1">IFERROR(__xludf.DUMMYFUNCTION("""COMPUTED_VALUE"""),"凱創")</f>
        <v>凱創</v>
      </c>
      <c r="C468" s="12" t="str">
        <f ca="1">IFERROR(__xludf.DUMMYFUNCTION("""COMPUTED_VALUE"""),"奇美")</f>
        <v>奇美</v>
      </c>
      <c r="D468" s="12" t="str">
        <f ca="1">IFERROR(__xludf.DUMMYFUNCTION("""COMPUTED_VALUE"""),"奇美空氣清淨機(白)3-6坪 AP-04SRH1")</f>
        <v>奇美空氣清淨機(白)3-6坪 AP-04SRH1</v>
      </c>
      <c r="E468" s="12" t="str">
        <f ca="1">IFERROR(__xludf.DUMMYFUNCTION("""COMPUTED_VALUE"""),"AP-04SRH1")</f>
        <v>AP-04SRH1</v>
      </c>
      <c r="F468" s="12">
        <f ca="1">IFERROR(__xludf.DUMMYFUNCTION("""COMPUTED_VALUE"""),51084076)</f>
        <v>51084076</v>
      </c>
      <c r="G468" s="12" t="str">
        <f ca="1">IFERROR(__xludf.DUMMYFUNCTION("""COMPUTED_VALUE"""),"IGEM00SC")</f>
        <v>IGEM00SC</v>
      </c>
      <c r="H468" s="12">
        <f ca="1">IFERROR(__xludf.DUMMYFUNCTION("""COMPUTED_VALUE"""),3688)</f>
        <v>3688</v>
      </c>
      <c r="I468" s="14">
        <f ca="1">IFERROR(__xludf.DUMMYFUNCTION("""COMPUTED_VALUE"""),2788)</f>
        <v>2788</v>
      </c>
      <c r="J468" s="12"/>
      <c r="K468" s="12"/>
      <c r="L468" s="12" t="str">
        <f ca="1">IFERROR(__xludf.DUMMYFUNCTION("""COMPUTED_VALUE"""),"上架中")</f>
        <v>上架中</v>
      </c>
      <c r="M468" s="12" t="str">
        <f ca="1">IFERROR(__xludf.DUMMYFUNCTION("""COMPUTED_VALUE"""),"2021/4/1短促，2019/1/7新機上架")</f>
        <v>2021/4/1短促，2019/1/7新機上架</v>
      </c>
      <c r="N468" s="12" t="str">
        <f ca="1">IFERROR(__xludf.DUMMYFUNCTION("""COMPUTED_VALUE"""),"空氣清淨機")</f>
        <v>空氣清淨機</v>
      </c>
      <c r="O468" s="12" t="str">
        <f ca="1">IFERROR(__xludf.DUMMYFUNCTION("""COMPUTED_VALUE"""),"白色")</f>
        <v>白色</v>
      </c>
      <c r="P468" s="12" t="str">
        <f ca="1">IFERROR(__xludf.DUMMYFUNCTION("""COMPUTED_VALUE"""),"3~6坪")</f>
        <v>3~6坪</v>
      </c>
      <c r="Q468" s="12" t="str">
        <f ca="1">IFERROR(__xludf.DUMMYFUNCTION("""COMPUTED_VALUE"""),"231x231x391（mm）")</f>
        <v>231x231x391（mm）</v>
      </c>
      <c r="R468" s="12" t="str">
        <f ca="1">IFERROR(__xludf.DUMMYFUNCTION("""COMPUTED_VALUE"""),"中國")</f>
        <v>中國</v>
      </c>
      <c r="S468" s="12"/>
      <c r="T468" s="12"/>
      <c r="U468" s="12" t="str">
        <f ca="1">IFERROR(__xludf.DUMMYFUNCTION("""COMPUTED_VALUE"""),"1年")</f>
        <v>1年</v>
      </c>
      <c r="V468" s="12"/>
      <c r="W468" s="12"/>
      <c r="X468" s="12"/>
      <c r="Y468" s="12"/>
      <c r="Z468" s="14"/>
      <c r="AA468" s="15" t="str">
        <f ca="1">IFERROR(__xludf.DUMMYFUNCTION("""COMPUTED_VALUE"""),"*採用空氣力學原理：360度進風設計，下進風、上出風，快速淨化空氣*可水洗式前置濾網+H12醫療級HEPA濾網+活性碳濾網(三合一濾網)*有效過濾PM2.5及有害物質*DC直流馬達*觸控面板設計
")</f>
        <v xml:space="preserve">*採用空氣力學原理：360度進風設計，下進風、上出風，快速淨化空氣*可水洗式前置濾網+H12醫療級HEPA濾網+活性碳濾網(三合一濾網)*有效過濾PM2.5及有害物質*DC直流馬達*觸控面板設計
</v>
      </c>
    </row>
    <row r="469" spans="1:27" ht="19.5" customHeight="1">
      <c r="A469" s="12" t="str">
        <f ca="1">IFERROR(__xludf.DUMMYFUNCTION("""COMPUTED_VALUE"""),"空氣清淨機")</f>
        <v>空氣清淨機</v>
      </c>
      <c r="B469" s="12" t="str">
        <f ca="1">IFERROR(__xludf.DUMMYFUNCTION("""COMPUTED_VALUE"""),"凱創")</f>
        <v>凱創</v>
      </c>
      <c r="C469" s="12" t="str">
        <f ca="1">IFERROR(__xludf.DUMMYFUNCTION("""COMPUTED_VALUE"""),"奇美")</f>
        <v>奇美</v>
      </c>
      <c r="D469" s="12" t="str">
        <f ca="1">IFERROR(__xludf.DUMMYFUNCTION("""COMPUTED_VALUE"""),"奇美空氣清淨機(灰黑)3-6坪 AP-04SRGA")</f>
        <v>奇美空氣清淨機(灰黑)3-6坪 AP-04SRGA</v>
      </c>
      <c r="E469" s="12" t="str">
        <f ca="1">IFERROR(__xludf.DUMMYFUNCTION("""COMPUTED_VALUE"""),"AP-04SRGA")</f>
        <v>AP-04SRGA</v>
      </c>
      <c r="F469" s="12">
        <f ca="1">IFERROR(__xludf.DUMMYFUNCTION("""COMPUTED_VALUE"""),51084077)</f>
        <v>51084077</v>
      </c>
      <c r="G469" s="12" t="str">
        <f ca="1">IFERROR(__xludf.DUMMYFUNCTION("""COMPUTED_VALUE"""),"IGEM00SD")</f>
        <v>IGEM00SD</v>
      </c>
      <c r="H469" s="12">
        <f ca="1">IFERROR(__xludf.DUMMYFUNCTION("""COMPUTED_VALUE"""),3688)</f>
        <v>3688</v>
      </c>
      <c r="I469" s="14">
        <f ca="1">IFERROR(__xludf.DUMMYFUNCTION("""COMPUTED_VALUE"""),2788)</f>
        <v>2788</v>
      </c>
      <c r="J469" s="12"/>
      <c r="K469" s="12"/>
      <c r="L469" s="12" t="str">
        <f ca="1">IFERROR(__xludf.DUMMYFUNCTION("""COMPUTED_VALUE"""),"上架中")</f>
        <v>上架中</v>
      </c>
      <c r="M469" s="12" t="str">
        <f ca="1">IFERROR(__xludf.DUMMYFUNCTION("""COMPUTED_VALUE"""),"2021/4/1短促，2021/4/1新品上架")</f>
        <v>2021/4/1短促，2021/4/1新品上架</v>
      </c>
      <c r="N469" s="12" t="str">
        <f ca="1">IFERROR(__xludf.DUMMYFUNCTION("""COMPUTED_VALUE"""),"空氣清淨機")</f>
        <v>空氣清淨機</v>
      </c>
      <c r="O469" s="12" t="str">
        <f ca="1">IFERROR(__xludf.DUMMYFUNCTION("""COMPUTED_VALUE"""),"灰黑色")</f>
        <v>灰黑色</v>
      </c>
      <c r="P469" s="12" t="str">
        <f ca="1">IFERROR(__xludf.DUMMYFUNCTION("""COMPUTED_VALUE"""),"3~6坪")</f>
        <v>3~6坪</v>
      </c>
      <c r="Q469" s="12" t="str">
        <f ca="1">IFERROR(__xludf.DUMMYFUNCTION("""COMPUTED_VALUE"""),"231x231x391（mm）")</f>
        <v>231x231x391（mm）</v>
      </c>
      <c r="R469" s="12" t="str">
        <f ca="1">IFERROR(__xludf.DUMMYFUNCTION("""COMPUTED_VALUE"""),"中國")</f>
        <v>中國</v>
      </c>
      <c r="S469" s="12"/>
      <c r="T469" s="12"/>
      <c r="U469" s="12" t="str">
        <f ca="1">IFERROR(__xludf.DUMMYFUNCTION("""COMPUTED_VALUE"""),"1年")</f>
        <v>1年</v>
      </c>
      <c r="V469" s="12"/>
      <c r="W469" s="12"/>
      <c r="X469" s="12"/>
      <c r="Y469" s="12"/>
      <c r="Z469" s="14"/>
      <c r="AA469" s="15" t="str">
        <f ca="1">IFERROR(__xludf.DUMMYFUNCTION("""COMPUTED_VALUE"""),"*採用空氣力學原理：360度進風設計，下進風、上出風，快速淨化空氣*可水洗式前置濾網+H12醫療級HEPA濾網+活性碳濾網(三合一濾網)*有效過濾PM2.5及有害物質*DC直流馬達*觸控面板設計")</f>
        <v>*採用空氣力學原理：360度進風設計，下進風、上出風，快速淨化空氣*可水洗式前置濾網+H12醫療級HEPA濾網+活性碳濾網(三合一濾網)*有效過濾PM2.5及有害物質*DC直流馬達*觸控面板設計</v>
      </c>
    </row>
    <row r="470" spans="1:27" ht="19.5" customHeight="1">
      <c r="A470" s="12" t="str">
        <f ca="1">IFERROR(__xludf.DUMMYFUNCTION("""COMPUTED_VALUE"""),"空氣清淨機")</f>
        <v>空氣清淨機</v>
      </c>
      <c r="B470" s="12" t="str">
        <f ca="1">IFERROR(__xludf.DUMMYFUNCTION("""COMPUTED_VALUE"""),"凱創")</f>
        <v>凱創</v>
      </c>
      <c r="C470" s="12" t="str">
        <f ca="1">IFERROR(__xludf.DUMMYFUNCTION("""COMPUTED_VALUE"""),"奇美")</f>
        <v>奇美</v>
      </c>
      <c r="D470" s="12" t="str">
        <f ca="1">IFERROR(__xludf.DUMMYFUNCTION("""COMPUTED_VALUE"""),"奇美6-10坪智能淨化空氣清淨機AP-08SRH1")</f>
        <v>奇美6-10坪智能淨化空氣清淨機AP-08SRH1</v>
      </c>
      <c r="E470" s="12" t="str">
        <f ca="1">IFERROR(__xludf.DUMMYFUNCTION("""COMPUTED_VALUE"""),"AP-08SRH1")</f>
        <v>AP-08SRH1</v>
      </c>
      <c r="F470" s="12">
        <f ca="1">IFERROR(__xludf.DUMMYFUNCTION("""COMPUTED_VALUE"""),51084253)</f>
        <v>51084253</v>
      </c>
      <c r="G470" s="12" t="str">
        <f ca="1">IFERROR(__xludf.DUMMYFUNCTION("""COMPUTED_VALUE"""),"IGEM049I")</f>
        <v>IGEM049I</v>
      </c>
      <c r="H470" s="12">
        <f ca="1">IFERROR(__xludf.DUMMYFUNCTION("""COMPUTED_VALUE"""),4988)</f>
        <v>4988</v>
      </c>
      <c r="I470" s="14">
        <f ca="1">IFERROR(__xludf.DUMMYFUNCTION("""COMPUTED_VALUE"""),3988)</f>
        <v>3988</v>
      </c>
      <c r="J470" s="12"/>
      <c r="K470" s="12"/>
      <c r="L470" s="12" t="str">
        <f ca="1">IFERROR(__xludf.DUMMYFUNCTION("""COMPUTED_VALUE"""),"上架中")</f>
        <v>上架中</v>
      </c>
      <c r="M470" s="12" t="str">
        <f ca="1">IFERROR(__xludf.DUMMYFUNCTION("""COMPUTED_VALUE"""),"3/1回價，2022/3/1-3/31短促，2021/12/1新機上架+短促")</f>
        <v>3/1回價，2022/3/1-3/31短促，2021/12/1新機上架+短促</v>
      </c>
      <c r="N470" s="12" t="str">
        <f ca="1">IFERROR(__xludf.DUMMYFUNCTION("""COMPUTED_VALUE"""),"空氣清淨機")</f>
        <v>空氣清淨機</v>
      </c>
      <c r="O470" s="12"/>
      <c r="P470" s="12" t="str">
        <f ca="1">IFERROR(__xludf.DUMMYFUNCTION("""COMPUTED_VALUE"""),"◆輸入電壓與電流：110V/60HZ
◆消耗功率：小於等於35(W)
◆機體尺寸：(長x寬x高)220x220x440（mm）
◆機體重量：3.5kg")</f>
        <v>◆輸入電壓與電流：110V/60HZ
◆消耗功率：小於等於35(W)
◆機體尺寸：(長x寬x高)220x220x440（mm）
◆機體重量：3.5kg</v>
      </c>
      <c r="Q470" s="12" t="str">
        <f ca="1">IFERROR(__xludf.DUMMYFUNCTION("""COMPUTED_VALUE"""),"◆機體尺寸：高440x寬220x長220mm")</f>
        <v>◆機體尺寸：高440x寬220x長220mm</v>
      </c>
      <c r="R470" s="12" t="str">
        <f ca="1">IFERROR(__xludf.DUMMYFUNCTION("""COMPUTED_VALUE"""),"中國")</f>
        <v>中國</v>
      </c>
      <c r="S470" s="12"/>
      <c r="T470" s="12"/>
      <c r="U470" s="12" t="str">
        <f ca="1">IFERROR(__xludf.DUMMYFUNCTION("""COMPUTED_VALUE"""),"正常使用下保固1年")</f>
        <v>正常使用下保固1年</v>
      </c>
      <c r="V470" s="12"/>
      <c r="W470" s="12"/>
      <c r="X470" s="12"/>
      <c r="Y470" s="12"/>
      <c r="Z470" s="14"/>
      <c r="AA470" s="15" t="str">
        <f ca="1">IFERROR(__xludf.DUMMYFUNCTION("""COMPUTED_VALUE"""),"*空氣力學原理：360度進風設計，快速淨化空氣*空氣品質偵測，4色燈號顯示目前空氣狀況*智慧控制風量，有效率淨化空氣*前置濾網+H13醫療級HEPA濾網+活性碳濾網(三合一濾網)，有效過濾PM2.5及有害物質*濾網更換指示*睡眠模式(低噪音)*關機記憶功能，記憶您的每一天")</f>
        <v>*空氣力學原理：360度進風設計，快速淨化空氣*空氣品質偵測，4色燈號顯示目前空氣狀況*智慧控制風量，有效率淨化空氣*前置濾網+H13醫療級HEPA濾網+活性碳濾網(三合一濾網)，有效過濾PM2.5及有害物質*濾網更換指示*睡眠模式(低噪音)*關機記憶功能，記憶您的每一天</v>
      </c>
    </row>
    <row r="471" spans="1:27" ht="19.5" customHeight="1">
      <c r="A471" s="12" t="str">
        <f ca="1">IFERROR(__xludf.DUMMYFUNCTION("""COMPUTED_VALUE"""),"空氣清淨機")</f>
        <v>空氣清淨機</v>
      </c>
      <c r="B471" s="12" t="str">
        <f ca="1">IFERROR(__xludf.DUMMYFUNCTION("""COMPUTED_VALUE"""),"大同")</f>
        <v>大同</v>
      </c>
      <c r="C471" s="12" t="str">
        <f ca="1">IFERROR(__xludf.DUMMYFUNCTION("""COMPUTED_VALUE"""),"大同")</f>
        <v>大同</v>
      </c>
      <c r="D471" s="12" t="str">
        <f ca="1">IFERROR(__xludf.DUMMYFUNCTION("""COMPUTED_VALUE"""),"大同智能清淨機TACR-1900PE-WI")</f>
        <v>大同智能清淨機TACR-1900PE-WI</v>
      </c>
      <c r="E471" s="12" t="str">
        <f ca="1">IFERROR(__xludf.DUMMYFUNCTION("""COMPUTED_VALUE"""),"TACR-1900PE-WI")</f>
        <v>TACR-1900PE-WI</v>
      </c>
      <c r="F471" s="12">
        <f ca="1">IFERROR(__xludf.DUMMYFUNCTION("""COMPUTED_VALUE"""),51089078)</f>
        <v>51089078</v>
      </c>
      <c r="G471" s="12" t="str">
        <f ca="1">IFERROR(__xludf.DUMMYFUNCTION("""COMPUTED_VALUE"""),"IGEM00LM")</f>
        <v>IGEM00LM</v>
      </c>
      <c r="H471" s="12">
        <f ca="1">IFERROR(__xludf.DUMMYFUNCTION("""COMPUTED_VALUE"""),6500)</f>
        <v>6500</v>
      </c>
      <c r="I471" s="14">
        <f ca="1">IFERROR(__xludf.DUMMYFUNCTION("""COMPUTED_VALUE"""),3500)</f>
        <v>3500</v>
      </c>
      <c r="J471" s="12"/>
      <c r="K471" s="12"/>
      <c r="L471" s="12" t="str">
        <f ca="1">IFERROR(__xludf.DUMMYFUNCTION("""COMPUTED_VALUE"""),"上架中")</f>
        <v>上架中</v>
      </c>
      <c r="M471" s="12" t="str">
        <f ca="1">IFERROR(__xludf.DUMMYFUNCTION("""COMPUTED_VALUE"""),"2022/7月破盤出清價、2021/8/18重新上架。2018/8/1新機上架")</f>
        <v>2022/7月破盤出清價、2021/8/18重新上架。2018/8/1新機上架</v>
      </c>
      <c r="N471" s="12" t="str">
        <f ca="1">IFERROR(__xludf.DUMMYFUNCTION("""COMPUTED_VALUE"""),"空氣清淨機")</f>
        <v>空氣清淨機</v>
      </c>
      <c r="O471" s="12" t="str">
        <f ca="1">IFERROR(__xludf.DUMMYFUNCTION("""COMPUTED_VALUE"""),"白色")</f>
        <v>白色</v>
      </c>
      <c r="P471" s="12" t="str">
        <f ca="1">IFERROR(__xludf.DUMMYFUNCTION("""COMPUTED_VALUE"""),"8-9坪")</f>
        <v>8-9坪</v>
      </c>
      <c r="Q471" s="12" t="str">
        <f ca="1">IFERROR(__xludf.DUMMYFUNCTION("""COMPUTED_VALUE"""),"460*356*190mm")</f>
        <v>460*356*190mm</v>
      </c>
      <c r="R471" s="12" t="str">
        <f ca="1">IFERROR(__xludf.DUMMYFUNCTION("""COMPUTED_VALUE"""),"中國")</f>
        <v>中國</v>
      </c>
      <c r="S471" s="12"/>
      <c r="T471" s="12"/>
      <c r="U471" s="22" t="str">
        <f ca="1">IFERROR(__xludf.DUMMYFUNCTION("""COMPUTED_VALUE"""),"1年")</f>
        <v>1年</v>
      </c>
      <c r="V471" s="12"/>
      <c r="W471" s="12"/>
      <c r="X471" s="12"/>
      <c r="Y471" s="12"/>
      <c r="Z471" s="14"/>
      <c r="AA471" s="15" t="str">
        <f ca="1">IFERROR(__xludf.DUMMYFUNCTION("""COMPUTED_VALUE"""),"．具Wi-Fi遠端遙控功能，提升安全及便利性。
．睡眠模式，可安靜運行不擾眠。
．可有效濾除PM2.5。
．風速四段選擇，高/中/低/自動。
．自動偵測空氣品質燈號顯示。
．潔淨空氣量CADR值：190m³/h。")</f>
        <v>．具Wi-Fi遠端遙控功能，提升安全及便利性。
．睡眠模式，可安靜運行不擾眠。
．可有效濾除PM2.5。
．風速四段選擇，高/中/低/自動。
．自動偵測空氣品質燈號顯示。
．潔淨空氣量CADR值：190m³/h。</v>
      </c>
    </row>
    <row r="472" spans="1:27" ht="19.5" customHeight="1">
      <c r="A472" s="12" t="str">
        <f ca="1">IFERROR(__xludf.DUMMYFUNCTION("""COMPUTED_VALUE"""),"空氣清淨機")</f>
        <v>空氣清淨機</v>
      </c>
      <c r="B472" s="12" t="str">
        <f ca="1">IFERROR(__xludf.DUMMYFUNCTION("""COMPUTED_VALUE"""),"凱創")</f>
        <v>凱創</v>
      </c>
      <c r="C472" s="12" t="str">
        <f ca="1">IFERROR(__xludf.DUMMYFUNCTION("""COMPUTED_VALUE"""),"3M")</f>
        <v>3M</v>
      </c>
      <c r="D472" s="12" t="str">
        <f ca="1">IFERROR(__xludf.DUMMYFUNCTION("""COMPUTED_VALUE"""),"3M-70000113813M空氣清淨機超濾淨型進階版6坪")</f>
        <v>3M-70000113813M空氣清淨機超濾淨型進階版6坪</v>
      </c>
      <c r="E472" s="12" t="str">
        <f ca="1">IFERROR(__xludf.DUMMYFUNCTION("""COMPUTED_VALUE"""),"3M-7000011381")</f>
        <v>3M-7000011381</v>
      </c>
      <c r="F472" s="12">
        <f ca="1">IFERROR(__xludf.DUMMYFUNCTION("""COMPUTED_VALUE"""),51084003)</f>
        <v>51084003</v>
      </c>
      <c r="G472" s="12" t="str">
        <f ca="1">IFERROR(__xludf.DUMMYFUNCTION("""COMPUTED_VALUE"""),"IGEM003N")</f>
        <v>IGEM003N</v>
      </c>
      <c r="H472" s="12">
        <f ca="1">IFERROR(__xludf.DUMMYFUNCTION("""COMPUTED_VALUE"""),4990)</f>
        <v>4990</v>
      </c>
      <c r="I472" s="14">
        <f ca="1">IFERROR(__xludf.DUMMYFUNCTION("""COMPUTED_VALUE"""),3280)</f>
        <v>3280</v>
      </c>
      <c r="J472" s="12"/>
      <c r="K472" s="12"/>
      <c r="L472" s="12" t="str">
        <f ca="1">IFERROR(__xludf.DUMMYFUNCTION("""COMPUTED_VALUE"""),"上架中")</f>
        <v>上架中</v>
      </c>
      <c r="M472" s="12" t="str">
        <f ca="1">IFERROR(__xludf.DUMMYFUNCTION("""COMPUTED_VALUE"""),"2022/3/1-3/31短促，2021/7/24到貨，6/2缺貨下架，2018/11/1價格調漲(原2980)，8/1售價調降，3/16重新上架")</f>
        <v>2022/3/1-3/31短促，2021/7/24到貨，6/2缺貨下架，2018/11/1價格調漲(原2980)，8/1售價調降，3/16重新上架</v>
      </c>
      <c r="N472" s="12" t="str">
        <f ca="1">IFERROR(__xludf.DUMMYFUNCTION("""COMPUTED_VALUE"""),"空氣清淨機")</f>
        <v>空氣清淨機</v>
      </c>
      <c r="O472" s="12" t="str">
        <f ca="1">IFERROR(__xludf.DUMMYFUNCTION("""COMPUTED_VALUE"""),"白")</f>
        <v>白</v>
      </c>
      <c r="P472" s="12" t="str">
        <f ca="1">IFERROR(__xludf.DUMMYFUNCTION("""COMPUTED_VALUE"""),"6坪")</f>
        <v>6坪</v>
      </c>
      <c r="Q472" s="12"/>
      <c r="R472" s="12" t="str">
        <f ca="1">IFERROR(__xludf.DUMMYFUNCTION("""COMPUTED_VALUE"""),"台灣")</f>
        <v>台灣</v>
      </c>
      <c r="S472" s="12"/>
      <c r="T472" s="12"/>
      <c r="U472" s="22" t="str">
        <f ca="1">IFERROR(__xludf.DUMMYFUNCTION("""COMPUTED_VALUE"""),"1年")</f>
        <v>1年</v>
      </c>
      <c r="V472" s="12"/>
      <c r="W472" s="12"/>
      <c r="X472" s="12"/>
      <c r="Y472" s="12"/>
      <c r="Z472" s="14"/>
      <c r="AA472" s="15" t="str">
        <f ca="1">IFERROR(__xludf.DUMMYFUNCTION("""COMPUTED_VALUE"""),"*專利靜電濾淨技術，有效濾除過敏原*負離子裝置，空氣更清新*貼心濾網更換指示提醒 
")</f>
        <v xml:space="preserve">*專利靜電濾淨技術，有效濾除過敏原*負離子裝置，空氣更清新*貼心濾網更換指示提醒 
</v>
      </c>
    </row>
    <row r="473" spans="1:27" ht="19.5" customHeight="1">
      <c r="A473" s="12" t="str">
        <f ca="1">IFERROR(__xludf.DUMMYFUNCTION("""COMPUTED_VALUE"""),"空氣清淨機")</f>
        <v>空氣清淨機</v>
      </c>
      <c r="B473" s="12" t="str">
        <f ca="1">IFERROR(__xludf.DUMMYFUNCTION("""COMPUTED_VALUE"""),"凱創")</f>
        <v>凱創</v>
      </c>
      <c r="C473" s="12" t="str">
        <f ca="1">IFERROR(__xludf.DUMMYFUNCTION("""COMPUTED_VALUE"""),"3M")</f>
        <v>3M</v>
      </c>
      <c r="D473" s="12" t="str">
        <f ca="1">IFERROR(__xludf.DUMMYFUNCTION("""COMPUTED_VALUE"""),"3M淨呼吸空氣清淨機FA-E180")</f>
        <v>3M淨呼吸空氣清淨機FA-E180</v>
      </c>
      <c r="E473" s="12" t="str">
        <f ca="1">IFERROR(__xludf.DUMMYFUNCTION("""COMPUTED_VALUE"""),"3M-7100196458")</f>
        <v>3M-7100196458</v>
      </c>
      <c r="F473" s="12">
        <f ca="1">IFERROR(__xludf.DUMMYFUNCTION("""COMPUTED_VALUE"""),51084148)</f>
        <v>51084148</v>
      </c>
      <c r="G473" s="12" t="str">
        <f ca="1">IFERROR(__xludf.DUMMYFUNCTION("""COMPUTED_VALUE"""),"IGEM01OD")</f>
        <v>IGEM01OD</v>
      </c>
      <c r="H473" s="12">
        <f ca="1">IFERROR(__xludf.DUMMYFUNCTION("""COMPUTED_VALUE"""),12990)</f>
        <v>12990</v>
      </c>
      <c r="I473" s="14">
        <f ca="1">IFERROR(__xludf.DUMMYFUNCTION("""COMPUTED_VALUE"""),6990)</f>
        <v>6990</v>
      </c>
      <c r="J473" s="16">
        <f ca="1">IFERROR(__xludf.DUMMYFUNCTION("""COMPUTED_VALUE"""),45413)</f>
        <v>45413</v>
      </c>
      <c r="K473" s="12" t="str">
        <f ca="1">IFERROR(__xludf.DUMMYFUNCTION("""COMPUTED_VALUE"""),"回價")</f>
        <v>回價</v>
      </c>
      <c r="L473" s="12" t="str">
        <f ca="1">IFERROR(__xludf.DUMMYFUNCTION("""COMPUTED_VALUE"""),"上架中")</f>
        <v>上架中</v>
      </c>
      <c r="M473" s="12" t="str">
        <f ca="1">IFERROR(__xludf.DUMMYFUNCTION("""COMPUTED_VALUE"""),"2024/03/27 短促")</f>
        <v>2024/03/27 短促</v>
      </c>
      <c r="N473" s="12" t="str">
        <f ca="1">IFERROR(__xludf.DUMMYFUNCTION("""COMPUTED_VALUE"""),"空氣清淨機")</f>
        <v>空氣清淨機</v>
      </c>
      <c r="O473" s="12" t="str">
        <f ca="1">IFERROR(__xludf.DUMMYFUNCTION("""COMPUTED_VALUE"""),"白")</f>
        <v>白</v>
      </c>
      <c r="P473" s="12" t="str">
        <f ca="1">IFERROR(__xludf.DUMMYFUNCTION("""COMPUTED_VALUE"""),"6-14坪")</f>
        <v>6-14坪</v>
      </c>
      <c r="Q473" s="12" t="str">
        <f ca="1">IFERROR(__xludf.DUMMYFUNCTION("""COMPUTED_VALUE"""),"高634x寬257x深250mm")</f>
        <v>高634x寬257x深250mm</v>
      </c>
      <c r="R473" s="12" t="str">
        <f ca="1">IFERROR(__xludf.DUMMYFUNCTION("""COMPUTED_VALUE"""),"台灣")</f>
        <v>台灣</v>
      </c>
      <c r="S473" s="12"/>
      <c r="T473" s="12"/>
      <c r="U473" s="22" t="str">
        <f ca="1">IFERROR(__xludf.DUMMYFUNCTION("""COMPUTED_VALUE"""),"1年")</f>
        <v>1年</v>
      </c>
      <c r="V473" s="12"/>
      <c r="W473" s="12"/>
      <c r="X473" s="12"/>
      <c r="Y473" s="12"/>
      <c r="Z473" s="14"/>
      <c r="AA473" s="15" t="str">
        <f ca="1">IFERROR(__xludf.DUMMYFUNCTION("""COMPUTED_VALUE"""),"*CADR潔淨風量值165CFM*高CADR、高循環效率*全球逾200項靜電濾淨技術專利*自動偵測*採用DC直流變頻馬達*適用6至14坪空間")</f>
        <v>*CADR潔淨風量值165CFM*高CADR、高循環效率*全球逾200項靜電濾淨技術專利*自動偵測*採用DC直流變頻馬達*適用6至14坪空間</v>
      </c>
    </row>
    <row r="474" spans="1:27" ht="19.5" customHeight="1">
      <c r="A474" s="12" t="str">
        <f ca="1">IFERROR(__xludf.DUMMYFUNCTION("""COMPUTED_VALUE"""),"空氣清淨機")</f>
        <v>空氣清淨機</v>
      </c>
      <c r="B474" s="12" t="str">
        <f ca="1">IFERROR(__xludf.DUMMYFUNCTION("""COMPUTED_VALUE"""),"凱創")</f>
        <v>凱創</v>
      </c>
      <c r="C474" s="12" t="str">
        <f ca="1">IFERROR(__xludf.DUMMYFUNCTION("""COMPUTED_VALUE"""),"FUTURELAB")</f>
        <v>FUTURELAB</v>
      </c>
      <c r="D474" s="12" t="str">
        <f ca="1">IFERROR(__xludf.DUMMYFUNCTION("""COMPUTED_VALUE"""),"FUTUREN7空氣清淨機")</f>
        <v>FUTUREN7空氣清淨機</v>
      </c>
      <c r="E474" s="12" t="str">
        <f ca="1">IFERROR(__xludf.DUMMYFUNCTION("""COMPUTED_VALUE"""),"N7")</f>
        <v>N7</v>
      </c>
      <c r="F474" s="12">
        <f ca="1">IFERROR(__xludf.DUMMYFUNCTION("""COMPUTED_VALUE"""),51084206)</f>
        <v>51084206</v>
      </c>
      <c r="G474" s="12" t="str">
        <f ca="1">IFERROR(__xludf.DUMMYFUNCTION("""COMPUTED_VALUE"""),"IGEM023P")</f>
        <v>IGEM023P</v>
      </c>
      <c r="H474" s="12">
        <f ca="1">IFERROR(__xludf.DUMMYFUNCTION("""COMPUTED_VALUE"""),1699)</f>
        <v>1699</v>
      </c>
      <c r="I474" s="14">
        <f ca="1">IFERROR(__xludf.DUMMYFUNCTION("""COMPUTED_VALUE"""),999)</f>
        <v>999</v>
      </c>
      <c r="J474" s="12"/>
      <c r="K474" s="12"/>
      <c r="L474" s="12" t="str">
        <f ca="1">IFERROR(__xludf.DUMMYFUNCTION("""COMPUTED_VALUE"""),"上架中")</f>
        <v>上架中</v>
      </c>
      <c r="M474" s="12" t="str">
        <f ca="1">IFERROR(__xludf.DUMMYFUNCTION("""COMPUTED_VALUE"""),"2020/11/1新機上架")</f>
        <v>2020/11/1新機上架</v>
      </c>
      <c r="N474" s="12" t="str">
        <f ca="1">IFERROR(__xludf.DUMMYFUNCTION("""COMPUTED_VALUE"""),"空氣清淨機")</f>
        <v>空氣清淨機</v>
      </c>
      <c r="O474" s="12" t="str">
        <f ca="1">IFERROR(__xludf.DUMMYFUNCTION("""COMPUTED_VALUE"""),"黑")</f>
        <v>黑</v>
      </c>
      <c r="P474" s="12" t="str">
        <f ca="1">IFERROR(__xludf.DUMMYFUNCTION("""COMPUTED_VALUE"""),"230g")</f>
        <v>230g</v>
      </c>
      <c r="Q474" s="12" t="str">
        <f ca="1">IFERROR(__xludf.DUMMYFUNCTION("""COMPUTED_VALUE"""),"93x68mm")</f>
        <v>93x68mm</v>
      </c>
      <c r="R474" s="12" t="str">
        <f ca="1">IFERROR(__xludf.DUMMYFUNCTION("""COMPUTED_VALUE"""),"中國")</f>
        <v>中國</v>
      </c>
      <c r="S474" s="12"/>
      <c r="T474" s="12"/>
      <c r="U474" s="22" t="str">
        <f ca="1">IFERROR(__xludf.DUMMYFUNCTION("""COMPUTED_VALUE"""),"X")</f>
        <v>X</v>
      </c>
      <c r="V474" s="12"/>
      <c r="W474" s="12"/>
      <c r="X474" s="12"/>
      <c r="Y474" s="12"/>
      <c r="Z474" s="14"/>
      <c r="AA474" s="15" t="str">
        <f ca="1">IFERROR(__xludf.DUMMYFUNCTION("""COMPUTED_VALUE"""),"◆不佔空間，積木設計◆大坪數應用渦輪結構設計淨化度升級，直達1000萬高濃度負離子，微量超氧兩段式釋放◆杯型設計方便收納於汽車、室內各處，有效去除食物殘留臭味、冷氣霉味、灰塵過敏源◆零耗材終身免更換◆USB插孔設計，保護你的健康，更讓你不怕斷電")</f>
        <v>◆不佔空間，積木設計◆大坪數應用渦輪結構設計淨化度升級，直達1000萬高濃度負離子，微量超氧兩段式釋放◆杯型設計方便收納於汽車、室內各處，有效去除食物殘留臭味、冷氣霉味、灰塵過敏源◆零耗材終身免更換◆USB插孔設計，保護你的健康，更讓你不怕斷電</v>
      </c>
    </row>
    <row r="475" spans="1:27" ht="19.5" customHeight="1">
      <c r="A475" s="12" t="str">
        <f ca="1">IFERROR(__xludf.DUMMYFUNCTION("""COMPUTED_VALUE"""),"空氣清淨機")</f>
        <v>空氣清淨機</v>
      </c>
      <c r="B475" s="12" t="str">
        <f ca="1">IFERROR(__xludf.DUMMYFUNCTION("""COMPUTED_VALUE"""),"凱創")</f>
        <v>凱創</v>
      </c>
      <c r="C475" s="12" t="str">
        <f ca="1">IFERROR(__xludf.DUMMYFUNCTION("""COMPUTED_VALUE"""),"TOSHIBA")</f>
        <v>TOSHIBA</v>
      </c>
      <c r="D475" s="12" t="str">
        <f ca="1">IFERROR(__xludf.DUMMYFUNCTION("""COMPUTED_VALUE"""),"東芝TOSHIBA 6-10坪 智能淨化空氣清淨機(白) CAF-A450TW(W)")</f>
        <v>東芝TOSHIBA 6-10坪 智能淨化空氣清淨機(白) CAF-A450TW(W)</v>
      </c>
      <c r="E475" s="12" t="str">
        <f ca="1">IFERROR(__xludf.DUMMYFUNCTION("""COMPUTED_VALUE"""),"CAF-A450TW(W)")</f>
        <v>CAF-A450TW(W)</v>
      </c>
      <c r="F475" s="12">
        <f ca="1">IFERROR(__xludf.DUMMYFUNCTION("""COMPUTED_VALUE"""),51084289)</f>
        <v>51084289</v>
      </c>
      <c r="G475" s="12" t="str">
        <f ca="1">IFERROR(__xludf.DUMMYFUNCTION("""COMPUTED_VALUE"""),"IGEM068W")</f>
        <v>IGEM068W</v>
      </c>
      <c r="H475" s="12">
        <f ca="1">IFERROR(__xludf.DUMMYFUNCTION("""COMPUTED_VALUE"""),5980)</f>
        <v>5980</v>
      </c>
      <c r="I475" s="14">
        <f ca="1">IFERROR(__xludf.DUMMYFUNCTION("""COMPUTED_VALUE"""),4990)</f>
        <v>4990</v>
      </c>
      <c r="J475" s="21">
        <f ca="1">IFERROR(__xludf.DUMMYFUNCTION("""COMPUTED_VALUE"""),45658)</f>
        <v>45658</v>
      </c>
      <c r="K475" s="12" t="str">
        <f ca="1">IFERROR(__xludf.DUMMYFUNCTION("""COMPUTED_VALUE"""),"缺貨")</f>
        <v>缺貨</v>
      </c>
      <c r="L475" s="12" t="str">
        <f ca="1">IFERROR(__xludf.DUMMYFUNCTION("""COMPUTED_VALUE"""),"缺貨")</f>
        <v>缺貨</v>
      </c>
      <c r="M475" s="12" t="str">
        <f ca="1">IFERROR(__xludf.DUMMYFUNCTION("""COMPUTED_VALUE"""),"2025/1/1缺貨 預計2025/4月到貨，2022/10/1新機上架")</f>
        <v>2025/1/1缺貨 預計2025/4月到貨，2022/10/1新機上架</v>
      </c>
      <c r="N475" s="12" t="str">
        <f ca="1">IFERROR(__xludf.DUMMYFUNCTION("""COMPUTED_VALUE"""),"空氣清淨機")</f>
        <v>空氣清淨機</v>
      </c>
      <c r="O475" s="12" t="str">
        <f ca="1">IFERROR(__xludf.DUMMYFUNCTION("""COMPUTED_VALUE"""),"白")</f>
        <v>白</v>
      </c>
      <c r="P475" s="12" t="str">
        <f ca="1">IFERROR(__xludf.DUMMYFUNCTION("""COMPUTED_VALUE"""),"◆額定電壓 : 100-240V
◆消耗功率 : 22W
◆機體淨重：3.55KG")</f>
        <v>◆額定電壓 : 100-240V
◆消耗功率 : 22W
◆機體淨重：3.55KG</v>
      </c>
      <c r="Q475" s="12" t="str">
        <f ca="1">IFERROR(__xludf.DUMMYFUNCTION("""COMPUTED_VALUE"""),"378*240*240mm")</f>
        <v>378*240*240mm</v>
      </c>
      <c r="R475" s="12" t="str">
        <f ca="1">IFERROR(__xludf.DUMMYFUNCTION("""COMPUTED_VALUE"""),"中國")</f>
        <v>中國</v>
      </c>
      <c r="S475" s="12"/>
      <c r="T475" s="12"/>
      <c r="U475" s="22" t="str">
        <f ca="1">IFERROR(__xludf.DUMMYFUNCTION("""COMPUTED_VALUE"""),"主機保固1年")</f>
        <v>主機保固1年</v>
      </c>
      <c r="V475" s="12"/>
      <c r="W475" s="12"/>
      <c r="X475" s="12"/>
      <c r="Y475" s="12"/>
      <c r="Z475" s="14"/>
      <c r="AA475" s="15" t="str">
        <f ca="1">IFERROR(__xludf.DUMMYFUNCTION("""COMPUTED_VALUE"""),"*風速檔位：4段*定時設定：3段(2-4-6h)*濾網更換提醒*情境模式2段(Auto/Sleep)*LED空氣品質指示燈(紅/橘/綠/藍)*睡眠模式會關閉顯示版光源*人性化濾網外蓋設計，快拆可水洗*H13 True HEPA filter (過濾99.97%的微小過敏原，過濾揮發性有機化合物和細菌）*內含1個濾網")</f>
        <v>*風速檔位：4段*定時設定：3段(2-4-6h)*濾網更換提醒*情境模式2段(Auto/Sleep)*LED空氣品質指示燈(紅/橘/綠/藍)*睡眠模式會關閉顯示版光源*人性化濾網外蓋設計，快拆可水洗*H13 True HEPA filter (過濾99.97%的微小過敏原，過濾揮發性有機化合物和細菌）*內含1個濾網</v>
      </c>
    </row>
    <row r="476" spans="1:27" ht="19.5" customHeight="1">
      <c r="A476" s="12" t="str">
        <f ca="1">IFERROR(__xludf.DUMMYFUNCTION("""COMPUTED_VALUE"""),"空氣清淨機")</f>
        <v>空氣清淨機</v>
      </c>
      <c r="B476" s="12" t="str">
        <f ca="1">IFERROR(__xludf.DUMMYFUNCTION("""COMPUTED_VALUE"""),"凱創")</f>
        <v>凱創</v>
      </c>
      <c r="C476" s="12" t="str">
        <f ca="1">IFERROR(__xludf.DUMMYFUNCTION("""COMPUTED_VALUE"""),"TOSHIBA")</f>
        <v>TOSHIBA</v>
      </c>
      <c r="D476" s="12" t="str">
        <f ca="1">IFERROR(__xludf.DUMMYFUNCTION("""COMPUTED_VALUE"""),"東芝TOSHIBA 專用濾網CAF-A450TW(W)SF(適用型號CAF-A450TW(W))")</f>
        <v>東芝TOSHIBA 專用濾網CAF-A450TW(W)SF(適用型號CAF-A450TW(W))</v>
      </c>
      <c r="E476" s="12" t="str">
        <f ca="1">IFERROR(__xludf.DUMMYFUNCTION("""COMPUTED_VALUE"""),"CAF-A450TW(W)SF")</f>
        <v>CAF-A450TW(W)SF</v>
      </c>
      <c r="F476" s="12">
        <f ca="1">IFERROR(__xludf.DUMMYFUNCTION("""COMPUTED_VALUE"""),51084290)</f>
        <v>51084290</v>
      </c>
      <c r="G476" s="12" t="str">
        <f ca="1">IFERROR(__xludf.DUMMYFUNCTION("""COMPUTED_VALUE"""),"IGEM068X")</f>
        <v>IGEM068X</v>
      </c>
      <c r="H476" s="12">
        <f ca="1">IFERROR(__xludf.DUMMYFUNCTION("""COMPUTED_VALUE"""),1680)</f>
        <v>1680</v>
      </c>
      <c r="I476" s="14">
        <f ca="1">IFERROR(__xludf.DUMMYFUNCTION("""COMPUTED_VALUE"""),1030)</f>
        <v>1030</v>
      </c>
      <c r="J476" s="21">
        <f ca="1">IFERROR(__xludf.DUMMYFUNCTION("""COMPUTED_VALUE"""),45658)</f>
        <v>45658</v>
      </c>
      <c r="K476" s="12" t="str">
        <f ca="1">IFERROR(__xludf.DUMMYFUNCTION("""COMPUTED_VALUE"""),"缺貨")</f>
        <v>缺貨</v>
      </c>
      <c r="L476" s="12" t="str">
        <f ca="1">IFERROR(__xludf.DUMMYFUNCTION("""COMPUTED_VALUE"""),"缺貨")</f>
        <v>缺貨</v>
      </c>
      <c r="M476" s="12" t="str">
        <f ca="1">IFERROR(__xludf.DUMMYFUNCTION("""COMPUTED_VALUE"""),"2025/1/1缺貨 預計2025/4月到貨，4/1回價，2022/10/1新機上架")</f>
        <v>2025/1/1缺貨 預計2025/4月到貨，4/1回價，2022/10/1新機上架</v>
      </c>
      <c r="N476" s="12" t="str">
        <f ca="1">IFERROR(__xludf.DUMMYFUNCTION("""COMPUTED_VALUE"""),"空氣清淨機耗材")</f>
        <v>空氣清淨機耗材</v>
      </c>
      <c r="O476" s="12" t="str">
        <f ca="1">IFERROR(__xludf.DUMMYFUNCTION("""COMPUTED_VALUE"""),"白")</f>
        <v>白</v>
      </c>
      <c r="P476" s="12" t="str">
        <f ca="1">IFERROR(__xludf.DUMMYFUNCTION("""COMPUTED_VALUE"""),"◆淨重 0.58kg")</f>
        <v>◆淨重 0.58kg</v>
      </c>
      <c r="Q476" s="12" t="str">
        <f ca="1">IFERROR(__xludf.DUMMYFUNCTION("""COMPUTED_VALUE"""),"150*200*200mm")</f>
        <v>150*200*200mm</v>
      </c>
      <c r="R476" s="12" t="str">
        <f ca="1">IFERROR(__xludf.DUMMYFUNCTION("""COMPUTED_VALUE"""),"中國")</f>
        <v>中國</v>
      </c>
      <c r="S476" s="12"/>
      <c r="T476" s="12"/>
      <c r="U476" s="22" t="str">
        <f ca="1">IFERROR(__xludf.DUMMYFUNCTION("""COMPUTED_VALUE"""),"耗材無保固")</f>
        <v>耗材無保固</v>
      </c>
      <c r="V476" s="12"/>
      <c r="W476" s="12"/>
      <c r="X476" s="12"/>
      <c r="Y476" s="12"/>
      <c r="Z476" s="14"/>
      <c r="AA476" s="15" t="str">
        <f ca="1">IFERROR(__xludf.DUMMYFUNCTION("""COMPUTED_VALUE"""),"HEPA 13濾網")</f>
        <v>HEPA 13濾網</v>
      </c>
    </row>
    <row r="477" spans="1:27" ht="19.5" customHeight="1">
      <c r="A477" s="12" t="str">
        <f ca="1">IFERROR(__xludf.DUMMYFUNCTION("""COMPUTED_VALUE"""),"空氣清淨機")</f>
        <v>空氣清淨機</v>
      </c>
      <c r="B477" s="12" t="str">
        <f ca="1">IFERROR(__xludf.DUMMYFUNCTION("""COMPUTED_VALUE"""),"凱創")</f>
        <v>凱創</v>
      </c>
      <c r="C477" s="12" t="str">
        <f ca="1">IFERROR(__xludf.DUMMYFUNCTION("""COMPUTED_VALUE"""),"TOSHIBA")</f>
        <v>TOSHIBA</v>
      </c>
      <c r="D477" s="12" t="str">
        <f ca="1">IFERROR(__xludf.DUMMYFUNCTION("""COMPUTED_VALUE"""),"東芝TOSHIBA 6-10坪 智能淨化空氣清淨機(白)CAF-A450TW(W)+專用濾網CAF-A450TW(W)SF*1")</f>
        <v>東芝TOSHIBA 6-10坪 智能淨化空氣清淨機(白)CAF-A450TW(W)+專用濾網CAF-A450TW(W)SF*1</v>
      </c>
      <c r="E477" s="12" t="str">
        <f ca="1">IFERROR(__xludf.DUMMYFUNCTION("""COMPUTED_VALUE"""),"CAF-A450TW(W)+ CAF-A450TW(W)SF")</f>
        <v>CAF-A450TW(W)+ CAF-A450TW(W)SF</v>
      </c>
      <c r="F477" s="12">
        <f ca="1">IFERROR(__xludf.DUMMYFUNCTION("""COMPUTED_VALUE"""),51084291)</f>
        <v>51084291</v>
      </c>
      <c r="G477" s="12" t="str">
        <f ca="1">IFERROR(__xludf.DUMMYFUNCTION("""COMPUTED_VALUE"""),"IGEM068Y")</f>
        <v>IGEM068Y</v>
      </c>
      <c r="H477" s="12">
        <f ca="1">IFERROR(__xludf.DUMMYFUNCTION("""COMPUTED_VALUE"""),7660)</f>
        <v>7660</v>
      </c>
      <c r="I477" s="14">
        <f ca="1">IFERROR(__xludf.DUMMYFUNCTION("""COMPUTED_VALUE"""),5790)</f>
        <v>5790</v>
      </c>
      <c r="J477" s="21">
        <f ca="1">IFERROR(__xludf.DUMMYFUNCTION("""COMPUTED_VALUE"""),45658)</f>
        <v>45658</v>
      </c>
      <c r="K477" s="12" t="str">
        <f ca="1">IFERROR(__xludf.DUMMYFUNCTION("""COMPUTED_VALUE"""),"缺貨")</f>
        <v>缺貨</v>
      </c>
      <c r="L477" s="12" t="str">
        <f ca="1">IFERROR(__xludf.DUMMYFUNCTION("""COMPUTED_VALUE"""),"缺貨")</f>
        <v>缺貨</v>
      </c>
      <c r="M477" s="12" t="str">
        <f ca="1">IFERROR(__xludf.DUMMYFUNCTION("""COMPUTED_VALUE"""),"2025/1/1缺貨 預計2025/4月到貨，10/1短促，2022/10/1新機上架")</f>
        <v>2025/1/1缺貨 預計2025/4月到貨，10/1短促，2022/10/1新機上架</v>
      </c>
      <c r="N477" s="12" t="str">
        <f ca="1">IFERROR(__xludf.DUMMYFUNCTION("""COMPUTED_VALUE"""),"空氣清淨機")</f>
        <v>空氣清淨機</v>
      </c>
      <c r="O477" s="12" t="str">
        <f ca="1">IFERROR(__xludf.DUMMYFUNCTION("""COMPUTED_VALUE"""),"白")</f>
        <v>白</v>
      </c>
      <c r="P477" s="12" t="str">
        <f ca="1">IFERROR(__xludf.DUMMYFUNCTION("""COMPUTED_VALUE"""),"主機
◆額定電壓 : 100-240V
◆消耗功率 : 22W
◆機體淨重：3.55KG
濾網
◆毛重 0.58kg")</f>
        <v>主機
◆額定電壓 : 100-240V
◆消耗功率 : 22W
◆機體淨重：3.55KG
濾網
◆毛重 0.58kg</v>
      </c>
      <c r="Q477" s="12" t="str">
        <f ca="1">IFERROR(__xludf.DUMMYFUNCTION("""COMPUTED_VALUE"""),"主機：(高)378*240*240mm
濾網：(高)150*200*200mm")</f>
        <v>主機：(高)378*240*240mm
濾網：(高)150*200*200mm</v>
      </c>
      <c r="R477" s="12" t="str">
        <f ca="1">IFERROR(__xludf.DUMMYFUNCTION("""COMPUTED_VALUE"""),"中國")</f>
        <v>中國</v>
      </c>
      <c r="S477" s="12"/>
      <c r="T477" s="12"/>
      <c r="U477" s="22" t="str">
        <f ca="1">IFERROR(__xludf.DUMMYFUNCTION("""COMPUTED_VALUE"""),"主機保固1年")</f>
        <v>主機保固1年</v>
      </c>
      <c r="V477" s="12"/>
      <c r="W477" s="12"/>
      <c r="X477" s="12"/>
      <c r="Y477" s="12"/>
      <c r="Z477" s="14"/>
      <c r="AA477" s="15" t="str">
        <f ca="1">IFERROR(__xludf.DUMMYFUNCTION("""COMPUTED_VALUE"""),"*風速檔位：4段*定時設定：3段(2-4-6h)*濾網更換提醒*情境模式2段(Auto/Sleep)*LED空氣品質指示燈(紅/橘/綠/藍)*睡眠模式會關閉顯示版光源*人性化濾網外蓋設計，快拆可水洗*H13 True HEPA filter (過濾99.97%的微小過敏原，過濾揮發性有機化合物和細菌）*內含1個濾網")</f>
        <v>*風速檔位：4段*定時設定：3段(2-4-6h)*濾網更換提醒*情境模式2段(Auto/Sleep)*LED空氣品質指示燈(紅/橘/綠/藍)*睡眠模式會關閉顯示版光源*人性化濾網外蓋設計，快拆可水洗*H13 True HEPA filter (過濾99.97%的微小過敏原，過濾揮發性有機化合物和細菌）*內含1個濾網</v>
      </c>
    </row>
    <row r="478" spans="1:27" ht="19.5" customHeight="1">
      <c r="A478" s="12" t="str">
        <f ca="1">IFERROR(__xludf.DUMMYFUNCTION("""COMPUTED_VALUE"""),"冰箱")</f>
        <v>冰箱</v>
      </c>
      <c r="B478" s="12" t="str">
        <f ca="1">IFERROR(__xludf.DUMMYFUNCTION("""COMPUTED_VALUE"""),"台灣三洋")</f>
        <v>台灣三洋</v>
      </c>
      <c r="C478" s="12" t="str">
        <f ca="1">IFERROR(__xludf.DUMMYFUNCTION("""COMPUTED_VALUE"""),"台灣三洋")</f>
        <v>台灣三洋</v>
      </c>
      <c r="D478" s="12" t="str">
        <f ca="1">IFERROR(__xludf.DUMMYFUNCTION("""COMPUTED_VALUE"""),"台灣三洋129公升雙門變頻冰箱SR-C130BV1")</f>
        <v>台灣三洋129公升雙門變頻冰箱SR-C130BV1</v>
      </c>
      <c r="E478" s="12" t="str">
        <f ca="1">IFERROR(__xludf.DUMMYFUNCTION("""COMPUTED_VALUE"""),"SR-C130BV1")</f>
        <v>SR-C130BV1</v>
      </c>
      <c r="F478" s="12">
        <f ca="1">IFERROR(__xludf.DUMMYFUNCTION("""COMPUTED_VALUE"""),51075065)</f>
        <v>51075065</v>
      </c>
      <c r="G478" s="12" t="str">
        <f ca="1">IFERROR(__xludf.DUMMYFUNCTION("""COMPUTED_VALUE"""),"IGEM075A")</f>
        <v>IGEM075A</v>
      </c>
      <c r="H478" s="13">
        <f ca="1">IFERROR(__xludf.DUMMYFUNCTION("""COMPUTED_VALUE"""),12890)</f>
        <v>12890</v>
      </c>
      <c r="I478" s="14">
        <f ca="1">IFERROR(__xludf.DUMMYFUNCTION("""COMPUTED_VALUE"""),10900)</f>
        <v>10900</v>
      </c>
      <c r="J478" s="16">
        <f ca="1">IFERROR(__xludf.DUMMYFUNCTION("""COMPUTED_VALUE"""),45646)</f>
        <v>45646</v>
      </c>
      <c r="K478" s="12" t="str">
        <f ca="1">IFERROR(__xludf.DUMMYFUNCTION("""COMPUTED_VALUE"""),"到貨")</f>
        <v>到貨</v>
      </c>
      <c r="L478" s="12" t="str">
        <f ca="1">IFERROR(__xludf.DUMMYFUNCTION("""COMPUTED_VALUE"""),"上架中")</f>
        <v>上架中</v>
      </c>
      <c r="M478" s="12" t="str">
        <f ca="1">IFERROR(__xludf.DUMMYFUNCTION("""COMPUTED_VALUE"""),"12/20到貨")</f>
        <v>12/20到貨</v>
      </c>
      <c r="N478" s="12" t="str">
        <f ca="1">IFERROR(__xludf.DUMMYFUNCTION("""COMPUTED_VALUE"""),"雙門變頻")</f>
        <v>雙門變頻</v>
      </c>
      <c r="O478" s="12" t="str">
        <f ca="1">IFERROR(__xludf.DUMMYFUNCTION("""COMPUTED_VALUE"""),"白")</f>
        <v>白</v>
      </c>
      <c r="P478" s="12" t="str">
        <f ca="1">IFERROR(__xludf.DUMMYFUNCTION("""COMPUTED_VALUE"""),"129公升")</f>
        <v>129公升</v>
      </c>
      <c r="Q478" s="12" t="str">
        <f ca="1">IFERROR(__xludf.DUMMYFUNCTION("""COMPUTED_VALUE"""),"高1103*寬485*深569mm")</f>
        <v>高1103*寬485*深569mm</v>
      </c>
      <c r="R478" s="12" t="str">
        <f ca="1">IFERROR(__xludf.DUMMYFUNCTION("""COMPUTED_VALUE"""),"台灣")</f>
        <v>台灣</v>
      </c>
      <c r="S478" s="22" t="str">
        <f ca="1">IFERROR(__xludf.DUMMYFUNCTION("""COMPUTED_VALUE"""),"V")</f>
        <v>V</v>
      </c>
      <c r="T478" s="13" t="str">
        <f ca="1">IFERROR(__xludf.DUMMYFUNCTION("""COMPUTED_VALUE"""),"1級能效")</f>
        <v>1級能效</v>
      </c>
      <c r="U478" s="22" t="str">
        <f ca="1">IFERROR(__xludf.DUMMYFUNCTION("""COMPUTED_VALUE"""),"1年")</f>
        <v>1年</v>
      </c>
      <c r="V478" s="22" t="str">
        <f ca="1">IFERROR(__xludf.DUMMYFUNCTION("""COMPUTED_VALUE"""),"1年")</f>
        <v>1年</v>
      </c>
      <c r="W478" s="12"/>
      <c r="X478" s="12"/>
      <c r="Y478" s="12">
        <f ca="1">IFERROR(__xludf.DUMMYFUNCTION("""COMPUTED_VALUE"""),129)</f>
        <v>129</v>
      </c>
      <c r="Z478" s="14">
        <f ca="1">IFERROR(__xludf.DUMMYFUNCTION("""COMPUTED_VALUE"""),500)</f>
        <v>500</v>
      </c>
      <c r="AA478" s="15" t="str">
        <f ca="1">IFERROR(__xludf.DUMMYFUNCTION("""COMPUTED_VALUE"""),"*R600a環保冷媒*隱藏式把手*蔬果保鮮室*冷藏室LED燈")</f>
        <v>*R600a環保冷媒*隱藏式把手*蔬果保鮮室*冷藏室LED燈</v>
      </c>
    </row>
    <row r="479" spans="1:27" ht="19.5" customHeight="1">
      <c r="A479" s="12" t="str">
        <f ca="1">IFERROR(__xludf.DUMMYFUNCTION("""COMPUTED_VALUE"""),"冰箱")</f>
        <v>冰箱</v>
      </c>
      <c r="B479" s="12" t="str">
        <f ca="1">IFERROR(__xludf.DUMMYFUNCTION("""COMPUTED_VALUE"""),"台灣三洋")</f>
        <v>台灣三洋</v>
      </c>
      <c r="C479" s="12" t="str">
        <f ca="1">IFERROR(__xludf.DUMMYFUNCTION("""COMPUTED_VALUE"""),"台灣三洋")</f>
        <v>台灣三洋</v>
      </c>
      <c r="D479" s="12" t="str">
        <f ca="1">IFERROR(__xludf.DUMMYFUNCTION("""COMPUTED_VALUE"""),"台灣三洋210公升雙門變頻冰箱SR-C210BV1A")</f>
        <v>台灣三洋210公升雙門變頻冰箱SR-C210BV1A</v>
      </c>
      <c r="E479" s="12" t="str">
        <f ca="1">IFERROR(__xludf.DUMMYFUNCTION("""COMPUTED_VALUE"""),"SR-C210BV1A")</f>
        <v>SR-C210BV1A</v>
      </c>
      <c r="F479" s="12">
        <f ca="1">IFERROR(__xludf.DUMMYFUNCTION("""COMPUTED_VALUE"""),51075066)</f>
        <v>51075066</v>
      </c>
      <c r="G479" s="12" t="str">
        <f ca="1">IFERROR(__xludf.DUMMYFUNCTION("""COMPUTED_VALUE"""),"IGEM075B")</f>
        <v>IGEM075B</v>
      </c>
      <c r="H479" s="13">
        <f ca="1">IFERROR(__xludf.DUMMYFUNCTION("""COMPUTED_VALUE"""),17390)</f>
        <v>17390</v>
      </c>
      <c r="I479" s="14">
        <f ca="1">IFERROR(__xludf.DUMMYFUNCTION("""COMPUTED_VALUE"""),14200)</f>
        <v>14200</v>
      </c>
      <c r="J479" s="16">
        <f ca="1">IFERROR(__xludf.DUMMYFUNCTION("""COMPUTED_VALUE"""),45505)</f>
        <v>45505</v>
      </c>
      <c r="K479" s="12" t="str">
        <f ca="1">IFERROR(__xludf.DUMMYFUNCTION("""COMPUTED_VALUE"""),"短促")</f>
        <v>短促</v>
      </c>
      <c r="L479" s="12" t="str">
        <f ca="1">IFERROR(__xludf.DUMMYFUNCTION("""COMPUTED_VALUE"""),"上架中")</f>
        <v>上架中</v>
      </c>
      <c r="M479" s="12" t="str">
        <f ca="1">IFERROR(__xludf.DUMMYFUNCTION("""COMPUTED_VALUE"""),"3/1新機上架")</f>
        <v>3/1新機上架</v>
      </c>
      <c r="N479" s="12" t="str">
        <f ca="1">IFERROR(__xludf.DUMMYFUNCTION("""COMPUTED_VALUE"""),"雙門變頻")</f>
        <v>雙門變頻</v>
      </c>
      <c r="O479" s="12" t="str">
        <f ca="1">IFERROR(__xludf.DUMMYFUNCTION("""COMPUTED_VALUE"""),"灰")</f>
        <v>灰</v>
      </c>
      <c r="P479" s="12" t="str">
        <f ca="1">IFERROR(__xludf.DUMMYFUNCTION("""COMPUTED_VALUE"""),"210公升")</f>
        <v>210公升</v>
      </c>
      <c r="Q479" s="12" t="str">
        <f ca="1">IFERROR(__xludf.DUMMYFUNCTION("""COMPUTED_VALUE"""),"高1465*寬545*深590mm")</f>
        <v>高1465*寬545*深590mm</v>
      </c>
      <c r="R479" s="12" t="str">
        <f ca="1">IFERROR(__xludf.DUMMYFUNCTION("""COMPUTED_VALUE"""),"台灣")</f>
        <v>台灣</v>
      </c>
      <c r="S479" s="22" t="str">
        <f ca="1">IFERROR(__xludf.DUMMYFUNCTION("""COMPUTED_VALUE"""),"V")</f>
        <v>V</v>
      </c>
      <c r="T479" s="13" t="str">
        <f ca="1">IFERROR(__xludf.DUMMYFUNCTION("""COMPUTED_VALUE"""),"1級能效")</f>
        <v>1級能效</v>
      </c>
      <c r="U479" s="22" t="str">
        <f ca="1">IFERROR(__xludf.DUMMYFUNCTION("""COMPUTED_VALUE"""),"1年")</f>
        <v>1年</v>
      </c>
      <c r="V479" s="22" t="str">
        <f ca="1">IFERROR(__xludf.DUMMYFUNCTION("""COMPUTED_VALUE"""),"1年")</f>
        <v>1年</v>
      </c>
      <c r="W479" s="12"/>
      <c r="X479" s="12"/>
      <c r="Y479" s="12">
        <f ca="1">IFERROR(__xludf.DUMMYFUNCTION("""COMPUTED_VALUE"""),210)</f>
        <v>210</v>
      </c>
      <c r="Z479" s="14" t="str">
        <f ca="1">IFERROR(__xludf.DUMMYFUNCTION("""COMPUTED_VALUE"""),"1200")</f>
        <v>1200</v>
      </c>
      <c r="AA479" s="15" t="str">
        <f ca="1">IFERROR(__xludf.DUMMYFUNCTION("""COMPUTED_VALUE"""),"*R600a環保冷媒*多層風流出風口*蔬果保鮮室*冷藏室LED燈")</f>
        <v>*R600a環保冷媒*多層風流出風口*蔬果保鮮室*冷藏室LED燈</v>
      </c>
    </row>
    <row r="480" spans="1:27" ht="19.5" customHeight="1">
      <c r="A480" s="12" t="str">
        <f ca="1">IFERROR(__xludf.DUMMYFUNCTION("""COMPUTED_VALUE"""),"冰箱")</f>
        <v>冰箱</v>
      </c>
      <c r="B480" s="12" t="str">
        <f ca="1">IFERROR(__xludf.DUMMYFUNCTION("""COMPUTED_VALUE"""),"台灣三洋")</f>
        <v>台灣三洋</v>
      </c>
      <c r="C480" s="12" t="str">
        <f ca="1">IFERROR(__xludf.DUMMYFUNCTION("""COMPUTED_VALUE"""),"台灣三洋")</f>
        <v>台灣三洋</v>
      </c>
      <c r="D480" s="12" t="str">
        <f ca="1">IFERROR(__xludf.DUMMYFUNCTION("""COMPUTED_VALUE"""),"台灣三洋250公升雙門變頻冰箱SR-C250BV1A")</f>
        <v>台灣三洋250公升雙門變頻冰箱SR-C250BV1A</v>
      </c>
      <c r="E480" s="12" t="str">
        <f ca="1">IFERROR(__xludf.DUMMYFUNCTION("""COMPUTED_VALUE"""),"SR-C250BV1A")</f>
        <v>SR-C250BV1A</v>
      </c>
      <c r="F480" s="12">
        <f ca="1">IFERROR(__xludf.DUMMYFUNCTION("""COMPUTED_VALUE"""),51075067)</f>
        <v>51075067</v>
      </c>
      <c r="G480" s="12" t="str">
        <f ca="1">IFERROR(__xludf.DUMMYFUNCTION("""COMPUTED_VALUE"""),"IGEM075C")</f>
        <v>IGEM075C</v>
      </c>
      <c r="H480" s="13">
        <f ca="1">IFERROR(__xludf.DUMMYFUNCTION("""COMPUTED_VALUE"""),18390)</f>
        <v>18390</v>
      </c>
      <c r="I480" s="14">
        <f ca="1">IFERROR(__xludf.DUMMYFUNCTION("""COMPUTED_VALUE"""),16600)</f>
        <v>16600</v>
      </c>
      <c r="J480" s="16">
        <f ca="1">IFERROR(__xludf.DUMMYFUNCTION("""COMPUTED_VALUE"""),45292)</f>
        <v>45292</v>
      </c>
      <c r="K480" s="12" t="str">
        <f ca="1">IFERROR(__xludf.DUMMYFUNCTION("""COMPUTED_VALUE"""),"回價")</f>
        <v>回價</v>
      </c>
      <c r="L480" s="12" t="str">
        <f ca="1">IFERROR(__xludf.DUMMYFUNCTION("""COMPUTED_VALUE"""),"上架中")</f>
        <v>上架中</v>
      </c>
      <c r="M480" s="12" t="str">
        <f ca="1">IFERROR(__xludf.DUMMYFUNCTION("""COMPUTED_VALUE"""),"3/1新機上架")</f>
        <v>3/1新機上架</v>
      </c>
      <c r="N480" s="12" t="str">
        <f ca="1">IFERROR(__xludf.DUMMYFUNCTION("""COMPUTED_VALUE"""),"雙門變頻")</f>
        <v>雙門變頻</v>
      </c>
      <c r="O480" s="12" t="str">
        <f ca="1">IFERROR(__xludf.DUMMYFUNCTION("""COMPUTED_VALUE"""),"灰")</f>
        <v>灰</v>
      </c>
      <c r="P480" s="12" t="str">
        <f ca="1">IFERROR(__xludf.DUMMYFUNCTION("""COMPUTED_VALUE"""),"250公升")</f>
        <v>250公升</v>
      </c>
      <c r="Q480" s="12" t="str">
        <f ca="1">IFERROR(__xludf.DUMMYFUNCTION("""COMPUTED_VALUE"""),"高1700*寬545*深590mm")</f>
        <v>高1700*寬545*深590mm</v>
      </c>
      <c r="R480" s="12" t="str">
        <f ca="1">IFERROR(__xludf.DUMMYFUNCTION("""COMPUTED_VALUE"""),"台灣")</f>
        <v>台灣</v>
      </c>
      <c r="S480" s="22" t="str">
        <f ca="1">IFERROR(__xludf.DUMMYFUNCTION("""COMPUTED_VALUE"""),"V")</f>
        <v>V</v>
      </c>
      <c r="T480" s="13" t="str">
        <f ca="1">IFERROR(__xludf.DUMMYFUNCTION("""COMPUTED_VALUE"""),"1級能效")</f>
        <v>1級能效</v>
      </c>
      <c r="U480" s="22" t="str">
        <f ca="1">IFERROR(__xludf.DUMMYFUNCTION("""COMPUTED_VALUE"""),"1年")</f>
        <v>1年</v>
      </c>
      <c r="V480" s="22" t="str">
        <f ca="1">IFERROR(__xludf.DUMMYFUNCTION("""COMPUTED_VALUE"""),"1年")</f>
        <v>1年</v>
      </c>
      <c r="W480" s="12"/>
      <c r="X480" s="12"/>
      <c r="Y480" s="12">
        <f ca="1">IFERROR(__xludf.DUMMYFUNCTION("""COMPUTED_VALUE"""),250)</f>
        <v>250</v>
      </c>
      <c r="Z480" s="14" t="str">
        <f ca="1">IFERROR(__xludf.DUMMYFUNCTION("""COMPUTED_VALUE"""),"1200")</f>
        <v>1200</v>
      </c>
      <c r="AA480" s="15" t="str">
        <f ca="1">IFERROR(__xludf.DUMMYFUNCTION("""COMPUTED_VALUE"""),"R600a環保冷媒、多層風流出風口、蔬果保鮮室、冷藏室LED燈")</f>
        <v>R600a環保冷媒、多層風流出風口、蔬果保鮮室、冷藏室LED燈</v>
      </c>
    </row>
    <row r="481" spans="1:27" ht="19.5" customHeight="1">
      <c r="A481" s="12" t="str">
        <f ca="1">IFERROR(__xludf.DUMMYFUNCTION("""COMPUTED_VALUE"""),"冰箱")</f>
        <v>冰箱</v>
      </c>
      <c r="B481" s="12" t="str">
        <f ca="1">IFERROR(__xludf.DUMMYFUNCTION("""COMPUTED_VALUE"""),"台灣三洋")</f>
        <v>台灣三洋</v>
      </c>
      <c r="C481" s="12" t="str">
        <f ca="1">IFERROR(__xludf.DUMMYFUNCTION("""COMPUTED_VALUE"""),"台灣三洋")</f>
        <v>台灣三洋</v>
      </c>
      <c r="D481" s="12" t="str">
        <f ca="1">IFERROR(__xludf.DUMMYFUNCTION("""COMPUTED_VALUE"""),"台灣三洋606公升雙門變頻冰箱SR-V610B")</f>
        <v>台灣三洋606公升雙門變頻冰箱SR-V610B</v>
      </c>
      <c r="E481" s="12" t="str">
        <f ca="1">IFERROR(__xludf.DUMMYFUNCTION("""COMPUTED_VALUE"""),"SR-V610B")</f>
        <v>SR-V610B</v>
      </c>
      <c r="F481" s="12">
        <f ca="1">IFERROR(__xludf.DUMMYFUNCTION("""COMPUTED_VALUE"""),51075069)</f>
        <v>51075069</v>
      </c>
      <c r="G481" s="12" t="str">
        <f ca="1">IFERROR(__xludf.DUMMYFUNCTION("""COMPUTED_VALUE"""),"IGEM075E")</f>
        <v>IGEM075E</v>
      </c>
      <c r="H481" s="13">
        <f ca="1">IFERROR(__xludf.DUMMYFUNCTION("""COMPUTED_VALUE"""),35900)</f>
        <v>35900</v>
      </c>
      <c r="I481" s="14">
        <f ca="1">IFERROR(__xludf.DUMMYFUNCTION("""COMPUTED_VALUE"""),31400)</f>
        <v>31400</v>
      </c>
      <c r="J481" s="16">
        <f ca="1">IFERROR(__xludf.DUMMYFUNCTION("""COMPUTED_VALUE"""),45292)</f>
        <v>45292</v>
      </c>
      <c r="K481" s="12" t="str">
        <f ca="1">IFERROR(__xludf.DUMMYFUNCTION("""COMPUTED_VALUE"""),"回價")</f>
        <v>回價</v>
      </c>
      <c r="L481" s="12" t="str">
        <f ca="1">IFERROR(__xludf.DUMMYFUNCTION("""COMPUTED_VALUE"""),"上架中")</f>
        <v>上架中</v>
      </c>
      <c r="M481" s="12"/>
      <c r="N481" s="12" t="str">
        <f ca="1">IFERROR(__xludf.DUMMYFUNCTION("""COMPUTED_VALUE"""),"雙門變頻")</f>
        <v>雙門變頻</v>
      </c>
      <c r="O481" s="12" t="str">
        <f ca="1">IFERROR(__xludf.DUMMYFUNCTION("""COMPUTED_VALUE"""),"銀")</f>
        <v>銀</v>
      </c>
      <c r="P481" s="12" t="str">
        <f ca="1">IFERROR(__xludf.DUMMYFUNCTION("""COMPUTED_VALUE"""),"606公升")</f>
        <v>606公升</v>
      </c>
      <c r="Q481" s="12" t="str">
        <f ca="1">IFERROR(__xludf.DUMMYFUNCTION("""COMPUTED_VALUE"""),"高1848*寬766*深774mm")</f>
        <v>高1848*寬766*深774mm</v>
      </c>
      <c r="R481" s="12" t="str">
        <f ca="1">IFERROR(__xludf.DUMMYFUNCTION("""COMPUTED_VALUE"""),"台灣")</f>
        <v>台灣</v>
      </c>
      <c r="S481" s="22" t="str">
        <f ca="1">IFERROR(__xludf.DUMMYFUNCTION("""COMPUTED_VALUE"""),"V")</f>
        <v>V</v>
      </c>
      <c r="T481" s="13" t="str">
        <f ca="1">IFERROR(__xludf.DUMMYFUNCTION("""COMPUTED_VALUE"""),"1級能效")</f>
        <v>1級能效</v>
      </c>
      <c r="U481" s="22" t="str">
        <f ca="1">IFERROR(__xludf.DUMMYFUNCTION("""COMPUTED_VALUE"""),"1年")</f>
        <v>1年</v>
      </c>
      <c r="V481" s="22" t="str">
        <f ca="1">IFERROR(__xludf.DUMMYFUNCTION("""COMPUTED_VALUE"""),"1年")</f>
        <v>1年</v>
      </c>
      <c r="W481" s="12"/>
      <c r="X481" s="12"/>
      <c r="Y481" s="12">
        <f ca="1">IFERROR(__xludf.DUMMYFUNCTION("""COMPUTED_VALUE"""),606)</f>
        <v>606</v>
      </c>
      <c r="Z481" s="14" t="str">
        <f ca="1">IFERROR(__xludf.DUMMYFUNCTION("""COMPUTED_VALUE"""),"2000")</f>
        <v>2000</v>
      </c>
      <c r="AA481" s="15" t="str">
        <f ca="1">IFERROR(__xludf.DUMMYFUNCTION("""COMPUTED_VALUE"""),"*加大蔬果室*R600a環保冷媒*觸控式溫度調整*急速冷凍*ECO節能")</f>
        <v>*加大蔬果室*R600a環保冷媒*觸控式溫度調整*急速冷凍*ECO節能</v>
      </c>
    </row>
    <row r="482" spans="1:27" ht="19.5" customHeight="1">
      <c r="A482" s="12" t="str">
        <f ca="1">IFERROR(__xludf.DUMMYFUNCTION("""COMPUTED_VALUE"""),"冰箱")</f>
        <v>冰箱</v>
      </c>
      <c r="B482" s="12" t="str">
        <f ca="1">IFERROR(__xludf.DUMMYFUNCTION("""COMPUTED_VALUE"""),"台灣三洋")</f>
        <v>台灣三洋</v>
      </c>
      <c r="C482" s="12" t="str">
        <f ca="1">IFERROR(__xludf.DUMMYFUNCTION("""COMPUTED_VALUE"""),"台灣三洋")</f>
        <v>台灣三洋</v>
      </c>
      <c r="D482" s="12" t="str">
        <f ca="1">IFERROR(__xludf.DUMMYFUNCTION("""COMPUTED_VALUE"""),"台灣三洋606公升三門變頻冰箱SR-V610C")</f>
        <v>台灣三洋606公升三門變頻冰箱SR-V610C</v>
      </c>
      <c r="E482" s="12" t="str">
        <f ca="1">IFERROR(__xludf.DUMMYFUNCTION("""COMPUTED_VALUE"""),"SR-V610C")</f>
        <v>SR-V610C</v>
      </c>
      <c r="F482" s="12">
        <f ca="1">IFERROR(__xludf.DUMMYFUNCTION("""COMPUTED_VALUE"""),51075070)</f>
        <v>51075070</v>
      </c>
      <c r="G482" s="12" t="str">
        <f ca="1">IFERROR(__xludf.DUMMYFUNCTION("""COMPUTED_VALUE"""),"IGEM075F")</f>
        <v>IGEM075F</v>
      </c>
      <c r="H482" s="13">
        <f ca="1">IFERROR(__xludf.DUMMYFUNCTION("""COMPUTED_VALUE"""),38500)</f>
        <v>38500</v>
      </c>
      <c r="I482" s="14">
        <f ca="1">IFERROR(__xludf.DUMMYFUNCTION("""COMPUTED_VALUE"""),33800)</f>
        <v>33800</v>
      </c>
      <c r="J482" s="16">
        <f ca="1">IFERROR(__xludf.DUMMYFUNCTION("""COMPUTED_VALUE"""),45292)</f>
        <v>45292</v>
      </c>
      <c r="K482" s="12" t="str">
        <f ca="1">IFERROR(__xludf.DUMMYFUNCTION("""COMPUTED_VALUE"""),"回價")</f>
        <v>回價</v>
      </c>
      <c r="L482" s="12" t="str">
        <f ca="1">IFERROR(__xludf.DUMMYFUNCTION("""COMPUTED_VALUE"""),"上架中")</f>
        <v>上架中</v>
      </c>
      <c r="M482" s="12"/>
      <c r="N482" s="12" t="str">
        <f ca="1">IFERROR(__xludf.DUMMYFUNCTION("""COMPUTED_VALUE"""),"三門變頻")</f>
        <v>三門變頻</v>
      </c>
      <c r="O482" s="12" t="str">
        <f ca="1">IFERROR(__xludf.DUMMYFUNCTION("""COMPUTED_VALUE"""),"銀")</f>
        <v>銀</v>
      </c>
      <c r="P482" s="12" t="str">
        <f ca="1">IFERROR(__xludf.DUMMYFUNCTION("""COMPUTED_VALUE"""),"606公升")</f>
        <v>606公升</v>
      </c>
      <c r="Q482" s="12" t="str">
        <f ca="1">IFERROR(__xludf.DUMMYFUNCTION("""COMPUTED_VALUE"""),"高1848*寬766*深774mm")</f>
        <v>高1848*寬766*深774mm</v>
      </c>
      <c r="R482" s="12" t="str">
        <f ca="1">IFERROR(__xludf.DUMMYFUNCTION("""COMPUTED_VALUE"""),"台灣")</f>
        <v>台灣</v>
      </c>
      <c r="S482" s="22" t="str">
        <f ca="1">IFERROR(__xludf.DUMMYFUNCTION("""COMPUTED_VALUE"""),"V")</f>
        <v>V</v>
      </c>
      <c r="T482" s="13" t="str">
        <f ca="1">IFERROR(__xludf.DUMMYFUNCTION("""COMPUTED_VALUE"""),"1級能效")</f>
        <v>1級能效</v>
      </c>
      <c r="U482" s="22" t="str">
        <f ca="1">IFERROR(__xludf.DUMMYFUNCTION("""COMPUTED_VALUE"""),"1年")</f>
        <v>1年</v>
      </c>
      <c r="V482" s="22" t="str">
        <f ca="1">IFERROR(__xludf.DUMMYFUNCTION("""COMPUTED_VALUE"""),"1年")</f>
        <v>1年</v>
      </c>
      <c r="W482" s="12"/>
      <c r="X482" s="12"/>
      <c r="Y482" s="12">
        <f ca="1">IFERROR(__xludf.DUMMYFUNCTION("""COMPUTED_VALUE"""),606)</f>
        <v>606</v>
      </c>
      <c r="Z482" s="14" t="str">
        <f ca="1">IFERROR(__xludf.DUMMYFUNCTION("""COMPUTED_VALUE"""),"2000")</f>
        <v>2000</v>
      </c>
      <c r="AA482" s="15" t="str">
        <f ca="1">IFERROR(__xludf.DUMMYFUNCTION("""COMPUTED_VALUE"""),"*R600a環保冷媒*觸控式溫度調整*急速冷凍*ECO節能")</f>
        <v>*R600a環保冷媒*觸控式溫度調整*急速冷凍*ECO節能</v>
      </c>
    </row>
    <row r="483" spans="1:27" ht="19.5" customHeight="1">
      <c r="A483" s="12" t="str">
        <f ca="1">IFERROR(__xludf.DUMMYFUNCTION("""COMPUTED_VALUE"""),"冰箱")</f>
        <v>冰箱</v>
      </c>
      <c r="B483" s="12" t="str">
        <f ca="1">IFERROR(__xludf.DUMMYFUNCTION("""COMPUTED_VALUE"""),"神腦")</f>
        <v>神腦</v>
      </c>
      <c r="C483" s="12" t="str">
        <f ca="1">IFERROR(__xludf.DUMMYFUNCTION("""COMPUTED_VALUE"""),"LG")</f>
        <v>LG</v>
      </c>
      <c r="D483" s="12" t="str">
        <f ca="1">IFERROR(__xludf.DUMMYFUNCTION("""COMPUTED_VALUE"""),"LG_734L敲敲看門中門冰箱(星月銀)_GR-QPLC82SS")</f>
        <v>LG_734L敲敲看門中門冰箱(星月銀)_GR-QPLC82SS</v>
      </c>
      <c r="E483" s="12" t="str">
        <f ca="1">IFERROR(__xludf.DUMMYFUNCTION("""COMPUTED_VALUE"""),"GR-QPLC82SS")</f>
        <v>GR-QPLC82SS</v>
      </c>
      <c r="F483" s="12">
        <f ca="1">IFERROR(__xludf.DUMMYFUNCTION("""COMPUTED_VALUE"""),51016586)</f>
        <v>51016586</v>
      </c>
      <c r="G483" s="12" t="str">
        <f ca="1">IFERROR(__xludf.DUMMYFUNCTION("""COMPUTED_VALUE"""),"IGEM116X")</f>
        <v>IGEM116X</v>
      </c>
      <c r="H483" s="13">
        <f ca="1">IFERROR(__xludf.DUMMYFUNCTION("""COMPUTED_VALUE"""),89900)</f>
        <v>89900</v>
      </c>
      <c r="I483" s="14">
        <f ca="1">IFERROR(__xludf.DUMMYFUNCTION("""COMPUTED_VALUE"""),78910)</f>
        <v>78910</v>
      </c>
      <c r="J483" s="16">
        <f ca="1">IFERROR(__xludf.DUMMYFUNCTION("""COMPUTED_VALUE"""),45658)</f>
        <v>45658</v>
      </c>
      <c r="K483" s="12" t="str">
        <f ca="1">IFERROR(__xludf.DUMMYFUNCTION("""COMPUTED_VALUE"""),"新機上架")</f>
        <v>新機上架</v>
      </c>
      <c r="L483" s="12" t="str">
        <f ca="1">IFERROR(__xludf.DUMMYFUNCTION("""COMPUTED_VALUE"""),"上架中")</f>
        <v>上架中</v>
      </c>
      <c r="M483" s="12" t="str">
        <f ca="1">IFERROR(__xludf.DUMMYFUNCTION("""COMPUTED_VALUE"""),"2025/1/1上架")</f>
        <v>2025/1/1上架</v>
      </c>
      <c r="N483" s="12" t="str">
        <f ca="1">IFERROR(__xludf.DUMMYFUNCTION("""COMPUTED_VALUE"""),"對開變頻")</f>
        <v>對開變頻</v>
      </c>
      <c r="O483" s="12" t="str">
        <f ca="1">IFERROR(__xludf.DUMMYFUNCTION("""COMPUTED_VALUE"""),"星月銀")</f>
        <v>星月銀</v>
      </c>
      <c r="P483" s="12" t="str">
        <f ca="1">IFERROR(__xludf.DUMMYFUNCTION("""COMPUTED_VALUE"""),"734L
")</f>
        <v xml:space="preserve">734L
</v>
      </c>
      <c r="Q483" s="12" t="str">
        <f ca="1">IFERROR(__xludf.DUMMYFUNCTION("""COMPUTED_VALUE"""),"1790*912*850mm")</f>
        <v>1790*912*850mm</v>
      </c>
      <c r="R483" s="12" t="str">
        <f ca="1">IFERROR(__xludf.DUMMYFUNCTION("""COMPUTED_VALUE"""),"墨西哥")</f>
        <v>墨西哥</v>
      </c>
      <c r="S483" s="12"/>
      <c r="T483" s="13" t="str">
        <f ca="1">IFERROR(__xludf.DUMMYFUNCTION("""COMPUTED_VALUE"""),"無")</f>
        <v>無</v>
      </c>
      <c r="U483" s="22" t="str">
        <f ca="1">IFERROR(__xludf.DUMMYFUNCTION("""COMPUTED_VALUE"""),"1年")</f>
        <v>1年</v>
      </c>
      <c r="V483" s="22" t="str">
        <f ca="1">IFERROR(__xludf.DUMMYFUNCTION("""COMPUTED_VALUE"""),"10年")</f>
        <v>10年</v>
      </c>
      <c r="W483" s="12"/>
      <c r="X483" s="12"/>
      <c r="Y483" s="12">
        <f ca="1">IFERROR(__xludf.DUMMYFUNCTION("""COMPUTED_VALUE"""),734)</f>
        <v>734</v>
      </c>
      <c r="Z483" s="14" t="str">
        <f ca="1">IFERROR(__xludf.DUMMYFUNCTION("""COMPUTED_VALUE"""),"2000")</f>
        <v>2000</v>
      </c>
      <c r="AA483" s="15" t="str">
        <f ca="1">IFERROR(__xludf.DUMMYFUNCTION("""COMPUTED_VALUE"""),"*輕敲兩下即可看到內部空間*DoorCooling+™ 四方吹冷流+™快冷且均冷 高效保鮮*Smart鮮淨過濾系統+99.999% 清新空氣去味除菌*LG ThinQ™隨時隨地 遠端操控")</f>
        <v>*輕敲兩下即可看到內部空間*DoorCooling+™ 四方吹冷流+™快冷且均冷 高效保鮮*Smart鮮淨過濾系統+99.999% 清新空氣去味除菌*LG ThinQ™隨時隨地 遠端操控</v>
      </c>
    </row>
    <row r="484" spans="1:27" ht="19.5" customHeight="1">
      <c r="A484" s="12" t="str">
        <f ca="1">IFERROR(__xludf.DUMMYFUNCTION("""COMPUTED_VALUE"""),"冰箱")</f>
        <v>冰箱</v>
      </c>
      <c r="B484" s="12" t="str">
        <f ca="1">IFERROR(__xludf.DUMMYFUNCTION("""COMPUTED_VALUE"""),"神腦")</f>
        <v>神腦</v>
      </c>
      <c r="C484" s="12" t="str">
        <f ca="1">IFERROR(__xludf.DUMMYFUNCTION("""COMPUTED_VALUE"""),"LG")</f>
        <v>LG</v>
      </c>
      <c r="D484" s="12" t="str">
        <f ca="1">IFERROR(__xludf.DUMMYFUNCTION("""COMPUTED_VALUE"""),"LG_653L 敲敲看門中門冰箱(夜墨黑)_GL-QL62MB")</f>
        <v>LG_653L 敲敲看門中門冰箱(夜墨黑)_GL-QL62MB</v>
      </c>
      <c r="E484" s="12" t="str">
        <f ca="1">IFERROR(__xludf.DUMMYFUNCTION("""COMPUTED_VALUE"""),"GL-QL62MB")</f>
        <v>GL-QL62MB</v>
      </c>
      <c r="F484" s="12">
        <f ca="1">IFERROR(__xludf.DUMMYFUNCTION("""COMPUTED_VALUE"""),51016587)</f>
        <v>51016587</v>
      </c>
      <c r="G484" s="12" t="str">
        <f ca="1">IFERROR(__xludf.DUMMYFUNCTION("""COMPUTED_VALUE"""),"IGEM116Y")</f>
        <v>IGEM116Y</v>
      </c>
      <c r="H484" s="13">
        <f ca="1">IFERROR(__xludf.DUMMYFUNCTION("""COMPUTED_VALUE"""),77900)</f>
        <v>77900</v>
      </c>
      <c r="I484" s="14">
        <f ca="1">IFERROR(__xludf.DUMMYFUNCTION("""COMPUTED_VALUE"""),70110)</f>
        <v>70110</v>
      </c>
      <c r="J484" s="16">
        <f ca="1">IFERROR(__xludf.DUMMYFUNCTION("""COMPUTED_VALUE"""),45658)</f>
        <v>45658</v>
      </c>
      <c r="K484" s="12" t="str">
        <f ca="1">IFERROR(__xludf.DUMMYFUNCTION("""COMPUTED_VALUE"""),"新機上架")</f>
        <v>新機上架</v>
      </c>
      <c r="L484" s="12" t="str">
        <f ca="1">IFERROR(__xludf.DUMMYFUNCTION("""COMPUTED_VALUE"""),"上架中")</f>
        <v>上架中</v>
      </c>
      <c r="M484" s="12" t="str">
        <f ca="1">IFERROR(__xludf.DUMMYFUNCTION("""COMPUTED_VALUE"""),"2025/1/1上架")</f>
        <v>2025/1/1上架</v>
      </c>
      <c r="N484" s="12" t="str">
        <f ca="1">IFERROR(__xludf.DUMMYFUNCTION("""COMPUTED_VALUE"""),"對開變頻")</f>
        <v>對開變頻</v>
      </c>
      <c r="O484" s="12" t="str">
        <f ca="1">IFERROR(__xludf.DUMMYFUNCTION("""COMPUTED_VALUE"""),"夜墨黑")</f>
        <v>夜墨黑</v>
      </c>
      <c r="P484" s="12" t="str">
        <f ca="1">IFERROR(__xludf.DUMMYFUNCTION("""COMPUTED_VALUE"""),"653L
")</f>
        <v xml:space="preserve">653L
</v>
      </c>
      <c r="Q484" s="12" t="str">
        <f ca="1">IFERROR(__xludf.DUMMYFUNCTION("""COMPUTED_VALUE"""),"1790*913*735mm")</f>
        <v>1790*913*735mm</v>
      </c>
      <c r="R484" s="12" t="str">
        <f ca="1">IFERROR(__xludf.DUMMYFUNCTION("""COMPUTED_VALUE"""),"印度")</f>
        <v>印度</v>
      </c>
      <c r="S484" s="12"/>
      <c r="T484" s="13" t="str">
        <f ca="1">IFERROR(__xludf.DUMMYFUNCTION("""COMPUTED_VALUE"""),"5級能效")</f>
        <v>5級能效</v>
      </c>
      <c r="U484" s="22" t="str">
        <f ca="1">IFERROR(__xludf.DUMMYFUNCTION("""COMPUTED_VALUE"""),"1年")</f>
        <v>1年</v>
      </c>
      <c r="V484" s="22" t="str">
        <f ca="1">IFERROR(__xludf.DUMMYFUNCTION("""COMPUTED_VALUE"""),"10年")</f>
        <v>10年</v>
      </c>
      <c r="W484" s="12"/>
      <c r="X484" s="12"/>
      <c r="Y484" s="12">
        <f ca="1">IFERROR(__xludf.DUMMYFUNCTION("""COMPUTED_VALUE"""),653)</f>
        <v>653</v>
      </c>
      <c r="Z484" s="14" t="str">
        <f ca="1">IFERROR(__xludf.DUMMYFUNCTION("""COMPUTED_VALUE"""),"2000")</f>
        <v>2000</v>
      </c>
      <c r="AA484" s="15" t="str">
        <f ca="1">IFERROR(__xludf.DUMMYFUNCTION("""COMPUTED_VALUE"""),"*輕敲兩下即可看到內部空間*DoorCooling+™ 四方吹冷流+™快冷且均冷 高效保鮮*Smart鮮淨過濾系統+99.999% 清新空氣去味除菌*LG ThinQ™隨時隨地 遠端操控")</f>
        <v>*輕敲兩下即可看到內部空間*DoorCooling+™ 四方吹冷流+™快冷且均冷 高效保鮮*Smart鮮淨過濾系統+99.999% 清新空氣去味除菌*LG ThinQ™隨時隨地 遠端操控</v>
      </c>
    </row>
    <row r="485" spans="1:27" ht="19.5" customHeight="1">
      <c r="A485" s="12" t="str">
        <f ca="1">IFERROR(__xludf.DUMMYFUNCTION("""COMPUTED_VALUE"""),"冰箱")</f>
        <v>冰箱</v>
      </c>
      <c r="B485" s="12" t="str">
        <f ca="1">IFERROR(__xludf.DUMMYFUNCTION("""COMPUTED_VALUE"""),"神腦")</f>
        <v>神腦</v>
      </c>
      <c r="C485" s="12" t="str">
        <f ca="1">IFERROR(__xludf.DUMMYFUNCTION("""COMPUTED_VALUE"""),"LG")</f>
        <v>LG</v>
      </c>
      <c r="D485" s="12" t="str">
        <f ca="1">IFERROR(__xludf.DUMMYFUNCTION("""COMPUTED_VALUE"""),"LG_653L WiFi 智慧變頻對開冰箱(亞麻白)_GL-BL62WM")</f>
        <v>LG_653L WiFi 智慧變頻對開冰箱(亞麻白)_GL-BL62WM</v>
      </c>
      <c r="E485" s="12" t="str">
        <f ca="1">IFERROR(__xludf.DUMMYFUNCTION("""COMPUTED_VALUE"""),"GL-BL62WM")</f>
        <v>GL-BL62WM</v>
      </c>
      <c r="F485" s="12">
        <f ca="1">IFERROR(__xludf.DUMMYFUNCTION("""COMPUTED_VALUE"""),51016588)</f>
        <v>51016588</v>
      </c>
      <c r="G485" s="12" t="str">
        <f ca="1">IFERROR(__xludf.DUMMYFUNCTION("""COMPUTED_VALUE"""),"IGEM116Z")</f>
        <v>IGEM116Z</v>
      </c>
      <c r="H485" s="13">
        <f ca="1">IFERROR(__xludf.DUMMYFUNCTION("""COMPUTED_VALUE"""),59900)</f>
        <v>59900</v>
      </c>
      <c r="I485" s="14">
        <f ca="1">IFERROR(__xludf.DUMMYFUNCTION("""COMPUTED_VALUE"""),53900)</f>
        <v>53900</v>
      </c>
      <c r="J485" s="16">
        <f ca="1">IFERROR(__xludf.DUMMYFUNCTION("""COMPUTED_VALUE"""),45658)</f>
        <v>45658</v>
      </c>
      <c r="K485" s="12" t="str">
        <f ca="1">IFERROR(__xludf.DUMMYFUNCTION("""COMPUTED_VALUE"""),"新機上架")</f>
        <v>新機上架</v>
      </c>
      <c r="L485" s="12" t="str">
        <f ca="1">IFERROR(__xludf.DUMMYFUNCTION("""COMPUTED_VALUE"""),"上架中")</f>
        <v>上架中</v>
      </c>
      <c r="M485" s="12" t="str">
        <f ca="1">IFERROR(__xludf.DUMMYFUNCTION("""COMPUTED_VALUE"""),"2025/1/1上架")</f>
        <v>2025/1/1上架</v>
      </c>
      <c r="N485" s="12" t="str">
        <f ca="1">IFERROR(__xludf.DUMMYFUNCTION("""COMPUTED_VALUE"""),"對開變頻")</f>
        <v>對開變頻</v>
      </c>
      <c r="O485" s="12" t="str">
        <f ca="1">IFERROR(__xludf.DUMMYFUNCTION("""COMPUTED_VALUE"""),"亞麻白")</f>
        <v>亞麻白</v>
      </c>
      <c r="P485" s="12" t="str">
        <f ca="1">IFERROR(__xludf.DUMMYFUNCTION("""COMPUTED_VALUE"""),"653L
")</f>
        <v xml:space="preserve">653L
</v>
      </c>
      <c r="Q485" s="12" t="str">
        <f ca="1">IFERROR(__xludf.DUMMYFUNCTION("""COMPUTED_VALUE"""),"1790*913*735mm")</f>
        <v>1790*913*735mm</v>
      </c>
      <c r="R485" s="12" t="str">
        <f ca="1">IFERROR(__xludf.DUMMYFUNCTION("""COMPUTED_VALUE"""),"印度")</f>
        <v>印度</v>
      </c>
      <c r="S485" s="12"/>
      <c r="T485" s="13" t="str">
        <f ca="1">IFERROR(__xludf.DUMMYFUNCTION("""COMPUTED_VALUE"""),"5級能效")</f>
        <v>5級能效</v>
      </c>
      <c r="U485" s="22" t="str">
        <f ca="1">IFERROR(__xludf.DUMMYFUNCTION("""COMPUTED_VALUE"""),"1年")</f>
        <v>1年</v>
      </c>
      <c r="V485" s="22" t="str">
        <f ca="1">IFERROR(__xludf.DUMMYFUNCTION("""COMPUTED_VALUE"""),"10年")</f>
        <v>10年</v>
      </c>
      <c r="W485" s="12"/>
      <c r="X485" s="12"/>
      <c r="Y485" s="12">
        <f ca="1">IFERROR(__xludf.DUMMYFUNCTION("""COMPUTED_VALUE"""),653)</f>
        <v>653</v>
      </c>
      <c r="Z485" s="14" t="str">
        <f ca="1">IFERROR(__xludf.DUMMYFUNCTION("""COMPUTED_VALUE"""),"2000")</f>
        <v>2000</v>
      </c>
      <c r="AA485" s="15" t="str">
        <f ca="1">IFERROR(__xludf.DUMMYFUNCTION("""COMPUTED_VALUE"""),"*Smart鮮淨過濾系統+*四方吹冷流+*急速冷凍*ThinQ (Wi-Fi)遠端智慧控制")</f>
        <v>*Smart鮮淨過濾系統+*四方吹冷流+*急速冷凍*ThinQ (Wi-Fi)遠端智慧控制</v>
      </c>
    </row>
    <row r="486" spans="1:27" ht="19.5" customHeight="1">
      <c r="A486" s="12" t="str">
        <f ca="1">IFERROR(__xludf.DUMMYFUNCTION("""COMPUTED_VALUE"""),"冰箱")</f>
        <v>冰箱</v>
      </c>
      <c r="B486" s="12" t="str">
        <f ca="1">IFERROR(__xludf.DUMMYFUNCTION("""COMPUTED_VALUE"""),"神腦")</f>
        <v>神腦</v>
      </c>
      <c r="C486" s="12" t="str">
        <f ca="1">IFERROR(__xludf.DUMMYFUNCTION("""COMPUTED_VALUE"""),"LG")</f>
        <v>LG</v>
      </c>
      <c r="D486" s="12" t="str">
        <f ca="1">IFERROR(__xludf.DUMMYFUNCTION("""COMPUTED_VALUE"""),"LG_335L 變頻雙門冰箱(星夜黑)_GN-L332BS")</f>
        <v>LG_335L 變頻雙門冰箱(星夜黑)_GN-L332BS</v>
      </c>
      <c r="E486" s="12" t="str">
        <f ca="1">IFERROR(__xludf.DUMMYFUNCTION("""COMPUTED_VALUE"""),"GN-L332BS")</f>
        <v>GN-L332BS</v>
      </c>
      <c r="F486" s="12">
        <f ca="1">IFERROR(__xludf.DUMMYFUNCTION("""COMPUTED_VALUE"""),51016589)</f>
        <v>51016589</v>
      </c>
      <c r="G486" s="12" t="str">
        <f ca="1">IFERROR(__xludf.DUMMYFUNCTION("""COMPUTED_VALUE"""),"IGEM1171")</f>
        <v>IGEM1171</v>
      </c>
      <c r="H486" s="13">
        <f ca="1">IFERROR(__xludf.DUMMYFUNCTION("""COMPUTED_VALUE"""),25900)</f>
        <v>25900</v>
      </c>
      <c r="I486" s="14">
        <f ca="1">IFERROR(__xludf.DUMMYFUNCTION("""COMPUTED_VALUE"""),20900)</f>
        <v>20900</v>
      </c>
      <c r="J486" s="16">
        <f ca="1">IFERROR(__xludf.DUMMYFUNCTION("""COMPUTED_VALUE"""),45658)</f>
        <v>45658</v>
      </c>
      <c r="K486" s="12" t="str">
        <f ca="1">IFERROR(__xludf.DUMMYFUNCTION("""COMPUTED_VALUE"""),"新機上架")</f>
        <v>新機上架</v>
      </c>
      <c r="L486" s="12" t="str">
        <f ca="1">IFERROR(__xludf.DUMMYFUNCTION("""COMPUTED_VALUE"""),"上架中")</f>
        <v>上架中</v>
      </c>
      <c r="M486" s="12" t="str">
        <f ca="1">IFERROR(__xludf.DUMMYFUNCTION("""COMPUTED_VALUE"""),"2025/1/1上架")</f>
        <v>2025/1/1上架</v>
      </c>
      <c r="N486" s="12" t="str">
        <f ca="1">IFERROR(__xludf.DUMMYFUNCTION("""COMPUTED_VALUE"""),"雙門變頻")</f>
        <v>雙門變頻</v>
      </c>
      <c r="O486" s="12" t="str">
        <f ca="1">IFERROR(__xludf.DUMMYFUNCTION("""COMPUTED_VALUE"""),"星夜黑")</f>
        <v>星夜黑</v>
      </c>
      <c r="P486" s="12" t="str">
        <f ca="1">IFERROR(__xludf.DUMMYFUNCTION("""COMPUTED_VALUE"""),"335L")</f>
        <v>335L</v>
      </c>
      <c r="Q486" s="12" t="str">
        <f ca="1">IFERROR(__xludf.DUMMYFUNCTION("""COMPUTED_VALUE""")," 1720xx600x 710mm")</f>
        <v xml:space="preserve"> 1720xx600x 710mm</v>
      </c>
      <c r="R486" s="12" t="str">
        <f ca="1">IFERROR(__xludf.DUMMYFUNCTION("""COMPUTED_VALUE"""),"印尼")</f>
        <v>印尼</v>
      </c>
      <c r="S486" s="12"/>
      <c r="T486" s="13" t="str">
        <f ca="1">IFERROR(__xludf.DUMMYFUNCTION("""COMPUTED_VALUE"""),"1級能效")</f>
        <v>1級能效</v>
      </c>
      <c r="U486" s="22" t="str">
        <f ca="1">IFERROR(__xludf.DUMMYFUNCTION("""COMPUTED_VALUE"""),"1年")</f>
        <v>1年</v>
      </c>
      <c r="V486" s="22" t="str">
        <f ca="1">IFERROR(__xludf.DUMMYFUNCTION("""COMPUTED_VALUE"""),"10年")</f>
        <v>10年</v>
      </c>
      <c r="W486" s="12"/>
      <c r="X486" s="12"/>
      <c r="Y486" s="12">
        <f ca="1">IFERROR(__xludf.DUMMYFUNCTION("""COMPUTED_VALUE"""),335)</f>
        <v>335</v>
      </c>
      <c r="Z486" s="14" t="str">
        <f ca="1">IFERROR(__xludf.DUMMYFUNCTION("""COMPUTED_VALUE"""),"1200")</f>
        <v>1200</v>
      </c>
      <c r="AA486" s="15" t="str">
        <f ca="1">IFERROR(__xludf.DUMMYFUNCTION("""COMPUTED_VALUE"""),"*直驅變頻精準溫控延長7天保鮮*四方吹冷流邊門冷流零死角*多重冷流 均冷且速冷")</f>
        <v>*直驅變頻精準溫控延長7天保鮮*四方吹冷流邊門冷流零死角*多重冷流 均冷且速冷</v>
      </c>
    </row>
    <row r="487" spans="1:27" ht="19.5" customHeight="1">
      <c r="A487" s="12" t="str">
        <f ca="1">IFERROR(__xludf.DUMMYFUNCTION("""COMPUTED_VALUE"""),"冰箱")</f>
        <v>冰箱</v>
      </c>
      <c r="B487" s="12" t="str">
        <f ca="1">IFERROR(__xludf.DUMMYFUNCTION("""COMPUTED_VALUE"""),"神腦")</f>
        <v>神腦</v>
      </c>
      <c r="C487" s="12" t="str">
        <f ca="1">IFERROR(__xludf.DUMMYFUNCTION("""COMPUTED_VALUE"""),"LG")</f>
        <v>LG</v>
      </c>
      <c r="D487" s="12" t="str">
        <f ca="1">IFERROR(__xludf.DUMMYFUNCTION("""COMPUTED_VALUE"""),"LG_217公升雙門變頻冰箱(星辰銀)_GV-L217SV")</f>
        <v>LG_217公升雙門變頻冰箱(星辰銀)_GV-L217SV</v>
      </c>
      <c r="E487" s="12" t="str">
        <f ca="1">IFERROR(__xludf.DUMMYFUNCTION("""COMPUTED_VALUE"""),"GV-L217SV")</f>
        <v>GV-L217SV</v>
      </c>
      <c r="F487" s="12">
        <f ca="1">IFERROR(__xludf.DUMMYFUNCTION("""COMPUTED_VALUE"""),51016590)</f>
        <v>51016590</v>
      </c>
      <c r="G487" s="12" t="str">
        <f ca="1">IFERROR(__xludf.DUMMYFUNCTION("""COMPUTED_VALUE"""),"IGEM1172")</f>
        <v>IGEM1172</v>
      </c>
      <c r="H487" s="13">
        <f ca="1">IFERROR(__xludf.DUMMYFUNCTION("""COMPUTED_VALUE"""),16490)</f>
        <v>16490</v>
      </c>
      <c r="I487" s="14">
        <f ca="1">IFERROR(__xludf.DUMMYFUNCTION("""COMPUTED_VALUE"""),13941)</f>
        <v>13941</v>
      </c>
      <c r="J487" s="16">
        <f ca="1">IFERROR(__xludf.DUMMYFUNCTION("""COMPUTED_VALUE"""),45658)</f>
        <v>45658</v>
      </c>
      <c r="K487" s="12" t="str">
        <f ca="1">IFERROR(__xludf.DUMMYFUNCTION("""COMPUTED_VALUE"""),"新機上架")</f>
        <v>新機上架</v>
      </c>
      <c r="L487" s="12" t="str">
        <f ca="1">IFERROR(__xludf.DUMMYFUNCTION("""COMPUTED_VALUE"""),"上架中")</f>
        <v>上架中</v>
      </c>
      <c r="M487" s="12" t="str">
        <f ca="1">IFERROR(__xludf.DUMMYFUNCTION("""COMPUTED_VALUE"""),"2025/1/1上架")</f>
        <v>2025/1/1上架</v>
      </c>
      <c r="N487" s="12" t="str">
        <f ca="1">IFERROR(__xludf.DUMMYFUNCTION("""COMPUTED_VALUE"""),"雙門變頻")</f>
        <v>雙門變頻</v>
      </c>
      <c r="O487" s="12" t="str">
        <f ca="1">IFERROR(__xludf.DUMMYFUNCTION("""COMPUTED_VALUE"""),"星辰銀")</f>
        <v>星辰銀</v>
      </c>
      <c r="P487" s="12" t="str">
        <f ca="1">IFERROR(__xludf.DUMMYFUNCTION("""COMPUTED_VALUE"""),"217L")</f>
        <v>217L</v>
      </c>
      <c r="Q487" s="12" t="str">
        <f ca="1">IFERROR(__xludf.DUMMYFUNCTION("""COMPUTED_VALUE"""),"1445x555x 637mm")</f>
        <v>1445x555x 637mm</v>
      </c>
      <c r="R487" s="12" t="str">
        <f ca="1">IFERROR(__xludf.DUMMYFUNCTION("""COMPUTED_VALUE"""),"印尼")</f>
        <v>印尼</v>
      </c>
      <c r="S487" s="12"/>
      <c r="T487" s="13" t="str">
        <f ca="1">IFERROR(__xludf.DUMMYFUNCTION("""COMPUTED_VALUE"""),"1級能效")</f>
        <v>1級能效</v>
      </c>
      <c r="U487" s="22" t="str">
        <f ca="1">IFERROR(__xludf.DUMMYFUNCTION("""COMPUTED_VALUE"""),"1年")</f>
        <v>1年</v>
      </c>
      <c r="V487" s="22" t="str">
        <f ca="1">IFERROR(__xludf.DUMMYFUNCTION("""COMPUTED_VALUE"""),"10年")</f>
        <v>10年</v>
      </c>
      <c r="W487" s="12"/>
      <c r="X487" s="12"/>
      <c r="Y487" s="12">
        <f ca="1">IFERROR(__xludf.DUMMYFUNCTION("""COMPUTED_VALUE"""),217)</f>
        <v>217</v>
      </c>
      <c r="Z487" s="14" t="str">
        <f ca="1">IFERROR(__xludf.DUMMYFUNCTION("""COMPUTED_VALUE"""),"1200")</f>
        <v>1200</v>
      </c>
      <c r="AA487" s="15" t="str">
        <f ca="1">IFERROR(__xludf.DUMMYFUNCTION("""COMPUTED_VALUE"""),"*直驅變頻精準溫控 延長7天保鮮*四方吹冷流⁺™，邊門冷流零死角，維持雞蛋牛奶新鮮*可拆式移動旋轉製冰盒，空間運用更靈活")</f>
        <v>*直驅變頻精準溫控 延長7天保鮮*四方吹冷流⁺™，邊門冷流零死角，維持雞蛋牛奶新鮮*可拆式移動旋轉製冰盒，空間運用更靈活</v>
      </c>
    </row>
    <row r="488" spans="1:27" ht="19.5" customHeight="1">
      <c r="A488" s="12" t="str">
        <f ca="1">IFERROR(__xludf.DUMMYFUNCTION("""COMPUTED_VALUE"""),"冰箱")</f>
        <v>冰箱</v>
      </c>
      <c r="B488" s="12" t="str">
        <f ca="1">IFERROR(__xludf.DUMMYFUNCTION("""COMPUTED_VALUE"""),"神腦")</f>
        <v>神腦</v>
      </c>
      <c r="C488" s="12" t="str">
        <f ca="1">IFERROR(__xludf.DUMMYFUNCTION("""COMPUTED_VALUE"""),"LG")</f>
        <v>LG</v>
      </c>
      <c r="D488" s="12" t="str">
        <f ca="1">IFERROR(__xludf.DUMMYFUNCTION("""COMPUTED_VALUE"""),"LG_266公升雙門變頻冰箱(星辰銀)_GV-L266SV")</f>
        <v>LG_266公升雙門變頻冰箱(星辰銀)_GV-L266SV</v>
      </c>
      <c r="E488" s="12" t="str">
        <f ca="1">IFERROR(__xludf.DUMMYFUNCTION("""COMPUTED_VALUE"""),"GV-L266SV")</f>
        <v>GV-L266SV</v>
      </c>
      <c r="F488" s="12">
        <f ca="1">IFERROR(__xludf.DUMMYFUNCTION("""COMPUTED_VALUE"""),51016591)</f>
        <v>51016591</v>
      </c>
      <c r="G488" s="12" t="str">
        <f ca="1">IFERROR(__xludf.DUMMYFUNCTION("""COMPUTED_VALUE"""),"IGEM1173")</f>
        <v>IGEM1173</v>
      </c>
      <c r="H488" s="13">
        <f ca="1">IFERROR(__xludf.DUMMYFUNCTION("""COMPUTED_VALUE"""),20490)</f>
        <v>20490</v>
      </c>
      <c r="I488" s="14">
        <f ca="1">IFERROR(__xludf.DUMMYFUNCTION("""COMPUTED_VALUE"""),16641)</f>
        <v>16641</v>
      </c>
      <c r="J488" s="16">
        <f ca="1">IFERROR(__xludf.DUMMYFUNCTION("""COMPUTED_VALUE"""),45658)</f>
        <v>45658</v>
      </c>
      <c r="K488" s="12" t="str">
        <f ca="1">IFERROR(__xludf.DUMMYFUNCTION("""COMPUTED_VALUE"""),"新機上架")</f>
        <v>新機上架</v>
      </c>
      <c r="L488" s="12" t="str">
        <f ca="1">IFERROR(__xludf.DUMMYFUNCTION("""COMPUTED_VALUE"""),"上架中")</f>
        <v>上架中</v>
      </c>
      <c r="M488" s="12" t="str">
        <f ca="1">IFERROR(__xludf.DUMMYFUNCTION("""COMPUTED_VALUE"""),"2025/1/1上架")</f>
        <v>2025/1/1上架</v>
      </c>
      <c r="N488" s="12" t="str">
        <f ca="1">IFERROR(__xludf.DUMMYFUNCTION("""COMPUTED_VALUE"""),"雙門變頻")</f>
        <v>雙門變頻</v>
      </c>
      <c r="O488" s="12" t="str">
        <f ca="1">IFERROR(__xludf.DUMMYFUNCTION("""COMPUTED_VALUE"""),"星辰銀")</f>
        <v>星辰銀</v>
      </c>
      <c r="P488" s="12" t="str">
        <f ca="1">IFERROR(__xludf.DUMMYFUNCTION("""COMPUTED_VALUE"""),"266L")</f>
        <v>266L</v>
      </c>
      <c r="Q488" s="12" t="str">
        <f ca="1">IFERROR(__xludf.DUMMYFUNCTION("""COMPUTED_VALUE"""),"1680x555x637mm")</f>
        <v>1680x555x637mm</v>
      </c>
      <c r="R488" s="12" t="str">
        <f ca="1">IFERROR(__xludf.DUMMYFUNCTION("""COMPUTED_VALUE"""),"印尼")</f>
        <v>印尼</v>
      </c>
      <c r="S488" s="12"/>
      <c r="T488" s="13" t="str">
        <f ca="1">IFERROR(__xludf.DUMMYFUNCTION("""COMPUTED_VALUE"""),"1級能效")</f>
        <v>1級能效</v>
      </c>
      <c r="U488" s="22" t="str">
        <f ca="1">IFERROR(__xludf.DUMMYFUNCTION("""COMPUTED_VALUE"""),"1年")</f>
        <v>1年</v>
      </c>
      <c r="V488" s="22" t="str">
        <f ca="1">IFERROR(__xludf.DUMMYFUNCTION("""COMPUTED_VALUE"""),"10年")</f>
        <v>10年</v>
      </c>
      <c r="W488" s="12"/>
      <c r="X488" s="12"/>
      <c r="Y488" s="12">
        <f ca="1">IFERROR(__xludf.DUMMYFUNCTION("""COMPUTED_VALUE"""),266)</f>
        <v>266</v>
      </c>
      <c r="Z488" s="14" t="str">
        <f ca="1">IFERROR(__xludf.DUMMYFUNCTION("""COMPUTED_VALUE"""),"1200")</f>
        <v>1200</v>
      </c>
      <c r="AA488" s="15" t="str">
        <f ca="1">IFERROR(__xludf.DUMMYFUNCTION("""COMPUTED_VALUE"""),"*直驅變頻精準溫控延長7天保鮮*多重冷流均冷且速冷")</f>
        <v>*直驅變頻精準溫控延長7天保鮮*多重冷流均冷且速冷</v>
      </c>
    </row>
    <row r="489" spans="1:27" ht="19.5" customHeight="1">
      <c r="A489" s="12" t="str">
        <f ca="1">IFERROR(__xludf.DUMMYFUNCTION("""COMPUTED_VALUE"""),"冰箱")</f>
        <v>冰箱</v>
      </c>
      <c r="B489" s="12" t="str">
        <f ca="1">IFERROR(__xludf.DUMMYFUNCTION("""COMPUTED_VALUE"""),"神腦")</f>
        <v>神腦</v>
      </c>
      <c r="C489" s="12" t="str">
        <f ca="1">IFERROR(__xludf.DUMMYFUNCTION("""COMPUTED_VALUE"""),"LG")</f>
        <v>LG</v>
      </c>
      <c r="D489" s="12" t="str">
        <f ca="1">IFERROR(__xludf.DUMMYFUNCTION("""COMPUTED_VALUE"""),"LG_395公升雙門變頻冰箱(星夜黑)_GN-HL392BSN")</f>
        <v>LG_395公升雙門變頻冰箱(星夜黑)_GN-HL392BSN</v>
      </c>
      <c r="E489" s="12" t="str">
        <f ca="1">IFERROR(__xludf.DUMMYFUNCTION("""COMPUTED_VALUE"""),"GN-HL392BSN")</f>
        <v>GN-HL392BSN</v>
      </c>
      <c r="F489" s="12">
        <f ca="1">IFERROR(__xludf.DUMMYFUNCTION("""COMPUTED_VALUE"""),51016592)</f>
        <v>51016592</v>
      </c>
      <c r="G489" s="12" t="str">
        <f ca="1">IFERROR(__xludf.DUMMYFUNCTION("""COMPUTED_VALUE"""),"IGEM1174")</f>
        <v>IGEM1174</v>
      </c>
      <c r="H489" s="13">
        <f ca="1">IFERROR(__xludf.DUMMYFUNCTION("""COMPUTED_VALUE"""),24900)</f>
        <v>24900</v>
      </c>
      <c r="I489" s="14">
        <f ca="1">IFERROR(__xludf.DUMMYFUNCTION("""COMPUTED_VALUE"""),22410)</f>
        <v>22410</v>
      </c>
      <c r="J489" s="16">
        <f ca="1">IFERROR(__xludf.DUMMYFUNCTION("""COMPUTED_VALUE"""),45658)</f>
        <v>45658</v>
      </c>
      <c r="K489" s="12" t="str">
        <f ca="1">IFERROR(__xludf.DUMMYFUNCTION("""COMPUTED_VALUE"""),"新機上架")</f>
        <v>新機上架</v>
      </c>
      <c r="L489" s="12" t="str">
        <f ca="1">IFERROR(__xludf.DUMMYFUNCTION("""COMPUTED_VALUE"""),"上架中")</f>
        <v>上架中</v>
      </c>
      <c r="M489" s="12" t="str">
        <f ca="1">IFERROR(__xludf.DUMMYFUNCTION("""COMPUTED_VALUE"""),"2025/1/1上架")</f>
        <v>2025/1/1上架</v>
      </c>
      <c r="N489" s="12" t="str">
        <f ca="1">IFERROR(__xludf.DUMMYFUNCTION("""COMPUTED_VALUE"""),"雙門變頻")</f>
        <v>雙門變頻</v>
      </c>
      <c r="O489" s="12" t="str">
        <f ca="1">IFERROR(__xludf.DUMMYFUNCTION("""COMPUTED_VALUE"""),"星夜黑")</f>
        <v>星夜黑</v>
      </c>
      <c r="P489" s="12" t="str">
        <f ca="1">IFERROR(__xludf.DUMMYFUNCTION("""COMPUTED_VALUE"""),"395L")</f>
        <v>395L</v>
      </c>
      <c r="Q489" s="12" t="str">
        <f ca="1">IFERROR(__xludf.DUMMYFUNCTION("""COMPUTED_VALUE"""),"1793x727x 739mm")</f>
        <v>1793x727x 739mm</v>
      </c>
      <c r="R489" s="12" t="str">
        <f ca="1">IFERROR(__xludf.DUMMYFUNCTION("""COMPUTED_VALUE"""),"印尼")</f>
        <v>印尼</v>
      </c>
      <c r="S489" s="12"/>
      <c r="T489" s="13" t="str">
        <f ca="1">IFERROR(__xludf.DUMMYFUNCTION("""COMPUTED_VALUE"""),"1級能效")</f>
        <v>1級能效</v>
      </c>
      <c r="U489" s="22" t="str">
        <f ca="1">IFERROR(__xludf.DUMMYFUNCTION("""COMPUTED_VALUE"""),"1年")</f>
        <v>1年</v>
      </c>
      <c r="V489" s="22" t="str">
        <f ca="1">IFERROR(__xludf.DUMMYFUNCTION("""COMPUTED_VALUE"""),"10年")</f>
        <v>10年</v>
      </c>
      <c r="W489" s="12"/>
      <c r="X489" s="12"/>
      <c r="Y489" s="12">
        <f ca="1">IFERROR(__xludf.DUMMYFUNCTION("""COMPUTED_VALUE"""),395)</f>
        <v>395</v>
      </c>
      <c r="Z489" s="14" t="str">
        <f ca="1">IFERROR(__xludf.DUMMYFUNCTION("""COMPUTED_VALUE"""),"1200")</f>
        <v>1200</v>
      </c>
      <c r="AA489" s="15" t="str">
        <f ca="1">IFERROR(__xludf.DUMMYFUNCTION("""COMPUTED_VALUE"""),"*多重冷流 均冷且速冷*鮮淨過濾系統，去味除菌*直驅變頻精準溫控 延長7天保鮮")</f>
        <v>*多重冷流 均冷且速冷*鮮淨過濾系統，去味除菌*直驅變頻精準溫控 延長7天保鮮</v>
      </c>
    </row>
    <row r="490" spans="1:27" ht="19.5" customHeight="1">
      <c r="A490" s="12" t="str">
        <f ca="1">IFERROR(__xludf.DUMMYFUNCTION("""COMPUTED_VALUE"""),"冰箱")</f>
        <v>冰箱</v>
      </c>
      <c r="B490" s="12" t="str">
        <f ca="1">IFERROR(__xludf.DUMMYFUNCTION("""COMPUTED_VALUE"""),"神腦")</f>
        <v>神腦</v>
      </c>
      <c r="C490" s="12" t="str">
        <f ca="1">IFERROR(__xludf.DUMMYFUNCTION("""COMPUTED_VALUE"""),"LG")</f>
        <v>LG</v>
      </c>
      <c r="D490" s="12" t="str">
        <f ca="1">IFERROR(__xludf.DUMMYFUNCTION("""COMPUTED_VALUE"""),"LG_525公升雙門變頻冰箱(星辰銀)_GN-HL567SVN")</f>
        <v>LG_525公升雙門變頻冰箱(星辰銀)_GN-HL567SVN</v>
      </c>
      <c r="E490" s="12" t="str">
        <f ca="1">IFERROR(__xludf.DUMMYFUNCTION("""COMPUTED_VALUE"""),"GN-HL567SVN")</f>
        <v>GN-HL567SVN</v>
      </c>
      <c r="F490" s="12">
        <f ca="1">IFERROR(__xludf.DUMMYFUNCTION("""COMPUTED_VALUE"""),51016593)</f>
        <v>51016593</v>
      </c>
      <c r="G490" s="12" t="str">
        <f ca="1">IFERROR(__xludf.DUMMYFUNCTION("""COMPUTED_VALUE"""),"IGEM1175")</f>
        <v>IGEM1175</v>
      </c>
      <c r="H490" s="13">
        <f ca="1">IFERROR(__xludf.DUMMYFUNCTION("""COMPUTED_VALUE"""),28900)</f>
        <v>28900</v>
      </c>
      <c r="I490" s="14">
        <f ca="1">IFERROR(__xludf.DUMMYFUNCTION("""COMPUTED_VALUE"""),26010)</f>
        <v>26010</v>
      </c>
      <c r="J490" s="16">
        <f ca="1">IFERROR(__xludf.DUMMYFUNCTION("""COMPUTED_VALUE"""),45658)</f>
        <v>45658</v>
      </c>
      <c r="K490" s="12" t="str">
        <f ca="1">IFERROR(__xludf.DUMMYFUNCTION("""COMPUTED_VALUE"""),"新機上架")</f>
        <v>新機上架</v>
      </c>
      <c r="L490" s="12" t="str">
        <f ca="1">IFERROR(__xludf.DUMMYFUNCTION("""COMPUTED_VALUE"""),"上架中")</f>
        <v>上架中</v>
      </c>
      <c r="M490" s="12" t="str">
        <f ca="1">IFERROR(__xludf.DUMMYFUNCTION("""COMPUTED_VALUE"""),"2025/1/1上架")</f>
        <v>2025/1/1上架</v>
      </c>
      <c r="N490" s="12" t="str">
        <f ca="1">IFERROR(__xludf.DUMMYFUNCTION("""COMPUTED_VALUE"""),"雙門變頻")</f>
        <v>雙門變頻</v>
      </c>
      <c r="O490" s="12" t="str">
        <f ca="1">IFERROR(__xludf.DUMMYFUNCTION("""COMPUTED_VALUE"""),"星辰銀")</f>
        <v>星辰銀</v>
      </c>
      <c r="P490" s="12" t="str">
        <f ca="1">IFERROR(__xludf.DUMMYFUNCTION("""COMPUTED_VALUE"""),"525L")</f>
        <v>525L</v>
      </c>
      <c r="Q490" s="12" t="str">
        <f ca="1">IFERROR(__xludf.DUMMYFUNCTION("""COMPUTED_VALUE"""),"1800x780x730mm")</f>
        <v>1800x780x730mm</v>
      </c>
      <c r="R490" s="12" t="str">
        <f ca="1">IFERROR(__xludf.DUMMYFUNCTION("""COMPUTED_VALUE"""),"印尼")</f>
        <v>印尼</v>
      </c>
      <c r="S490" s="12"/>
      <c r="T490" s="13" t="str">
        <f ca="1">IFERROR(__xludf.DUMMYFUNCTION("""COMPUTED_VALUE"""),"1級能效")</f>
        <v>1級能效</v>
      </c>
      <c r="U490" s="22" t="str">
        <f ca="1">IFERROR(__xludf.DUMMYFUNCTION("""COMPUTED_VALUE"""),"1年")</f>
        <v>1年</v>
      </c>
      <c r="V490" s="22" t="str">
        <f ca="1">IFERROR(__xludf.DUMMYFUNCTION("""COMPUTED_VALUE"""),"10年")</f>
        <v>10年</v>
      </c>
      <c r="W490" s="12"/>
      <c r="X490" s="12"/>
      <c r="Y490" s="12">
        <f ca="1">IFERROR(__xludf.DUMMYFUNCTION("""COMPUTED_VALUE"""),525)</f>
        <v>525</v>
      </c>
      <c r="Z490" s="14" t="str">
        <f ca="1">IFERROR(__xludf.DUMMYFUNCTION("""COMPUTED_VALUE"""),"2000")</f>
        <v>2000</v>
      </c>
      <c r="AA490" s="15" t="str">
        <f ca="1">IFERROR(__xludf.DUMMYFUNCTION("""COMPUTED_VALUE"""),"*四方吹冷流+*WIFI 遠端遙控 LED 內部照明*0度低溫保鮮室")</f>
        <v>*四方吹冷流+*WIFI 遠端遙控 LED 內部照明*0度低溫保鮮室</v>
      </c>
    </row>
    <row r="491" spans="1:27" ht="19.5" customHeight="1">
      <c r="A491" s="12" t="str">
        <f ca="1">IFERROR(__xludf.DUMMYFUNCTION("""COMPUTED_VALUE"""),"冰箱")</f>
        <v>冰箱</v>
      </c>
      <c r="B491" s="12" t="str">
        <f ca="1">IFERROR(__xludf.DUMMYFUNCTION("""COMPUTED_VALUE"""),"神腦")</f>
        <v>神腦</v>
      </c>
      <c r="C491" s="12" t="str">
        <f ca="1">IFERROR(__xludf.DUMMYFUNCTION("""COMPUTED_VALUE"""),"LG")</f>
        <v>LG</v>
      </c>
      <c r="D491" s="12" t="str">
        <f ca="1">IFERROR(__xludf.DUMMYFUNCTION("""COMPUTED_VALUE"""),"LG_525公升雙門變頻冰箱鏡面(曜石黑)_GN-HL567GBN")</f>
        <v>LG_525公升雙門變頻冰箱鏡面(曜石黑)_GN-HL567GBN</v>
      </c>
      <c r="E491" s="12" t="str">
        <f ca="1">IFERROR(__xludf.DUMMYFUNCTION("""COMPUTED_VALUE"""),"GN-HL567GBN")</f>
        <v>GN-HL567GBN</v>
      </c>
      <c r="F491" s="12">
        <f ca="1">IFERROR(__xludf.DUMMYFUNCTION("""COMPUTED_VALUE"""),51016594)</f>
        <v>51016594</v>
      </c>
      <c r="G491" s="12" t="str">
        <f ca="1">IFERROR(__xludf.DUMMYFUNCTION("""COMPUTED_VALUE"""),"IGEM1176")</f>
        <v>IGEM1176</v>
      </c>
      <c r="H491" s="13">
        <f ca="1">IFERROR(__xludf.DUMMYFUNCTION("""COMPUTED_VALUE"""),29900)</f>
        <v>29900</v>
      </c>
      <c r="I491" s="14">
        <f ca="1">IFERROR(__xludf.DUMMYFUNCTION("""COMPUTED_VALUE"""),25900)</f>
        <v>25900</v>
      </c>
      <c r="J491" s="16">
        <f ca="1">IFERROR(__xludf.DUMMYFUNCTION("""COMPUTED_VALUE"""),45658)</f>
        <v>45658</v>
      </c>
      <c r="K491" s="12" t="str">
        <f ca="1">IFERROR(__xludf.DUMMYFUNCTION("""COMPUTED_VALUE"""),"新機上架")</f>
        <v>新機上架</v>
      </c>
      <c r="L491" s="12" t="str">
        <f ca="1">IFERROR(__xludf.DUMMYFUNCTION("""COMPUTED_VALUE"""),"上架中")</f>
        <v>上架中</v>
      </c>
      <c r="M491" s="12" t="str">
        <f ca="1">IFERROR(__xludf.DUMMYFUNCTION("""COMPUTED_VALUE"""),"2025/1/1上架")</f>
        <v>2025/1/1上架</v>
      </c>
      <c r="N491" s="12" t="str">
        <f ca="1">IFERROR(__xludf.DUMMYFUNCTION("""COMPUTED_VALUE"""),"雙門變頻")</f>
        <v>雙門變頻</v>
      </c>
      <c r="O491" s="12" t="str">
        <f ca="1">IFERROR(__xludf.DUMMYFUNCTION("""COMPUTED_VALUE"""),"曜石黑")</f>
        <v>曜石黑</v>
      </c>
      <c r="P491" s="12" t="str">
        <f ca="1">IFERROR(__xludf.DUMMYFUNCTION("""COMPUTED_VALUE"""),"525L")</f>
        <v>525L</v>
      </c>
      <c r="Q491" s="12" t="str">
        <f ca="1">IFERROR(__xludf.DUMMYFUNCTION("""COMPUTED_VALUE"""),"1800x780x730mm")</f>
        <v>1800x780x730mm</v>
      </c>
      <c r="R491" s="12" t="str">
        <f ca="1">IFERROR(__xludf.DUMMYFUNCTION("""COMPUTED_VALUE"""),"印尼")</f>
        <v>印尼</v>
      </c>
      <c r="S491" s="12"/>
      <c r="T491" s="13" t="str">
        <f ca="1">IFERROR(__xludf.DUMMYFUNCTION("""COMPUTED_VALUE"""),"1級能效")</f>
        <v>1級能效</v>
      </c>
      <c r="U491" s="22" t="str">
        <f ca="1">IFERROR(__xludf.DUMMYFUNCTION("""COMPUTED_VALUE"""),"1年")</f>
        <v>1年</v>
      </c>
      <c r="V491" s="22" t="str">
        <f ca="1">IFERROR(__xludf.DUMMYFUNCTION("""COMPUTED_VALUE"""),"10年")</f>
        <v>10年</v>
      </c>
      <c r="W491" s="12"/>
      <c r="X491" s="12"/>
      <c r="Y491" s="12">
        <f ca="1">IFERROR(__xludf.DUMMYFUNCTION("""COMPUTED_VALUE"""),525)</f>
        <v>525</v>
      </c>
      <c r="Z491" s="14" t="str">
        <f ca="1">IFERROR(__xludf.DUMMYFUNCTION("""COMPUTED_VALUE"""),"2000")</f>
        <v>2000</v>
      </c>
      <c r="AA491" s="15" t="str">
        <f ca="1">IFERROR(__xludf.DUMMYFUNCTION("""COMPUTED_VALUE"""),"*四方吹冷流+*WIFI 遠端遙控 LED 內部照明*0度低溫保鮮室")</f>
        <v>*四方吹冷流+*WIFI 遠端遙控 LED 內部照明*0度低溫保鮮室</v>
      </c>
    </row>
    <row r="492" spans="1:27" ht="19.5" customHeight="1">
      <c r="A492" s="12" t="str">
        <f ca="1">IFERROR(__xludf.DUMMYFUNCTION("""COMPUTED_VALUE"""),"冰箱")</f>
        <v>冰箱</v>
      </c>
      <c r="B492" s="12" t="str">
        <f ca="1">IFERROR(__xludf.DUMMYFUNCTION("""COMPUTED_VALUE"""),"神腦")</f>
        <v>神腦</v>
      </c>
      <c r="C492" s="12" t="str">
        <f ca="1">IFERROR(__xludf.DUMMYFUNCTION("""COMPUTED_VALUE"""),"LG")</f>
        <v>LG</v>
      </c>
      <c r="D492" s="12" t="str">
        <f ca="1">IFERROR(__xludf.DUMMYFUNCTION("""COMPUTED_VALUE"""),"LG_461公升雙門變頻冰箱星辰(銀)_GN-HL460PS")</f>
        <v>LG_461公升雙門變頻冰箱星辰(銀)_GN-HL460PS</v>
      </c>
      <c r="E492" s="12" t="str">
        <f ca="1">IFERROR(__xludf.DUMMYFUNCTION("""COMPUTED_VALUE"""),"GN-HL460PS")</f>
        <v>GN-HL460PS</v>
      </c>
      <c r="F492" s="12">
        <f ca="1">IFERROR(__xludf.DUMMYFUNCTION("""COMPUTED_VALUE"""),51016595)</f>
        <v>51016595</v>
      </c>
      <c r="G492" s="12" t="str">
        <f ca="1">IFERROR(__xludf.DUMMYFUNCTION("""COMPUTED_VALUE"""),"IGEM1177")</f>
        <v>IGEM1177</v>
      </c>
      <c r="H492" s="13">
        <f ca="1">IFERROR(__xludf.DUMMYFUNCTION("""COMPUTED_VALUE"""),26900)</f>
        <v>26900</v>
      </c>
      <c r="I492" s="14">
        <f ca="1">IFERROR(__xludf.DUMMYFUNCTION("""COMPUTED_VALUE"""),24210)</f>
        <v>24210</v>
      </c>
      <c r="J492" s="16">
        <f ca="1">IFERROR(__xludf.DUMMYFUNCTION("""COMPUTED_VALUE"""),45658)</f>
        <v>45658</v>
      </c>
      <c r="K492" s="12" t="str">
        <f ca="1">IFERROR(__xludf.DUMMYFUNCTION("""COMPUTED_VALUE"""),"新機上架")</f>
        <v>新機上架</v>
      </c>
      <c r="L492" s="12" t="str">
        <f ca="1">IFERROR(__xludf.DUMMYFUNCTION("""COMPUTED_VALUE"""),"上架中")</f>
        <v>上架中</v>
      </c>
      <c r="M492" s="12" t="str">
        <f ca="1">IFERROR(__xludf.DUMMYFUNCTION("""COMPUTED_VALUE"""),"2025/1/1上架")</f>
        <v>2025/1/1上架</v>
      </c>
      <c r="N492" s="12" t="str">
        <f ca="1">IFERROR(__xludf.DUMMYFUNCTION("""COMPUTED_VALUE"""),"雙門變頻")</f>
        <v>雙門變頻</v>
      </c>
      <c r="O492" s="12" t="str">
        <f ca="1">IFERROR(__xludf.DUMMYFUNCTION("""COMPUTED_VALUE"""),"星辰銀")</f>
        <v>星辰銀</v>
      </c>
      <c r="P492" s="12" t="str">
        <f ca="1">IFERROR(__xludf.DUMMYFUNCTION("""COMPUTED_VALUE"""),"461L")</f>
        <v>461L</v>
      </c>
      <c r="Q492" s="12" t="str">
        <f ca="1">IFERROR(__xludf.DUMMYFUNCTION("""COMPUTED_VALUE"""),"1845*700*725mm")</f>
        <v>1845*700*725mm</v>
      </c>
      <c r="R492" s="12" t="str">
        <f ca="1">IFERROR(__xludf.DUMMYFUNCTION("""COMPUTED_VALUE"""),"印尼")</f>
        <v>印尼</v>
      </c>
      <c r="S492" s="12"/>
      <c r="T492" s="13" t="str">
        <f ca="1">IFERROR(__xludf.DUMMYFUNCTION("""COMPUTED_VALUE"""),"1級能效")</f>
        <v>1級能效</v>
      </c>
      <c r="U492" s="22" t="str">
        <f ca="1">IFERROR(__xludf.DUMMYFUNCTION("""COMPUTED_VALUE"""),"1年")</f>
        <v>1年</v>
      </c>
      <c r="V492" s="22" t="str">
        <f ca="1">IFERROR(__xludf.DUMMYFUNCTION("""COMPUTED_VALUE"""),"10年")</f>
        <v>10年</v>
      </c>
      <c r="W492" s="12"/>
      <c r="X492" s="12"/>
      <c r="Y492" s="12">
        <f ca="1">IFERROR(__xludf.DUMMYFUNCTION("""COMPUTED_VALUE"""),461)</f>
        <v>461</v>
      </c>
      <c r="Z492" s="14" t="str">
        <f ca="1">IFERROR(__xludf.DUMMYFUNCTION("""COMPUTED_VALUE"""),"2000")</f>
        <v>2000</v>
      </c>
      <c r="AA492" s="15" t="str">
        <f ca="1">IFERROR(__xludf.DUMMYFUNCTION("""COMPUTED_VALUE"""),"*Smart鮮淨過濾系統+*四方吹冷流+*急速冷凍*ThinQ (Wi-Fi)遠端智慧控制")</f>
        <v>*Smart鮮淨過濾系統+*四方吹冷流+*急速冷凍*ThinQ (Wi-Fi)遠端智慧控制</v>
      </c>
    </row>
    <row r="493" spans="1:27" ht="19.5" customHeight="1">
      <c r="A493" s="12" t="str">
        <f ca="1">IFERROR(__xludf.DUMMYFUNCTION("""COMPUTED_VALUE"""),"冰箱")</f>
        <v>冰箱</v>
      </c>
      <c r="B493" s="12" t="str">
        <f ca="1">IFERROR(__xludf.DUMMYFUNCTION("""COMPUTED_VALUE"""),"神腦")</f>
        <v>神腦</v>
      </c>
      <c r="C493" s="12" t="str">
        <f ca="1">IFERROR(__xludf.DUMMYFUNCTION("""COMPUTED_VALUE"""),"LG")</f>
        <v>LG</v>
      </c>
      <c r="D493" s="12" t="str">
        <f ca="1">IFERROR(__xludf.DUMMYFUNCTION("""COMPUTED_VALUE"""),"LG_461公升雙門變頻冰箱鏡面(夜墨黑)_GN-HL460EB")</f>
        <v>LG_461公升雙門變頻冰箱鏡面(夜墨黑)_GN-HL460EB</v>
      </c>
      <c r="E493" s="12" t="str">
        <f ca="1">IFERROR(__xludf.DUMMYFUNCTION("""COMPUTED_VALUE"""),"GN-HL460EB")</f>
        <v>GN-HL460EB</v>
      </c>
      <c r="F493" s="12">
        <f ca="1">IFERROR(__xludf.DUMMYFUNCTION("""COMPUTED_VALUE"""),51016596)</f>
        <v>51016596</v>
      </c>
      <c r="G493" s="12" t="str">
        <f ca="1">IFERROR(__xludf.DUMMYFUNCTION("""COMPUTED_VALUE"""),"IGEM1178")</f>
        <v>IGEM1178</v>
      </c>
      <c r="H493" s="13">
        <f ca="1">IFERROR(__xludf.DUMMYFUNCTION("""COMPUTED_VALUE"""),26900)</f>
        <v>26900</v>
      </c>
      <c r="I493" s="14">
        <f ca="1">IFERROR(__xludf.DUMMYFUNCTION("""COMPUTED_VALUE"""),24210)</f>
        <v>24210</v>
      </c>
      <c r="J493" s="12"/>
      <c r="K493" s="12"/>
      <c r="L493" s="12" t="str">
        <f ca="1">IFERROR(__xludf.DUMMYFUNCTION("""COMPUTED_VALUE"""),"上架中")</f>
        <v>上架中</v>
      </c>
      <c r="M493" s="12" t="str">
        <f ca="1">IFERROR(__xludf.DUMMYFUNCTION("""COMPUTED_VALUE"""),"2025/1/1上架")</f>
        <v>2025/1/1上架</v>
      </c>
      <c r="N493" s="12" t="str">
        <f ca="1">IFERROR(__xludf.DUMMYFUNCTION("""COMPUTED_VALUE"""),"雙門變頻")</f>
        <v>雙門變頻</v>
      </c>
      <c r="O493" s="12" t="str">
        <f ca="1">IFERROR(__xludf.DUMMYFUNCTION("""COMPUTED_VALUE"""),"夜墨黑")</f>
        <v>夜墨黑</v>
      </c>
      <c r="P493" s="12" t="str">
        <f ca="1">IFERROR(__xludf.DUMMYFUNCTION("""COMPUTED_VALUE"""),"461L")</f>
        <v>461L</v>
      </c>
      <c r="Q493" s="12" t="str">
        <f ca="1">IFERROR(__xludf.DUMMYFUNCTION("""COMPUTED_VALUE"""),"1845*700*725mm")</f>
        <v>1845*700*725mm</v>
      </c>
      <c r="R493" s="12" t="str">
        <f ca="1">IFERROR(__xludf.DUMMYFUNCTION("""COMPUTED_VALUE"""),"印尼")</f>
        <v>印尼</v>
      </c>
      <c r="S493" s="12"/>
      <c r="T493" s="13" t="str">
        <f ca="1">IFERROR(__xludf.DUMMYFUNCTION("""COMPUTED_VALUE"""),"1級能效")</f>
        <v>1級能效</v>
      </c>
      <c r="U493" s="22" t="str">
        <f ca="1">IFERROR(__xludf.DUMMYFUNCTION("""COMPUTED_VALUE"""),"1年")</f>
        <v>1年</v>
      </c>
      <c r="V493" s="22" t="str">
        <f ca="1">IFERROR(__xludf.DUMMYFUNCTION("""COMPUTED_VALUE"""),"10年")</f>
        <v>10年</v>
      </c>
      <c r="W493" s="12"/>
      <c r="X493" s="12"/>
      <c r="Y493" s="12">
        <f ca="1">IFERROR(__xludf.DUMMYFUNCTION("""COMPUTED_VALUE"""),461)</f>
        <v>461</v>
      </c>
      <c r="Z493" s="14" t="str">
        <f ca="1">IFERROR(__xludf.DUMMYFUNCTION("""COMPUTED_VALUE"""),"2000")</f>
        <v>2000</v>
      </c>
      <c r="AA493" s="15" t="str">
        <f ca="1">IFERROR(__xludf.DUMMYFUNCTION("""COMPUTED_VALUE"""),"*Smart鮮淨過濾系統+*四方吹冷流+*急速冷凍*ThinQ (Wi-Fi)遠端智慧控制")</f>
        <v>*Smart鮮淨過濾系統+*四方吹冷流+*急速冷凍*ThinQ (Wi-Fi)遠端智慧控制</v>
      </c>
    </row>
    <row r="494" spans="1:27" ht="19.5" customHeight="1">
      <c r="A494" s="12" t="str">
        <f ca="1">IFERROR(__xludf.DUMMYFUNCTION("""COMPUTED_VALUE"""),"洗衣機")</f>
        <v>洗衣機</v>
      </c>
      <c r="B494" s="12" t="str">
        <f ca="1">IFERROR(__xludf.DUMMYFUNCTION("""COMPUTED_VALUE"""),"台灣三洋")</f>
        <v>台灣三洋</v>
      </c>
      <c r="C494" s="12" t="str">
        <f ca="1">IFERROR(__xludf.DUMMYFUNCTION("""COMPUTED_VALUE"""),"台灣三洋")</f>
        <v>台灣三洋</v>
      </c>
      <c r="D494" s="12" t="str">
        <f ca="1">IFERROR(__xludf.DUMMYFUNCTION("""COMPUTED_VALUE"""),"台灣三洋10公斤熱泵式乾衣機ASD-100UA")</f>
        <v>台灣三洋10公斤熱泵式乾衣機ASD-100UA</v>
      </c>
      <c r="E494" s="12" t="str">
        <f ca="1">IFERROR(__xludf.DUMMYFUNCTION("""COMPUTED_VALUE"""),"ASD-100UA")</f>
        <v>ASD-100UA</v>
      </c>
      <c r="F494" s="12">
        <f ca="1">IFERROR(__xludf.DUMMYFUNCTION("""COMPUTED_VALUE"""),51075071)</f>
        <v>51075071</v>
      </c>
      <c r="G494" s="12" t="str">
        <f ca="1">IFERROR(__xludf.DUMMYFUNCTION("""COMPUTED_VALUE"""),"IGEM075G")</f>
        <v>IGEM075G</v>
      </c>
      <c r="H494" s="13">
        <f ca="1">IFERROR(__xludf.DUMMYFUNCTION("""COMPUTED_VALUE"""),28900)</f>
        <v>28900</v>
      </c>
      <c r="I494" s="14">
        <f ca="1">IFERROR(__xludf.DUMMYFUNCTION("""COMPUTED_VALUE"""),25900)</f>
        <v>25900</v>
      </c>
      <c r="J494" s="12"/>
      <c r="K494" s="12"/>
      <c r="L494" s="12" t="str">
        <f ca="1">IFERROR(__xludf.DUMMYFUNCTION("""COMPUTED_VALUE"""),"缺貨")</f>
        <v>缺貨</v>
      </c>
      <c r="M494" s="12" t="str">
        <f ca="1">IFERROR(__xludf.DUMMYFUNCTION("""COMPUTED_VALUE"""),"暫停銷售")</f>
        <v>暫停銷售</v>
      </c>
      <c r="N494" s="12" t="str">
        <f ca="1">IFERROR(__xludf.DUMMYFUNCTION("""COMPUTED_VALUE"""),"乾衣機")</f>
        <v>乾衣機</v>
      </c>
      <c r="O494" s="12" t="str">
        <f ca="1">IFERROR(__xludf.DUMMYFUNCTION("""COMPUTED_VALUE"""),"灰")</f>
        <v>灰</v>
      </c>
      <c r="P494" s="12" t="str">
        <f ca="1">IFERROR(__xludf.DUMMYFUNCTION("""COMPUTED_VALUE"""),"10公斤")</f>
        <v>10公斤</v>
      </c>
      <c r="Q494" s="12" t="str">
        <f ca="1">IFERROR(__xludf.DUMMYFUNCTION("""COMPUTED_VALUE"""),"高850*寬595*深650mm")</f>
        <v>高850*寬595*深650mm</v>
      </c>
      <c r="R494" s="12" t="str">
        <f ca="1">IFERROR(__xludf.DUMMYFUNCTION("""COMPUTED_VALUE"""),"中國")</f>
        <v>中國</v>
      </c>
      <c r="S494" s="12" t="str">
        <f ca="1">IFERROR(__xludf.DUMMYFUNCTION("""COMPUTED_VALUE"""),"申請中")</f>
        <v>申請中</v>
      </c>
      <c r="T494" s="12"/>
      <c r="U494" s="22" t="str">
        <f ca="1">IFERROR(__xludf.DUMMYFUNCTION("""COMPUTED_VALUE"""),"1年")</f>
        <v>1年</v>
      </c>
      <c r="V494" s="22" t="str">
        <f ca="1">IFERROR(__xludf.DUMMYFUNCTION("""COMPUTED_VALUE"""),"1年")</f>
        <v>1年</v>
      </c>
      <c r="W494" s="12"/>
      <c r="X494" s="12"/>
      <c r="Y494" s="12"/>
      <c r="Z494" s="14"/>
      <c r="AA494" s="15" t="str">
        <f ca="1">IFERROR(__xludf.DUMMYFUNCTION("""COMPUTED_VALUE"""),"*熱泵式除溼型乾衣*三段供乾溫度*防皺除菌*24小時預約乾衣*不鏽鋼內槽")</f>
        <v>*熱泵式除溼型乾衣*三段供乾溫度*防皺除菌*24小時預約乾衣*不鏽鋼內槽</v>
      </c>
    </row>
    <row r="495" spans="1:27" ht="19.5" customHeight="1">
      <c r="A495" s="12" t="str">
        <f ca="1">IFERROR(__xludf.DUMMYFUNCTION("""COMPUTED_VALUE"""),"空氣清淨機")</f>
        <v>空氣清淨機</v>
      </c>
      <c r="B495" s="12" t="str">
        <f ca="1">IFERROR(__xludf.DUMMYFUNCTION("""COMPUTED_VALUE"""),"台灣三洋")</f>
        <v>台灣三洋</v>
      </c>
      <c r="C495" s="12" t="str">
        <f ca="1">IFERROR(__xludf.DUMMYFUNCTION("""COMPUTED_VALUE"""),"台灣三洋")</f>
        <v>台灣三洋</v>
      </c>
      <c r="D495" s="12" t="str">
        <f ca="1">IFERROR(__xludf.DUMMYFUNCTION("""COMPUTED_VALUE"""),"台灣三洋17坪HEPA空氣清淨機ABC-M9")</f>
        <v>台灣三洋17坪HEPA空氣清淨機ABC-M9</v>
      </c>
      <c r="E495" s="12" t="str">
        <f ca="1">IFERROR(__xludf.DUMMYFUNCTION("""COMPUTED_VALUE"""),"ABC-M9")</f>
        <v>ABC-M9</v>
      </c>
      <c r="F495" s="12">
        <f ca="1">IFERROR(__xludf.DUMMYFUNCTION("""COMPUTED_VALUE"""),51075061)</f>
        <v>51075061</v>
      </c>
      <c r="G495" s="12" t="str">
        <f ca="1">IFERROR(__xludf.DUMMYFUNCTION("""COMPUTED_VALUE"""),"IGEM0617")</f>
        <v>IGEM0617</v>
      </c>
      <c r="H495" s="12">
        <f ca="1">IFERROR(__xludf.DUMMYFUNCTION("""COMPUTED_VALUE"""),6590)</f>
        <v>6590</v>
      </c>
      <c r="I495" s="14">
        <f ca="1">IFERROR(__xludf.DUMMYFUNCTION("""COMPUTED_VALUE"""),5690)</f>
        <v>5690</v>
      </c>
      <c r="J495" s="16">
        <f ca="1">IFERROR(__xludf.DUMMYFUNCTION("""COMPUTED_VALUE"""),45700)</f>
        <v>45700</v>
      </c>
      <c r="K495" s="12" t="str">
        <f ca="1">IFERROR(__xludf.DUMMYFUNCTION("""COMPUTED_VALUE"""),"短促")</f>
        <v>短促</v>
      </c>
      <c r="L495" s="12" t="str">
        <f ca="1">IFERROR(__xludf.DUMMYFUNCTION("""COMPUTED_VALUE"""),"上架中")</f>
        <v>上架中</v>
      </c>
      <c r="M495" s="12" t="str">
        <f ca="1">IFERROR(__xludf.DUMMYFUNCTION("""COMPUTED_VALUE"""),"2025/2/13短促，2024/4/18到貨，1/4缺貨，2022/4/19新機上架")</f>
        <v>2025/2/13短促，2024/4/18到貨，1/4缺貨，2022/4/19新機上架</v>
      </c>
      <c r="N495" s="12" t="str">
        <f ca="1">IFERROR(__xludf.DUMMYFUNCTION("""COMPUTED_VALUE"""),"空氣清淨機")</f>
        <v>空氣清淨機</v>
      </c>
      <c r="O495" s="12" t="str">
        <f ca="1">IFERROR(__xludf.DUMMYFUNCTION("""COMPUTED_VALUE"""),"白")</f>
        <v>白</v>
      </c>
      <c r="P495" s="12" t="str">
        <f ca="1">IFERROR(__xludf.DUMMYFUNCTION("""COMPUTED_VALUE"""),"17坪")</f>
        <v>17坪</v>
      </c>
      <c r="Q495" s="12" t="str">
        <f ca="1">IFERROR(__xludf.DUMMYFUNCTION("""COMPUTED_VALUE"""),"高568*寬275*深275mm")</f>
        <v>高568*寬275*深275mm</v>
      </c>
      <c r="R495" s="12" t="str">
        <f ca="1">IFERROR(__xludf.DUMMYFUNCTION("""COMPUTED_VALUE"""),"中國")</f>
        <v>中國</v>
      </c>
      <c r="S495" s="12"/>
      <c r="T495" s="12"/>
      <c r="U495" s="22" t="str">
        <f ca="1">IFERROR(__xludf.DUMMYFUNCTION("""COMPUTED_VALUE"""),"1年")</f>
        <v>1年</v>
      </c>
      <c r="V495" s="12" t="str">
        <f ca="1">IFERROR(__xludf.DUMMYFUNCTION("""COMPUTED_VALUE"""),"1年")</f>
        <v>1年</v>
      </c>
      <c r="W495" s="12"/>
      <c r="X495" s="12"/>
      <c r="Y495" s="12"/>
      <c r="Z495" s="14"/>
      <c r="AA495" s="15" t="str">
        <f ca="1">IFERROR(__xludf.DUMMYFUNCTION("""COMPUTED_VALUE"""),"*LED顯示燈*UV+負離子抗菌*遙控超方便*HEPA高效率網")</f>
        <v>*LED顯示燈*UV+負離子抗菌*遙控超方便*HEPA高效率網</v>
      </c>
    </row>
    <row r="496" spans="1:27" ht="19.5" customHeight="1">
      <c r="A496" s="12" t="str">
        <f ca="1">IFERROR(__xludf.DUMMYFUNCTION("""COMPUTED_VALUE"""),"空調")</f>
        <v>空調</v>
      </c>
      <c r="B496" s="12" t="str">
        <f ca="1">IFERROR(__xludf.DUMMYFUNCTION("""COMPUTED_VALUE"""),"大同")</f>
        <v>大同</v>
      </c>
      <c r="C496" s="12" t="str">
        <f ca="1">IFERROR(__xludf.DUMMYFUNCTION("""COMPUTED_VALUE"""),"PANASONIC")</f>
        <v>PANASONIC</v>
      </c>
      <c r="D496" s="12" t="str">
        <f ca="1">IFERROR(__xludf.DUMMYFUNCTION("""COMPUTED_VALUE"""),"Panasonic2-4坪變頻右吹冷暖窗型冷氣CW-R22HA2")</f>
        <v>Panasonic2-4坪變頻右吹冷暖窗型冷氣CW-R22HA2</v>
      </c>
      <c r="E496" s="12" t="str">
        <f ca="1">IFERROR(__xludf.DUMMYFUNCTION("""COMPUTED_VALUE"""),"CW-R22HA2")</f>
        <v>CW-R22HA2</v>
      </c>
      <c r="F496" s="12">
        <f ca="1">IFERROR(__xludf.DUMMYFUNCTION("""COMPUTED_VALUE"""),51089453)</f>
        <v>51089453</v>
      </c>
      <c r="G496" s="12" t="str">
        <f ca="1">IFERROR(__xludf.DUMMYFUNCTION("""COMPUTED_VALUE"""),"IGEM076T")</f>
        <v>IGEM076T</v>
      </c>
      <c r="H496" s="13">
        <f ca="1">IFERROR(__xludf.DUMMYFUNCTION("""COMPUTED_VALUE"""),24500)</f>
        <v>24500</v>
      </c>
      <c r="I496" s="18">
        <f ca="1">IFERROR(__xludf.DUMMYFUNCTION("""COMPUTED_VALUE"""),23590)</f>
        <v>23590</v>
      </c>
      <c r="J496" s="16">
        <f ca="1">IFERROR(__xludf.DUMMYFUNCTION("""COMPUTED_VALUE"""),45658)</f>
        <v>45658</v>
      </c>
      <c r="K496" s="12" t="str">
        <f ca="1">IFERROR(__xludf.DUMMYFUNCTION("""COMPUTED_VALUE"""),"永久降價")</f>
        <v>永久降價</v>
      </c>
      <c r="L496" s="12" t="str">
        <f ca="1">IFERROR(__xludf.DUMMYFUNCTION("""COMPUTED_VALUE"""),"上架中")</f>
        <v>上架中</v>
      </c>
      <c r="M496" s="12" t="str">
        <f ca="1">IFERROR(__xludf.DUMMYFUNCTION("""COMPUTED_VALUE"""),"2025/1/1調降、2024/2/20調漲重新上架銷售，10/30調漲恢復供貨;10/5調漲缺貨,2023/7/21少量到貨；2023/5/5缺貨")</f>
        <v>2025/1/1調降、2024/2/20調漲重新上架銷售，10/30調漲恢復供貨;10/5調漲缺貨,2023/7/21少量到貨；2023/5/5缺貨</v>
      </c>
      <c r="N496" s="12" t="str">
        <f ca="1">IFERROR(__xludf.DUMMYFUNCTION("""COMPUTED_VALUE"""),"窗型變頻冷暖")</f>
        <v>窗型變頻冷暖</v>
      </c>
      <c r="O496" s="12" t="str">
        <f ca="1">IFERROR(__xludf.DUMMYFUNCTION("""COMPUTED_VALUE"""),"白")</f>
        <v>白</v>
      </c>
      <c r="P496" s="12" t="str">
        <f ca="1">IFERROR(__xludf.DUMMYFUNCTION("""COMPUTED_VALUE"""),"2-4坪")</f>
        <v>2-4坪</v>
      </c>
      <c r="Q496" s="23" t="str">
        <f ca="1">IFERROR(__xludf.DUMMYFUNCTION("""COMPUTED_VALUE"""),"346x560x655mm")</f>
        <v>346x560x655mm</v>
      </c>
      <c r="R496" s="12" t="str">
        <f ca="1">IFERROR(__xludf.DUMMYFUNCTION("""COMPUTED_VALUE"""),"菲律賓")</f>
        <v>菲律賓</v>
      </c>
      <c r="S496" s="22" t="str">
        <f ca="1">IFERROR(__xludf.DUMMYFUNCTION("""COMPUTED_VALUE"""),"V")</f>
        <v>V</v>
      </c>
      <c r="T496" s="13" t="str">
        <f ca="1">IFERROR(__xludf.DUMMYFUNCTION("""COMPUTED_VALUE"""),"1級能效")</f>
        <v>1級能效</v>
      </c>
      <c r="U496" s="22" t="str">
        <f ca="1">IFERROR(__xludf.DUMMYFUNCTION("""COMPUTED_VALUE"""),"7年")</f>
        <v>7年</v>
      </c>
      <c r="V496" s="12"/>
      <c r="W496"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496" s="12"/>
      <c r="Y496" s="12">
        <f ca="1">IFERROR(__xludf.DUMMYFUNCTION("""COMPUTED_VALUE"""),2.2)</f>
        <v>2.2000000000000002</v>
      </c>
      <c r="Z496" s="14">
        <f ca="1">IFERROR(__xludf.DUMMYFUNCTION("""COMPUTED_VALUE"""),1600)</f>
        <v>1600</v>
      </c>
      <c r="AA496" s="15" t="str">
        <f ca="1">IFERROR(__xludf.DUMMYFUNCTION("""COMPUTED_VALUE"""),"*自體淨*R32環保冷媒*高效率壓縮機*雙馬達")</f>
        <v>*自體淨*R32環保冷媒*高效率壓縮機*雙馬達</v>
      </c>
    </row>
    <row r="497" spans="1:27" ht="19.5" customHeight="1">
      <c r="A497" s="12" t="str">
        <f ca="1">IFERROR(__xludf.DUMMYFUNCTION("""COMPUTED_VALUE"""),"空調")</f>
        <v>空調</v>
      </c>
      <c r="B497" s="12" t="str">
        <f ca="1">IFERROR(__xludf.DUMMYFUNCTION("""COMPUTED_VALUE"""),"大同")</f>
        <v>大同</v>
      </c>
      <c r="C497" s="12" t="str">
        <f ca="1">IFERROR(__xludf.DUMMYFUNCTION("""COMPUTED_VALUE"""),"PANASONIC")</f>
        <v>PANASONIC</v>
      </c>
      <c r="D497" s="12" t="str">
        <f ca="1">IFERROR(__xludf.DUMMYFUNCTION("""COMPUTED_VALUE"""),"Panasonic4-5坪變頻右吹冷暖窗型冷氣CW-R28HA2")</f>
        <v>Panasonic4-5坪變頻右吹冷暖窗型冷氣CW-R28HA2</v>
      </c>
      <c r="E497" s="12" t="str">
        <f ca="1">IFERROR(__xludf.DUMMYFUNCTION("""COMPUTED_VALUE"""),"CW-R28HA2")</f>
        <v>CW-R28HA2</v>
      </c>
      <c r="F497" s="12">
        <f ca="1">IFERROR(__xludf.DUMMYFUNCTION("""COMPUTED_VALUE"""),51089454)</f>
        <v>51089454</v>
      </c>
      <c r="G497" s="12" t="str">
        <f ca="1">IFERROR(__xludf.DUMMYFUNCTION("""COMPUTED_VALUE"""),"IGEM076U")</f>
        <v>IGEM076U</v>
      </c>
      <c r="H497" s="13">
        <f ca="1">IFERROR(__xludf.DUMMYFUNCTION("""COMPUTED_VALUE"""),29700)</f>
        <v>29700</v>
      </c>
      <c r="I497" s="18">
        <f ca="1">IFERROR(__xludf.DUMMYFUNCTION("""COMPUTED_VALUE"""),28690)</f>
        <v>28690</v>
      </c>
      <c r="J497" s="16">
        <f ca="1">IFERROR(__xludf.DUMMYFUNCTION("""COMPUTED_VALUE"""),45658)</f>
        <v>45658</v>
      </c>
      <c r="K497" s="12" t="str">
        <f ca="1">IFERROR(__xludf.DUMMYFUNCTION("""COMPUTED_VALUE"""),"永久降價")</f>
        <v>永久降價</v>
      </c>
      <c r="L497" s="12" t="str">
        <f ca="1">IFERROR(__xludf.DUMMYFUNCTION("""COMPUTED_VALUE"""),"上架中")</f>
        <v>上架中</v>
      </c>
      <c r="M497" s="12" t="str">
        <f ca="1">IFERROR(__xludf.DUMMYFUNCTION("""COMPUTED_VALUE"""),"2025/1/1調降、2024/2/20調漲重新上架銷售，;10/30調漲恢復供貨;10/5調漲缺貨，2023/5/5缺貨")</f>
        <v>2025/1/1調降、2024/2/20調漲重新上架銷售，;10/30調漲恢復供貨;10/5調漲缺貨，2023/5/5缺貨</v>
      </c>
      <c r="N497" s="12" t="str">
        <f ca="1">IFERROR(__xludf.DUMMYFUNCTION("""COMPUTED_VALUE"""),"窗型變頻冷暖")</f>
        <v>窗型變頻冷暖</v>
      </c>
      <c r="O497" s="12" t="str">
        <f ca="1">IFERROR(__xludf.DUMMYFUNCTION("""COMPUTED_VALUE"""),"白")</f>
        <v>白</v>
      </c>
      <c r="P497" s="12" t="str">
        <f ca="1">IFERROR(__xludf.DUMMYFUNCTION("""COMPUTED_VALUE"""),"4-5坪")</f>
        <v>4-5坪</v>
      </c>
      <c r="Q497" s="23" t="str">
        <f ca="1">IFERROR(__xludf.DUMMYFUNCTION("""COMPUTED_VALUE"""),"400x600x710mm")</f>
        <v>400x600x710mm</v>
      </c>
      <c r="R497" s="12" t="str">
        <f ca="1">IFERROR(__xludf.DUMMYFUNCTION("""COMPUTED_VALUE"""),"菲律賓")</f>
        <v>菲律賓</v>
      </c>
      <c r="S497" s="22" t="str">
        <f ca="1">IFERROR(__xludf.DUMMYFUNCTION("""COMPUTED_VALUE"""),"V")</f>
        <v>V</v>
      </c>
      <c r="T497" s="13" t="str">
        <f ca="1">IFERROR(__xludf.DUMMYFUNCTION("""COMPUTED_VALUE"""),"1級能效")</f>
        <v>1級能效</v>
      </c>
      <c r="U497" s="22" t="str">
        <f ca="1">IFERROR(__xludf.DUMMYFUNCTION("""COMPUTED_VALUE"""),"7年")</f>
        <v>7年</v>
      </c>
      <c r="V497" s="12"/>
      <c r="W497"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497" s="12"/>
      <c r="Y497" s="12">
        <f ca="1">IFERROR(__xludf.DUMMYFUNCTION("""COMPUTED_VALUE"""),2.8)</f>
        <v>2.8</v>
      </c>
      <c r="Z497" s="14">
        <f ca="1">IFERROR(__xludf.DUMMYFUNCTION("""COMPUTED_VALUE"""),1600)</f>
        <v>1600</v>
      </c>
      <c r="AA497" s="15" t="str">
        <f ca="1">IFERROR(__xludf.DUMMYFUNCTION("""COMPUTED_VALUE"""),"*自體淨*R32環保冷媒*高效率壓縮機*雙馬達")</f>
        <v>*自體淨*R32環保冷媒*高效率壓縮機*雙馬達</v>
      </c>
    </row>
    <row r="498" spans="1:27" ht="19.5" customHeight="1">
      <c r="A498" s="12" t="str">
        <f ca="1">IFERROR(__xludf.DUMMYFUNCTION("""COMPUTED_VALUE"""),"空調")</f>
        <v>空調</v>
      </c>
      <c r="B498" s="12" t="str">
        <f ca="1">IFERROR(__xludf.DUMMYFUNCTION("""COMPUTED_VALUE"""),"大同")</f>
        <v>大同</v>
      </c>
      <c r="C498" s="12" t="str">
        <f ca="1">IFERROR(__xludf.DUMMYFUNCTION("""COMPUTED_VALUE"""),"PANASONIC")</f>
        <v>PANASONIC</v>
      </c>
      <c r="D498" s="12" t="str">
        <f ca="1">IFERROR(__xludf.DUMMYFUNCTION("""COMPUTED_VALUE"""),"Panasonic5-7坪變頻右吹冷暖窗型冷氣CW-R36HA2")</f>
        <v>Panasonic5-7坪變頻右吹冷暖窗型冷氣CW-R36HA2</v>
      </c>
      <c r="E498" s="12" t="str">
        <f ca="1">IFERROR(__xludf.DUMMYFUNCTION("""COMPUTED_VALUE"""),"CW-R36HA2")</f>
        <v>CW-R36HA2</v>
      </c>
      <c r="F498" s="12">
        <f ca="1">IFERROR(__xludf.DUMMYFUNCTION("""COMPUTED_VALUE"""),51089455)</f>
        <v>51089455</v>
      </c>
      <c r="G498" s="12" t="str">
        <f ca="1">IFERROR(__xludf.DUMMYFUNCTION("""COMPUTED_VALUE"""),"IGEM076V")</f>
        <v>IGEM076V</v>
      </c>
      <c r="H498" s="13">
        <f ca="1">IFERROR(__xludf.DUMMYFUNCTION("""COMPUTED_VALUE"""),35800)</f>
        <v>35800</v>
      </c>
      <c r="I498" s="18">
        <f ca="1">IFERROR(__xludf.DUMMYFUNCTION("""COMPUTED_VALUE"""),34400)</f>
        <v>34400</v>
      </c>
      <c r="J498" s="16">
        <f ca="1">IFERROR(__xludf.DUMMYFUNCTION("""COMPUTED_VALUE"""),45658)</f>
        <v>45658</v>
      </c>
      <c r="K498" s="12" t="str">
        <f ca="1">IFERROR(__xludf.DUMMYFUNCTION("""COMPUTED_VALUE"""),"永久降價")</f>
        <v>永久降價</v>
      </c>
      <c r="L498" s="12" t="str">
        <f ca="1">IFERROR(__xludf.DUMMYFUNCTION("""COMPUTED_VALUE"""),"上架中")</f>
        <v>上架中</v>
      </c>
      <c r="M498" s="12" t="str">
        <f ca="1">IFERROR(__xludf.DUMMYFUNCTION("""COMPUTED_VALUE"""),"2025/1/1調降、11/21少量供貨，2023/5/5缺貨")</f>
        <v>2025/1/1調降、11/21少量供貨，2023/5/5缺貨</v>
      </c>
      <c r="N498" s="12" t="str">
        <f ca="1">IFERROR(__xludf.DUMMYFUNCTION("""COMPUTED_VALUE"""),"窗型變頻冷暖")</f>
        <v>窗型變頻冷暖</v>
      </c>
      <c r="O498" s="12" t="str">
        <f ca="1">IFERROR(__xludf.DUMMYFUNCTION("""COMPUTED_VALUE"""),"白")</f>
        <v>白</v>
      </c>
      <c r="P498" s="12" t="str">
        <f ca="1">IFERROR(__xludf.DUMMYFUNCTION("""COMPUTED_VALUE"""),"5-7坪")</f>
        <v>5-7坪</v>
      </c>
      <c r="Q498" s="23" t="str">
        <f ca="1">IFERROR(__xludf.DUMMYFUNCTION("""COMPUTED_VALUE"""),"400x600x710mm")</f>
        <v>400x600x710mm</v>
      </c>
      <c r="R498" s="12" t="str">
        <f ca="1">IFERROR(__xludf.DUMMYFUNCTION("""COMPUTED_VALUE"""),"菲律賓")</f>
        <v>菲律賓</v>
      </c>
      <c r="S498" s="22" t="str">
        <f ca="1">IFERROR(__xludf.DUMMYFUNCTION("""COMPUTED_VALUE"""),"V")</f>
        <v>V</v>
      </c>
      <c r="T498" s="13" t="str">
        <f ca="1">IFERROR(__xludf.DUMMYFUNCTION("""COMPUTED_VALUE"""),"1級能效")</f>
        <v>1級能效</v>
      </c>
      <c r="U498" s="22" t="str">
        <f ca="1">IFERROR(__xludf.DUMMYFUNCTION("""COMPUTED_VALUE"""),"7年")</f>
        <v>7年</v>
      </c>
      <c r="V498" s="12"/>
      <c r="W498"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498" s="12"/>
      <c r="Y498" s="12">
        <f ca="1">IFERROR(__xludf.DUMMYFUNCTION("""COMPUTED_VALUE"""),3.6)</f>
        <v>3.6</v>
      </c>
      <c r="Z498" s="14" t="str">
        <f ca="1">IFERROR(__xludf.DUMMYFUNCTION("""COMPUTED_VALUE"""),"2000")</f>
        <v>2000</v>
      </c>
      <c r="AA498" s="15" t="str">
        <f ca="1">IFERROR(__xludf.DUMMYFUNCTION("""COMPUTED_VALUE"""),"*自體淨*R32環保冷媒*高效率壓縮機*雙馬達")</f>
        <v>*自體淨*R32環保冷媒*高效率壓縮機*雙馬達</v>
      </c>
    </row>
    <row r="499" spans="1:27" ht="19.5" customHeight="1">
      <c r="A499" s="12" t="str">
        <f ca="1">IFERROR(__xludf.DUMMYFUNCTION("""COMPUTED_VALUE"""),"空調")</f>
        <v>空調</v>
      </c>
      <c r="B499" s="12" t="str">
        <f ca="1">IFERROR(__xludf.DUMMYFUNCTION("""COMPUTED_VALUE"""),"大同")</f>
        <v>大同</v>
      </c>
      <c r="C499" s="12" t="str">
        <f ca="1">IFERROR(__xludf.DUMMYFUNCTION("""COMPUTED_VALUE"""),"PANASONIC")</f>
        <v>PANASONIC</v>
      </c>
      <c r="D499" s="12" t="str">
        <f ca="1">IFERROR(__xludf.DUMMYFUNCTION("""COMPUTED_VALUE"""),"Panasonic6-8坪變頻右吹冷暖窗型冷氣CW-R40HA2")</f>
        <v>Panasonic6-8坪變頻右吹冷暖窗型冷氣CW-R40HA2</v>
      </c>
      <c r="E499" s="12" t="str">
        <f ca="1">IFERROR(__xludf.DUMMYFUNCTION("""COMPUTED_VALUE"""),"CW-R40HA2")</f>
        <v>CW-R40HA2</v>
      </c>
      <c r="F499" s="12">
        <f ca="1">IFERROR(__xludf.DUMMYFUNCTION("""COMPUTED_VALUE"""),51089456)</f>
        <v>51089456</v>
      </c>
      <c r="G499" s="12" t="str">
        <f ca="1">IFERROR(__xludf.DUMMYFUNCTION("""COMPUTED_VALUE"""),"IGEM076W")</f>
        <v>IGEM076W</v>
      </c>
      <c r="H499" s="13">
        <f ca="1">IFERROR(__xludf.DUMMYFUNCTION("""COMPUTED_VALUE"""),40700)</f>
        <v>40700</v>
      </c>
      <c r="I499" s="18">
        <f ca="1">IFERROR(__xludf.DUMMYFUNCTION("""COMPUTED_VALUE"""),39300)</f>
        <v>39300</v>
      </c>
      <c r="J499" s="16">
        <f ca="1">IFERROR(__xludf.DUMMYFUNCTION("""COMPUTED_VALUE"""),45658)</f>
        <v>45658</v>
      </c>
      <c r="K499" s="12" t="str">
        <f ca="1">IFERROR(__xludf.DUMMYFUNCTION("""COMPUTED_VALUE"""),"永久降價")</f>
        <v>永久降價</v>
      </c>
      <c r="L499" s="12" t="str">
        <f ca="1">IFERROR(__xludf.DUMMYFUNCTION("""COMPUTED_VALUE"""),"上架中")</f>
        <v>上架中</v>
      </c>
      <c r="M499" s="12" t="str">
        <f ca="1">IFERROR(__xludf.DUMMYFUNCTION("""COMPUTED_VALUE"""),"2025/1/1調降、2024/3/14正常供貨、2023/5/5缺貨")</f>
        <v>2025/1/1調降、2024/3/14正常供貨、2023/5/5缺貨</v>
      </c>
      <c r="N499" s="12" t="str">
        <f ca="1">IFERROR(__xludf.DUMMYFUNCTION("""COMPUTED_VALUE"""),"窗型變頻冷暖")</f>
        <v>窗型變頻冷暖</v>
      </c>
      <c r="O499" s="12" t="str">
        <f ca="1">IFERROR(__xludf.DUMMYFUNCTION("""COMPUTED_VALUE"""),"白")</f>
        <v>白</v>
      </c>
      <c r="P499" s="12" t="str">
        <f ca="1">IFERROR(__xludf.DUMMYFUNCTION("""COMPUTED_VALUE"""),"6-8坪")</f>
        <v>6-8坪</v>
      </c>
      <c r="Q499" s="23" t="str">
        <f ca="1">IFERROR(__xludf.DUMMYFUNCTION("""COMPUTED_VALUE"""),"430x660x800mm")</f>
        <v>430x660x800mm</v>
      </c>
      <c r="R499" s="12" t="str">
        <f ca="1">IFERROR(__xludf.DUMMYFUNCTION("""COMPUTED_VALUE"""),"菲律賓")</f>
        <v>菲律賓</v>
      </c>
      <c r="S499" s="22" t="str">
        <f ca="1">IFERROR(__xludf.DUMMYFUNCTION("""COMPUTED_VALUE"""),"V")</f>
        <v>V</v>
      </c>
      <c r="T499" s="13" t="str">
        <f ca="1">IFERROR(__xludf.DUMMYFUNCTION("""COMPUTED_VALUE"""),"1級能效")</f>
        <v>1級能效</v>
      </c>
      <c r="U499" s="22" t="str">
        <f ca="1">IFERROR(__xludf.DUMMYFUNCTION("""COMPUTED_VALUE"""),"7年")</f>
        <v>7年</v>
      </c>
      <c r="V499" s="12"/>
      <c r="W499"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499" s="12"/>
      <c r="Y499" s="12">
        <f ca="1">IFERROR(__xludf.DUMMYFUNCTION("""COMPUTED_VALUE"""),4.1)</f>
        <v>4.0999999999999996</v>
      </c>
      <c r="Z499" s="14" t="str">
        <f ca="1">IFERROR(__xludf.DUMMYFUNCTION("""COMPUTED_VALUE"""),"2000")</f>
        <v>2000</v>
      </c>
      <c r="AA499" s="15" t="str">
        <f ca="1">IFERROR(__xludf.DUMMYFUNCTION("""COMPUTED_VALUE"""),"*自體淨*R32環保冷媒*高效率壓縮機*雙馬達")</f>
        <v>*自體淨*R32環保冷媒*高效率壓縮機*雙馬達</v>
      </c>
    </row>
    <row r="500" spans="1:27" ht="19.5" customHeight="1">
      <c r="A500" s="12" t="str">
        <f ca="1">IFERROR(__xludf.DUMMYFUNCTION("""COMPUTED_VALUE"""),"空調")</f>
        <v>空調</v>
      </c>
      <c r="B500" s="12" t="str">
        <f ca="1">IFERROR(__xludf.DUMMYFUNCTION("""COMPUTED_VALUE"""),"大同")</f>
        <v>大同</v>
      </c>
      <c r="C500" s="12" t="str">
        <f ca="1">IFERROR(__xludf.DUMMYFUNCTION("""COMPUTED_VALUE"""),"PANASONIC")</f>
        <v>PANASONIC</v>
      </c>
      <c r="D500" s="12" t="str">
        <f ca="1">IFERROR(__xludf.DUMMYFUNCTION("""COMPUTED_VALUE"""),"Panasonic7-9坪變頻右吹冷暖窗型冷氣CW-R50HA2")</f>
        <v>Panasonic7-9坪變頻右吹冷暖窗型冷氣CW-R50HA2</v>
      </c>
      <c r="E500" s="12" t="str">
        <f ca="1">IFERROR(__xludf.DUMMYFUNCTION("""COMPUTED_VALUE"""),"CW-R50HA2")</f>
        <v>CW-R50HA2</v>
      </c>
      <c r="F500" s="12">
        <f ca="1">IFERROR(__xludf.DUMMYFUNCTION("""COMPUTED_VALUE"""),51089457)</f>
        <v>51089457</v>
      </c>
      <c r="G500" s="12" t="str">
        <f ca="1">IFERROR(__xludf.DUMMYFUNCTION("""COMPUTED_VALUE"""),"IGEM076X")</f>
        <v>IGEM076X</v>
      </c>
      <c r="H500" s="13">
        <f ca="1">IFERROR(__xludf.DUMMYFUNCTION("""COMPUTED_VALUE"""),45500)</f>
        <v>45500</v>
      </c>
      <c r="I500" s="18">
        <f ca="1">IFERROR(__xludf.DUMMYFUNCTION("""COMPUTED_VALUE"""),43800)</f>
        <v>43800</v>
      </c>
      <c r="J500" s="16">
        <f ca="1">IFERROR(__xludf.DUMMYFUNCTION("""COMPUTED_VALUE"""),45658)</f>
        <v>45658</v>
      </c>
      <c r="K500" s="12" t="str">
        <f ca="1">IFERROR(__xludf.DUMMYFUNCTION("""COMPUTED_VALUE"""),"永久降價")</f>
        <v>永久降價</v>
      </c>
      <c r="L500" s="12" t="str">
        <f ca="1">IFERROR(__xludf.DUMMYFUNCTION("""COMPUTED_VALUE"""),"上架中")</f>
        <v>上架中</v>
      </c>
      <c r="M500" s="12" t="str">
        <f ca="1">IFERROR(__xludf.DUMMYFUNCTION("""COMPUTED_VALUE"""),"2025/1/1調降、10/23正常供貨;6/9少量供貨，請先詢問貨況/2023/5/5缺貨")</f>
        <v>2025/1/1調降、10/23正常供貨;6/9少量供貨，請先詢問貨況/2023/5/5缺貨</v>
      </c>
      <c r="N500" s="12" t="str">
        <f ca="1">IFERROR(__xludf.DUMMYFUNCTION("""COMPUTED_VALUE"""),"窗型變頻冷暖")</f>
        <v>窗型變頻冷暖</v>
      </c>
      <c r="O500" s="12" t="str">
        <f ca="1">IFERROR(__xludf.DUMMYFUNCTION("""COMPUTED_VALUE"""),"白")</f>
        <v>白</v>
      </c>
      <c r="P500" s="12" t="str">
        <f ca="1">IFERROR(__xludf.DUMMYFUNCTION("""COMPUTED_VALUE"""),"7-9坪")</f>
        <v>7-9坪</v>
      </c>
      <c r="Q500" s="23" t="str">
        <f ca="1">IFERROR(__xludf.DUMMYFUNCTION("""COMPUTED_VALUE"""),"430x660x800mm")</f>
        <v>430x660x800mm</v>
      </c>
      <c r="R500" s="12" t="str">
        <f ca="1">IFERROR(__xludf.DUMMYFUNCTION("""COMPUTED_VALUE"""),"菲律賓")</f>
        <v>菲律賓</v>
      </c>
      <c r="S500" s="22" t="str">
        <f ca="1">IFERROR(__xludf.DUMMYFUNCTION("""COMPUTED_VALUE"""),"V")</f>
        <v>V</v>
      </c>
      <c r="T500" s="13" t="str">
        <f ca="1">IFERROR(__xludf.DUMMYFUNCTION("""COMPUTED_VALUE"""),"1級能效")</f>
        <v>1級能效</v>
      </c>
      <c r="U500" s="22" t="str">
        <f ca="1">IFERROR(__xludf.DUMMYFUNCTION("""COMPUTED_VALUE"""),"7年")</f>
        <v>7年</v>
      </c>
      <c r="V500" s="12"/>
      <c r="W500"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0" s="12"/>
      <c r="Y500" s="12">
        <f ca="1">IFERROR(__xludf.DUMMYFUNCTION("""COMPUTED_VALUE"""),5)</f>
        <v>5</v>
      </c>
      <c r="Z500" s="14" t="str">
        <f ca="1">IFERROR(__xludf.DUMMYFUNCTION("""COMPUTED_VALUE"""),"2000")</f>
        <v>2000</v>
      </c>
      <c r="AA500" s="15" t="str">
        <f ca="1">IFERROR(__xludf.DUMMYFUNCTION("""COMPUTED_VALUE"""),"*自體淨*R32環保冷媒*高效率壓縮機*雙馬達")</f>
        <v>*自體淨*R32環保冷媒*高效率壓縮機*雙馬達</v>
      </c>
    </row>
    <row r="501" spans="1:27" ht="19.5" customHeight="1">
      <c r="A501" s="12" t="str">
        <f ca="1">IFERROR(__xludf.DUMMYFUNCTION("""COMPUTED_VALUE"""),"空調")</f>
        <v>空調</v>
      </c>
      <c r="B501" s="12" t="str">
        <f ca="1">IFERROR(__xludf.DUMMYFUNCTION("""COMPUTED_VALUE"""),"大同")</f>
        <v>大同</v>
      </c>
      <c r="C501" s="12" t="str">
        <f ca="1">IFERROR(__xludf.DUMMYFUNCTION("""COMPUTED_VALUE"""),"PANASONIC")</f>
        <v>PANASONIC</v>
      </c>
      <c r="D501" s="12" t="str">
        <f ca="1">IFERROR(__xludf.DUMMYFUNCTION("""COMPUTED_VALUE"""),"Panasonic9-11坪變頻右吹冷暖窗型冷氣CW-R60HA2")</f>
        <v>Panasonic9-11坪變頻右吹冷暖窗型冷氣CW-R60HA2</v>
      </c>
      <c r="E501" s="12" t="str">
        <f ca="1">IFERROR(__xludf.DUMMYFUNCTION("""COMPUTED_VALUE"""),"CW-R60HA2")</f>
        <v>CW-R60HA2</v>
      </c>
      <c r="F501" s="12">
        <f ca="1">IFERROR(__xludf.DUMMYFUNCTION("""COMPUTED_VALUE"""),51089458)</f>
        <v>51089458</v>
      </c>
      <c r="G501" s="12" t="str">
        <f ca="1">IFERROR(__xludf.DUMMYFUNCTION("""COMPUTED_VALUE"""),"IGEM076Y")</f>
        <v>IGEM076Y</v>
      </c>
      <c r="H501" s="13">
        <f ca="1">IFERROR(__xludf.DUMMYFUNCTION("""COMPUTED_VALUE"""),54700)</f>
        <v>54700</v>
      </c>
      <c r="I501" s="18">
        <f ca="1">IFERROR(__xludf.DUMMYFUNCTION("""COMPUTED_VALUE"""),52600)</f>
        <v>52600</v>
      </c>
      <c r="J501" s="16">
        <f ca="1">IFERROR(__xludf.DUMMYFUNCTION("""COMPUTED_VALUE"""),45658)</f>
        <v>45658</v>
      </c>
      <c r="K501" s="12" t="str">
        <f ca="1">IFERROR(__xludf.DUMMYFUNCTION("""COMPUTED_VALUE"""),"永久降價")</f>
        <v>永久降價</v>
      </c>
      <c r="L501" s="12" t="str">
        <f ca="1">IFERROR(__xludf.DUMMYFUNCTION("""COMPUTED_VALUE"""),"上架中")</f>
        <v>上架中</v>
      </c>
      <c r="M501" s="12" t="str">
        <f ca="1">IFERROR(__xludf.DUMMYFUNCTION("""COMPUTED_VALUE"""),"（請先詢問貨況）2025/1/1調降、2023/5/5缺貨")</f>
        <v>（請先詢問貨況）2025/1/1調降、2023/5/5缺貨</v>
      </c>
      <c r="N501" s="12" t="str">
        <f ca="1">IFERROR(__xludf.DUMMYFUNCTION("""COMPUTED_VALUE"""),"窗型變頻冷暖")</f>
        <v>窗型變頻冷暖</v>
      </c>
      <c r="O501" s="12" t="str">
        <f ca="1">IFERROR(__xludf.DUMMYFUNCTION("""COMPUTED_VALUE"""),"白")</f>
        <v>白</v>
      </c>
      <c r="P501" s="12" t="str">
        <f ca="1">IFERROR(__xludf.DUMMYFUNCTION("""COMPUTED_VALUE"""),"9-11坪")</f>
        <v>9-11坪</v>
      </c>
      <c r="Q501" s="23" t="str">
        <f ca="1">IFERROR(__xludf.DUMMYFUNCTION("""COMPUTED_VALUE"""),"430x660x800mm")</f>
        <v>430x660x800mm</v>
      </c>
      <c r="R501" s="12" t="str">
        <f ca="1">IFERROR(__xludf.DUMMYFUNCTION("""COMPUTED_VALUE"""),"菲律賓")</f>
        <v>菲律賓</v>
      </c>
      <c r="S501" s="22" t="str">
        <f ca="1">IFERROR(__xludf.DUMMYFUNCTION("""COMPUTED_VALUE"""),"V")</f>
        <v>V</v>
      </c>
      <c r="T501" s="13" t="str">
        <f ca="1">IFERROR(__xludf.DUMMYFUNCTION("""COMPUTED_VALUE"""),"1級能效")</f>
        <v>1級能效</v>
      </c>
      <c r="U501" s="22" t="str">
        <f ca="1">IFERROR(__xludf.DUMMYFUNCTION("""COMPUTED_VALUE"""),"7年")</f>
        <v>7年</v>
      </c>
      <c r="V501" s="12"/>
      <c r="W501"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1" s="12"/>
      <c r="Y501" s="12">
        <f ca="1">IFERROR(__xludf.DUMMYFUNCTION("""COMPUTED_VALUE"""),6)</f>
        <v>6</v>
      </c>
      <c r="Z501" s="14" t="str">
        <f ca="1">IFERROR(__xludf.DUMMYFUNCTION("""COMPUTED_VALUE"""),"2000")</f>
        <v>2000</v>
      </c>
      <c r="AA501" s="15" t="str">
        <f ca="1">IFERROR(__xludf.DUMMYFUNCTION("""COMPUTED_VALUE"""),"*自體淨*R32環保冷媒*高效率壓縮機*雙馬達")</f>
        <v>*自體淨*R32環保冷媒*高效率壓縮機*雙馬達</v>
      </c>
    </row>
    <row r="502" spans="1:27" ht="19.5" customHeight="1">
      <c r="A502" s="12" t="str">
        <f ca="1">IFERROR(__xludf.DUMMYFUNCTION("""COMPUTED_VALUE"""),"空調")</f>
        <v>空調</v>
      </c>
      <c r="B502" s="12" t="str">
        <f ca="1">IFERROR(__xludf.DUMMYFUNCTION("""COMPUTED_VALUE"""),"大同")</f>
        <v>大同</v>
      </c>
      <c r="C502" s="12" t="str">
        <f ca="1">IFERROR(__xludf.DUMMYFUNCTION("""COMPUTED_VALUE"""),"PANASONIC")</f>
        <v>PANASONIC</v>
      </c>
      <c r="D502" s="12" t="str">
        <f ca="1">IFERROR(__xludf.DUMMYFUNCTION("""COMPUTED_VALUE"""),"Panasonic10-12坪變頻右吹冷暖窗型冷氣CW-R68HA2")</f>
        <v>Panasonic10-12坪變頻右吹冷暖窗型冷氣CW-R68HA2</v>
      </c>
      <c r="E502" s="12" t="str">
        <f ca="1">IFERROR(__xludf.DUMMYFUNCTION("""COMPUTED_VALUE"""),"CW-R68HA2")</f>
        <v>CW-R68HA2</v>
      </c>
      <c r="F502" s="12">
        <f ca="1">IFERROR(__xludf.DUMMYFUNCTION("""COMPUTED_VALUE"""),51089459)</f>
        <v>51089459</v>
      </c>
      <c r="G502" s="12" t="str">
        <f ca="1">IFERROR(__xludf.DUMMYFUNCTION("""COMPUTED_VALUE"""),"IGEM076Z")</f>
        <v>IGEM076Z</v>
      </c>
      <c r="H502" s="13">
        <f ca="1">IFERROR(__xludf.DUMMYFUNCTION("""COMPUTED_VALUE"""),61200)</f>
        <v>61200</v>
      </c>
      <c r="I502" s="18">
        <f ca="1">IFERROR(__xludf.DUMMYFUNCTION("""COMPUTED_VALUE"""),58600)</f>
        <v>58600</v>
      </c>
      <c r="J502" s="16">
        <f ca="1">IFERROR(__xludf.DUMMYFUNCTION("""COMPUTED_VALUE"""),45658)</f>
        <v>45658</v>
      </c>
      <c r="K502" s="12" t="str">
        <f ca="1">IFERROR(__xludf.DUMMYFUNCTION("""COMPUTED_VALUE"""),"永久降價")</f>
        <v>永久降價</v>
      </c>
      <c r="L502" s="12" t="str">
        <f ca="1">IFERROR(__xludf.DUMMYFUNCTION("""COMPUTED_VALUE"""),"缺貨")</f>
        <v>缺貨</v>
      </c>
      <c r="M502" s="12" t="str">
        <f ca="1">IFERROR(__xludf.DUMMYFUNCTION("""COMPUTED_VALUE"""),"（請先詢問貨況）2025/1/1調降、2023/5/5缺貨")</f>
        <v>（請先詢問貨況）2025/1/1調降、2023/5/5缺貨</v>
      </c>
      <c r="N502" s="12" t="str">
        <f ca="1">IFERROR(__xludf.DUMMYFUNCTION("""COMPUTED_VALUE"""),"窗型變頻冷暖")</f>
        <v>窗型變頻冷暖</v>
      </c>
      <c r="O502" s="12" t="str">
        <f ca="1">IFERROR(__xludf.DUMMYFUNCTION("""COMPUTED_VALUE"""),"白")</f>
        <v>白</v>
      </c>
      <c r="P502" s="12" t="str">
        <f ca="1">IFERROR(__xludf.DUMMYFUNCTION("""COMPUTED_VALUE"""),"10-12坪")</f>
        <v>10-12坪</v>
      </c>
      <c r="Q502" s="23" t="str">
        <f ca="1">IFERROR(__xludf.DUMMYFUNCTION("""COMPUTED_VALUE"""),"430x660x800mm")</f>
        <v>430x660x800mm</v>
      </c>
      <c r="R502" s="12" t="str">
        <f ca="1">IFERROR(__xludf.DUMMYFUNCTION("""COMPUTED_VALUE"""),"菲律賓")</f>
        <v>菲律賓</v>
      </c>
      <c r="S502" s="22" t="str">
        <f ca="1">IFERROR(__xludf.DUMMYFUNCTION("""COMPUTED_VALUE"""),"V")</f>
        <v>V</v>
      </c>
      <c r="T502" s="13" t="str">
        <f ca="1">IFERROR(__xludf.DUMMYFUNCTION("""COMPUTED_VALUE"""),"1級能效")</f>
        <v>1級能效</v>
      </c>
      <c r="U502" s="22" t="str">
        <f ca="1">IFERROR(__xludf.DUMMYFUNCTION("""COMPUTED_VALUE"""),"7年")</f>
        <v>7年</v>
      </c>
      <c r="V502" s="12"/>
      <c r="W502"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2" s="12"/>
      <c r="Y502" s="12">
        <f ca="1">IFERROR(__xludf.DUMMYFUNCTION("""COMPUTED_VALUE"""),6.8)</f>
        <v>6.8</v>
      </c>
      <c r="Z502" s="14" t="str">
        <f ca="1">IFERROR(__xludf.DUMMYFUNCTION("""COMPUTED_VALUE"""),"2000")</f>
        <v>2000</v>
      </c>
      <c r="AA502" s="15" t="str">
        <f ca="1">IFERROR(__xludf.DUMMYFUNCTION("""COMPUTED_VALUE"""),"*自體淨*R32環保冷媒*高效率壓縮機*雙馬達")</f>
        <v>*自體淨*R32環保冷媒*高效率壓縮機*雙馬達</v>
      </c>
    </row>
    <row r="503" spans="1:27" ht="19.5" customHeight="1">
      <c r="A503" s="12" t="str">
        <f ca="1">IFERROR(__xludf.DUMMYFUNCTION("""COMPUTED_VALUE"""),"空調")</f>
        <v>空調</v>
      </c>
      <c r="B503" s="12" t="str">
        <f ca="1">IFERROR(__xludf.DUMMYFUNCTION("""COMPUTED_VALUE"""),"大同")</f>
        <v>大同</v>
      </c>
      <c r="C503" s="12" t="str">
        <f ca="1">IFERROR(__xludf.DUMMYFUNCTION("""COMPUTED_VALUE"""),"PANASONIC")</f>
        <v>PANASONIC</v>
      </c>
      <c r="D503" s="12" t="str">
        <f ca="1">IFERROR(__xludf.DUMMYFUNCTION("""COMPUTED_VALUE"""),"Panasonic2-4坪變頻冷暖左吹冷暖窗型冷氣CW-R22LHA2")</f>
        <v>Panasonic2-4坪變頻冷暖左吹冷暖窗型冷氣CW-R22LHA2</v>
      </c>
      <c r="E503" s="12" t="str">
        <f ca="1">IFERROR(__xludf.DUMMYFUNCTION("""COMPUTED_VALUE"""),"CW-R22LHA2")</f>
        <v>CW-R22LHA2</v>
      </c>
      <c r="F503" s="12">
        <f ca="1">IFERROR(__xludf.DUMMYFUNCTION("""COMPUTED_VALUE"""),51089461)</f>
        <v>51089461</v>
      </c>
      <c r="G503" s="12" t="str">
        <f ca="1">IFERROR(__xludf.DUMMYFUNCTION("""COMPUTED_VALUE"""),"IGEM078W")</f>
        <v>IGEM078W</v>
      </c>
      <c r="H503" s="13">
        <f ca="1">IFERROR(__xludf.DUMMYFUNCTION("""COMPUTED_VALUE"""),24500)</f>
        <v>24500</v>
      </c>
      <c r="I503" s="14">
        <f ca="1">IFERROR(__xludf.DUMMYFUNCTION("""COMPUTED_VALUE"""),23590)</f>
        <v>23590</v>
      </c>
      <c r="J503" s="16">
        <f ca="1">IFERROR(__xludf.DUMMYFUNCTION("""COMPUTED_VALUE"""),45658)</f>
        <v>45658</v>
      </c>
      <c r="K503" s="12" t="str">
        <f ca="1">IFERROR(__xludf.DUMMYFUNCTION("""COMPUTED_VALUE"""),"永久降價")</f>
        <v>永久降價</v>
      </c>
      <c r="L503" s="12" t="str">
        <f ca="1">IFERROR(__xludf.DUMMYFUNCTION("""COMPUTED_VALUE"""),"上架中")</f>
        <v>上架中</v>
      </c>
      <c r="M503" s="12" t="str">
        <f ca="1">IFERROR(__xludf.DUMMYFUNCTION("""COMPUTED_VALUE"""),"(請先詢問貨況)2025/1/1調降、2024/2/20調漲恢復供貨;10/5調漲缺貨，5/5缺貨，2023/3/25新機上架")</f>
        <v>(請先詢問貨況)2025/1/1調降、2024/2/20調漲恢復供貨;10/5調漲缺貨，5/5缺貨，2023/3/25新機上架</v>
      </c>
      <c r="N503" s="12" t="str">
        <f ca="1">IFERROR(__xludf.DUMMYFUNCTION("""COMPUTED_VALUE"""),"窗型變頻冷暖")</f>
        <v>窗型變頻冷暖</v>
      </c>
      <c r="O503" s="12" t="str">
        <f ca="1">IFERROR(__xludf.DUMMYFUNCTION("""COMPUTED_VALUE"""),"白")</f>
        <v>白</v>
      </c>
      <c r="P503" s="12" t="str">
        <f ca="1">IFERROR(__xludf.DUMMYFUNCTION("""COMPUTED_VALUE"""),"2-4坪")</f>
        <v>2-4坪</v>
      </c>
      <c r="Q503" s="23" t="str">
        <f ca="1">IFERROR(__xludf.DUMMYFUNCTION("""COMPUTED_VALUE"""),"346×560×655mm")</f>
        <v>346×560×655mm</v>
      </c>
      <c r="R503" s="12" t="str">
        <f ca="1">IFERROR(__xludf.DUMMYFUNCTION("""COMPUTED_VALUE"""),"菲律賓")</f>
        <v>菲律賓</v>
      </c>
      <c r="S503" s="22" t="str">
        <f ca="1">IFERROR(__xludf.DUMMYFUNCTION("""COMPUTED_VALUE"""),"V")</f>
        <v>V</v>
      </c>
      <c r="T503" s="13" t="str">
        <f ca="1">IFERROR(__xludf.DUMMYFUNCTION("""COMPUTED_VALUE"""),"1級能效")</f>
        <v>1級能效</v>
      </c>
      <c r="U503" s="22" t="str">
        <f ca="1">IFERROR(__xludf.DUMMYFUNCTION("""COMPUTED_VALUE"""),"7年")</f>
        <v>7年</v>
      </c>
      <c r="V503" s="12"/>
      <c r="W503"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3" s="12"/>
      <c r="Y503" s="12">
        <f ca="1">IFERROR(__xludf.DUMMYFUNCTION("""COMPUTED_VALUE"""),2.2)</f>
        <v>2.2000000000000002</v>
      </c>
      <c r="Z503" s="14">
        <f ca="1">IFERROR(__xludf.DUMMYFUNCTION("""COMPUTED_VALUE"""),1600)</f>
        <v>1600</v>
      </c>
      <c r="AA503" s="15" t="str">
        <f ca="1">IFERROR(__xludf.DUMMYFUNCTION("""COMPUTED_VALUE"""),"*自體淨*R32環保冷媒*高效率壓縮機*雙馬達")</f>
        <v>*自體淨*R32環保冷媒*高效率壓縮機*雙馬達</v>
      </c>
    </row>
    <row r="504" spans="1:27" ht="19.5" customHeight="1">
      <c r="A504" s="12" t="str">
        <f ca="1">IFERROR(__xludf.DUMMYFUNCTION("""COMPUTED_VALUE"""),"空調")</f>
        <v>空調</v>
      </c>
      <c r="B504" s="12" t="str">
        <f ca="1">IFERROR(__xludf.DUMMYFUNCTION("""COMPUTED_VALUE"""),"大同")</f>
        <v>大同</v>
      </c>
      <c r="C504" s="12" t="str">
        <f ca="1">IFERROR(__xludf.DUMMYFUNCTION("""COMPUTED_VALUE"""),"PANASONIC")</f>
        <v>PANASONIC</v>
      </c>
      <c r="D504" s="12" t="str">
        <f ca="1">IFERROR(__xludf.DUMMYFUNCTION("""COMPUTED_VALUE"""),"Panasonic4-5坪變頻冷暖左吹冷暖窗型冷氣CW-R28LHA2")</f>
        <v>Panasonic4-5坪變頻冷暖左吹冷暖窗型冷氣CW-R28LHA2</v>
      </c>
      <c r="E504" s="12" t="str">
        <f ca="1">IFERROR(__xludf.DUMMYFUNCTION("""COMPUTED_VALUE"""),"CW-R28LHA2")</f>
        <v>CW-R28LHA2</v>
      </c>
      <c r="F504" s="12">
        <f ca="1">IFERROR(__xludf.DUMMYFUNCTION("""COMPUTED_VALUE"""),51089462)</f>
        <v>51089462</v>
      </c>
      <c r="G504" s="12" t="str">
        <f ca="1">IFERROR(__xludf.DUMMYFUNCTION("""COMPUTED_VALUE"""),"IGEM078X")</f>
        <v>IGEM078X</v>
      </c>
      <c r="H504" s="13">
        <f ca="1">IFERROR(__xludf.DUMMYFUNCTION("""COMPUTED_VALUE"""),29700)</f>
        <v>29700</v>
      </c>
      <c r="I504" s="14">
        <f ca="1">IFERROR(__xludf.DUMMYFUNCTION("""COMPUTED_VALUE"""),28690)</f>
        <v>28690</v>
      </c>
      <c r="J504" s="16">
        <f ca="1">IFERROR(__xludf.DUMMYFUNCTION("""COMPUTED_VALUE"""),45658)</f>
        <v>45658</v>
      </c>
      <c r="K504" s="12" t="str">
        <f ca="1">IFERROR(__xludf.DUMMYFUNCTION("""COMPUTED_VALUE"""),"永久降價")</f>
        <v>永久降價</v>
      </c>
      <c r="L504" s="12" t="str">
        <f ca="1">IFERROR(__xludf.DUMMYFUNCTION("""COMPUTED_VALUE"""),"上架中")</f>
        <v>上架中</v>
      </c>
      <c r="M504" s="12" t="str">
        <f ca="1">IFERROR(__xludf.DUMMYFUNCTION("""COMPUTED_VALUE"""),"(請先詢問貨況)2025/1/1調降、2024/2/20調漲恢復供貨;10/5調漲缺貨，5/5缺貨，2023/3/25新機上架")</f>
        <v>(請先詢問貨況)2025/1/1調降、2024/2/20調漲恢復供貨;10/5調漲缺貨，5/5缺貨，2023/3/25新機上架</v>
      </c>
      <c r="N504" s="12" t="str">
        <f ca="1">IFERROR(__xludf.DUMMYFUNCTION("""COMPUTED_VALUE"""),"窗型變頻冷暖")</f>
        <v>窗型變頻冷暖</v>
      </c>
      <c r="O504" s="12" t="str">
        <f ca="1">IFERROR(__xludf.DUMMYFUNCTION("""COMPUTED_VALUE"""),"白")</f>
        <v>白</v>
      </c>
      <c r="P504" s="12" t="str">
        <f ca="1">IFERROR(__xludf.DUMMYFUNCTION("""COMPUTED_VALUE"""),"4-5坪")</f>
        <v>4-5坪</v>
      </c>
      <c r="Q504" s="23" t="str">
        <f ca="1">IFERROR(__xludf.DUMMYFUNCTION("""COMPUTED_VALUE"""),"400x600x710mm")</f>
        <v>400x600x710mm</v>
      </c>
      <c r="R504" s="12" t="str">
        <f ca="1">IFERROR(__xludf.DUMMYFUNCTION("""COMPUTED_VALUE"""),"菲律賓")</f>
        <v>菲律賓</v>
      </c>
      <c r="S504" s="22" t="str">
        <f ca="1">IFERROR(__xludf.DUMMYFUNCTION("""COMPUTED_VALUE"""),"V")</f>
        <v>V</v>
      </c>
      <c r="T504" s="13" t="str">
        <f ca="1">IFERROR(__xludf.DUMMYFUNCTION("""COMPUTED_VALUE"""),"1級能效")</f>
        <v>1級能效</v>
      </c>
      <c r="U504" s="22" t="str">
        <f ca="1">IFERROR(__xludf.DUMMYFUNCTION("""COMPUTED_VALUE"""),"7年")</f>
        <v>7年</v>
      </c>
      <c r="V504" s="12"/>
      <c r="W504"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4" s="12"/>
      <c r="Y504" s="12">
        <f ca="1">IFERROR(__xludf.DUMMYFUNCTION("""COMPUTED_VALUE"""),2.8)</f>
        <v>2.8</v>
      </c>
      <c r="Z504" s="14">
        <f ca="1">IFERROR(__xludf.DUMMYFUNCTION("""COMPUTED_VALUE"""),1600)</f>
        <v>1600</v>
      </c>
      <c r="AA504" s="15" t="str">
        <f ca="1">IFERROR(__xludf.DUMMYFUNCTION("""COMPUTED_VALUE"""),"*自體淨*R32環保冷媒*高效率壓縮機*雙馬達")</f>
        <v>*自體淨*R32環保冷媒*高效率壓縮機*雙馬達</v>
      </c>
    </row>
    <row r="505" spans="1:27" ht="19.5" customHeight="1">
      <c r="A505" s="12" t="str">
        <f ca="1">IFERROR(__xludf.DUMMYFUNCTION("""COMPUTED_VALUE"""),"空調")</f>
        <v>空調</v>
      </c>
      <c r="B505" s="12" t="str">
        <f ca="1">IFERROR(__xludf.DUMMYFUNCTION("""COMPUTED_VALUE"""),"大同")</f>
        <v>大同</v>
      </c>
      <c r="C505" s="12" t="str">
        <f ca="1">IFERROR(__xludf.DUMMYFUNCTION("""COMPUTED_VALUE"""),"PANASONIC")</f>
        <v>PANASONIC</v>
      </c>
      <c r="D505" s="12" t="str">
        <f ca="1">IFERROR(__xludf.DUMMYFUNCTION("""COMPUTED_VALUE"""),"Panasonic5-7坪變頻冷暖左吹冷暖窗型冷氣CW-R36LHA2")</f>
        <v>Panasonic5-7坪變頻冷暖左吹冷暖窗型冷氣CW-R36LHA2</v>
      </c>
      <c r="E505" s="12" t="str">
        <f ca="1">IFERROR(__xludf.DUMMYFUNCTION("""COMPUTED_VALUE"""),"CW-R36LHA2")</f>
        <v>CW-R36LHA2</v>
      </c>
      <c r="F505" s="12">
        <f ca="1">IFERROR(__xludf.DUMMYFUNCTION("""COMPUTED_VALUE"""),51089463)</f>
        <v>51089463</v>
      </c>
      <c r="G505" s="12" t="str">
        <f ca="1">IFERROR(__xludf.DUMMYFUNCTION("""COMPUTED_VALUE"""),"IGEM078Y")</f>
        <v>IGEM078Y</v>
      </c>
      <c r="H505" s="13">
        <f ca="1">IFERROR(__xludf.DUMMYFUNCTION("""COMPUTED_VALUE"""),35800)</f>
        <v>35800</v>
      </c>
      <c r="I505" s="14">
        <f ca="1">IFERROR(__xludf.DUMMYFUNCTION("""COMPUTED_VALUE"""),34400)</f>
        <v>34400</v>
      </c>
      <c r="J505" s="16">
        <f ca="1">IFERROR(__xludf.DUMMYFUNCTION("""COMPUTED_VALUE"""),45658)</f>
        <v>45658</v>
      </c>
      <c r="K505" s="12" t="str">
        <f ca="1">IFERROR(__xludf.DUMMYFUNCTION("""COMPUTED_VALUE"""),"永久降價")</f>
        <v>永久降價</v>
      </c>
      <c r="L505" s="12" t="str">
        <f ca="1">IFERROR(__xludf.DUMMYFUNCTION("""COMPUTED_VALUE"""),"上架中")</f>
        <v>上架中</v>
      </c>
      <c r="M505" s="12" t="str">
        <f ca="1">IFERROR(__xludf.DUMMYFUNCTION("""COMPUTED_VALUE"""),"(請先詢問貨況)2025/1/1調降、10/4正常供貨，5/5缺貨，2023/3/25新機上架")</f>
        <v>(請先詢問貨況)2025/1/1調降、10/4正常供貨，5/5缺貨，2023/3/25新機上架</v>
      </c>
      <c r="N505" s="12" t="str">
        <f ca="1">IFERROR(__xludf.DUMMYFUNCTION("""COMPUTED_VALUE"""),"窗型變頻冷暖")</f>
        <v>窗型變頻冷暖</v>
      </c>
      <c r="O505" s="12" t="str">
        <f ca="1">IFERROR(__xludf.DUMMYFUNCTION("""COMPUTED_VALUE"""),"白")</f>
        <v>白</v>
      </c>
      <c r="P505" s="12" t="str">
        <f ca="1">IFERROR(__xludf.DUMMYFUNCTION("""COMPUTED_VALUE"""),"5-7坪")</f>
        <v>5-7坪</v>
      </c>
      <c r="Q505" s="23" t="str">
        <f ca="1">IFERROR(__xludf.DUMMYFUNCTION("""COMPUTED_VALUE"""),"400x600x710mm")</f>
        <v>400x600x710mm</v>
      </c>
      <c r="R505" s="12" t="str">
        <f ca="1">IFERROR(__xludf.DUMMYFUNCTION("""COMPUTED_VALUE"""),"菲律賓")</f>
        <v>菲律賓</v>
      </c>
      <c r="S505" s="22" t="str">
        <f ca="1">IFERROR(__xludf.DUMMYFUNCTION("""COMPUTED_VALUE"""),"V")</f>
        <v>V</v>
      </c>
      <c r="T505" s="13" t="str">
        <f ca="1">IFERROR(__xludf.DUMMYFUNCTION("""COMPUTED_VALUE"""),"1級能效")</f>
        <v>1級能效</v>
      </c>
      <c r="U505" s="22" t="str">
        <f ca="1">IFERROR(__xludf.DUMMYFUNCTION("""COMPUTED_VALUE"""),"7年")</f>
        <v>7年</v>
      </c>
      <c r="V505" s="12"/>
      <c r="W505"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5" s="12"/>
      <c r="Y505" s="12">
        <f ca="1">IFERROR(__xludf.DUMMYFUNCTION("""COMPUTED_VALUE"""),3.6)</f>
        <v>3.6</v>
      </c>
      <c r="Z505" s="14" t="str">
        <f ca="1">IFERROR(__xludf.DUMMYFUNCTION("""COMPUTED_VALUE"""),"2000")</f>
        <v>2000</v>
      </c>
      <c r="AA505" s="15" t="str">
        <f ca="1">IFERROR(__xludf.DUMMYFUNCTION("""COMPUTED_VALUE"""),"*自體淨*R32環保冷媒*高效率壓縮機*雙馬達")</f>
        <v>*自體淨*R32環保冷媒*高效率壓縮機*雙馬達</v>
      </c>
    </row>
    <row r="506" spans="1:27" ht="19.5" customHeight="1">
      <c r="A506" s="12" t="str">
        <f ca="1">IFERROR(__xludf.DUMMYFUNCTION("""COMPUTED_VALUE"""),"空調")</f>
        <v>空調</v>
      </c>
      <c r="B506" s="12" t="str">
        <f ca="1">IFERROR(__xludf.DUMMYFUNCTION("""COMPUTED_VALUE"""),"大同")</f>
        <v>大同</v>
      </c>
      <c r="C506" s="12" t="str">
        <f ca="1">IFERROR(__xludf.DUMMYFUNCTION("""COMPUTED_VALUE"""),"PANASONIC")</f>
        <v>PANASONIC</v>
      </c>
      <c r="D506" s="12" t="str">
        <f ca="1">IFERROR(__xludf.DUMMYFUNCTION("""COMPUTED_VALUE"""),"Panasonic6-8坪變頻冷暖左吹冷暖窗型冷氣CW-R40LHA2")</f>
        <v>Panasonic6-8坪變頻冷暖左吹冷暖窗型冷氣CW-R40LHA2</v>
      </c>
      <c r="E506" s="12" t="str">
        <f ca="1">IFERROR(__xludf.DUMMYFUNCTION("""COMPUTED_VALUE"""),"CW-R40LHA2")</f>
        <v>CW-R40LHA2</v>
      </c>
      <c r="F506" s="12">
        <f ca="1">IFERROR(__xludf.DUMMYFUNCTION("""COMPUTED_VALUE"""),51089464)</f>
        <v>51089464</v>
      </c>
      <c r="G506" s="12" t="str">
        <f ca="1">IFERROR(__xludf.DUMMYFUNCTION("""COMPUTED_VALUE"""),"IGEM078Z")</f>
        <v>IGEM078Z</v>
      </c>
      <c r="H506" s="13">
        <f ca="1">IFERROR(__xludf.DUMMYFUNCTION("""COMPUTED_VALUE"""),40700)</f>
        <v>40700</v>
      </c>
      <c r="I506" s="14">
        <f ca="1">IFERROR(__xludf.DUMMYFUNCTION("""COMPUTED_VALUE"""),39300)</f>
        <v>39300</v>
      </c>
      <c r="J506" s="16">
        <f ca="1">IFERROR(__xludf.DUMMYFUNCTION("""COMPUTED_VALUE"""),45658)</f>
        <v>45658</v>
      </c>
      <c r="K506" s="12" t="str">
        <f ca="1">IFERROR(__xludf.DUMMYFUNCTION("""COMPUTED_VALUE"""),"永久降價")</f>
        <v>永久降價</v>
      </c>
      <c r="L506" s="12" t="str">
        <f ca="1">IFERROR(__xludf.DUMMYFUNCTION("""COMPUTED_VALUE"""),"專案")</f>
        <v>專案</v>
      </c>
      <c r="M506" s="12" t="str">
        <f ca="1">IFERROR(__xludf.DUMMYFUNCTION("""COMPUTED_VALUE"""),"(請先詢問貨況)2025/1/1調降、10/4正常供貨，5/5缺貨，2023/3/25新機上架")</f>
        <v>(請先詢問貨況)2025/1/1調降、10/4正常供貨，5/5缺貨，2023/3/25新機上架</v>
      </c>
      <c r="N506" s="12" t="str">
        <f ca="1">IFERROR(__xludf.DUMMYFUNCTION("""COMPUTED_VALUE"""),"窗型變頻冷暖")</f>
        <v>窗型變頻冷暖</v>
      </c>
      <c r="O506" s="12" t="str">
        <f ca="1">IFERROR(__xludf.DUMMYFUNCTION("""COMPUTED_VALUE"""),"白")</f>
        <v>白</v>
      </c>
      <c r="P506" s="12" t="str">
        <f ca="1">IFERROR(__xludf.DUMMYFUNCTION("""COMPUTED_VALUE"""),"6-8坪")</f>
        <v>6-8坪</v>
      </c>
      <c r="Q506" s="23" t="str">
        <f ca="1">IFERROR(__xludf.DUMMYFUNCTION("""COMPUTED_VALUE"""),"430x660x800mm")</f>
        <v>430x660x800mm</v>
      </c>
      <c r="R506" s="12" t="str">
        <f ca="1">IFERROR(__xludf.DUMMYFUNCTION("""COMPUTED_VALUE"""),"菲律賓")</f>
        <v>菲律賓</v>
      </c>
      <c r="S506" s="22" t="str">
        <f ca="1">IFERROR(__xludf.DUMMYFUNCTION("""COMPUTED_VALUE"""),"V")</f>
        <v>V</v>
      </c>
      <c r="T506" s="13" t="str">
        <f ca="1">IFERROR(__xludf.DUMMYFUNCTION("""COMPUTED_VALUE"""),"1級能效")</f>
        <v>1級能效</v>
      </c>
      <c r="U506" s="22" t="str">
        <f ca="1">IFERROR(__xludf.DUMMYFUNCTION("""COMPUTED_VALUE"""),"7年")</f>
        <v>7年</v>
      </c>
      <c r="V506" s="12"/>
      <c r="W506"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6" s="12"/>
      <c r="Y506" s="12">
        <f ca="1">IFERROR(__xludf.DUMMYFUNCTION("""COMPUTED_VALUE"""),4.1)</f>
        <v>4.0999999999999996</v>
      </c>
      <c r="Z506" s="14" t="str">
        <f ca="1">IFERROR(__xludf.DUMMYFUNCTION("""COMPUTED_VALUE"""),"2000")</f>
        <v>2000</v>
      </c>
      <c r="AA506" s="15" t="str">
        <f ca="1">IFERROR(__xludf.DUMMYFUNCTION("""COMPUTED_VALUE"""),"*自體淨*R32環保冷媒*高效率壓縮機*雙馬達")</f>
        <v>*自體淨*R32環保冷媒*高效率壓縮機*雙馬達</v>
      </c>
    </row>
    <row r="507" spans="1:27" ht="19.5" customHeight="1">
      <c r="A507" s="12" t="str">
        <f ca="1">IFERROR(__xludf.DUMMYFUNCTION("""COMPUTED_VALUE"""),"空調")</f>
        <v>空調</v>
      </c>
      <c r="B507" s="12" t="str">
        <f ca="1">IFERROR(__xludf.DUMMYFUNCTION("""COMPUTED_VALUE"""),"大同")</f>
        <v>大同</v>
      </c>
      <c r="C507" s="12" t="str">
        <f ca="1">IFERROR(__xludf.DUMMYFUNCTION("""COMPUTED_VALUE"""),"PANASONIC")</f>
        <v>PANASONIC</v>
      </c>
      <c r="D507" s="12" t="str">
        <f ca="1">IFERROR(__xludf.DUMMYFUNCTION("""COMPUTED_VALUE"""),"Panasonic7-9坪變頻冷暖左吹冷暖窗型冷氣CW-R50LHA2")</f>
        <v>Panasonic7-9坪變頻冷暖左吹冷暖窗型冷氣CW-R50LHA2</v>
      </c>
      <c r="E507" s="12" t="str">
        <f ca="1">IFERROR(__xludf.DUMMYFUNCTION("""COMPUTED_VALUE"""),"CW-R50LHA2")</f>
        <v>CW-R50LHA2</v>
      </c>
      <c r="F507" s="12">
        <f ca="1">IFERROR(__xludf.DUMMYFUNCTION("""COMPUTED_VALUE"""),51089465)</f>
        <v>51089465</v>
      </c>
      <c r="G507" s="12" t="str">
        <f ca="1">IFERROR(__xludf.DUMMYFUNCTION("""COMPUTED_VALUE"""),"IGEM0791")</f>
        <v>IGEM0791</v>
      </c>
      <c r="H507" s="13">
        <f ca="1">IFERROR(__xludf.DUMMYFUNCTION("""COMPUTED_VALUE"""),45500)</f>
        <v>45500</v>
      </c>
      <c r="I507" s="14">
        <f ca="1">IFERROR(__xludf.DUMMYFUNCTION("""COMPUTED_VALUE"""),43800)</f>
        <v>43800</v>
      </c>
      <c r="J507" s="16">
        <f ca="1">IFERROR(__xludf.DUMMYFUNCTION("""COMPUTED_VALUE"""),45658)</f>
        <v>45658</v>
      </c>
      <c r="K507" s="12" t="str">
        <f ca="1">IFERROR(__xludf.DUMMYFUNCTION("""COMPUTED_VALUE"""),"永久降價")</f>
        <v>永久降價</v>
      </c>
      <c r="L507" s="12" t="str">
        <f ca="1">IFERROR(__xludf.DUMMYFUNCTION("""COMPUTED_VALUE"""),"專案")</f>
        <v>專案</v>
      </c>
      <c r="M507" s="12" t="str">
        <f ca="1">IFERROR(__xludf.DUMMYFUNCTION("""COMPUTED_VALUE"""),"(請先詢問貨況)2025/1/1調降、10/4正常供貨，5/5缺貨，2023/3/25新機上架")</f>
        <v>(請先詢問貨況)2025/1/1調降、10/4正常供貨，5/5缺貨，2023/3/25新機上架</v>
      </c>
      <c r="N507" s="12" t="str">
        <f ca="1">IFERROR(__xludf.DUMMYFUNCTION("""COMPUTED_VALUE"""),"窗型變頻冷暖")</f>
        <v>窗型變頻冷暖</v>
      </c>
      <c r="O507" s="12" t="str">
        <f ca="1">IFERROR(__xludf.DUMMYFUNCTION("""COMPUTED_VALUE"""),"白")</f>
        <v>白</v>
      </c>
      <c r="P507" s="12" t="str">
        <f ca="1">IFERROR(__xludf.DUMMYFUNCTION("""COMPUTED_VALUE"""),"7-9坪")</f>
        <v>7-9坪</v>
      </c>
      <c r="Q507" s="23" t="str">
        <f ca="1">IFERROR(__xludf.DUMMYFUNCTION("""COMPUTED_VALUE"""),"430x660x800mm")</f>
        <v>430x660x800mm</v>
      </c>
      <c r="R507" s="12" t="str">
        <f ca="1">IFERROR(__xludf.DUMMYFUNCTION("""COMPUTED_VALUE"""),"菲律賓")</f>
        <v>菲律賓</v>
      </c>
      <c r="S507" s="22" t="str">
        <f ca="1">IFERROR(__xludf.DUMMYFUNCTION("""COMPUTED_VALUE"""),"V")</f>
        <v>V</v>
      </c>
      <c r="T507" s="13" t="str">
        <f ca="1">IFERROR(__xludf.DUMMYFUNCTION("""COMPUTED_VALUE"""),"1級能效")</f>
        <v>1級能效</v>
      </c>
      <c r="U507" s="22" t="str">
        <f ca="1">IFERROR(__xludf.DUMMYFUNCTION("""COMPUTED_VALUE"""),"7年")</f>
        <v>7年</v>
      </c>
      <c r="V507" s="12"/>
      <c r="W507"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7" s="12"/>
      <c r="Y507" s="12">
        <f ca="1">IFERROR(__xludf.DUMMYFUNCTION("""COMPUTED_VALUE"""),5)</f>
        <v>5</v>
      </c>
      <c r="Z507" s="14" t="str">
        <f ca="1">IFERROR(__xludf.DUMMYFUNCTION("""COMPUTED_VALUE"""),"2000")</f>
        <v>2000</v>
      </c>
      <c r="AA507" s="15" t="str">
        <f ca="1">IFERROR(__xludf.DUMMYFUNCTION("""COMPUTED_VALUE"""),"*自體淨*R32環保冷媒*高效率壓縮機*雙馬達")</f>
        <v>*自體淨*R32環保冷媒*高效率壓縮機*雙馬達</v>
      </c>
    </row>
    <row r="508" spans="1:27" ht="19.5" customHeight="1">
      <c r="A508" s="12" t="str">
        <f ca="1">IFERROR(__xludf.DUMMYFUNCTION("""COMPUTED_VALUE"""),"空調")</f>
        <v>空調</v>
      </c>
      <c r="B508" s="12" t="str">
        <f ca="1">IFERROR(__xludf.DUMMYFUNCTION("""COMPUTED_VALUE"""),"大同")</f>
        <v>大同</v>
      </c>
      <c r="C508" s="12" t="str">
        <f ca="1">IFERROR(__xludf.DUMMYFUNCTION("""COMPUTED_VALUE"""),"PANASONIC")</f>
        <v>PANASONIC</v>
      </c>
      <c r="D508" s="12" t="str">
        <f ca="1">IFERROR(__xludf.DUMMYFUNCTION("""COMPUTED_VALUE"""),"Panasonic8-10坪變頻冷暖左吹冷暖窗型冷氣CW-R60LHA2")</f>
        <v>Panasonic8-10坪變頻冷暖左吹冷暖窗型冷氣CW-R60LHA2</v>
      </c>
      <c r="E508" s="12" t="str">
        <f ca="1">IFERROR(__xludf.DUMMYFUNCTION("""COMPUTED_VALUE"""),"CW-R60LHA2")</f>
        <v>CW-R60LHA2</v>
      </c>
      <c r="F508" s="12">
        <f ca="1">IFERROR(__xludf.DUMMYFUNCTION("""COMPUTED_VALUE"""),51089466)</f>
        <v>51089466</v>
      </c>
      <c r="G508" s="12" t="str">
        <f ca="1">IFERROR(__xludf.DUMMYFUNCTION("""COMPUTED_VALUE"""),"IGEM0792")</f>
        <v>IGEM0792</v>
      </c>
      <c r="H508" s="13">
        <f ca="1">IFERROR(__xludf.DUMMYFUNCTION("""COMPUTED_VALUE"""),54700)</f>
        <v>54700</v>
      </c>
      <c r="I508" s="14">
        <f ca="1">IFERROR(__xludf.DUMMYFUNCTION("""COMPUTED_VALUE"""),52600)</f>
        <v>52600</v>
      </c>
      <c r="J508" s="16">
        <f ca="1">IFERROR(__xludf.DUMMYFUNCTION("""COMPUTED_VALUE"""),45658)</f>
        <v>45658</v>
      </c>
      <c r="K508" s="12" t="str">
        <f ca="1">IFERROR(__xludf.DUMMYFUNCTION("""COMPUTED_VALUE"""),"永久降價")</f>
        <v>永久降價</v>
      </c>
      <c r="L508" s="12" t="str">
        <f ca="1">IFERROR(__xludf.DUMMYFUNCTION("""COMPUTED_VALUE"""),"專案")</f>
        <v>專案</v>
      </c>
      <c r="M508" s="12" t="str">
        <f ca="1">IFERROR(__xludf.DUMMYFUNCTION("""COMPUTED_VALUE"""),"(請先詢問貨況)2025/1/1調降、10/4正常供貨，5/5缺貨，2023/3/25新機上架")</f>
        <v>(請先詢問貨況)2025/1/1調降、10/4正常供貨，5/5缺貨，2023/3/25新機上架</v>
      </c>
      <c r="N508" s="12" t="str">
        <f ca="1">IFERROR(__xludf.DUMMYFUNCTION("""COMPUTED_VALUE"""),"窗型變頻冷暖")</f>
        <v>窗型變頻冷暖</v>
      </c>
      <c r="O508" s="12" t="str">
        <f ca="1">IFERROR(__xludf.DUMMYFUNCTION("""COMPUTED_VALUE"""),"白")</f>
        <v>白</v>
      </c>
      <c r="P508" s="12" t="str">
        <f ca="1">IFERROR(__xludf.DUMMYFUNCTION("""COMPUTED_VALUE"""),"8-10坪")</f>
        <v>8-10坪</v>
      </c>
      <c r="Q508" s="23" t="str">
        <f ca="1">IFERROR(__xludf.DUMMYFUNCTION("""COMPUTED_VALUE"""),"430x660x800mm")</f>
        <v>430x660x800mm</v>
      </c>
      <c r="R508" s="12" t="str">
        <f ca="1">IFERROR(__xludf.DUMMYFUNCTION("""COMPUTED_VALUE"""),"菲律賓")</f>
        <v>菲律賓</v>
      </c>
      <c r="S508" s="22" t="str">
        <f ca="1">IFERROR(__xludf.DUMMYFUNCTION("""COMPUTED_VALUE"""),"V")</f>
        <v>V</v>
      </c>
      <c r="T508" s="13" t="str">
        <f ca="1">IFERROR(__xludf.DUMMYFUNCTION("""COMPUTED_VALUE"""),"1級能效")</f>
        <v>1級能效</v>
      </c>
      <c r="U508" s="22" t="str">
        <f ca="1">IFERROR(__xludf.DUMMYFUNCTION("""COMPUTED_VALUE"""),"7年")</f>
        <v>7年</v>
      </c>
      <c r="V508" s="12"/>
      <c r="W508"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8" s="12"/>
      <c r="Y508" s="12">
        <f ca="1">IFERROR(__xludf.DUMMYFUNCTION("""COMPUTED_VALUE"""),6)</f>
        <v>6</v>
      </c>
      <c r="Z508" s="14" t="str">
        <f ca="1">IFERROR(__xludf.DUMMYFUNCTION("""COMPUTED_VALUE"""),"2000")</f>
        <v>2000</v>
      </c>
      <c r="AA508" s="15" t="str">
        <f ca="1">IFERROR(__xludf.DUMMYFUNCTION("""COMPUTED_VALUE"""),"*自體淨*R32環保冷媒*高效率壓縮機*雙馬達")</f>
        <v>*自體淨*R32環保冷媒*高效率壓縮機*雙馬達</v>
      </c>
    </row>
    <row r="509" spans="1:27" ht="19.5" customHeight="1">
      <c r="A509" s="12" t="str">
        <f ca="1">IFERROR(__xludf.DUMMYFUNCTION("""COMPUTED_VALUE"""),"空調")</f>
        <v>空調</v>
      </c>
      <c r="B509" s="12" t="str">
        <f ca="1">IFERROR(__xludf.DUMMYFUNCTION("""COMPUTED_VALUE"""),"大同")</f>
        <v>大同</v>
      </c>
      <c r="C509" s="12" t="str">
        <f ca="1">IFERROR(__xludf.DUMMYFUNCTION("""COMPUTED_VALUE"""),"PANASONIC")</f>
        <v>PANASONIC</v>
      </c>
      <c r="D509" s="12" t="str">
        <f ca="1">IFERROR(__xludf.DUMMYFUNCTION("""COMPUTED_VALUE"""),"Panasonic10-12坪變頻冷暖左吹冷暖窗型冷氣CW-R68LHA2")</f>
        <v>Panasonic10-12坪變頻冷暖左吹冷暖窗型冷氣CW-R68LHA2</v>
      </c>
      <c r="E509" s="12" t="str">
        <f ca="1">IFERROR(__xludf.DUMMYFUNCTION("""COMPUTED_VALUE"""),"CW-R68LHA2")</f>
        <v>CW-R68LHA2</v>
      </c>
      <c r="F509" s="12">
        <f ca="1">IFERROR(__xludf.DUMMYFUNCTION("""COMPUTED_VALUE"""),51089467)</f>
        <v>51089467</v>
      </c>
      <c r="G509" s="12" t="str">
        <f ca="1">IFERROR(__xludf.DUMMYFUNCTION("""COMPUTED_VALUE"""),"IGEM0793")</f>
        <v>IGEM0793</v>
      </c>
      <c r="H509" s="13">
        <f ca="1">IFERROR(__xludf.DUMMYFUNCTION("""COMPUTED_VALUE"""),61200)</f>
        <v>61200</v>
      </c>
      <c r="I509" s="14">
        <f ca="1">IFERROR(__xludf.DUMMYFUNCTION("""COMPUTED_VALUE"""),58600)</f>
        <v>58600</v>
      </c>
      <c r="J509" s="16">
        <f ca="1">IFERROR(__xludf.DUMMYFUNCTION("""COMPUTED_VALUE"""),45658)</f>
        <v>45658</v>
      </c>
      <c r="K509" s="12" t="str">
        <f ca="1">IFERROR(__xludf.DUMMYFUNCTION("""COMPUTED_VALUE"""),"永久降價")</f>
        <v>永久降價</v>
      </c>
      <c r="L509" s="12" t="str">
        <f ca="1">IFERROR(__xludf.DUMMYFUNCTION("""COMPUTED_VALUE"""),"專案")</f>
        <v>專案</v>
      </c>
      <c r="M509" s="12" t="str">
        <f ca="1">IFERROR(__xludf.DUMMYFUNCTION("""COMPUTED_VALUE"""),"(請先詢問貨況)2025/1/1調降、10/4正常供貨，5/5缺貨，2023/3/25新機上架")</f>
        <v>(請先詢問貨況)2025/1/1調降、10/4正常供貨，5/5缺貨，2023/3/25新機上架</v>
      </c>
      <c r="N509" s="12" t="str">
        <f ca="1">IFERROR(__xludf.DUMMYFUNCTION("""COMPUTED_VALUE"""),"窗型變頻冷暖")</f>
        <v>窗型變頻冷暖</v>
      </c>
      <c r="O509" s="12" t="str">
        <f ca="1">IFERROR(__xludf.DUMMYFUNCTION("""COMPUTED_VALUE"""),"白")</f>
        <v>白</v>
      </c>
      <c r="P509" s="12" t="str">
        <f ca="1">IFERROR(__xludf.DUMMYFUNCTION("""COMPUTED_VALUE"""),"10-12坪")</f>
        <v>10-12坪</v>
      </c>
      <c r="Q509" s="23" t="str">
        <f ca="1">IFERROR(__xludf.DUMMYFUNCTION("""COMPUTED_VALUE"""),"430x660x800mm")</f>
        <v>430x660x800mm</v>
      </c>
      <c r="R509" s="12" t="str">
        <f ca="1">IFERROR(__xludf.DUMMYFUNCTION("""COMPUTED_VALUE"""),"菲律賓")</f>
        <v>菲律賓</v>
      </c>
      <c r="S509" s="22" t="str">
        <f ca="1">IFERROR(__xludf.DUMMYFUNCTION("""COMPUTED_VALUE"""),"V")</f>
        <v>V</v>
      </c>
      <c r="T509" s="13" t="str">
        <f ca="1">IFERROR(__xludf.DUMMYFUNCTION("""COMPUTED_VALUE"""),"1級能效")</f>
        <v>1級能效</v>
      </c>
      <c r="U509" s="22" t="str">
        <f ca="1">IFERROR(__xludf.DUMMYFUNCTION("""COMPUTED_VALUE"""),"7年")</f>
        <v>7年</v>
      </c>
      <c r="V509" s="12"/>
      <c r="W509"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09" s="12"/>
      <c r="Y509" s="12">
        <f ca="1">IFERROR(__xludf.DUMMYFUNCTION("""COMPUTED_VALUE"""),6.8)</f>
        <v>6.8</v>
      </c>
      <c r="Z509" s="14" t="str">
        <f ca="1">IFERROR(__xludf.DUMMYFUNCTION("""COMPUTED_VALUE"""),"2000")</f>
        <v>2000</v>
      </c>
      <c r="AA509" s="15" t="str">
        <f ca="1">IFERROR(__xludf.DUMMYFUNCTION("""COMPUTED_VALUE"""),"*自體淨*R32環保冷媒*高效率壓縮機*雙馬達")</f>
        <v>*自體淨*R32環保冷媒*高效率壓縮機*雙馬達</v>
      </c>
    </row>
    <row r="510" spans="1:27" ht="19.5" customHeight="1">
      <c r="A510" s="12" t="str">
        <f ca="1">IFERROR(__xludf.DUMMYFUNCTION("""COMPUTED_VALUE"""),"空調")</f>
        <v>空調</v>
      </c>
      <c r="B510" s="12" t="str">
        <f ca="1">IFERROR(__xludf.DUMMYFUNCTION("""COMPUTED_VALUE"""),"大同")</f>
        <v>大同</v>
      </c>
      <c r="C510" s="12" t="str">
        <f ca="1">IFERROR(__xludf.DUMMYFUNCTION("""COMPUTED_VALUE"""),"PANASONIC")</f>
        <v>PANASONIC</v>
      </c>
      <c r="D510" s="12" t="str">
        <f ca="1">IFERROR(__xludf.DUMMYFUNCTION("""COMPUTED_VALUE"""),"LJ系列一對二變頻冷暖空調
")</f>
        <v xml:space="preserve">LJ系列一對二變頻冷暖空調
</v>
      </c>
      <c r="E510" s="12" t="str">
        <f ca="1">IFERROR(__xludf.DUMMYFUNCTION("""COMPUTED_VALUE"""),"室外機(CU-2J83BHA2)+室內機(CS-LJ22BA2+CS-LJ63BA2)")</f>
        <v>室外機(CU-2J83BHA2)+室內機(CS-LJ22BA2+CS-LJ63BA2)</v>
      </c>
      <c r="F510" s="12">
        <f ca="1">IFERROR(__xludf.DUMMYFUNCTION("""COMPUTED_VALUE"""),51083072)</f>
        <v>51083072</v>
      </c>
      <c r="G510" s="12" t="str">
        <f ca="1">IFERROR(__xludf.DUMMYFUNCTION("""COMPUTED_VALUE"""),"IGEM00DJ")</f>
        <v>IGEM00DJ</v>
      </c>
      <c r="H510" s="13">
        <f ca="1">IFERROR(__xludf.DUMMYFUNCTION("""COMPUTED_VALUE"""),101400)</f>
        <v>101400</v>
      </c>
      <c r="I510" s="14">
        <f ca="1">IFERROR(__xludf.DUMMYFUNCTION("""COMPUTED_VALUE"""),99300)</f>
        <v>99300</v>
      </c>
      <c r="J510" s="16">
        <f ca="1">IFERROR(__xludf.DUMMYFUNCTION("""COMPUTED_VALUE"""),44970)</f>
        <v>44970</v>
      </c>
      <c r="K510" s="12" t="str">
        <f ca="1">IFERROR(__xludf.DUMMYFUNCTION("""COMPUTED_VALUE"""),"回價")</f>
        <v>回價</v>
      </c>
      <c r="L510" s="12" t="str">
        <f ca="1">IFERROR(__xludf.DUMMYFUNCTION("""COMPUTED_VALUE"""),"專案")</f>
        <v>專案</v>
      </c>
      <c r="M510" s="12" t="str">
        <f ca="1">IFERROR(__xludf.DUMMYFUNCTION("""COMPUTED_VALUE"""),"112/2/13調漲")</f>
        <v>112/2/13調漲</v>
      </c>
      <c r="N510" s="12" t="str">
        <f ca="1">IFERROR(__xludf.DUMMYFUNCTION("""COMPUTED_VALUE"""),"一對多變頻冷暖")</f>
        <v>一對多變頻冷暖</v>
      </c>
      <c r="O510" s="12"/>
      <c r="P510" s="12" t="str">
        <f ca="1">IFERROR(__xludf.DUMMYFUNCTION("""COMPUTED_VALUE"""),"3-5坪+10-13坪")</f>
        <v>3-5坪+10-13坪</v>
      </c>
      <c r="Q510" s="23" t="str">
        <f ca="1">IFERROR(__xludf.DUMMYFUNCTION("""COMPUTED_VALUE"""),"室內機：295×798×235mm/295×1160×255mm
室外機：920×880×340mm")</f>
        <v>室內機：295×798×235mm/295×1160×255mm
室外機：920×880×340mm</v>
      </c>
      <c r="R510" s="12" t="str">
        <f ca="1">IFERROR(__xludf.DUMMYFUNCTION("""COMPUTED_VALUE"""),"台灣")</f>
        <v>台灣</v>
      </c>
      <c r="S510" s="22" t="str">
        <f ca="1">IFERROR(__xludf.DUMMYFUNCTION("""COMPUTED_VALUE"""),"V")</f>
        <v>V</v>
      </c>
      <c r="T510" s="13" t="str">
        <f ca="1">IFERROR(__xludf.DUMMYFUNCTION("""COMPUTED_VALUE"""),"1級能效")</f>
        <v>1級能效</v>
      </c>
      <c r="U510" s="22" t="str">
        <f ca="1">IFERROR(__xludf.DUMMYFUNCTION("""COMPUTED_VALUE"""),"7年")</f>
        <v>7年</v>
      </c>
      <c r="V510" s="22" t="str">
        <f ca="1">IFERROR(__xludf.DUMMYFUNCTION("""COMPUTED_VALUE"""),"10年")</f>
        <v>10年</v>
      </c>
      <c r="W510" s="12"/>
      <c r="X510" s="12"/>
      <c r="Y510" s="12">
        <f ca="1">IFERROR(__xludf.DUMMYFUNCTION("""COMPUTED_VALUE"""),8.3)</f>
        <v>8.3000000000000007</v>
      </c>
      <c r="Z510" s="14" t="str">
        <f ca="1">IFERROR(__xludf.DUMMYFUNCTION("""COMPUTED_VALUE"""),"2000")</f>
        <v>2000</v>
      </c>
      <c r="AA510" s="15" t="str">
        <f ca="1">IFERROR(__xludf.DUMMYFUNCTION("""COMPUTED_VALUE"""),"*環保冷媒R32")</f>
        <v>*環保冷媒R32</v>
      </c>
    </row>
    <row r="511" spans="1:27" ht="19.5" customHeight="1">
      <c r="A511" s="12" t="str">
        <f ca="1">IFERROR(__xludf.DUMMYFUNCTION("""COMPUTED_VALUE"""),"空調")</f>
        <v>空調</v>
      </c>
      <c r="B511" s="12" t="str">
        <f ca="1">IFERROR(__xludf.DUMMYFUNCTION("""COMPUTED_VALUE"""),"大同")</f>
        <v>大同</v>
      </c>
      <c r="C511" s="12" t="str">
        <f ca="1">IFERROR(__xludf.DUMMYFUNCTION("""COMPUTED_VALUE"""),"PANASONIC")</f>
        <v>PANASONIC</v>
      </c>
      <c r="D511" s="12" t="str">
        <f ca="1">IFERROR(__xludf.DUMMYFUNCTION("""COMPUTED_VALUE"""),"PANASONIC_LJ系列3-4坪+6-8坪一對二變頻冷暖空調CU-2J52FHA2/CS-LJ22BA2+CS-LJ40BA2")</f>
        <v>PANASONIC_LJ系列3-4坪+6-8坪一對二變頻冷暖空調CU-2J52FHA2/CS-LJ22BA2+CS-LJ40BA2</v>
      </c>
      <c r="E511" s="12" t="str">
        <f ca="1">IFERROR(__xludf.DUMMYFUNCTION("""COMPUTED_VALUE"""),"CU-2J52FHA2/CS-LJ22BA2+CS-LJ40BA2")</f>
        <v>CU-2J52FHA2/CS-LJ22BA2+CS-LJ40BA2</v>
      </c>
      <c r="F511" s="12">
        <f ca="1">IFERROR(__xludf.DUMMYFUNCTION("""COMPUTED_VALUE"""),51089407)</f>
        <v>51089407</v>
      </c>
      <c r="G511" s="12" t="str">
        <f ca="1">IFERROR(__xludf.DUMMYFUNCTION("""COMPUTED_VALUE"""),"IGEM063I")</f>
        <v>IGEM063I</v>
      </c>
      <c r="H511" s="12">
        <f ca="1">IFERROR(__xludf.DUMMYFUNCTION("""COMPUTED_VALUE"""),71100)</f>
        <v>71100</v>
      </c>
      <c r="I511" s="14">
        <f ca="1">IFERROR(__xludf.DUMMYFUNCTION("""COMPUTED_VALUE"""),69800)</f>
        <v>69800</v>
      </c>
      <c r="J511" s="16">
        <f ca="1">IFERROR(__xludf.DUMMYFUNCTION("""COMPUTED_VALUE"""),44970)</f>
        <v>44970</v>
      </c>
      <c r="K511" s="12" t="str">
        <f ca="1">IFERROR(__xludf.DUMMYFUNCTION("""COMPUTED_VALUE"""),"回價")</f>
        <v>回價</v>
      </c>
      <c r="L511" s="12" t="str">
        <f ca="1">IFERROR(__xludf.DUMMYFUNCTION("""COMPUTED_VALUE"""),"專案")</f>
        <v>專案</v>
      </c>
      <c r="M511" s="12" t="str">
        <f ca="1">IFERROR(__xludf.DUMMYFUNCTION("""COMPUTED_VALUE"""),"2023/2/13調漲")</f>
        <v>2023/2/13調漲</v>
      </c>
      <c r="N511" s="12" t="str">
        <f ca="1">IFERROR(__xludf.DUMMYFUNCTION("""COMPUTED_VALUE"""),"一對多變頻冷暖")</f>
        <v>一對多變頻冷暖</v>
      </c>
      <c r="O511" s="12" t="str">
        <f ca="1">IFERROR(__xludf.DUMMYFUNCTION("""COMPUTED_VALUE"""),"白")</f>
        <v>白</v>
      </c>
      <c r="P511" s="12" t="str">
        <f ca="1">IFERROR(__xludf.DUMMYFUNCTION("""COMPUTED_VALUE"""),"3-4坪+6-8坪")</f>
        <v>3-4坪+6-8坪</v>
      </c>
      <c r="Q511" s="23" t="str">
        <f ca="1">IFERROR(__xludf.DUMMYFUNCTION("""COMPUTED_VALUE"""),"室內機:798*798*235mm
室外機:666*289*289mm")</f>
        <v>室內機:798*798*235mm
室外機:666*289*289mm</v>
      </c>
      <c r="R511" s="12" t="str">
        <f ca="1">IFERROR(__xludf.DUMMYFUNCTION("""COMPUTED_VALUE"""),"台灣")</f>
        <v>台灣</v>
      </c>
      <c r="S511" s="22" t="str">
        <f ca="1">IFERROR(__xludf.DUMMYFUNCTION("""COMPUTED_VALUE"""),"V")</f>
        <v>V</v>
      </c>
      <c r="T511" s="13" t="str">
        <f ca="1">IFERROR(__xludf.DUMMYFUNCTION("""COMPUTED_VALUE"""),"1級能效")</f>
        <v>1級能效</v>
      </c>
      <c r="U511" s="22" t="str">
        <f ca="1">IFERROR(__xludf.DUMMYFUNCTION("""COMPUTED_VALUE"""),"7年")</f>
        <v>7年</v>
      </c>
      <c r="V511" s="12"/>
      <c r="W511" s="12"/>
      <c r="X511" s="12"/>
      <c r="Y511" s="12">
        <f ca="1">IFERROR(__xludf.DUMMYFUNCTION("""COMPUTED_VALUE"""),5.2)</f>
        <v>5.2</v>
      </c>
      <c r="Z511" s="14" t="str">
        <f ca="1">IFERROR(__xludf.DUMMYFUNCTION("""COMPUTED_VALUE"""),"2000")</f>
        <v>2000</v>
      </c>
      <c r="AA511" s="15" t="str">
        <f ca="1">IFERROR(__xludf.DUMMYFUNCTION("""COMPUTED_VALUE"""),"*自體淨*R32環保冷媒*高效率壓縮機")</f>
        <v>*自體淨*R32環保冷媒*高效率壓縮機</v>
      </c>
    </row>
    <row r="512" spans="1:27" ht="19.5" customHeight="1">
      <c r="A512" s="12" t="str">
        <f ca="1">IFERROR(__xludf.DUMMYFUNCTION("""COMPUTED_VALUE"""),"空調")</f>
        <v>空調</v>
      </c>
      <c r="B512" s="12" t="str">
        <f ca="1">IFERROR(__xludf.DUMMYFUNCTION("""COMPUTED_VALUE"""),"大同")</f>
        <v>大同</v>
      </c>
      <c r="C512" s="12" t="str">
        <f ca="1">IFERROR(__xludf.DUMMYFUNCTION("""COMPUTED_VALUE"""),"PANASONIC")</f>
        <v>PANASONIC</v>
      </c>
      <c r="D512" s="12" t="str">
        <f ca="1">IFERROR(__xludf.DUMMYFUNCTION("""COMPUTED_VALUE"""),"PANASONIC LJ系列 18坪變頻冷暖一對一分離式空調(LJ系列)_CS-LJ110BA2/CU-LJ110BHA2")</f>
        <v>PANASONIC LJ系列 18坪變頻冷暖一對一分離式空調(LJ系列)_CS-LJ110BA2/CU-LJ110BHA2</v>
      </c>
      <c r="E512" s="12" t="str">
        <f ca="1">IFERROR(__xludf.DUMMYFUNCTION("""COMPUTED_VALUE"""),"CU-LJ110BHA2/CS-LJ110BA2")</f>
        <v>CU-LJ110BHA2/CS-LJ110BA2</v>
      </c>
      <c r="F512" s="12">
        <f ca="1">IFERROR(__xludf.DUMMYFUNCTION("""COMPUTED_VALUE"""),51012180)</f>
        <v>51012180</v>
      </c>
      <c r="G512" s="12" t="str">
        <f ca="1">IFERROR(__xludf.DUMMYFUNCTION("""COMPUTED_VALUE"""),"IGEM0580")</f>
        <v>IGEM0580</v>
      </c>
      <c r="H512" s="12">
        <f ca="1">IFERROR(__xludf.DUMMYFUNCTION("""COMPUTED_VALUE"""),86300)</f>
        <v>86300</v>
      </c>
      <c r="I512" s="14">
        <f ca="1">IFERROR(__xludf.DUMMYFUNCTION("""COMPUTED_VALUE"""),85800)</f>
        <v>85800</v>
      </c>
      <c r="J512" s="16">
        <f ca="1">IFERROR(__xludf.DUMMYFUNCTION("""COMPUTED_VALUE"""),44970)</f>
        <v>44970</v>
      </c>
      <c r="K512" s="12" t="str">
        <f ca="1">IFERROR(__xludf.DUMMYFUNCTION("""COMPUTED_VALUE"""),"回價")</f>
        <v>回價</v>
      </c>
      <c r="L512" s="12" t="str">
        <f ca="1">IFERROR(__xludf.DUMMYFUNCTION("""COMPUTED_VALUE"""),"專案")</f>
        <v>專案</v>
      </c>
      <c r="M512" s="12" t="str">
        <f ca="1">IFERROR(__xludf.DUMMYFUNCTION("""COMPUTED_VALUE"""),"客訂商品調貨，與廠商確認貨況後開數量受理。")</f>
        <v>客訂商品調貨，與廠商確認貨況後開數量受理。</v>
      </c>
      <c r="N512" s="12" t="str">
        <f ca="1">IFERROR(__xludf.DUMMYFUNCTION("""COMPUTED_VALUE"""),"一對一變頻冷暖")</f>
        <v>一對一變頻冷暖</v>
      </c>
      <c r="O512" s="12" t="str">
        <f ca="1">IFERROR(__xludf.DUMMYFUNCTION("""COMPUTED_VALUE"""),"白")</f>
        <v>白</v>
      </c>
      <c r="P512" s="12" t="str">
        <f ca="1">IFERROR(__xludf.DUMMYFUNCTION("""COMPUTED_VALUE"""),"17-20坪")</f>
        <v>17-20坪</v>
      </c>
      <c r="Q512" s="23" t="str">
        <f ca="1">IFERROR(__xludf.DUMMYFUNCTION("""COMPUTED_VALUE"""),"室內機：255*116*295mm
室外機：535*1305*101.8mm")</f>
        <v>室內機：255*116*295mm
室外機：535*1305*101.8mm</v>
      </c>
      <c r="R512" s="12" t="str">
        <f ca="1">IFERROR(__xludf.DUMMYFUNCTION("""COMPUTED_VALUE"""),"台灣")</f>
        <v>台灣</v>
      </c>
      <c r="S512" s="22" t="str">
        <f ca="1">IFERROR(__xludf.DUMMYFUNCTION("""COMPUTED_VALUE"""),"V")</f>
        <v>V</v>
      </c>
      <c r="T512" s="13" t="str">
        <f ca="1">IFERROR(__xludf.DUMMYFUNCTION("""COMPUTED_VALUE"""),"1級能效")</f>
        <v>1級能效</v>
      </c>
      <c r="U512" s="22" t="str">
        <f ca="1">IFERROR(__xludf.DUMMYFUNCTION("""COMPUTED_VALUE"""),"7年")</f>
        <v>7年</v>
      </c>
      <c r="V512" s="22" t="str">
        <f ca="1">IFERROR(__xludf.DUMMYFUNCTION("""COMPUTED_VALUE"""),"10年")</f>
        <v>10年</v>
      </c>
      <c r="W512" s="12"/>
      <c r="X512" s="12"/>
      <c r="Y512" s="12">
        <f ca="1">IFERROR(__xludf.DUMMYFUNCTION("""COMPUTED_VALUE"""),11)</f>
        <v>11</v>
      </c>
      <c r="Z512" s="14" t="str">
        <f ca="1">IFERROR(__xludf.DUMMYFUNCTION("""COMPUTED_VALUE"""),"2000")</f>
        <v>2000</v>
      </c>
      <c r="AA512" s="15" t="str">
        <f ca="1">IFERROR(__xludf.DUMMYFUNCTION("""COMPUTED_VALUE"""),"*nanoe™健康科技*ECONAVI智慧節能科技*3D氣流*乾燥防霉*自體淨*R32環保冷媒")</f>
        <v>*nanoe™健康科技*ECONAVI智慧節能科技*3D氣流*乾燥防霉*自體淨*R32環保冷媒</v>
      </c>
    </row>
    <row r="513" spans="1:27" ht="19.5" customHeight="1">
      <c r="A513" s="12" t="str">
        <f ca="1">IFERROR(__xludf.DUMMYFUNCTION("""COMPUTED_VALUE"""),"空調")</f>
        <v>空調</v>
      </c>
      <c r="B513" s="12" t="str">
        <f ca="1">IFERROR(__xludf.DUMMYFUNCTION("""COMPUTED_VALUE"""),"大同")</f>
        <v>大同</v>
      </c>
      <c r="C513" s="12" t="str">
        <f ca="1">IFERROR(__xludf.DUMMYFUNCTION("""COMPUTED_VALUE"""),"PANASONIC")</f>
        <v>PANASONIC</v>
      </c>
      <c r="D513" s="12" t="str">
        <f ca="1">IFERROR(__xludf.DUMMYFUNCTION("""COMPUTED_VALUE"""),"Panasonic2-4坪變頻左吹冷專窗型冷氣CW-R22LCA2")</f>
        <v>Panasonic2-4坪變頻左吹冷專窗型冷氣CW-R22LCA2</v>
      </c>
      <c r="E513" s="12" t="str">
        <f ca="1">IFERROR(__xludf.DUMMYFUNCTION("""COMPUTED_VALUE"""),"CW-R22LCA2")</f>
        <v>CW-R22LCA2</v>
      </c>
      <c r="F513" s="12">
        <f ca="1">IFERROR(__xludf.DUMMYFUNCTION("""COMPUTED_VALUE"""),51081309)</f>
        <v>51081309</v>
      </c>
      <c r="G513" s="12" t="str">
        <f ca="1">IFERROR(__xludf.DUMMYFUNCTION("""COMPUTED_VALUE"""),"IGEM082R")</f>
        <v>IGEM082R</v>
      </c>
      <c r="H513" s="13">
        <f ca="1">IFERROR(__xludf.DUMMYFUNCTION("""COMPUTED_VALUE"""),23000)</f>
        <v>23000</v>
      </c>
      <c r="I513" s="14">
        <f ca="1">IFERROR(__xludf.DUMMYFUNCTION("""COMPUTED_VALUE"""),22295)</f>
        <v>22295</v>
      </c>
      <c r="J513" s="16">
        <f ca="1">IFERROR(__xludf.DUMMYFUNCTION("""COMPUTED_VALUE"""),45658)</f>
        <v>45658</v>
      </c>
      <c r="K513" s="12" t="str">
        <f ca="1">IFERROR(__xludf.DUMMYFUNCTION("""COMPUTED_VALUE"""),"永久降價")</f>
        <v>永久降價</v>
      </c>
      <c r="L513" s="12" t="str">
        <f ca="1">IFERROR(__xludf.DUMMYFUNCTION("""COMPUTED_VALUE"""),"專案")</f>
        <v>專案</v>
      </c>
      <c r="M513" s="12" t="str">
        <f ca="1">IFERROR(__xludf.DUMMYFUNCTION("""COMPUTED_VALUE"""),"(請先詢問貨況)2025/1/1調降、2024/2/20調漲恢復供貨;10/5調漲缺貨")</f>
        <v>(請先詢問貨況)2025/1/1調降、2024/2/20調漲恢復供貨;10/5調漲缺貨</v>
      </c>
      <c r="N513" s="12" t="str">
        <f ca="1">IFERROR(__xludf.DUMMYFUNCTION("""COMPUTED_VALUE"""),"窗型變頻冷專")</f>
        <v>窗型變頻冷專</v>
      </c>
      <c r="O513" s="12" t="str">
        <f ca="1">IFERROR(__xludf.DUMMYFUNCTION("""COMPUTED_VALUE"""),"白")</f>
        <v>白</v>
      </c>
      <c r="P513" s="12" t="str">
        <f ca="1">IFERROR(__xludf.DUMMYFUNCTION("""COMPUTED_VALUE"""),"2-4坪")</f>
        <v>2-4坪</v>
      </c>
      <c r="Q513" s="23" t="str">
        <f ca="1">IFERROR(__xludf.DUMMYFUNCTION("""COMPUTED_VALUE"""),"室內機:350×560×346 mm
")</f>
        <v xml:space="preserve">室內機:350×560×346 mm
</v>
      </c>
      <c r="R513" s="12" t="str">
        <f ca="1">IFERROR(__xludf.DUMMYFUNCTION("""COMPUTED_VALUE"""),"菲律賓")</f>
        <v>菲律賓</v>
      </c>
      <c r="S513" s="22" t="str">
        <f ca="1">IFERROR(__xludf.DUMMYFUNCTION("""COMPUTED_VALUE"""),"V")</f>
        <v>V</v>
      </c>
      <c r="T513" s="13" t="str">
        <f ca="1">IFERROR(__xludf.DUMMYFUNCTION("""COMPUTED_VALUE"""),"1級能效")</f>
        <v>1級能效</v>
      </c>
      <c r="U513" s="22" t="str">
        <f ca="1">IFERROR(__xludf.DUMMYFUNCTION("""COMPUTED_VALUE"""),"7年")</f>
        <v>7年</v>
      </c>
      <c r="V513" s="12"/>
      <c r="W513"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13" s="12"/>
      <c r="Y513" s="12">
        <f ca="1">IFERROR(__xludf.DUMMYFUNCTION("""COMPUTED_VALUE"""),2.2)</f>
        <v>2.2000000000000002</v>
      </c>
      <c r="Z513" s="14">
        <f ca="1">IFERROR(__xludf.DUMMYFUNCTION("""COMPUTED_VALUE"""),1600)</f>
        <v>1600</v>
      </c>
      <c r="AA513" s="15" t="str">
        <f ca="1">IFERROR(__xludf.DUMMYFUNCTION("""COMPUTED_VALUE"""),"*自體淨*R32環保冷媒*高效率壓縮機*雙馬達")</f>
        <v>*自體淨*R32環保冷媒*高效率壓縮機*雙馬達</v>
      </c>
    </row>
    <row r="514" spans="1:27" ht="19.5" customHeight="1">
      <c r="A514" s="12" t="str">
        <f ca="1">IFERROR(__xludf.DUMMYFUNCTION("""COMPUTED_VALUE"""),"空調")</f>
        <v>空調</v>
      </c>
      <c r="B514" s="12" t="str">
        <f ca="1">IFERROR(__xludf.DUMMYFUNCTION("""COMPUTED_VALUE"""),"大同")</f>
        <v>大同</v>
      </c>
      <c r="C514" s="12" t="str">
        <f ca="1">IFERROR(__xludf.DUMMYFUNCTION("""COMPUTED_VALUE"""),"PANASONIC")</f>
        <v>PANASONIC</v>
      </c>
      <c r="D514" s="12" t="str">
        <f ca="1">IFERROR(__xludf.DUMMYFUNCTION("""COMPUTED_VALUE"""),"Panasonic4-5坪變頻左吹冷專窗型冷氣CW-R28LCA2")</f>
        <v>Panasonic4-5坪變頻左吹冷專窗型冷氣CW-R28LCA2</v>
      </c>
      <c r="E514" s="12" t="str">
        <f ca="1">IFERROR(__xludf.DUMMYFUNCTION("""COMPUTED_VALUE"""),"CW-R28LCA2")</f>
        <v>CW-R28LCA2</v>
      </c>
      <c r="F514" s="12">
        <f ca="1">IFERROR(__xludf.DUMMYFUNCTION("""COMPUTED_VALUE"""),51081310)</f>
        <v>51081310</v>
      </c>
      <c r="G514" s="12" t="str">
        <f ca="1">IFERROR(__xludf.DUMMYFUNCTION("""COMPUTED_VALUE"""),"IGEM082S")</f>
        <v>IGEM082S</v>
      </c>
      <c r="H514" s="13">
        <f ca="1">IFERROR(__xludf.DUMMYFUNCTION("""COMPUTED_VALUE"""),26700)</f>
        <v>26700</v>
      </c>
      <c r="I514" s="14">
        <f ca="1">IFERROR(__xludf.DUMMYFUNCTION("""COMPUTED_VALUE"""),25900)</f>
        <v>25900</v>
      </c>
      <c r="J514" s="16">
        <f ca="1">IFERROR(__xludf.DUMMYFUNCTION("""COMPUTED_VALUE"""),45658)</f>
        <v>45658</v>
      </c>
      <c r="K514" s="12" t="str">
        <f ca="1">IFERROR(__xludf.DUMMYFUNCTION("""COMPUTED_VALUE"""),"永久降價")</f>
        <v>永久降價</v>
      </c>
      <c r="L514" s="12" t="str">
        <f ca="1">IFERROR(__xludf.DUMMYFUNCTION("""COMPUTED_VALUE"""),"專案")</f>
        <v>專案</v>
      </c>
      <c r="M514" s="12" t="str">
        <f ca="1">IFERROR(__xludf.DUMMYFUNCTION("""COMPUTED_VALUE"""),"(請先詢問貨況)2025/1/1調降、2024/2/20調漲恢復供貨;10/5調漲缺貨")</f>
        <v>(請先詢問貨況)2025/1/1調降、2024/2/20調漲恢復供貨;10/5調漲缺貨</v>
      </c>
      <c r="N514" s="12" t="str">
        <f ca="1">IFERROR(__xludf.DUMMYFUNCTION("""COMPUTED_VALUE"""),"窗型變頻冷專")</f>
        <v>窗型變頻冷專</v>
      </c>
      <c r="O514" s="12" t="str">
        <f ca="1">IFERROR(__xludf.DUMMYFUNCTION("""COMPUTED_VALUE"""),"白")</f>
        <v>白</v>
      </c>
      <c r="P514" s="12" t="str">
        <f ca="1">IFERROR(__xludf.DUMMYFUNCTION("""COMPUTED_VALUE"""),"4-5坪")</f>
        <v>4-5坪</v>
      </c>
      <c r="Q514" s="23" t="str">
        <f ca="1">IFERROR(__xludf.DUMMYFUNCTION("""COMPUTED_VALUE"""),"室內機:600×710×400 mm
")</f>
        <v xml:space="preserve">室內機:600×710×400 mm
</v>
      </c>
      <c r="R514" s="12" t="str">
        <f ca="1">IFERROR(__xludf.DUMMYFUNCTION("""COMPUTED_VALUE"""),"菲律賓")</f>
        <v>菲律賓</v>
      </c>
      <c r="S514" s="22" t="str">
        <f ca="1">IFERROR(__xludf.DUMMYFUNCTION("""COMPUTED_VALUE"""),"V")</f>
        <v>V</v>
      </c>
      <c r="T514" s="13" t="str">
        <f ca="1">IFERROR(__xludf.DUMMYFUNCTION("""COMPUTED_VALUE"""),"1級能效")</f>
        <v>1級能效</v>
      </c>
      <c r="U514" s="22" t="str">
        <f ca="1">IFERROR(__xludf.DUMMYFUNCTION("""COMPUTED_VALUE"""),"7年")</f>
        <v>7年</v>
      </c>
      <c r="V514" s="12"/>
      <c r="W514"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14" s="12"/>
      <c r="Y514" s="12">
        <f ca="1">IFERROR(__xludf.DUMMYFUNCTION("""COMPUTED_VALUE"""),2.8)</f>
        <v>2.8</v>
      </c>
      <c r="Z514" s="14">
        <f ca="1">IFERROR(__xludf.DUMMYFUNCTION("""COMPUTED_VALUE"""),1600)</f>
        <v>1600</v>
      </c>
      <c r="AA514" s="15" t="str">
        <f ca="1">IFERROR(__xludf.DUMMYFUNCTION("""COMPUTED_VALUE"""),"*自體淨*R32環保冷媒*高效率壓縮機*雙馬達")</f>
        <v>*自體淨*R32環保冷媒*高效率壓縮機*雙馬達</v>
      </c>
    </row>
    <row r="515" spans="1:27" ht="19.5" customHeight="1">
      <c r="A515" s="12" t="str">
        <f ca="1">IFERROR(__xludf.DUMMYFUNCTION("""COMPUTED_VALUE"""),"空調")</f>
        <v>空調</v>
      </c>
      <c r="B515" s="12" t="str">
        <f ca="1">IFERROR(__xludf.DUMMYFUNCTION("""COMPUTED_VALUE"""),"大同")</f>
        <v>大同</v>
      </c>
      <c r="C515" s="12" t="str">
        <f ca="1">IFERROR(__xludf.DUMMYFUNCTION("""COMPUTED_VALUE"""),"PANASONIC")</f>
        <v>PANASONIC</v>
      </c>
      <c r="D515" s="12" t="str">
        <f ca="1">IFERROR(__xludf.DUMMYFUNCTION("""COMPUTED_VALUE"""),"Panasonic5-7坪變頻左吹冷專窗型冷氣CW-R36LCA2")</f>
        <v>Panasonic5-7坪變頻左吹冷專窗型冷氣CW-R36LCA2</v>
      </c>
      <c r="E515" s="12" t="str">
        <f ca="1">IFERROR(__xludf.DUMMYFUNCTION("""COMPUTED_VALUE"""),"CW-R36LCA2")</f>
        <v>CW-R36LCA2</v>
      </c>
      <c r="F515" s="12">
        <f ca="1">IFERROR(__xludf.DUMMYFUNCTION("""COMPUTED_VALUE"""),51081311)</f>
        <v>51081311</v>
      </c>
      <c r="G515" s="12" t="str">
        <f ca="1">IFERROR(__xludf.DUMMYFUNCTION("""COMPUTED_VALUE"""),"IGEM082T")</f>
        <v>IGEM082T</v>
      </c>
      <c r="H515" s="13">
        <f ca="1">IFERROR(__xludf.DUMMYFUNCTION("""COMPUTED_VALUE"""),32800)</f>
        <v>32800</v>
      </c>
      <c r="I515" s="14">
        <f ca="1">IFERROR(__xludf.DUMMYFUNCTION("""COMPUTED_VALUE"""),31900)</f>
        <v>31900</v>
      </c>
      <c r="J515" s="16">
        <f ca="1">IFERROR(__xludf.DUMMYFUNCTION("""COMPUTED_VALUE"""),45658)</f>
        <v>45658</v>
      </c>
      <c r="K515" s="12" t="str">
        <f ca="1">IFERROR(__xludf.DUMMYFUNCTION("""COMPUTED_VALUE"""),"永久降價")</f>
        <v>永久降價</v>
      </c>
      <c r="L515" s="12" t="str">
        <f ca="1">IFERROR(__xludf.DUMMYFUNCTION("""COMPUTED_VALUE"""),"專案")</f>
        <v>專案</v>
      </c>
      <c r="M515" s="12" t="str">
        <f ca="1">IFERROR(__xludf.DUMMYFUNCTION("""COMPUTED_VALUE"""),"(請先詢問貨況)2025/1/1調降")</f>
        <v>(請先詢問貨況)2025/1/1調降</v>
      </c>
      <c r="N515" s="12" t="str">
        <f ca="1">IFERROR(__xludf.DUMMYFUNCTION("""COMPUTED_VALUE"""),"窗型變頻冷專")</f>
        <v>窗型變頻冷專</v>
      </c>
      <c r="O515" s="12" t="str">
        <f ca="1">IFERROR(__xludf.DUMMYFUNCTION("""COMPUTED_VALUE"""),"白")</f>
        <v>白</v>
      </c>
      <c r="P515" s="12" t="str">
        <f ca="1">IFERROR(__xludf.DUMMYFUNCTION("""COMPUTED_VALUE"""),"5-7坪")</f>
        <v>5-7坪</v>
      </c>
      <c r="Q515" s="23" t="str">
        <f ca="1">IFERROR(__xludf.DUMMYFUNCTION("""COMPUTED_VALUE"""),"室內機:600×710×400 mm
")</f>
        <v xml:space="preserve">室內機:600×710×400 mm
</v>
      </c>
      <c r="R515" s="12" t="str">
        <f ca="1">IFERROR(__xludf.DUMMYFUNCTION("""COMPUTED_VALUE"""),"菲律賓")</f>
        <v>菲律賓</v>
      </c>
      <c r="S515" s="22" t="str">
        <f ca="1">IFERROR(__xludf.DUMMYFUNCTION("""COMPUTED_VALUE"""),"V")</f>
        <v>V</v>
      </c>
      <c r="T515" s="13" t="str">
        <f ca="1">IFERROR(__xludf.DUMMYFUNCTION("""COMPUTED_VALUE"""),"1級能效")</f>
        <v>1級能效</v>
      </c>
      <c r="U515" s="22" t="str">
        <f ca="1">IFERROR(__xludf.DUMMYFUNCTION("""COMPUTED_VALUE"""),"7年")</f>
        <v>7年</v>
      </c>
      <c r="V515" s="12"/>
      <c r="W515"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15" s="12"/>
      <c r="Y515" s="12">
        <f ca="1">IFERROR(__xludf.DUMMYFUNCTION("""COMPUTED_VALUE"""),3.6)</f>
        <v>3.6</v>
      </c>
      <c r="Z515" s="14" t="str">
        <f ca="1">IFERROR(__xludf.DUMMYFUNCTION("""COMPUTED_VALUE"""),"2000")</f>
        <v>2000</v>
      </c>
      <c r="AA515" s="15" t="str">
        <f ca="1">IFERROR(__xludf.DUMMYFUNCTION("""COMPUTED_VALUE"""),"*自體淨*R32環保冷媒*高效率壓縮機*雙馬達")</f>
        <v>*自體淨*R32環保冷媒*高效率壓縮機*雙馬達</v>
      </c>
    </row>
    <row r="516" spans="1:27" ht="19.5" customHeight="1">
      <c r="A516" s="12" t="str">
        <f ca="1">IFERROR(__xludf.DUMMYFUNCTION("""COMPUTED_VALUE"""),"空調")</f>
        <v>空調</v>
      </c>
      <c r="B516" s="12" t="str">
        <f ca="1">IFERROR(__xludf.DUMMYFUNCTION("""COMPUTED_VALUE"""),"大同")</f>
        <v>大同</v>
      </c>
      <c r="C516" s="12" t="str">
        <f ca="1">IFERROR(__xludf.DUMMYFUNCTION("""COMPUTED_VALUE"""),"PANASONIC")</f>
        <v>PANASONIC</v>
      </c>
      <c r="D516" s="12" t="str">
        <f ca="1">IFERROR(__xludf.DUMMYFUNCTION("""COMPUTED_VALUE"""),"Panasonic6-8坪變頻左吹冷專窗型冷氣CW-R40LCA2")</f>
        <v>Panasonic6-8坪變頻左吹冷專窗型冷氣CW-R40LCA2</v>
      </c>
      <c r="E516" s="12" t="str">
        <f ca="1">IFERROR(__xludf.DUMMYFUNCTION("""COMPUTED_VALUE"""),"CW-R40LCA2")</f>
        <v>CW-R40LCA2</v>
      </c>
      <c r="F516" s="12">
        <f ca="1">IFERROR(__xludf.DUMMYFUNCTION("""COMPUTED_VALUE"""),51081312)</f>
        <v>51081312</v>
      </c>
      <c r="G516" s="12" t="str">
        <f ca="1">IFERROR(__xludf.DUMMYFUNCTION("""COMPUTED_VALUE"""),"IGEM082U")</f>
        <v>IGEM082U</v>
      </c>
      <c r="H516" s="13">
        <f ca="1">IFERROR(__xludf.DUMMYFUNCTION("""COMPUTED_VALUE"""),37700)</f>
        <v>37700</v>
      </c>
      <c r="I516" s="14">
        <f ca="1">IFERROR(__xludf.DUMMYFUNCTION("""COMPUTED_VALUE"""),36600)</f>
        <v>36600</v>
      </c>
      <c r="J516" s="16">
        <f ca="1">IFERROR(__xludf.DUMMYFUNCTION("""COMPUTED_VALUE"""),45658)</f>
        <v>45658</v>
      </c>
      <c r="K516" s="12" t="str">
        <f ca="1">IFERROR(__xludf.DUMMYFUNCTION("""COMPUTED_VALUE"""),"永久降價")</f>
        <v>永久降價</v>
      </c>
      <c r="L516" s="12" t="str">
        <f ca="1">IFERROR(__xludf.DUMMYFUNCTION("""COMPUTED_VALUE"""),"專案")</f>
        <v>專案</v>
      </c>
      <c r="M516" s="12" t="str">
        <f ca="1">IFERROR(__xludf.DUMMYFUNCTION("""COMPUTED_VALUE"""),"(請先詢問貨況)2025/1/1調降")</f>
        <v>(請先詢問貨況)2025/1/1調降</v>
      </c>
      <c r="N516" s="12" t="str">
        <f ca="1">IFERROR(__xludf.DUMMYFUNCTION("""COMPUTED_VALUE"""),"窗型變頻冷專")</f>
        <v>窗型變頻冷專</v>
      </c>
      <c r="O516" s="12" t="str">
        <f ca="1">IFERROR(__xludf.DUMMYFUNCTION("""COMPUTED_VALUE"""),"白")</f>
        <v>白</v>
      </c>
      <c r="P516" s="12" t="str">
        <f ca="1">IFERROR(__xludf.DUMMYFUNCTION("""COMPUTED_VALUE"""),"6-8坪")</f>
        <v>6-8坪</v>
      </c>
      <c r="Q516" s="23" t="str">
        <f ca="1">IFERROR(__xludf.DUMMYFUNCTION("""COMPUTED_VALUE"""),"室內機:660×800×430 mm
")</f>
        <v xml:space="preserve">室內機:660×800×430 mm
</v>
      </c>
      <c r="R516" s="12" t="str">
        <f ca="1">IFERROR(__xludf.DUMMYFUNCTION("""COMPUTED_VALUE"""),"菲律賓")</f>
        <v>菲律賓</v>
      </c>
      <c r="S516" s="22" t="str">
        <f ca="1">IFERROR(__xludf.DUMMYFUNCTION("""COMPUTED_VALUE"""),"V")</f>
        <v>V</v>
      </c>
      <c r="T516" s="13" t="str">
        <f ca="1">IFERROR(__xludf.DUMMYFUNCTION("""COMPUTED_VALUE"""),"1級能效")</f>
        <v>1級能效</v>
      </c>
      <c r="U516" s="22" t="str">
        <f ca="1">IFERROR(__xludf.DUMMYFUNCTION("""COMPUTED_VALUE"""),"7年")</f>
        <v>7年</v>
      </c>
      <c r="V516" s="12"/>
      <c r="W516"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16" s="12"/>
      <c r="Y516" s="12">
        <f ca="1">IFERROR(__xludf.DUMMYFUNCTION("""COMPUTED_VALUE"""),4.1)</f>
        <v>4.0999999999999996</v>
      </c>
      <c r="Z516" s="14" t="str">
        <f ca="1">IFERROR(__xludf.DUMMYFUNCTION("""COMPUTED_VALUE"""),"2000")</f>
        <v>2000</v>
      </c>
      <c r="AA516" s="15" t="str">
        <f ca="1">IFERROR(__xludf.DUMMYFUNCTION("""COMPUTED_VALUE"""),"*自體淨*R32環保冷媒*高效率壓縮機*雙馬達")</f>
        <v>*自體淨*R32環保冷媒*高效率壓縮機*雙馬達</v>
      </c>
    </row>
    <row r="517" spans="1:27" ht="19.5" customHeight="1">
      <c r="A517" s="12" t="str">
        <f ca="1">IFERROR(__xludf.DUMMYFUNCTION("""COMPUTED_VALUE"""),"空調")</f>
        <v>空調</v>
      </c>
      <c r="B517" s="12" t="str">
        <f ca="1">IFERROR(__xludf.DUMMYFUNCTION("""COMPUTED_VALUE"""),"大同")</f>
        <v>大同</v>
      </c>
      <c r="C517" s="12" t="str">
        <f ca="1">IFERROR(__xludf.DUMMYFUNCTION("""COMPUTED_VALUE"""),"PANASONIC")</f>
        <v>PANASONIC</v>
      </c>
      <c r="D517" s="12" t="str">
        <f ca="1">IFERROR(__xludf.DUMMYFUNCTION("""COMPUTED_VALUE"""),"Panasonic7-9坪變頻左吹冷專窗型冷氣CW-R50LCA2")</f>
        <v>Panasonic7-9坪變頻左吹冷專窗型冷氣CW-R50LCA2</v>
      </c>
      <c r="E517" s="12" t="str">
        <f ca="1">IFERROR(__xludf.DUMMYFUNCTION("""COMPUTED_VALUE"""),"CW-R50LCA2")</f>
        <v>CW-R50LCA2</v>
      </c>
      <c r="F517" s="12">
        <f ca="1">IFERROR(__xludf.DUMMYFUNCTION("""COMPUTED_VALUE"""),51081313)</f>
        <v>51081313</v>
      </c>
      <c r="G517" s="12" t="str">
        <f ca="1">IFERROR(__xludf.DUMMYFUNCTION("""COMPUTED_VALUE"""),"IGEM082V")</f>
        <v>IGEM082V</v>
      </c>
      <c r="H517" s="13">
        <f ca="1">IFERROR(__xludf.DUMMYFUNCTION("""COMPUTED_VALUE"""),41500)</f>
        <v>41500</v>
      </c>
      <c r="I517" s="14">
        <f ca="1">IFERROR(__xludf.DUMMYFUNCTION("""COMPUTED_VALUE"""),40400)</f>
        <v>40400</v>
      </c>
      <c r="J517" s="16">
        <f ca="1">IFERROR(__xludf.DUMMYFUNCTION("""COMPUTED_VALUE"""),45658)</f>
        <v>45658</v>
      </c>
      <c r="K517" s="12" t="str">
        <f ca="1">IFERROR(__xludf.DUMMYFUNCTION("""COMPUTED_VALUE"""),"永久降價")</f>
        <v>永久降價</v>
      </c>
      <c r="L517" s="12" t="str">
        <f ca="1">IFERROR(__xludf.DUMMYFUNCTION("""COMPUTED_VALUE"""),"專案")</f>
        <v>專案</v>
      </c>
      <c r="M517" s="12" t="str">
        <f ca="1">IFERROR(__xludf.DUMMYFUNCTION("""COMPUTED_VALUE"""),"(請先詢問貨況)2025/1/1調降")</f>
        <v>(請先詢問貨況)2025/1/1調降</v>
      </c>
      <c r="N517" s="12" t="str">
        <f ca="1">IFERROR(__xludf.DUMMYFUNCTION("""COMPUTED_VALUE"""),"窗型變頻冷專")</f>
        <v>窗型變頻冷專</v>
      </c>
      <c r="O517" s="12" t="str">
        <f ca="1">IFERROR(__xludf.DUMMYFUNCTION("""COMPUTED_VALUE"""),"白")</f>
        <v>白</v>
      </c>
      <c r="P517" s="12" t="str">
        <f ca="1">IFERROR(__xludf.DUMMYFUNCTION("""COMPUTED_VALUE"""),"7-9坪")</f>
        <v>7-9坪</v>
      </c>
      <c r="Q517" s="23" t="str">
        <f ca="1">IFERROR(__xludf.DUMMYFUNCTION("""COMPUTED_VALUE"""),"室內機:660×800×430 mm
")</f>
        <v xml:space="preserve">室內機:660×800×430 mm
</v>
      </c>
      <c r="R517" s="12" t="str">
        <f ca="1">IFERROR(__xludf.DUMMYFUNCTION("""COMPUTED_VALUE"""),"菲律賓")</f>
        <v>菲律賓</v>
      </c>
      <c r="S517" s="22" t="str">
        <f ca="1">IFERROR(__xludf.DUMMYFUNCTION("""COMPUTED_VALUE"""),"V")</f>
        <v>V</v>
      </c>
      <c r="T517" s="13" t="str">
        <f ca="1">IFERROR(__xludf.DUMMYFUNCTION("""COMPUTED_VALUE"""),"1級能效")</f>
        <v>1級能效</v>
      </c>
      <c r="U517" s="22" t="str">
        <f ca="1">IFERROR(__xludf.DUMMYFUNCTION("""COMPUTED_VALUE"""),"7年")</f>
        <v>7年</v>
      </c>
      <c r="V517" s="12"/>
      <c r="W517"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17" s="12"/>
      <c r="Y517" s="12">
        <f ca="1">IFERROR(__xludf.DUMMYFUNCTION("""COMPUTED_VALUE"""),5)</f>
        <v>5</v>
      </c>
      <c r="Z517" s="14" t="str">
        <f ca="1">IFERROR(__xludf.DUMMYFUNCTION("""COMPUTED_VALUE"""),"2000")</f>
        <v>2000</v>
      </c>
      <c r="AA517" s="15" t="str">
        <f ca="1">IFERROR(__xludf.DUMMYFUNCTION("""COMPUTED_VALUE"""),"*自體淨*R32環保冷媒*高效率壓縮機*雙馬達")</f>
        <v>*自體淨*R32環保冷媒*高效率壓縮機*雙馬達</v>
      </c>
    </row>
    <row r="518" spans="1:27" ht="19.5" customHeight="1">
      <c r="A518" s="12" t="str">
        <f ca="1">IFERROR(__xludf.DUMMYFUNCTION("""COMPUTED_VALUE"""),"空調")</f>
        <v>空調</v>
      </c>
      <c r="B518" s="12" t="str">
        <f ca="1">IFERROR(__xludf.DUMMYFUNCTION("""COMPUTED_VALUE"""),"大同")</f>
        <v>大同</v>
      </c>
      <c r="C518" s="12" t="str">
        <f ca="1">IFERROR(__xludf.DUMMYFUNCTION("""COMPUTED_VALUE"""),"PANASONIC")</f>
        <v>PANASONIC</v>
      </c>
      <c r="D518" s="12" t="str">
        <f ca="1">IFERROR(__xludf.DUMMYFUNCTION("""COMPUTED_VALUE"""),"Panasonic8-10坪變頻左吹冷專窗型冷氣CW-R60LCA2")</f>
        <v>Panasonic8-10坪變頻左吹冷專窗型冷氣CW-R60LCA2</v>
      </c>
      <c r="E518" s="12" t="str">
        <f ca="1">IFERROR(__xludf.DUMMYFUNCTION("""COMPUTED_VALUE"""),"CW-R60LCA2")</f>
        <v>CW-R60LCA2</v>
      </c>
      <c r="F518" s="12">
        <f ca="1">IFERROR(__xludf.DUMMYFUNCTION("""COMPUTED_VALUE"""),51081314)</f>
        <v>51081314</v>
      </c>
      <c r="G518" s="12" t="str">
        <f ca="1">IFERROR(__xludf.DUMMYFUNCTION("""COMPUTED_VALUE"""),"IGEM082W")</f>
        <v>IGEM082W</v>
      </c>
      <c r="H518" s="13">
        <f ca="1">IFERROR(__xludf.DUMMYFUNCTION("""COMPUTED_VALUE"""),50700)</f>
        <v>50700</v>
      </c>
      <c r="I518" s="14">
        <f ca="1">IFERROR(__xludf.DUMMYFUNCTION("""COMPUTED_VALUE"""),49600)</f>
        <v>49600</v>
      </c>
      <c r="J518" s="16">
        <f ca="1">IFERROR(__xludf.DUMMYFUNCTION("""COMPUTED_VALUE"""),45658)</f>
        <v>45658</v>
      </c>
      <c r="K518" s="12" t="str">
        <f ca="1">IFERROR(__xludf.DUMMYFUNCTION("""COMPUTED_VALUE"""),"永久降價")</f>
        <v>永久降價</v>
      </c>
      <c r="L518" s="12" t="str">
        <f ca="1">IFERROR(__xludf.DUMMYFUNCTION("""COMPUTED_VALUE"""),"專案")</f>
        <v>專案</v>
      </c>
      <c r="M518" s="12" t="str">
        <f ca="1">IFERROR(__xludf.DUMMYFUNCTION("""COMPUTED_VALUE"""),"(請先詢問貨況)2025/1/1調降")</f>
        <v>(請先詢問貨況)2025/1/1調降</v>
      </c>
      <c r="N518" s="12" t="str">
        <f ca="1">IFERROR(__xludf.DUMMYFUNCTION("""COMPUTED_VALUE"""),"窗型變頻冷專")</f>
        <v>窗型變頻冷專</v>
      </c>
      <c r="O518" s="12" t="str">
        <f ca="1">IFERROR(__xludf.DUMMYFUNCTION("""COMPUTED_VALUE"""),"白")</f>
        <v>白</v>
      </c>
      <c r="P518" s="12" t="str">
        <f ca="1">IFERROR(__xludf.DUMMYFUNCTION("""COMPUTED_VALUE"""),"8-10坪")</f>
        <v>8-10坪</v>
      </c>
      <c r="Q518" s="23" t="str">
        <f ca="1">IFERROR(__xludf.DUMMYFUNCTION("""COMPUTED_VALUE"""),"室內機:660×800×430 mm
")</f>
        <v xml:space="preserve">室內機:660×800×430 mm
</v>
      </c>
      <c r="R518" s="12" t="str">
        <f ca="1">IFERROR(__xludf.DUMMYFUNCTION("""COMPUTED_VALUE"""),"菲律賓")</f>
        <v>菲律賓</v>
      </c>
      <c r="S518" s="22" t="str">
        <f ca="1">IFERROR(__xludf.DUMMYFUNCTION("""COMPUTED_VALUE"""),"V")</f>
        <v>V</v>
      </c>
      <c r="T518" s="13" t="str">
        <f ca="1">IFERROR(__xludf.DUMMYFUNCTION("""COMPUTED_VALUE"""),"1級能效")</f>
        <v>1級能效</v>
      </c>
      <c r="U518" s="22" t="str">
        <f ca="1">IFERROR(__xludf.DUMMYFUNCTION("""COMPUTED_VALUE"""),"7年")</f>
        <v>7年</v>
      </c>
      <c r="V518" s="12"/>
      <c r="W518"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18" s="12"/>
      <c r="Y518" s="12">
        <f ca="1">IFERROR(__xludf.DUMMYFUNCTION("""COMPUTED_VALUE"""),6)</f>
        <v>6</v>
      </c>
      <c r="Z518" s="14" t="str">
        <f ca="1">IFERROR(__xludf.DUMMYFUNCTION("""COMPUTED_VALUE"""),"2000")</f>
        <v>2000</v>
      </c>
      <c r="AA518" s="15" t="str">
        <f ca="1">IFERROR(__xludf.DUMMYFUNCTION("""COMPUTED_VALUE"""),"*自體淨*R32環保冷媒*高效率壓縮機*雙馬達")</f>
        <v>*自體淨*R32環保冷媒*高效率壓縮機*雙馬達</v>
      </c>
    </row>
    <row r="519" spans="1:27" ht="19.5" customHeight="1">
      <c r="A519" s="12" t="str">
        <f ca="1">IFERROR(__xludf.DUMMYFUNCTION("""COMPUTED_VALUE"""),"空調")</f>
        <v>空調</v>
      </c>
      <c r="B519" s="12" t="str">
        <f ca="1">IFERROR(__xludf.DUMMYFUNCTION("""COMPUTED_VALUE"""),"大同")</f>
        <v>大同</v>
      </c>
      <c r="C519" s="12" t="str">
        <f ca="1">IFERROR(__xludf.DUMMYFUNCTION("""COMPUTED_VALUE"""),"PANASONIC")</f>
        <v>PANASONIC</v>
      </c>
      <c r="D519" s="12" t="str">
        <f ca="1">IFERROR(__xludf.DUMMYFUNCTION("""COMPUTED_VALUE"""),"Panasonic10-12坪變頻左吹冷專窗型冷氣CW-R68LCA2")</f>
        <v>Panasonic10-12坪變頻左吹冷專窗型冷氣CW-R68LCA2</v>
      </c>
      <c r="E519" s="12" t="str">
        <f ca="1">IFERROR(__xludf.DUMMYFUNCTION("""COMPUTED_VALUE"""),"CW-R68LCA2")</f>
        <v>CW-R68LCA2</v>
      </c>
      <c r="F519" s="12">
        <f ca="1">IFERROR(__xludf.DUMMYFUNCTION("""COMPUTED_VALUE"""),51081315)</f>
        <v>51081315</v>
      </c>
      <c r="G519" s="12" t="str">
        <f ca="1">IFERROR(__xludf.DUMMYFUNCTION("""COMPUTED_VALUE"""),"IGEM082X")</f>
        <v>IGEM082X</v>
      </c>
      <c r="H519" s="13">
        <f ca="1">IFERROR(__xludf.DUMMYFUNCTION("""COMPUTED_VALUE"""),57200)</f>
        <v>57200</v>
      </c>
      <c r="I519" s="14">
        <f ca="1">IFERROR(__xludf.DUMMYFUNCTION("""COMPUTED_VALUE"""),55600)</f>
        <v>55600</v>
      </c>
      <c r="J519" s="16">
        <f ca="1">IFERROR(__xludf.DUMMYFUNCTION("""COMPUTED_VALUE"""),45658)</f>
        <v>45658</v>
      </c>
      <c r="K519" s="12" t="str">
        <f ca="1">IFERROR(__xludf.DUMMYFUNCTION("""COMPUTED_VALUE"""),"永久降價")</f>
        <v>永久降價</v>
      </c>
      <c r="L519" s="12" t="str">
        <f ca="1">IFERROR(__xludf.DUMMYFUNCTION("""COMPUTED_VALUE"""),"專案")</f>
        <v>專案</v>
      </c>
      <c r="M519" s="12" t="str">
        <f ca="1">IFERROR(__xludf.DUMMYFUNCTION("""COMPUTED_VALUE"""),"(請先詢問貨況)2025/1/1調降")</f>
        <v>(請先詢問貨況)2025/1/1調降</v>
      </c>
      <c r="N519" s="12" t="str">
        <f ca="1">IFERROR(__xludf.DUMMYFUNCTION("""COMPUTED_VALUE"""),"窗型變頻冷專")</f>
        <v>窗型變頻冷專</v>
      </c>
      <c r="O519" s="12" t="str">
        <f ca="1">IFERROR(__xludf.DUMMYFUNCTION("""COMPUTED_VALUE"""),"白")</f>
        <v>白</v>
      </c>
      <c r="P519" s="12" t="str">
        <f ca="1">IFERROR(__xludf.DUMMYFUNCTION("""COMPUTED_VALUE"""),"10-12坪")</f>
        <v>10-12坪</v>
      </c>
      <c r="Q519" s="23" t="str">
        <f ca="1">IFERROR(__xludf.DUMMYFUNCTION("""COMPUTED_VALUE"""),"室內機:660×800×430 mm
")</f>
        <v xml:space="preserve">室內機:660×800×430 mm
</v>
      </c>
      <c r="R519" s="12" t="str">
        <f ca="1">IFERROR(__xludf.DUMMYFUNCTION("""COMPUTED_VALUE"""),"菲律賓")</f>
        <v>菲律賓</v>
      </c>
      <c r="S519" s="22" t="str">
        <f ca="1">IFERROR(__xludf.DUMMYFUNCTION("""COMPUTED_VALUE"""),"V")</f>
        <v>V</v>
      </c>
      <c r="T519" s="13" t="str">
        <f ca="1">IFERROR(__xludf.DUMMYFUNCTION("""COMPUTED_VALUE"""),"1級能效")</f>
        <v>1級能效</v>
      </c>
      <c r="U519" s="22" t="str">
        <f ca="1">IFERROR(__xludf.DUMMYFUNCTION("""COMPUTED_VALUE"""),"7年")</f>
        <v>7年</v>
      </c>
      <c r="V519" s="12"/>
      <c r="W519"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19" s="12"/>
      <c r="Y519" s="12">
        <f ca="1">IFERROR(__xludf.DUMMYFUNCTION("""COMPUTED_VALUE"""),6.8)</f>
        <v>6.8</v>
      </c>
      <c r="Z519" s="14" t="str">
        <f ca="1">IFERROR(__xludf.DUMMYFUNCTION("""COMPUTED_VALUE"""),"2000")</f>
        <v>2000</v>
      </c>
      <c r="AA519" s="15" t="str">
        <f ca="1">IFERROR(__xludf.DUMMYFUNCTION("""COMPUTED_VALUE"""),"*自體淨*R32環保冷媒*高效率壓縮機*雙馬達")</f>
        <v>*自體淨*R32環保冷媒*高效率壓縮機*雙馬達</v>
      </c>
    </row>
    <row r="520" spans="1:27" ht="19.5" customHeight="1">
      <c r="A520" s="12" t="str">
        <f ca="1">IFERROR(__xludf.DUMMYFUNCTION("""COMPUTED_VALUE"""),"空調")</f>
        <v>空調</v>
      </c>
      <c r="B520" s="12" t="str">
        <f ca="1">IFERROR(__xludf.DUMMYFUNCTION("""COMPUTED_VALUE"""),"大同")</f>
        <v>大同</v>
      </c>
      <c r="C520" s="12" t="str">
        <f ca="1">IFERROR(__xludf.DUMMYFUNCTION("""COMPUTED_VALUE"""),"Panasonic")</f>
        <v>Panasonic</v>
      </c>
      <c r="D520" s="12" t="str">
        <f ca="1">IFERROR(__xludf.DUMMYFUNCTION("""COMPUTED_VALUE"""),"Panasonic2-4坪變頻冷專窗型冷氣CW-R22CA2")</f>
        <v>Panasonic2-4坪變頻冷專窗型冷氣CW-R22CA2</v>
      </c>
      <c r="E520" s="12" t="str">
        <f ca="1">IFERROR(__xludf.DUMMYFUNCTION("""COMPUTED_VALUE"""),"CW-R22CA2")</f>
        <v>CW-R22CA2</v>
      </c>
      <c r="F520" s="12">
        <f ca="1">IFERROR(__xludf.DUMMYFUNCTION("""COMPUTED_VALUE"""),51081302)</f>
        <v>51081302</v>
      </c>
      <c r="G520" s="12" t="str">
        <f ca="1">IFERROR(__xludf.DUMMYFUNCTION("""COMPUTED_VALUE"""),"IGEM082K")</f>
        <v>IGEM082K</v>
      </c>
      <c r="H520" s="13">
        <f ca="1">IFERROR(__xludf.DUMMYFUNCTION("""COMPUTED_VALUE"""),23000)</f>
        <v>23000</v>
      </c>
      <c r="I520" s="14">
        <f ca="1">IFERROR(__xludf.DUMMYFUNCTION("""COMPUTED_VALUE"""),22295)</f>
        <v>22295</v>
      </c>
      <c r="J520" s="16">
        <f ca="1">IFERROR(__xludf.DUMMYFUNCTION("""COMPUTED_VALUE"""),45658)</f>
        <v>45658</v>
      </c>
      <c r="K520" s="12" t="str">
        <f ca="1">IFERROR(__xludf.DUMMYFUNCTION("""COMPUTED_VALUE"""),"永久降價")</f>
        <v>永久降價</v>
      </c>
      <c r="L520" s="12" t="str">
        <f ca="1">IFERROR(__xludf.DUMMYFUNCTION("""COMPUTED_VALUE"""),"上架中")</f>
        <v>上架中</v>
      </c>
      <c r="M520" s="12" t="str">
        <f ca="1">IFERROR(__xludf.DUMMYFUNCTION("""COMPUTED_VALUE"""),"(請先詢問貨況)2025/1/1調降、10/30調漲恢復供貨;10/5調漲缺貨")</f>
        <v>(請先詢問貨況)2025/1/1調降、10/30調漲恢復供貨;10/5調漲缺貨</v>
      </c>
      <c r="N520" s="12" t="str">
        <f ca="1">IFERROR(__xludf.DUMMYFUNCTION("""COMPUTED_VALUE"""),"窗型變頻冷專")</f>
        <v>窗型變頻冷專</v>
      </c>
      <c r="O520" s="12" t="str">
        <f ca="1">IFERROR(__xludf.DUMMYFUNCTION("""COMPUTED_VALUE"""),"白")</f>
        <v>白</v>
      </c>
      <c r="P520" s="12" t="str">
        <f ca="1">IFERROR(__xludf.DUMMYFUNCTION("""COMPUTED_VALUE"""),"2-4坪")</f>
        <v>2-4坪</v>
      </c>
      <c r="Q520" s="23" t="str">
        <f ca="1">IFERROR(__xludf.DUMMYFUNCTION("""COMPUTED_VALUE"""),"室內機:350x560x346mm")</f>
        <v>室內機:350x560x346mm</v>
      </c>
      <c r="R520" s="12" t="str">
        <f ca="1">IFERROR(__xludf.DUMMYFUNCTION("""COMPUTED_VALUE"""),"菲律賓")</f>
        <v>菲律賓</v>
      </c>
      <c r="S520" s="22" t="str">
        <f ca="1">IFERROR(__xludf.DUMMYFUNCTION("""COMPUTED_VALUE"""),"V")</f>
        <v>V</v>
      </c>
      <c r="T520" s="13" t="str">
        <f ca="1">IFERROR(__xludf.DUMMYFUNCTION("""COMPUTED_VALUE"""),"1級能效")</f>
        <v>1級能效</v>
      </c>
      <c r="U520" s="22" t="str">
        <f ca="1">IFERROR(__xludf.DUMMYFUNCTION("""COMPUTED_VALUE"""),"7年")</f>
        <v>7年</v>
      </c>
      <c r="V520" s="12"/>
      <c r="W520"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20" s="12"/>
      <c r="Y520" s="12">
        <f ca="1">IFERROR(__xludf.DUMMYFUNCTION("""COMPUTED_VALUE"""),2.2)</f>
        <v>2.2000000000000002</v>
      </c>
      <c r="Z520" s="14">
        <f ca="1">IFERROR(__xludf.DUMMYFUNCTION("""COMPUTED_VALUE"""),1600)</f>
        <v>1600</v>
      </c>
      <c r="AA520" s="15" t="str">
        <f ca="1">IFERROR(__xludf.DUMMYFUNCTION("""COMPUTED_VALUE"""),"*自體淨*R32環保冷媒*高效率壓縮機*雙馬達")</f>
        <v>*自體淨*R32環保冷媒*高效率壓縮機*雙馬達</v>
      </c>
    </row>
    <row r="521" spans="1:27" ht="19.5" customHeight="1">
      <c r="A521" s="12" t="str">
        <f ca="1">IFERROR(__xludf.DUMMYFUNCTION("""COMPUTED_VALUE"""),"空調")</f>
        <v>空調</v>
      </c>
      <c r="B521" s="12" t="str">
        <f ca="1">IFERROR(__xludf.DUMMYFUNCTION("""COMPUTED_VALUE"""),"大同")</f>
        <v>大同</v>
      </c>
      <c r="C521" s="12" t="str">
        <f ca="1">IFERROR(__xludf.DUMMYFUNCTION("""COMPUTED_VALUE"""),"Panasonic")</f>
        <v>Panasonic</v>
      </c>
      <c r="D521" s="12" t="str">
        <f ca="1">IFERROR(__xludf.DUMMYFUNCTION("""COMPUTED_VALUE"""),"Panasonic4-5坪變頻冷專窗型冷氣CW-R28CA2")</f>
        <v>Panasonic4-5坪變頻冷專窗型冷氣CW-R28CA2</v>
      </c>
      <c r="E521" s="12" t="str">
        <f ca="1">IFERROR(__xludf.DUMMYFUNCTION("""COMPUTED_VALUE"""),"CW-R28CA2")</f>
        <v>CW-R28CA2</v>
      </c>
      <c r="F521" s="12">
        <f ca="1">IFERROR(__xludf.DUMMYFUNCTION("""COMPUTED_VALUE"""),51081303)</f>
        <v>51081303</v>
      </c>
      <c r="G521" s="12" t="str">
        <f ca="1">IFERROR(__xludf.DUMMYFUNCTION("""COMPUTED_VALUE"""),"IGEM082L")</f>
        <v>IGEM082L</v>
      </c>
      <c r="H521" s="13">
        <f ca="1">IFERROR(__xludf.DUMMYFUNCTION("""COMPUTED_VALUE"""),26700)</f>
        <v>26700</v>
      </c>
      <c r="I521" s="14">
        <f ca="1">IFERROR(__xludf.DUMMYFUNCTION("""COMPUTED_VALUE"""),25900)</f>
        <v>25900</v>
      </c>
      <c r="J521" s="16">
        <f ca="1">IFERROR(__xludf.DUMMYFUNCTION("""COMPUTED_VALUE"""),45658)</f>
        <v>45658</v>
      </c>
      <c r="K521" s="12" t="str">
        <f ca="1">IFERROR(__xludf.DUMMYFUNCTION("""COMPUTED_VALUE"""),"永久降價")</f>
        <v>永久降價</v>
      </c>
      <c r="L521" s="12" t="str">
        <f ca="1">IFERROR(__xludf.DUMMYFUNCTION("""COMPUTED_VALUE"""),"上架中")</f>
        <v>上架中</v>
      </c>
      <c r="M521" s="12" t="str">
        <f ca="1">IFERROR(__xludf.DUMMYFUNCTION("""COMPUTED_VALUE"""),"(請先詢問貨況)2025/1/1調降、10/30調漲恢復供貨;10/5調漲缺貨")</f>
        <v>(請先詢問貨況)2025/1/1調降、10/30調漲恢復供貨;10/5調漲缺貨</v>
      </c>
      <c r="N521" s="12" t="str">
        <f ca="1">IFERROR(__xludf.DUMMYFUNCTION("""COMPUTED_VALUE"""),"窗型變頻冷專")</f>
        <v>窗型變頻冷專</v>
      </c>
      <c r="O521" s="12" t="str">
        <f ca="1">IFERROR(__xludf.DUMMYFUNCTION("""COMPUTED_VALUE"""),"白")</f>
        <v>白</v>
      </c>
      <c r="P521" s="12" t="str">
        <f ca="1">IFERROR(__xludf.DUMMYFUNCTION("""COMPUTED_VALUE"""),"4-5坪")</f>
        <v>4-5坪</v>
      </c>
      <c r="Q521" s="23" t="str">
        <f ca="1">IFERROR(__xludf.DUMMYFUNCTION("""COMPUTED_VALUE"""),"室內機:600x710x400mm")</f>
        <v>室內機:600x710x400mm</v>
      </c>
      <c r="R521" s="12" t="str">
        <f ca="1">IFERROR(__xludf.DUMMYFUNCTION("""COMPUTED_VALUE"""),"菲律賓")</f>
        <v>菲律賓</v>
      </c>
      <c r="S521" s="22" t="str">
        <f ca="1">IFERROR(__xludf.DUMMYFUNCTION("""COMPUTED_VALUE"""),"V")</f>
        <v>V</v>
      </c>
      <c r="T521" s="13" t="str">
        <f ca="1">IFERROR(__xludf.DUMMYFUNCTION("""COMPUTED_VALUE"""),"1級能效")</f>
        <v>1級能效</v>
      </c>
      <c r="U521" s="22" t="str">
        <f ca="1">IFERROR(__xludf.DUMMYFUNCTION("""COMPUTED_VALUE"""),"7年")</f>
        <v>7年</v>
      </c>
      <c r="V521" s="12"/>
      <c r="W521"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21" s="12"/>
      <c r="Y521" s="12">
        <f ca="1">IFERROR(__xludf.DUMMYFUNCTION("""COMPUTED_VALUE"""),2.8)</f>
        <v>2.8</v>
      </c>
      <c r="Z521" s="14">
        <f ca="1">IFERROR(__xludf.DUMMYFUNCTION("""COMPUTED_VALUE"""),1600)</f>
        <v>1600</v>
      </c>
      <c r="AA521" s="15" t="str">
        <f ca="1">IFERROR(__xludf.DUMMYFUNCTION("""COMPUTED_VALUE"""),"*自體淨*R32環保冷媒*高效率壓縮機*雙馬達")</f>
        <v>*自體淨*R32環保冷媒*高效率壓縮機*雙馬達</v>
      </c>
    </row>
    <row r="522" spans="1:27" ht="19.5" customHeight="1">
      <c r="A522" s="12" t="str">
        <f ca="1">IFERROR(__xludf.DUMMYFUNCTION("""COMPUTED_VALUE"""),"空調")</f>
        <v>空調</v>
      </c>
      <c r="B522" s="12" t="str">
        <f ca="1">IFERROR(__xludf.DUMMYFUNCTION("""COMPUTED_VALUE"""),"大同")</f>
        <v>大同</v>
      </c>
      <c r="C522" s="12" t="str">
        <f ca="1">IFERROR(__xludf.DUMMYFUNCTION("""COMPUTED_VALUE"""),"Panasonic")</f>
        <v>Panasonic</v>
      </c>
      <c r="D522" s="12" t="str">
        <f ca="1">IFERROR(__xludf.DUMMYFUNCTION("""COMPUTED_VALUE"""),"Panasonic5-7坪變頻冷暖冷專窗型冷氣CW-R36CA2")</f>
        <v>Panasonic5-7坪變頻冷暖冷專窗型冷氣CW-R36CA2</v>
      </c>
      <c r="E522" s="12" t="str">
        <f ca="1">IFERROR(__xludf.DUMMYFUNCTION("""COMPUTED_VALUE"""),"CW-R36CA2")</f>
        <v>CW-R36CA2</v>
      </c>
      <c r="F522" s="12">
        <f ca="1">IFERROR(__xludf.DUMMYFUNCTION("""COMPUTED_VALUE"""),51081304)</f>
        <v>51081304</v>
      </c>
      <c r="G522" s="12" t="str">
        <f ca="1">IFERROR(__xludf.DUMMYFUNCTION("""COMPUTED_VALUE"""),"IGEM082M")</f>
        <v>IGEM082M</v>
      </c>
      <c r="H522" s="13">
        <f ca="1">IFERROR(__xludf.DUMMYFUNCTION("""COMPUTED_VALUE"""),32800)</f>
        <v>32800</v>
      </c>
      <c r="I522" s="14">
        <f ca="1">IFERROR(__xludf.DUMMYFUNCTION("""COMPUTED_VALUE"""),31900)</f>
        <v>31900</v>
      </c>
      <c r="J522" s="16">
        <f ca="1">IFERROR(__xludf.DUMMYFUNCTION("""COMPUTED_VALUE"""),45658)</f>
        <v>45658</v>
      </c>
      <c r="K522" s="12" t="str">
        <f ca="1">IFERROR(__xludf.DUMMYFUNCTION("""COMPUTED_VALUE"""),"永久降價")</f>
        <v>永久降價</v>
      </c>
      <c r="L522" s="12" t="str">
        <f ca="1">IFERROR(__xludf.DUMMYFUNCTION("""COMPUTED_VALUE"""),"上架中")</f>
        <v>上架中</v>
      </c>
      <c r="M522" s="12" t="str">
        <f ca="1">IFERROR(__xludf.DUMMYFUNCTION("""COMPUTED_VALUE"""),"(請先詢問貨況)2025/1/1調降")</f>
        <v>(請先詢問貨況)2025/1/1調降</v>
      </c>
      <c r="N522" s="12" t="str">
        <f ca="1">IFERROR(__xludf.DUMMYFUNCTION("""COMPUTED_VALUE"""),"窗型變頻冷專")</f>
        <v>窗型變頻冷專</v>
      </c>
      <c r="O522" s="12" t="str">
        <f ca="1">IFERROR(__xludf.DUMMYFUNCTION("""COMPUTED_VALUE"""),"白")</f>
        <v>白</v>
      </c>
      <c r="P522" s="12" t="str">
        <f ca="1">IFERROR(__xludf.DUMMYFUNCTION("""COMPUTED_VALUE"""),"5-7坪")</f>
        <v>5-7坪</v>
      </c>
      <c r="Q522" s="23" t="str">
        <f ca="1">IFERROR(__xludf.DUMMYFUNCTION("""COMPUTED_VALUE"""),"室內機:600x710x400mm")</f>
        <v>室內機:600x710x400mm</v>
      </c>
      <c r="R522" s="12" t="str">
        <f ca="1">IFERROR(__xludf.DUMMYFUNCTION("""COMPUTED_VALUE"""),"菲律賓")</f>
        <v>菲律賓</v>
      </c>
      <c r="S522" s="22" t="str">
        <f ca="1">IFERROR(__xludf.DUMMYFUNCTION("""COMPUTED_VALUE"""),"V")</f>
        <v>V</v>
      </c>
      <c r="T522" s="13" t="str">
        <f ca="1">IFERROR(__xludf.DUMMYFUNCTION("""COMPUTED_VALUE"""),"1級能效")</f>
        <v>1級能效</v>
      </c>
      <c r="U522" s="22" t="str">
        <f ca="1">IFERROR(__xludf.DUMMYFUNCTION("""COMPUTED_VALUE"""),"7年")</f>
        <v>7年</v>
      </c>
      <c r="V522" s="12"/>
      <c r="W522"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22" s="12"/>
      <c r="Y522" s="12">
        <f ca="1">IFERROR(__xludf.DUMMYFUNCTION("""COMPUTED_VALUE"""),3.6)</f>
        <v>3.6</v>
      </c>
      <c r="Z522" s="14" t="str">
        <f ca="1">IFERROR(__xludf.DUMMYFUNCTION("""COMPUTED_VALUE"""),"2000")</f>
        <v>2000</v>
      </c>
      <c r="AA522" s="15" t="str">
        <f ca="1">IFERROR(__xludf.DUMMYFUNCTION("""COMPUTED_VALUE"""),"*自體淨*R32環保冷媒*高效率壓縮機*雙馬達")</f>
        <v>*自體淨*R32環保冷媒*高效率壓縮機*雙馬達</v>
      </c>
    </row>
    <row r="523" spans="1:27" ht="19.5" customHeight="1">
      <c r="A523" s="12" t="str">
        <f ca="1">IFERROR(__xludf.DUMMYFUNCTION("""COMPUTED_VALUE"""),"空調")</f>
        <v>空調</v>
      </c>
      <c r="B523" s="12" t="str">
        <f ca="1">IFERROR(__xludf.DUMMYFUNCTION("""COMPUTED_VALUE"""),"大同")</f>
        <v>大同</v>
      </c>
      <c r="C523" s="12" t="str">
        <f ca="1">IFERROR(__xludf.DUMMYFUNCTION("""COMPUTED_VALUE"""),"Panasonic")</f>
        <v>Panasonic</v>
      </c>
      <c r="D523" s="12" t="str">
        <f ca="1">IFERROR(__xludf.DUMMYFUNCTION("""COMPUTED_VALUE"""),"Panasonic6-8坪變頻冷暖冷專窗型冷氣CW-R40CA2")</f>
        <v>Panasonic6-8坪變頻冷暖冷專窗型冷氣CW-R40CA2</v>
      </c>
      <c r="E523" s="12" t="str">
        <f ca="1">IFERROR(__xludf.DUMMYFUNCTION("""COMPUTED_VALUE"""),"CW-R40CA2")</f>
        <v>CW-R40CA2</v>
      </c>
      <c r="F523" s="12">
        <f ca="1">IFERROR(__xludf.DUMMYFUNCTION("""COMPUTED_VALUE"""),51081305)</f>
        <v>51081305</v>
      </c>
      <c r="G523" s="12" t="str">
        <f ca="1">IFERROR(__xludf.DUMMYFUNCTION("""COMPUTED_VALUE"""),"IGEM082N")</f>
        <v>IGEM082N</v>
      </c>
      <c r="H523" s="13">
        <f ca="1">IFERROR(__xludf.DUMMYFUNCTION("""COMPUTED_VALUE"""),37700)</f>
        <v>37700</v>
      </c>
      <c r="I523" s="14">
        <f ca="1">IFERROR(__xludf.DUMMYFUNCTION("""COMPUTED_VALUE"""),36600)</f>
        <v>36600</v>
      </c>
      <c r="J523" s="16">
        <f ca="1">IFERROR(__xludf.DUMMYFUNCTION("""COMPUTED_VALUE"""),45658)</f>
        <v>45658</v>
      </c>
      <c r="K523" s="12" t="str">
        <f ca="1">IFERROR(__xludf.DUMMYFUNCTION("""COMPUTED_VALUE"""),"永久降價")</f>
        <v>永久降價</v>
      </c>
      <c r="L523" s="12" t="str">
        <f ca="1">IFERROR(__xludf.DUMMYFUNCTION("""COMPUTED_VALUE"""),"上架中")</f>
        <v>上架中</v>
      </c>
      <c r="M523" s="12" t="str">
        <f ca="1">IFERROR(__xludf.DUMMYFUNCTION("""COMPUTED_VALUE"""),"(請先詢問貨況)2025/1/1調降")</f>
        <v>(請先詢問貨況)2025/1/1調降</v>
      </c>
      <c r="N523" s="12" t="str">
        <f ca="1">IFERROR(__xludf.DUMMYFUNCTION("""COMPUTED_VALUE"""),"窗型變頻冷專")</f>
        <v>窗型變頻冷專</v>
      </c>
      <c r="O523" s="12" t="str">
        <f ca="1">IFERROR(__xludf.DUMMYFUNCTION("""COMPUTED_VALUE"""),"白")</f>
        <v>白</v>
      </c>
      <c r="P523" s="12" t="str">
        <f ca="1">IFERROR(__xludf.DUMMYFUNCTION("""COMPUTED_VALUE"""),"6-8坪")</f>
        <v>6-8坪</v>
      </c>
      <c r="Q523" s="23" t="str">
        <f ca="1">IFERROR(__xludf.DUMMYFUNCTION("""COMPUTED_VALUE"""),"室內機:660x800x430mm")</f>
        <v>室內機:660x800x430mm</v>
      </c>
      <c r="R523" s="12" t="str">
        <f ca="1">IFERROR(__xludf.DUMMYFUNCTION("""COMPUTED_VALUE"""),"菲律賓")</f>
        <v>菲律賓</v>
      </c>
      <c r="S523" s="22" t="str">
        <f ca="1">IFERROR(__xludf.DUMMYFUNCTION("""COMPUTED_VALUE"""),"V")</f>
        <v>V</v>
      </c>
      <c r="T523" s="13" t="str">
        <f ca="1">IFERROR(__xludf.DUMMYFUNCTION("""COMPUTED_VALUE"""),"1級能效")</f>
        <v>1級能效</v>
      </c>
      <c r="U523" s="22" t="str">
        <f ca="1">IFERROR(__xludf.DUMMYFUNCTION("""COMPUTED_VALUE"""),"7年")</f>
        <v>7年</v>
      </c>
      <c r="V523" s="12"/>
      <c r="W523"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23" s="12"/>
      <c r="Y523" s="12">
        <f ca="1">IFERROR(__xludf.DUMMYFUNCTION("""COMPUTED_VALUE"""),4.1)</f>
        <v>4.0999999999999996</v>
      </c>
      <c r="Z523" s="14" t="str">
        <f ca="1">IFERROR(__xludf.DUMMYFUNCTION("""COMPUTED_VALUE"""),"2000")</f>
        <v>2000</v>
      </c>
      <c r="AA523" s="15" t="str">
        <f ca="1">IFERROR(__xludf.DUMMYFUNCTION("""COMPUTED_VALUE"""),"*自體淨*R32環保冷媒*高效率壓縮機*雙馬達")</f>
        <v>*自體淨*R32環保冷媒*高效率壓縮機*雙馬達</v>
      </c>
    </row>
    <row r="524" spans="1:27" ht="19.5" customHeight="1">
      <c r="A524" s="12" t="str">
        <f ca="1">IFERROR(__xludf.DUMMYFUNCTION("""COMPUTED_VALUE"""),"空調")</f>
        <v>空調</v>
      </c>
      <c r="B524" s="12" t="str">
        <f ca="1">IFERROR(__xludf.DUMMYFUNCTION("""COMPUTED_VALUE"""),"大同")</f>
        <v>大同</v>
      </c>
      <c r="C524" s="12" t="str">
        <f ca="1">IFERROR(__xludf.DUMMYFUNCTION("""COMPUTED_VALUE"""),"Panasonic")</f>
        <v>Panasonic</v>
      </c>
      <c r="D524" s="12" t="str">
        <f ca="1">IFERROR(__xludf.DUMMYFUNCTION("""COMPUTED_VALUE"""),"Panasonic7-9坪變頻冷專窗型冷氣CW-R50CA2")</f>
        <v>Panasonic7-9坪變頻冷專窗型冷氣CW-R50CA2</v>
      </c>
      <c r="E524" s="12" t="str">
        <f ca="1">IFERROR(__xludf.DUMMYFUNCTION("""COMPUTED_VALUE"""),"CW-R50CA2")</f>
        <v>CW-R50CA2</v>
      </c>
      <c r="F524" s="12">
        <f ca="1">IFERROR(__xludf.DUMMYFUNCTION("""COMPUTED_VALUE"""),51081306)</f>
        <v>51081306</v>
      </c>
      <c r="G524" s="12" t="str">
        <f ca="1">IFERROR(__xludf.DUMMYFUNCTION("""COMPUTED_VALUE"""),"IGEM082O")</f>
        <v>IGEM082O</v>
      </c>
      <c r="H524" s="13">
        <f ca="1">IFERROR(__xludf.DUMMYFUNCTION("""COMPUTED_VALUE"""),41500)</f>
        <v>41500</v>
      </c>
      <c r="I524" s="14">
        <f ca="1">IFERROR(__xludf.DUMMYFUNCTION("""COMPUTED_VALUE"""),40400)</f>
        <v>40400</v>
      </c>
      <c r="J524" s="16">
        <f ca="1">IFERROR(__xludf.DUMMYFUNCTION("""COMPUTED_VALUE"""),45658)</f>
        <v>45658</v>
      </c>
      <c r="K524" s="12" t="str">
        <f ca="1">IFERROR(__xludf.DUMMYFUNCTION("""COMPUTED_VALUE"""),"永久降價")</f>
        <v>永久降價</v>
      </c>
      <c r="L524" s="12" t="str">
        <f ca="1">IFERROR(__xludf.DUMMYFUNCTION("""COMPUTED_VALUE"""),"上架中")</f>
        <v>上架中</v>
      </c>
      <c r="M524" s="12" t="str">
        <f ca="1">IFERROR(__xludf.DUMMYFUNCTION("""COMPUTED_VALUE"""),"(請先詢問貨況)2025/1/1調降")</f>
        <v>(請先詢問貨況)2025/1/1調降</v>
      </c>
      <c r="N524" s="12" t="str">
        <f ca="1">IFERROR(__xludf.DUMMYFUNCTION("""COMPUTED_VALUE"""),"窗型變頻冷專")</f>
        <v>窗型變頻冷專</v>
      </c>
      <c r="O524" s="12" t="str">
        <f ca="1">IFERROR(__xludf.DUMMYFUNCTION("""COMPUTED_VALUE"""),"白")</f>
        <v>白</v>
      </c>
      <c r="P524" s="12" t="str">
        <f ca="1">IFERROR(__xludf.DUMMYFUNCTION("""COMPUTED_VALUE"""),"7-9坪")</f>
        <v>7-9坪</v>
      </c>
      <c r="Q524" s="23" t="str">
        <f ca="1">IFERROR(__xludf.DUMMYFUNCTION("""COMPUTED_VALUE"""),"室內機:660x800x430mm")</f>
        <v>室內機:660x800x430mm</v>
      </c>
      <c r="R524" s="12" t="str">
        <f ca="1">IFERROR(__xludf.DUMMYFUNCTION("""COMPUTED_VALUE"""),"菲律賓")</f>
        <v>菲律賓</v>
      </c>
      <c r="S524" s="22" t="str">
        <f ca="1">IFERROR(__xludf.DUMMYFUNCTION("""COMPUTED_VALUE"""),"V")</f>
        <v>V</v>
      </c>
      <c r="T524" s="13" t="str">
        <f ca="1">IFERROR(__xludf.DUMMYFUNCTION("""COMPUTED_VALUE"""),"1級能效")</f>
        <v>1級能效</v>
      </c>
      <c r="U524" s="22" t="str">
        <f ca="1">IFERROR(__xludf.DUMMYFUNCTION("""COMPUTED_VALUE"""),"7年")</f>
        <v>7年</v>
      </c>
      <c r="V524" s="12"/>
      <c r="W524"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24" s="12"/>
      <c r="Y524" s="12">
        <f ca="1">IFERROR(__xludf.DUMMYFUNCTION("""COMPUTED_VALUE"""),5)</f>
        <v>5</v>
      </c>
      <c r="Z524" s="14" t="str">
        <f ca="1">IFERROR(__xludf.DUMMYFUNCTION("""COMPUTED_VALUE"""),"2000")</f>
        <v>2000</v>
      </c>
      <c r="AA524" s="15" t="str">
        <f ca="1">IFERROR(__xludf.DUMMYFUNCTION("""COMPUTED_VALUE"""),"*自體淨*R32環保冷媒*高效率壓縮機*雙馬達")</f>
        <v>*自體淨*R32環保冷媒*高效率壓縮機*雙馬達</v>
      </c>
    </row>
    <row r="525" spans="1:27" ht="19.5" customHeight="1">
      <c r="A525" s="12" t="str">
        <f ca="1">IFERROR(__xludf.DUMMYFUNCTION("""COMPUTED_VALUE"""),"空調")</f>
        <v>空調</v>
      </c>
      <c r="B525" s="12" t="str">
        <f ca="1">IFERROR(__xludf.DUMMYFUNCTION("""COMPUTED_VALUE"""),"大同")</f>
        <v>大同</v>
      </c>
      <c r="C525" s="12" t="str">
        <f ca="1">IFERROR(__xludf.DUMMYFUNCTION("""COMPUTED_VALUE"""),"Panasonic")</f>
        <v>Panasonic</v>
      </c>
      <c r="D525" s="12" t="str">
        <f ca="1">IFERROR(__xludf.DUMMYFUNCTION("""COMPUTED_VALUE"""),"Panasonic8-10坪變頻冷專窗型冷氣CW-R60CA2")</f>
        <v>Panasonic8-10坪變頻冷專窗型冷氣CW-R60CA2</v>
      </c>
      <c r="E525" s="12" t="str">
        <f ca="1">IFERROR(__xludf.DUMMYFUNCTION("""COMPUTED_VALUE"""),"CW-R60CA2")</f>
        <v>CW-R60CA2</v>
      </c>
      <c r="F525" s="12">
        <f ca="1">IFERROR(__xludf.DUMMYFUNCTION("""COMPUTED_VALUE"""),51081307)</f>
        <v>51081307</v>
      </c>
      <c r="G525" s="12" t="str">
        <f ca="1">IFERROR(__xludf.DUMMYFUNCTION("""COMPUTED_VALUE"""),"IGEM082P")</f>
        <v>IGEM082P</v>
      </c>
      <c r="H525" s="13">
        <f ca="1">IFERROR(__xludf.DUMMYFUNCTION("""COMPUTED_VALUE"""),50700)</f>
        <v>50700</v>
      </c>
      <c r="I525" s="14">
        <f ca="1">IFERROR(__xludf.DUMMYFUNCTION("""COMPUTED_VALUE"""),49600)</f>
        <v>49600</v>
      </c>
      <c r="J525" s="16">
        <f ca="1">IFERROR(__xludf.DUMMYFUNCTION("""COMPUTED_VALUE"""),45658)</f>
        <v>45658</v>
      </c>
      <c r="K525" s="12" t="str">
        <f ca="1">IFERROR(__xludf.DUMMYFUNCTION("""COMPUTED_VALUE"""),"永久降價")</f>
        <v>永久降價</v>
      </c>
      <c r="L525" s="12" t="str">
        <f ca="1">IFERROR(__xludf.DUMMYFUNCTION("""COMPUTED_VALUE"""),"上架中")</f>
        <v>上架中</v>
      </c>
      <c r="M525" s="12" t="str">
        <f ca="1">IFERROR(__xludf.DUMMYFUNCTION("""COMPUTED_VALUE"""),"(請先詢問貨況)2025/1/1調降")</f>
        <v>(請先詢問貨況)2025/1/1調降</v>
      </c>
      <c r="N525" s="12" t="str">
        <f ca="1">IFERROR(__xludf.DUMMYFUNCTION("""COMPUTED_VALUE"""),"窗型變頻冷專")</f>
        <v>窗型變頻冷專</v>
      </c>
      <c r="O525" s="12" t="str">
        <f ca="1">IFERROR(__xludf.DUMMYFUNCTION("""COMPUTED_VALUE"""),"白")</f>
        <v>白</v>
      </c>
      <c r="P525" s="12" t="str">
        <f ca="1">IFERROR(__xludf.DUMMYFUNCTION("""COMPUTED_VALUE"""),"8-10坪")</f>
        <v>8-10坪</v>
      </c>
      <c r="Q525" s="23" t="str">
        <f ca="1">IFERROR(__xludf.DUMMYFUNCTION("""COMPUTED_VALUE"""),"室內機:660x800x430mm")</f>
        <v>室內機:660x800x430mm</v>
      </c>
      <c r="R525" s="12" t="str">
        <f ca="1">IFERROR(__xludf.DUMMYFUNCTION("""COMPUTED_VALUE"""),"菲律賓")</f>
        <v>菲律賓</v>
      </c>
      <c r="S525" s="22" t="str">
        <f ca="1">IFERROR(__xludf.DUMMYFUNCTION("""COMPUTED_VALUE"""),"V")</f>
        <v>V</v>
      </c>
      <c r="T525" s="13" t="str">
        <f ca="1">IFERROR(__xludf.DUMMYFUNCTION("""COMPUTED_VALUE"""),"1級能效")</f>
        <v>1級能效</v>
      </c>
      <c r="U525" s="22" t="str">
        <f ca="1">IFERROR(__xludf.DUMMYFUNCTION("""COMPUTED_VALUE"""),"7年")</f>
        <v>7年</v>
      </c>
      <c r="V525" s="12"/>
      <c r="W525"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25" s="12"/>
      <c r="Y525" s="12">
        <f ca="1">IFERROR(__xludf.DUMMYFUNCTION("""COMPUTED_VALUE"""),6)</f>
        <v>6</v>
      </c>
      <c r="Z525" s="14" t="str">
        <f ca="1">IFERROR(__xludf.DUMMYFUNCTION("""COMPUTED_VALUE"""),"2000")</f>
        <v>2000</v>
      </c>
      <c r="AA525" s="15" t="str">
        <f ca="1">IFERROR(__xludf.DUMMYFUNCTION("""COMPUTED_VALUE"""),"*自體淨*R32環保冷媒*高效率壓縮機*雙馬達")</f>
        <v>*自體淨*R32環保冷媒*高效率壓縮機*雙馬達</v>
      </c>
    </row>
    <row r="526" spans="1:27" ht="19.5" customHeight="1">
      <c r="A526" s="12" t="str">
        <f ca="1">IFERROR(__xludf.DUMMYFUNCTION("""COMPUTED_VALUE"""),"空調")</f>
        <v>空調</v>
      </c>
      <c r="B526" s="12" t="str">
        <f ca="1">IFERROR(__xludf.DUMMYFUNCTION("""COMPUTED_VALUE"""),"大同")</f>
        <v>大同</v>
      </c>
      <c r="C526" s="12" t="str">
        <f ca="1">IFERROR(__xludf.DUMMYFUNCTION("""COMPUTED_VALUE"""),"Panasonic")</f>
        <v>Panasonic</v>
      </c>
      <c r="D526" s="12" t="str">
        <f ca="1">IFERROR(__xludf.DUMMYFUNCTION("""COMPUTED_VALUE"""),"Panasonic10-12坪變頻冷專窗型冷氣CW-R68CA2")</f>
        <v>Panasonic10-12坪變頻冷專窗型冷氣CW-R68CA2</v>
      </c>
      <c r="E526" s="12" t="str">
        <f ca="1">IFERROR(__xludf.DUMMYFUNCTION("""COMPUTED_VALUE"""),"CW-R68CA2")</f>
        <v>CW-R68CA2</v>
      </c>
      <c r="F526" s="12">
        <f ca="1">IFERROR(__xludf.DUMMYFUNCTION("""COMPUTED_VALUE"""),51081308)</f>
        <v>51081308</v>
      </c>
      <c r="G526" s="12" t="str">
        <f ca="1">IFERROR(__xludf.DUMMYFUNCTION("""COMPUTED_VALUE"""),"IGEM082Q")</f>
        <v>IGEM082Q</v>
      </c>
      <c r="H526" s="13">
        <f ca="1">IFERROR(__xludf.DUMMYFUNCTION("""COMPUTED_VALUE"""),57200)</f>
        <v>57200</v>
      </c>
      <c r="I526" s="14">
        <f ca="1">IFERROR(__xludf.DUMMYFUNCTION("""COMPUTED_VALUE"""),55600)</f>
        <v>55600</v>
      </c>
      <c r="J526" s="16">
        <f ca="1">IFERROR(__xludf.DUMMYFUNCTION("""COMPUTED_VALUE"""),45658)</f>
        <v>45658</v>
      </c>
      <c r="K526" s="12" t="str">
        <f ca="1">IFERROR(__xludf.DUMMYFUNCTION("""COMPUTED_VALUE"""),"永久降價")</f>
        <v>永久降價</v>
      </c>
      <c r="L526" s="12" t="str">
        <f ca="1">IFERROR(__xludf.DUMMYFUNCTION("""COMPUTED_VALUE"""),"上架中")</f>
        <v>上架中</v>
      </c>
      <c r="M526" s="12" t="str">
        <f ca="1">IFERROR(__xludf.DUMMYFUNCTION("""COMPUTED_VALUE"""),"(請先詢問貨況)2025/1/1調降")</f>
        <v>(請先詢問貨況)2025/1/1調降</v>
      </c>
      <c r="N526" s="12" t="str">
        <f ca="1">IFERROR(__xludf.DUMMYFUNCTION("""COMPUTED_VALUE"""),"窗型變頻冷專")</f>
        <v>窗型變頻冷專</v>
      </c>
      <c r="O526" s="12" t="str">
        <f ca="1">IFERROR(__xludf.DUMMYFUNCTION("""COMPUTED_VALUE"""),"白")</f>
        <v>白</v>
      </c>
      <c r="P526" s="12" t="str">
        <f ca="1">IFERROR(__xludf.DUMMYFUNCTION("""COMPUTED_VALUE"""),"10-12坪")</f>
        <v>10-12坪</v>
      </c>
      <c r="Q526" s="23" t="str">
        <f ca="1">IFERROR(__xludf.DUMMYFUNCTION("""COMPUTED_VALUE"""),"室內機:660x800x430mm")</f>
        <v>室內機:660x800x430mm</v>
      </c>
      <c r="R526" s="12" t="str">
        <f ca="1">IFERROR(__xludf.DUMMYFUNCTION("""COMPUTED_VALUE"""),"菲律賓")</f>
        <v>菲律賓</v>
      </c>
      <c r="S526" s="22" t="str">
        <f ca="1">IFERROR(__xludf.DUMMYFUNCTION("""COMPUTED_VALUE"""),"V")</f>
        <v>V</v>
      </c>
      <c r="T526" s="13" t="str">
        <f ca="1">IFERROR(__xludf.DUMMYFUNCTION("""COMPUTED_VALUE"""),"1級能效")</f>
        <v>1級能效</v>
      </c>
      <c r="U526" s="22" t="str">
        <f ca="1">IFERROR(__xludf.DUMMYFUNCTION("""COMPUTED_VALUE"""),"7年")</f>
        <v>7年</v>
      </c>
      <c r="V526" s="12"/>
      <c r="W526" s="12" t="str">
        <f ca="1">IFERROR(__xludf.DUMMYFUNCTION("""COMPUTED_VALUE"""),"隨貨送(2/1-4/30)好禮6選1:Panasonic 16吋DC扇、Panasonic IH電磁爐、Panasonic食物處理機、Panasonic日製音波牙刷、高級戶外休閒躺椅、德國雙人不銹鋼深湯鍋+湯勺組，早買早選，送完為止")</f>
        <v>隨貨送(2/1-4/30)好禮6選1:Panasonic 16吋DC扇、Panasonic IH電磁爐、Panasonic食物處理機、Panasonic日製音波牙刷、高級戶外休閒躺椅、德國雙人不銹鋼深湯鍋+湯勺組，早買早選，送完為止</v>
      </c>
      <c r="X526" s="12"/>
      <c r="Y526" s="12">
        <f ca="1">IFERROR(__xludf.DUMMYFUNCTION("""COMPUTED_VALUE"""),6.8)</f>
        <v>6.8</v>
      </c>
      <c r="Z526" s="14" t="str">
        <f ca="1">IFERROR(__xludf.DUMMYFUNCTION("""COMPUTED_VALUE"""),"2000")</f>
        <v>2000</v>
      </c>
      <c r="AA526" s="15" t="str">
        <f ca="1">IFERROR(__xludf.DUMMYFUNCTION("""COMPUTED_VALUE"""),"*自體淨*R32環保冷媒*高效率壓縮機*雙馬達")</f>
        <v>*自體淨*R32環保冷媒*高效率壓縮機*雙馬達</v>
      </c>
    </row>
    <row r="527" spans="1:27" ht="19.5" customHeight="1">
      <c r="A527" s="12" t="str">
        <f ca="1">IFERROR(__xludf.DUMMYFUNCTION("""COMPUTED_VALUE"""),"空調")</f>
        <v>空調</v>
      </c>
      <c r="B527" s="12" t="str">
        <f ca="1">IFERROR(__xludf.DUMMYFUNCTION("""COMPUTED_VALUE"""),"大同")</f>
        <v>大同</v>
      </c>
      <c r="C527" s="12" t="str">
        <f ca="1">IFERROR(__xludf.DUMMYFUNCTION("""COMPUTED_VALUE"""),"HITACHI")</f>
        <v>HITACHI</v>
      </c>
      <c r="D527" s="12" t="str">
        <f ca="1">IFERROR(__xludf.DUMMYFUNCTION("""COMPUTED_VALUE"""),"日立3-5坪一對一變頻旗艦系列冷專空調_RAC-22QP/RAS-22HQP")</f>
        <v>日立3-5坪一對一變頻旗艦系列冷專空調_RAC-22QP/RAS-22HQP</v>
      </c>
      <c r="E527" s="12" t="str">
        <f ca="1">IFERROR(__xludf.DUMMYFUNCTION("""COMPUTED_VALUE"""),"RAC-22QP/RAS-22HQP")</f>
        <v>RAC-22QP/RAS-22HQP</v>
      </c>
      <c r="F527" s="12">
        <f ca="1">IFERROR(__xludf.DUMMYFUNCTION("""COMPUTED_VALUE"""),51081292)</f>
        <v>51081292</v>
      </c>
      <c r="G527" s="12" t="str">
        <f ca="1">IFERROR(__xludf.DUMMYFUNCTION("""COMPUTED_VALUE"""),"IGEM0814")</f>
        <v>IGEM0814</v>
      </c>
      <c r="H527" s="13">
        <f ca="1">IFERROR(__xludf.DUMMYFUNCTION("""COMPUTED_VALUE"""),30690)</f>
        <v>30690</v>
      </c>
      <c r="I527" s="14">
        <f ca="1">IFERROR(__xludf.DUMMYFUNCTION("""COMPUTED_VALUE"""),29500)</f>
        <v>29500</v>
      </c>
      <c r="J527" s="16">
        <f ca="1">IFERROR(__xludf.DUMMYFUNCTION("""COMPUTED_VALUE"""),45028)</f>
        <v>45028</v>
      </c>
      <c r="K527" s="12" t="str">
        <f ca="1">IFERROR(__xludf.DUMMYFUNCTION("""COMPUTED_VALUE"""),"新機上架")</f>
        <v>新機上架</v>
      </c>
      <c r="L527" s="12" t="str">
        <f ca="1">IFERROR(__xludf.DUMMYFUNCTION("""COMPUTED_VALUE"""),"上架中")</f>
        <v>上架中</v>
      </c>
      <c r="M527" s="12" t="str">
        <f ca="1">IFERROR(__xludf.DUMMYFUNCTION("""COMPUTED_VALUE"""),"2023/4/10新機上市")</f>
        <v>2023/4/10新機上市</v>
      </c>
      <c r="N527" s="12" t="str">
        <f ca="1">IFERROR(__xludf.DUMMYFUNCTION("""COMPUTED_VALUE"""),"一對一變頻冷專")</f>
        <v>一對一變頻冷專</v>
      </c>
      <c r="O527" s="12" t="str">
        <f ca="1">IFERROR(__xludf.DUMMYFUNCTION("""COMPUTED_VALUE"""),"白")</f>
        <v>白</v>
      </c>
      <c r="P527" s="12" t="str">
        <f ca="1">IFERROR(__xludf.DUMMYFUNCTION("""COMPUTED_VALUE"""),"3-5坪")</f>
        <v>3-5坪</v>
      </c>
      <c r="Q527" s="23" t="str">
        <f ca="1">IFERROR(__xludf.DUMMYFUNCTION("""COMPUTED_VALUE"""),"室外機:560*730*290mm
室內機:315*735*270mm")</f>
        <v>室外機:560*730*290mm
室內機:315*735*270mm</v>
      </c>
      <c r="R527" s="12" t="str">
        <f ca="1">IFERROR(__xludf.DUMMYFUNCTION("""COMPUTED_VALUE"""),"台灣")</f>
        <v>台灣</v>
      </c>
      <c r="S527" s="12" t="str">
        <f ca="1">IFERROR(__xludf.DUMMYFUNCTION("""COMPUTED_VALUE"""),"V")</f>
        <v>V</v>
      </c>
      <c r="T527" s="12"/>
      <c r="U527" s="22" t="str">
        <f ca="1">IFERROR(__xludf.DUMMYFUNCTION("""COMPUTED_VALUE"""),"主機保固7年")</f>
        <v>主機保固7年</v>
      </c>
      <c r="V527" s="12"/>
      <c r="W527" s="12" t="str">
        <f ca="1">IFERROR(__xludf.DUMMYFUNCTION("""COMPUTED_VALUE"""),"(2/1-4/30)隨貨送好禮5選1:日立微波爐、哈根諾克電扇、飛利浦電鬍刀、日象電鍋、飛利浦黑晶爐")</f>
        <v>(2/1-4/30)隨貨送好禮5選1:日立微波爐、哈根諾克電扇、飛利浦電鬍刀、日象電鍋、飛利浦黑晶爐</v>
      </c>
      <c r="X527" s="12"/>
      <c r="Y527" s="12">
        <f ca="1">IFERROR(__xludf.DUMMYFUNCTION("""COMPUTED_VALUE"""),2.2)</f>
        <v>2.2000000000000002</v>
      </c>
      <c r="Z527" s="14">
        <f ca="1">IFERROR(__xludf.DUMMYFUNCTION("""COMPUTED_VALUE"""),1600)</f>
        <v>1600</v>
      </c>
      <c r="AA527" s="15" t="str">
        <f ca="1">IFERROR(__xludf.DUMMYFUNCTION("""COMPUTED_VALUE""")," *凍結洗淨1.0*露水盤銀離子抑菌*機體防霉(5段)*防霉風扇*體感舒適科技*PM0.1濾網")</f>
        <v xml:space="preserve"> *凍結洗淨1.0*露水盤銀離子抑菌*機體防霉(5段)*防霉風扇*體感舒適科技*PM0.1濾網</v>
      </c>
    </row>
    <row r="528" spans="1:27" ht="19.5" customHeight="1">
      <c r="A528" s="12" t="str">
        <f ca="1">IFERROR(__xludf.DUMMYFUNCTION("""COMPUTED_VALUE"""),"空調")</f>
        <v>空調</v>
      </c>
      <c r="B528" s="12" t="str">
        <f ca="1">IFERROR(__xludf.DUMMYFUNCTION("""COMPUTED_VALUE"""),"大同")</f>
        <v>大同</v>
      </c>
      <c r="C528" s="12" t="str">
        <f ca="1">IFERROR(__xludf.DUMMYFUNCTION("""COMPUTED_VALUE"""),"HITACHI")</f>
        <v>HITACHI</v>
      </c>
      <c r="D528" s="12" t="str">
        <f ca="1">IFERROR(__xludf.DUMMYFUNCTION("""COMPUTED_VALUE"""),"日立4-6坪一對一變頻旗艦系列冷專空調_RAC-28QP/RAS-28HQP")</f>
        <v>日立4-6坪一對一變頻旗艦系列冷專空調_RAC-28QP/RAS-28HQP</v>
      </c>
      <c r="E528" s="12" t="str">
        <f ca="1">IFERROR(__xludf.DUMMYFUNCTION("""COMPUTED_VALUE"""),"RAC-28QP/RAS-28HQP")</f>
        <v>RAC-28QP/RAS-28HQP</v>
      </c>
      <c r="F528" s="12">
        <f ca="1">IFERROR(__xludf.DUMMYFUNCTION("""COMPUTED_VALUE"""),51081293)</f>
        <v>51081293</v>
      </c>
      <c r="G528" s="12" t="str">
        <f ca="1">IFERROR(__xludf.DUMMYFUNCTION("""COMPUTED_VALUE"""),"IGEM0815")</f>
        <v>IGEM0815</v>
      </c>
      <c r="H528" s="13">
        <f ca="1">IFERROR(__xludf.DUMMYFUNCTION("""COMPUTED_VALUE"""),35190)</f>
        <v>35190</v>
      </c>
      <c r="I528" s="14">
        <f ca="1">IFERROR(__xludf.DUMMYFUNCTION("""COMPUTED_VALUE"""),34000)</f>
        <v>34000</v>
      </c>
      <c r="J528" s="16">
        <f ca="1">IFERROR(__xludf.DUMMYFUNCTION("""COMPUTED_VALUE"""),45028)</f>
        <v>45028</v>
      </c>
      <c r="K528" s="12" t="str">
        <f ca="1">IFERROR(__xludf.DUMMYFUNCTION("""COMPUTED_VALUE"""),"新機上架")</f>
        <v>新機上架</v>
      </c>
      <c r="L528" s="12" t="str">
        <f ca="1">IFERROR(__xludf.DUMMYFUNCTION("""COMPUTED_VALUE"""),"上架中")</f>
        <v>上架中</v>
      </c>
      <c r="M528" s="12" t="str">
        <f ca="1">IFERROR(__xludf.DUMMYFUNCTION("""COMPUTED_VALUE"""),"2023/4/10新機上市")</f>
        <v>2023/4/10新機上市</v>
      </c>
      <c r="N528" s="12" t="str">
        <f ca="1">IFERROR(__xludf.DUMMYFUNCTION("""COMPUTED_VALUE"""),"一對一變頻冷專")</f>
        <v>一對一變頻冷專</v>
      </c>
      <c r="O528" s="12" t="str">
        <f ca="1">IFERROR(__xludf.DUMMYFUNCTION("""COMPUTED_VALUE"""),"白")</f>
        <v>白</v>
      </c>
      <c r="P528" s="12" t="str">
        <f ca="1">IFERROR(__xludf.DUMMYFUNCTION("""COMPUTED_VALUE"""),"4-6坪")</f>
        <v>4-6坪</v>
      </c>
      <c r="Q528" s="23" t="str">
        <f ca="1">IFERROR(__xludf.DUMMYFUNCTION("""COMPUTED_VALUE"""),"室外機:560*730*290mm
室內機:315*735*270mm")</f>
        <v>室外機:560*730*290mm
室內機:315*735*270mm</v>
      </c>
      <c r="R528" s="12" t="str">
        <f ca="1">IFERROR(__xludf.DUMMYFUNCTION("""COMPUTED_VALUE"""),"台灣")</f>
        <v>台灣</v>
      </c>
      <c r="S528" s="12" t="str">
        <f ca="1">IFERROR(__xludf.DUMMYFUNCTION("""COMPUTED_VALUE"""),"V")</f>
        <v>V</v>
      </c>
      <c r="T528" s="12"/>
      <c r="U528" s="22" t="str">
        <f ca="1">IFERROR(__xludf.DUMMYFUNCTION("""COMPUTED_VALUE"""),"主機保固7年")</f>
        <v>主機保固7年</v>
      </c>
      <c r="V528" s="12"/>
      <c r="W528" s="12" t="str">
        <f ca="1">IFERROR(__xludf.DUMMYFUNCTION("""COMPUTED_VALUE"""),"(2/1-4/30)隨貨送好禮5選1:日立微波爐、哈根諾克電扇、飛利浦電鬍刀、日象電鍋、飛利浦黑晶爐")</f>
        <v>(2/1-4/30)隨貨送好禮5選1:日立微波爐、哈根諾克電扇、飛利浦電鬍刀、日象電鍋、飛利浦黑晶爐</v>
      </c>
      <c r="X528" s="12"/>
      <c r="Y528" s="12">
        <f ca="1">IFERROR(__xludf.DUMMYFUNCTION("""COMPUTED_VALUE"""),2.8)</f>
        <v>2.8</v>
      </c>
      <c r="Z528" s="14">
        <f ca="1">IFERROR(__xludf.DUMMYFUNCTION("""COMPUTED_VALUE"""),1600)</f>
        <v>1600</v>
      </c>
      <c r="AA528" s="15" t="str">
        <f ca="1">IFERROR(__xludf.DUMMYFUNCTION("""COMPUTED_VALUE""")," *凍結洗淨1.0*露水盤銀離子抑菌*機體防霉(5段)*防霉風扇*體感舒適科技*PM0.1濾網")</f>
        <v xml:space="preserve"> *凍結洗淨1.0*露水盤銀離子抑菌*機體防霉(5段)*防霉風扇*體感舒適科技*PM0.1濾網</v>
      </c>
    </row>
    <row r="529" spans="1:27" ht="19.5" customHeight="1">
      <c r="A529" s="12" t="str">
        <f ca="1">IFERROR(__xludf.DUMMYFUNCTION("""COMPUTED_VALUE"""),"空調")</f>
        <v>空調</v>
      </c>
      <c r="B529" s="12" t="str">
        <f ca="1">IFERROR(__xludf.DUMMYFUNCTION("""COMPUTED_VALUE"""),"大同")</f>
        <v>大同</v>
      </c>
      <c r="C529" s="12" t="str">
        <f ca="1">IFERROR(__xludf.DUMMYFUNCTION("""COMPUTED_VALUE"""),"HITACHI")</f>
        <v>HITACHI</v>
      </c>
      <c r="D529" s="12" t="str">
        <f ca="1">IFERROR(__xludf.DUMMYFUNCTION("""COMPUTED_VALUE"""),"日立5-7坪一對一變頻旗艦系列冷專空調_RAC-36QP/RAS-36HQP")</f>
        <v>日立5-7坪一對一變頻旗艦系列冷專空調_RAC-36QP/RAS-36HQP</v>
      </c>
      <c r="E529" s="12" t="str">
        <f ca="1">IFERROR(__xludf.DUMMYFUNCTION("""COMPUTED_VALUE"""),"RAC-36QP/RAS-36HQP")</f>
        <v>RAC-36QP/RAS-36HQP</v>
      </c>
      <c r="F529" s="12">
        <f ca="1">IFERROR(__xludf.DUMMYFUNCTION("""COMPUTED_VALUE"""),51081294)</f>
        <v>51081294</v>
      </c>
      <c r="G529" s="12" t="str">
        <f ca="1">IFERROR(__xludf.DUMMYFUNCTION("""COMPUTED_VALUE"""),"IGEM0816")</f>
        <v>IGEM0816</v>
      </c>
      <c r="H529" s="13">
        <f ca="1">IFERROR(__xludf.DUMMYFUNCTION("""COMPUTED_VALUE"""),43290)</f>
        <v>43290</v>
      </c>
      <c r="I529" s="14">
        <f ca="1">IFERROR(__xludf.DUMMYFUNCTION("""COMPUTED_VALUE"""),42000)</f>
        <v>42000</v>
      </c>
      <c r="J529" s="16">
        <f ca="1">IFERROR(__xludf.DUMMYFUNCTION("""COMPUTED_VALUE"""),45028)</f>
        <v>45028</v>
      </c>
      <c r="K529" s="12" t="str">
        <f ca="1">IFERROR(__xludf.DUMMYFUNCTION("""COMPUTED_VALUE"""),"新機上架")</f>
        <v>新機上架</v>
      </c>
      <c r="L529" s="12" t="str">
        <f ca="1">IFERROR(__xludf.DUMMYFUNCTION("""COMPUTED_VALUE"""),"上架中")</f>
        <v>上架中</v>
      </c>
      <c r="M529" s="12" t="str">
        <f ca="1">IFERROR(__xludf.DUMMYFUNCTION("""COMPUTED_VALUE"""),"2023/4/10新機上市")</f>
        <v>2023/4/10新機上市</v>
      </c>
      <c r="N529" s="12" t="str">
        <f ca="1">IFERROR(__xludf.DUMMYFUNCTION("""COMPUTED_VALUE"""),"一對一變頻冷專")</f>
        <v>一對一變頻冷專</v>
      </c>
      <c r="O529" s="12" t="str">
        <f ca="1">IFERROR(__xludf.DUMMYFUNCTION("""COMPUTED_VALUE"""),"白")</f>
        <v>白</v>
      </c>
      <c r="P529" s="12" t="str">
        <f ca="1">IFERROR(__xludf.DUMMYFUNCTION("""COMPUTED_VALUE"""),"5-7坪")</f>
        <v>5-7坪</v>
      </c>
      <c r="Q529" s="23" t="str">
        <f ca="1">IFERROR(__xludf.DUMMYFUNCTION("""COMPUTED_VALUE"""),"室外機:600*730*290mm
室內機:315*840*270mm")</f>
        <v>室外機:600*730*290mm
室內機:315*840*270mm</v>
      </c>
      <c r="R529" s="12" t="str">
        <f ca="1">IFERROR(__xludf.DUMMYFUNCTION("""COMPUTED_VALUE"""),"台灣")</f>
        <v>台灣</v>
      </c>
      <c r="S529" s="12" t="str">
        <f ca="1">IFERROR(__xludf.DUMMYFUNCTION("""COMPUTED_VALUE"""),"V")</f>
        <v>V</v>
      </c>
      <c r="T529" s="12"/>
      <c r="U529" s="22" t="str">
        <f ca="1">IFERROR(__xludf.DUMMYFUNCTION("""COMPUTED_VALUE"""),"主機保固7年")</f>
        <v>主機保固7年</v>
      </c>
      <c r="V529" s="12"/>
      <c r="W529" s="12" t="str">
        <f ca="1">IFERROR(__xludf.DUMMYFUNCTION("""COMPUTED_VALUE"""),"(2/1-4/30)隨貨送好禮5選1:日立微波爐、哈根諾克電扇、飛利浦電鬍刀、日象電鍋、飛利浦黑晶爐")</f>
        <v>(2/1-4/30)隨貨送好禮5選1:日立微波爐、哈根諾克電扇、飛利浦電鬍刀、日象電鍋、飛利浦黑晶爐</v>
      </c>
      <c r="X529" s="12"/>
      <c r="Y529" s="12">
        <f ca="1">IFERROR(__xludf.DUMMYFUNCTION("""COMPUTED_VALUE"""),3.6)</f>
        <v>3.6</v>
      </c>
      <c r="Z529" s="14" t="str">
        <f ca="1">IFERROR(__xludf.DUMMYFUNCTION("""COMPUTED_VALUE"""),"2000")</f>
        <v>2000</v>
      </c>
      <c r="AA529" s="15" t="str">
        <f ca="1">IFERROR(__xludf.DUMMYFUNCTION("""COMPUTED_VALUE""")," *凍結洗淨1.0*露水盤銀離子抑菌*機體防霉(5段)*防霉風扇*體感舒適科技*PM0.1濾網")</f>
        <v xml:space="preserve"> *凍結洗淨1.0*露水盤銀離子抑菌*機體防霉(5段)*防霉風扇*體感舒適科技*PM0.1濾網</v>
      </c>
    </row>
    <row r="530" spans="1:27" ht="19.5" customHeight="1">
      <c r="A530" s="12" t="str">
        <f ca="1">IFERROR(__xludf.DUMMYFUNCTION("""COMPUTED_VALUE"""),"空調")</f>
        <v>空調</v>
      </c>
      <c r="B530" s="12" t="str">
        <f ca="1">IFERROR(__xludf.DUMMYFUNCTION("""COMPUTED_VALUE"""),"大同")</f>
        <v>大同</v>
      </c>
      <c r="C530" s="12" t="str">
        <f ca="1">IFERROR(__xludf.DUMMYFUNCTION("""COMPUTED_VALUE"""),"HITACHI")</f>
        <v>HITACHI</v>
      </c>
      <c r="D530" s="12" t="str">
        <f ca="1">IFERROR(__xludf.DUMMYFUNCTION("""COMPUTED_VALUE"""),"日立6-8坪一對一變頻旗艦系列冷專空調_RAC-40QP/RAS-40HQP")</f>
        <v>日立6-8坪一對一變頻旗艦系列冷專空調_RAC-40QP/RAS-40HQP</v>
      </c>
      <c r="E530" s="12" t="str">
        <f ca="1">IFERROR(__xludf.DUMMYFUNCTION("""COMPUTED_VALUE"""),"RAC-40QP/RAS-40HQP")</f>
        <v>RAC-40QP/RAS-40HQP</v>
      </c>
      <c r="F530" s="12">
        <f ca="1">IFERROR(__xludf.DUMMYFUNCTION("""COMPUTED_VALUE"""),51081295)</f>
        <v>51081295</v>
      </c>
      <c r="G530" s="12" t="str">
        <f ca="1">IFERROR(__xludf.DUMMYFUNCTION("""COMPUTED_VALUE"""),"IGEM0817")</f>
        <v>IGEM0817</v>
      </c>
      <c r="H530" s="13">
        <f ca="1">IFERROR(__xludf.DUMMYFUNCTION("""COMPUTED_VALUE"""),46390)</f>
        <v>46390</v>
      </c>
      <c r="I530" s="14">
        <f ca="1">IFERROR(__xludf.DUMMYFUNCTION("""COMPUTED_VALUE"""),45800)</f>
        <v>45800</v>
      </c>
      <c r="J530" s="16">
        <f ca="1">IFERROR(__xludf.DUMMYFUNCTION("""COMPUTED_VALUE"""),45028)</f>
        <v>45028</v>
      </c>
      <c r="K530" s="12" t="str">
        <f ca="1">IFERROR(__xludf.DUMMYFUNCTION("""COMPUTED_VALUE"""),"新機上架")</f>
        <v>新機上架</v>
      </c>
      <c r="L530" s="12" t="str">
        <f ca="1">IFERROR(__xludf.DUMMYFUNCTION("""COMPUTED_VALUE"""),"上架中")</f>
        <v>上架中</v>
      </c>
      <c r="M530" s="12" t="str">
        <f ca="1">IFERROR(__xludf.DUMMYFUNCTION("""COMPUTED_VALUE"""),"2023/4/10新機上市")</f>
        <v>2023/4/10新機上市</v>
      </c>
      <c r="N530" s="12" t="str">
        <f ca="1">IFERROR(__xludf.DUMMYFUNCTION("""COMPUTED_VALUE"""),"一對一變頻冷專")</f>
        <v>一對一變頻冷專</v>
      </c>
      <c r="O530" s="12" t="str">
        <f ca="1">IFERROR(__xludf.DUMMYFUNCTION("""COMPUTED_VALUE"""),"白")</f>
        <v>白</v>
      </c>
      <c r="P530" s="12" t="str">
        <f ca="1">IFERROR(__xludf.DUMMYFUNCTION("""COMPUTED_VALUE"""),"6-8坪")</f>
        <v>6-8坪</v>
      </c>
      <c r="Q530" s="23" t="str">
        <f ca="1">IFERROR(__xludf.DUMMYFUNCTION("""COMPUTED_VALUE"""),"室外機:600*730*290mm
室內機:315*840*270mm")</f>
        <v>室外機:600*730*290mm
室內機:315*840*270mm</v>
      </c>
      <c r="R530" s="12" t="str">
        <f ca="1">IFERROR(__xludf.DUMMYFUNCTION("""COMPUTED_VALUE"""),"台灣")</f>
        <v>台灣</v>
      </c>
      <c r="S530" s="12" t="str">
        <f ca="1">IFERROR(__xludf.DUMMYFUNCTION("""COMPUTED_VALUE"""),"V")</f>
        <v>V</v>
      </c>
      <c r="T530" s="12"/>
      <c r="U530" s="22" t="str">
        <f ca="1">IFERROR(__xludf.DUMMYFUNCTION("""COMPUTED_VALUE"""),"主機保固7年")</f>
        <v>主機保固7年</v>
      </c>
      <c r="V530" s="12"/>
      <c r="W530" s="12" t="str">
        <f ca="1">IFERROR(__xludf.DUMMYFUNCTION("""COMPUTED_VALUE"""),"(2/1-4/30)隨貨送好禮5選1:日立微波爐、哈根諾克電扇、飛利浦電鬍刀、日象電鍋、飛利浦黑晶爐")</f>
        <v>(2/1-4/30)隨貨送好禮5選1:日立微波爐、哈根諾克電扇、飛利浦電鬍刀、日象電鍋、飛利浦黑晶爐</v>
      </c>
      <c r="X530" s="12"/>
      <c r="Y530" s="12">
        <f ca="1">IFERROR(__xludf.DUMMYFUNCTION("""COMPUTED_VALUE"""),4)</f>
        <v>4</v>
      </c>
      <c r="Z530" s="14" t="str">
        <f ca="1">IFERROR(__xludf.DUMMYFUNCTION("""COMPUTED_VALUE"""),"2000")</f>
        <v>2000</v>
      </c>
      <c r="AA530" s="15" t="str">
        <f ca="1">IFERROR(__xludf.DUMMYFUNCTION("""COMPUTED_VALUE""")," *凍結洗淨1.0*露水盤銀離子抑菌*機體防霉(5段)*防霉風扇*體感舒適科技*PM0.1濾網")</f>
        <v xml:space="preserve"> *凍結洗淨1.0*露水盤銀離子抑菌*機體防霉(5段)*防霉風扇*體感舒適科技*PM0.1濾網</v>
      </c>
    </row>
    <row r="531" spans="1:27" ht="19.5" customHeight="1">
      <c r="A531" s="12" t="str">
        <f ca="1">IFERROR(__xludf.DUMMYFUNCTION("""COMPUTED_VALUE"""),"空調")</f>
        <v>空調</v>
      </c>
      <c r="B531" s="12" t="str">
        <f ca="1">IFERROR(__xludf.DUMMYFUNCTION("""COMPUTED_VALUE"""),"大同")</f>
        <v>大同</v>
      </c>
      <c r="C531" s="12" t="str">
        <f ca="1">IFERROR(__xludf.DUMMYFUNCTION("""COMPUTED_VALUE"""),"HITACHI")</f>
        <v>HITACHI</v>
      </c>
      <c r="D531" s="12" t="str">
        <f ca="1">IFERROR(__xludf.DUMMYFUNCTION("""COMPUTED_VALUE"""),"日立8-10坪一對一變頻旗艦系列冷專空調_RAC-50QP/RAS-50HQP")</f>
        <v>日立8-10坪一對一變頻旗艦系列冷專空調_RAC-50QP/RAS-50HQP</v>
      </c>
      <c r="E531" s="12" t="str">
        <f ca="1">IFERROR(__xludf.DUMMYFUNCTION("""COMPUTED_VALUE"""),"RAC-50QP/RAS-50HQP")</f>
        <v>RAC-50QP/RAS-50HQP</v>
      </c>
      <c r="F531" s="12">
        <f ca="1">IFERROR(__xludf.DUMMYFUNCTION("""COMPUTED_VALUE"""),51081296)</f>
        <v>51081296</v>
      </c>
      <c r="G531" s="12" t="str">
        <f ca="1">IFERROR(__xludf.DUMMYFUNCTION("""COMPUTED_VALUE"""),"IGEM0818")</f>
        <v>IGEM0818</v>
      </c>
      <c r="H531" s="13">
        <f ca="1">IFERROR(__xludf.DUMMYFUNCTION("""COMPUTED_VALUE"""),53890)</f>
        <v>53890</v>
      </c>
      <c r="I531" s="14">
        <f ca="1">IFERROR(__xludf.DUMMYFUNCTION("""COMPUTED_VALUE"""),52890)</f>
        <v>52890</v>
      </c>
      <c r="J531" s="16">
        <f ca="1">IFERROR(__xludf.DUMMYFUNCTION("""COMPUTED_VALUE"""),45028)</f>
        <v>45028</v>
      </c>
      <c r="K531" s="12" t="str">
        <f ca="1">IFERROR(__xludf.DUMMYFUNCTION("""COMPUTED_VALUE"""),"新機上架")</f>
        <v>新機上架</v>
      </c>
      <c r="L531" s="12" t="str">
        <f ca="1">IFERROR(__xludf.DUMMYFUNCTION("""COMPUTED_VALUE"""),"上架中")</f>
        <v>上架中</v>
      </c>
      <c r="M531" s="12" t="str">
        <f ca="1">IFERROR(__xludf.DUMMYFUNCTION("""COMPUTED_VALUE"""),"2023/4/10新機上市")</f>
        <v>2023/4/10新機上市</v>
      </c>
      <c r="N531" s="12" t="str">
        <f ca="1">IFERROR(__xludf.DUMMYFUNCTION("""COMPUTED_VALUE"""),"一對一變頻冷專")</f>
        <v>一對一變頻冷專</v>
      </c>
      <c r="O531" s="12" t="str">
        <f ca="1">IFERROR(__xludf.DUMMYFUNCTION("""COMPUTED_VALUE"""),"白")</f>
        <v>白</v>
      </c>
      <c r="P531" s="12" t="str">
        <f ca="1">IFERROR(__xludf.DUMMYFUNCTION("""COMPUTED_VALUE"""),"8-10坪")</f>
        <v>8-10坪</v>
      </c>
      <c r="Q531" s="23" t="str">
        <f ca="1">IFERROR(__xludf.DUMMYFUNCTION("""COMPUTED_VALUE"""),"室外機:685*810*300mm
室內機:315*940*270mm")</f>
        <v>室外機:685*810*300mm
室內機:315*940*270mm</v>
      </c>
      <c r="R531" s="12" t="str">
        <f ca="1">IFERROR(__xludf.DUMMYFUNCTION("""COMPUTED_VALUE"""),"台灣")</f>
        <v>台灣</v>
      </c>
      <c r="S531" s="12" t="str">
        <f ca="1">IFERROR(__xludf.DUMMYFUNCTION("""COMPUTED_VALUE"""),"V")</f>
        <v>V</v>
      </c>
      <c r="T531" s="12"/>
      <c r="U531" s="22" t="str">
        <f ca="1">IFERROR(__xludf.DUMMYFUNCTION("""COMPUTED_VALUE"""),"主機保固7年")</f>
        <v>主機保固7年</v>
      </c>
      <c r="V531" s="12"/>
      <c r="W531" s="12" t="str">
        <f ca="1">IFERROR(__xludf.DUMMYFUNCTION("""COMPUTED_VALUE"""),"(2/1-4/30)隨貨送好禮5選1:日立微波爐、哈根諾克電扇、飛利浦電鬍刀、日象電鍋、飛利浦黑晶爐")</f>
        <v>(2/1-4/30)隨貨送好禮5選1:日立微波爐、哈根諾克電扇、飛利浦電鬍刀、日象電鍋、飛利浦黑晶爐</v>
      </c>
      <c r="X531" s="12"/>
      <c r="Y531" s="12">
        <f ca="1">IFERROR(__xludf.DUMMYFUNCTION("""COMPUTED_VALUE"""),5)</f>
        <v>5</v>
      </c>
      <c r="Z531" s="14" t="str">
        <f ca="1">IFERROR(__xludf.DUMMYFUNCTION("""COMPUTED_VALUE"""),"2000")</f>
        <v>2000</v>
      </c>
      <c r="AA531" s="15" t="str">
        <f ca="1">IFERROR(__xludf.DUMMYFUNCTION("""COMPUTED_VALUE""")," *凍結洗淨1.0*露水盤銀離子抑菌*機體防霉(5段)*防霉風扇*體感舒適科技*PM0.1濾網")</f>
        <v xml:space="preserve"> *凍結洗淨1.0*露水盤銀離子抑菌*機體防霉(5段)*防霉風扇*體感舒適科技*PM0.1濾網</v>
      </c>
    </row>
    <row r="532" spans="1:27" ht="19.5" customHeight="1">
      <c r="A532" s="12" t="str">
        <f ca="1">IFERROR(__xludf.DUMMYFUNCTION("""COMPUTED_VALUE"""),"空調")</f>
        <v>空調</v>
      </c>
      <c r="B532" s="12" t="str">
        <f ca="1">IFERROR(__xludf.DUMMYFUNCTION("""COMPUTED_VALUE"""),"大同")</f>
        <v>大同</v>
      </c>
      <c r="C532" s="12" t="str">
        <f ca="1">IFERROR(__xludf.DUMMYFUNCTION("""COMPUTED_VALUE"""),"HITACHI")</f>
        <v>HITACHI</v>
      </c>
      <c r="D532" s="12" t="str">
        <f ca="1">IFERROR(__xludf.DUMMYFUNCTION("""COMPUTED_VALUE"""),"日立10-13坪一對一變頻旗艦系列冷專空調_RAC-63QP/RAS-63HQP")</f>
        <v>日立10-13坪一對一變頻旗艦系列冷專空調_RAC-63QP/RAS-63HQP</v>
      </c>
      <c r="E532" s="12" t="str">
        <f ca="1">IFERROR(__xludf.DUMMYFUNCTION("""COMPUTED_VALUE"""),"RAC-63QP/RAS-63HQP")</f>
        <v>RAC-63QP/RAS-63HQP</v>
      </c>
      <c r="F532" s="12">
        <f ca="1">IFERROR(__xludf.DUMMYFUNCTION("""COMPUTED_VALUE"""),51081297)</f>
        <v>51081297</v>
      </c>
      <c r="G532" s="12" t="str">
        <f ca="1">IFERROR(__xludf.DUMMYFUNCTION("""COMPUTED_VALUE"""),"IGEM0819")</f>
        <v>IGEM0819</v>
      </c>
      <c r="H532" s="13">
        <f ca="1">IFERROR(__xludf.DUMMYFUNCTION("""COMPUTED_VALUE"""),62190)</f>
        <v>62190</v>
      </c>
      <c r="I532" s="14">
        <f ca="1">IFERROR(__xludf.DUMMYFUNCTION("""COMPUTED_VALUE"""),61190)</f>
        <v>61190</v>
      </c>
      <c r="J532" s="16">
        <f ca="1">IFERROR(__xludf.DUMMYFUNCTION("""COMPUTED_VALUE"""),45028)</f>
        <v>45028</v>
      </c>
      <c r="K532" s="12" t="str">
        <f ca="1">IFERROR(__xludf.DUMMYFUNCTION("""COMPUTED_VALUE"""),"新機上架")</f>
        <v>新機上架</v>
      </c>
      <c r="L532" s="12" t="str">
        <f ca="1">IFERROR(__xludf.DUMMYFUNCTION("""COMPUTED_VALUE"""),"上架中")</f>
        <v>上架中</v>
      </c>
      <c r="M532" s="12" t="str">
        <f ca="1">IFERROR(__xludf.DUMMYFUNCTION("""COMPUTED_VALUE"""),"2023/4/10新機上市")</f>
        <v>2023/4/10新機上市</v>
      </c>
      <c r="N532" s="12" t="str">
        <f ca="1">IFERROR(__xludf.DUMMYFUNCTION("""COMPUTED_VALUE"""),"一對一變頻冷專")</f>
        <v>一對一變頻冷專</v>
      </c>
      <c r="O532" s="12" t="str">
        <f ca="1">IFERROR(__xludf.DUMMYFUNCTION("""COMPUTED_VALUE"""),"白")</f>
        <v>白</v>
      </c>
      <c r="P532" s="12" t="str">
        <f ca="1">IFERROR(__xludf.DUMMYFUNCTION("""COMPUTED_VALUE"""),"10-13坪")</f>
        <v>10-13坪</v>
      </c>
      <c r="Q532" s="23" t="str">
        <f ca="1">IFERROR(__xludf.DUMMYFUNCTION("""COMPUTED_VALUE"""),"室外機:790*880*315mm
室內機:315*1110*280mm")</f>
        <v>室外機:790*880*315mm
室內機:315*1110*280mm</v>
      </c>
      <c r="R532" s="12" t="str">
        <f ca="1">IFERROR(__xludf.DUMMYFUNCTION("""COMPUTED_VALUE"""),"台灣")</f>
        <v>台灣</v>
      </c>
      <c r="S532" s="12" t="str">
        <f ca="1">IFERROR(__xludf.DUMMYFUNCTION("""COMPUTED_VALUE"""),"V")</f>
        <v>V</v>
      </c>
      <c r="T532" s="12"/>
      <c r="U532" s="22" t="str">
        <f ca="1">IFERROR(__xludf.DUMMYFUNCTION("""COMPUTED_VALUE"""),"主機保固7年")</f>
        <v>主機保固7年</v>
      </c>
      <c r="V532" s="12"/>
      <c r="W532"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532" s="12"/>
      <c r="Y532" s="12">
        <f ca="1">IFERROR(__xludf.DUMMYFUNCTION("""COMPUTED_VALUE"""),6.3)</f>
        <v>6.3</v>
      </c>
      <c r="Z532" s="14" t="str">
        <f ca="1">IFERROR(__xludf.DUMMYFUNCTION("""COMPUTED_VALUE"""),"2000")</f>
        <v>2000</v>
      </c>
      <c r="AA532" s="15" t="str">
        <f ca="1">IFERROR(__xludf.DUMMYFUNCTION("""COMPUTED_VALUE""")," *凍結洗淨1.0*露水盤銀離子抑菌*機體防霉(5段)*防霉風扇*體感舒適科技*PM0.1濾網")</f>
        <v xml:space="preserve"> *凍結洗淨1.0*露水盤銀離子抑菌*機體防霉(5段)*防霉風扇*體感舒適科技*PM0.1濾網</v>
      </c>
    </row>
    <row r="533" spans="1:27" ht="19.5" customHeight="1">
      <c r="A533" s="12" t="str">
        <f ca="1">IFERROR(__xludf.DUMMYFUNCTION("""COMPUTED_VALUE"""),"空調")</f>
        <v>空調</v>
      </c>
      <c r="B533" s="12" t="str">
        <f ca="1">IFERROR(__xludf.DUMMYFUNCTION("""COMPUTED_VALUE"""),"大同")</f>
        <v>大同</v>
      </c>
      <c r="C533" s="12" t="str">
        <f ca="1">IFERROR(__xludf.DUMMYFUNCTION("""COMPUTED_VALUE"""),"HITACHI")</f>
        <v>HITACHI</v>
      </c>
      <c r="D533" s="12" t="str">
        <f ca="1">IFERROR(__xludf.DUMMYFUNCTION("""COMPUTED_VALUE"""),"日立13-15坪一對一變頻旗艦系列冷專空調_RAC-71QP/RAS-71HQP")</f>
        <v>日立13-15坪一對一變頻旗艦系列冷專空調_RAC-71QP/RAS-71HQP</v>
      </c>
      <c r="E533" s="12" t="str">
        <f ca="1">IFERROR(__xludf.DUMMYFUNCTION("""COMPUTED_VALUE"""),"RAC-71QP/RAS-71HQP")</f>
        <v>RAC-71QP/RAS-71HQP</v>
      </c>
      <c r="F533" s="12">
        <f ca="1">IFERROR(__xludf.DUMMYFUNCTION("""COMPUTED_VALUE"""),51081298)</f>
        <v>51081298</v>
      </c>
      <c r="G533" s="12" t="str">
        <f ca="1">IFERROR(__xludf.DUMMYFUNCTION("""COMPUTED_VALUE"""),"IGEM0820")</f>
        <v>IGEM0820</v>
      </c>
      <c r="H533" s="13">
        <f ca="1">IFERROR(__xludf.DUMMYFUNCTION("""COMPUTED_VALUE"""),68640)</f>
        <v>68640</v>
      </c>
      <c r="I533" s="14">
        <f ca="1">IFERROR(__xludf.DUMMYFUNCTION("""COMPUTED_VALUE"""),67500)</f>
        <v>67500</v>
      </c>
      <c r="J533" s="16">
        <f ca="1">IFERROR(__xludf.DUMMYFUNCTION("""COMPUTED_VALUE"""),45028)</f>
        <v>45028</v>
      </c>
      <c r="K533" s="12" t="str">
        <f ca="1">IFERROR(__xludf.DUMMYFUNCTION("""COMPUTED_VALUE"""),"新機上架")</f>
        <v>新機上架</v>
      </c>
      <c r="L533" s="12" t="str">
        <f ca="1">IFERROR(__xludf.DUMMYFUNCTION("""COMPUTED_VALUE"""),"上架中")</f>
        <v>上架中</v>
      </c>
      <c r="M533" s="12" t="str">
        <f ca="1">IFERROR(__xludf.DUMMYFUNCTION("""COMPUTED_VALUE"""),"2023/4/10新機上市")</f>
        <v>2023/4/10新機上市</v>
      </c>
      <c r="N533" s="12" t="str">
        <f ca="1">IFERROR(__xludf.DUMMYFUNCTION("""COMPUTED_VALUE"""),"一對一變頻冷專")</f>
        <v>一對一變頻冷專</v>
      </c>
      <c r="O533" s="12" t="str">
        <f ca="1">IFERROR(__xludf.DUMMYFUNCTION("""COMPUTED_VALUE"""),"白")</f>
        <v>白</v>
      </c>
      <c r="P533" s="12" t="str">
        <f ca="1">IFERROR(__xludf.DUMMYFUNCTION("""COMPUTED_VALUE"""),"13-15坪")</f>
        <v>13-15坪</v>
      </c>
      <c r="Q533" s="23" t="str">
        <f ca="1">IFERROR(__xludf.DUMMYFUNCTION("""COMPUTED_VALUE"""),"室外機:790*880*315mm
室內機:315*1110*280mm")</f>
        <v>室外機:790*880*315mm
室內機:315*1110*280mm</v>
      </c>
      <c r="R533" s="12" t="str">
        <f ca="1">IFERROR(__xludf.DUMMYFUNCTION("""COMPUTED_VALUE"""),"台灣")</f>
        <v>台灣</v>
      </c>
      <c r="S533" s="12" t="str">
        <f ca="1">IFERROR(__xludf.DUMMYFUNCTION("""COMPUTED_VALUE"""),"V")</f>
        <v>V</v>
      </c>
      <c r="T533" s="12"/>
      <c r="U533" s="22" t="str">
        <f ca="1">IFERROR(__xludf.DUMMYFUNCTION("""COMPUTED_VALUE"""),"主機保固7年")</f>
        <v>主機保固7年</v>
      </c>
      <c r="V533" s="12"/>
      <c r="W533"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533" s="12"/>
      <c r="Y533" s="12">
        <f ca="1">IFERROR(__xludf.DUMMYFUNCTION("""COMPUTED_VALUE"""),7.2)</f>
        <v>7.2</v>
      </c>
      <c r="Z533" s="14" t="str">
        <f ca="1">IFERROR(__xludf.DUMMYFUNCTION("""COMPUTED_VALUE"""),"2000")</f>
        <v>2000</v>
      </c>
      <c r="AA533" s="15" t="str">
        <f ca="1">IFERROR(__xludf.DUMMYFUNCTION("""COMPUTED_VALUE""")," *凍結洗淨1.0*露水盤銀離子抑菌*機體防霉(5段)*防霉風扇*體感舒適科技*PM0.1濾網")</f>
        <v xml:space="preserve"> *凍結洗淨1.0*露水盤銀離子抑菌*機體防霉(5段)*防霉風扇*體感舒適科技*PM0.1濾網</v>
      </c>
    </row>
    <row r="534" spans="1:27" ht="19.5" customHeight="1">
      <c r="A534" s="12" t="str">
        <f ca="1">IFERROR(__xludf.DUMMYFUNCTION("""COMPUTED_VALUE"""),"空調")</f>
        <v>空調</v>
      </c>
      <c r="B534" s="12" t="str">
        <f ca="1">IFERROR(__xludf.DUMMYFUNCTION("""COMPUTED_VALUE"""),"大同")</f>
        <v>大同</v>
      </c>
      <c r="C534" s="12" t="str">
        <f ca="1">IFERROR(__xludf.DUMMYFUNCTION("""COMPUTED_VALUE"""),"HITACHI")</f>
        <v>HITACHI</v>
      </c>
      <c r="D534" s="12" t="str">
        <f ca="1">IFERROR(__xludf.DUMMYFUNCTION("""COMPUTED_VALUE"""),"日立16-18坪一對一變頻頂級系列冷專空調_RAS-110NJP/RAC-110JP")</f>
        <v>日立16-18坪一對一變頻頂級系列冷專空調_RAS-110NJP/RAC-110JP</v>
      </c>
      <c r="E534" s="12" t="str">
        <f ca="1">IFERROR(__xludf.DUMMYFUNCTION("""COMPUTED_VALUE"""),"RAS-110NJP/RAC-110JP")</f>
        <v>RAS-110NJP/RAC-110JP</v>
      </c>
      <c r="F534" s="12">
        <f ca="1">IFERROR(__xludf.DUMMYFUNCTION("""COMPUTED_VALUE"""),51081268)</f>
        <v>51081268</v>
      </c>
      <c r="G534" s="12" t="str">
        <f ca="1">IFERROR(__xludf.DUMMYFUNCTION("""COMPUTED_VALUE"""),"IGEM0621")</f>
        <v>IGEM0621</v>
      </c>
      <c r="H534" s="12">
        <f ca="1">IFERROR(__xludf.DUMMYFUNCTION("""COMPUTED_VALUE"""),98840)</f>
        <v>98840</v>
      </c>
      <c r="I534" s="14">
        <f ca="1">IFERROR(__xludf.DUMMYFUNCTION("""COMPUTED_VALUE"""),96000)</f>
        <v>96000</v>
      </c>
      <c r="J534" s="16">
        <f ca="1">IFERROR(__xludf.DUMMYFUNCTION("""COMPUTED_VALUE"""),45351)</f>
        <v>45351</v>
      </c>
      <c r="K534" s="12" t="str">
        <f ca="1">IFERROR(__xludf.DUMMYFUNCTION("""COMPUTED_VALUE"""),"新機上架")</f>
        <v>新機上架</v>
      </c>
      <c r="L534" s="12" t="str">
        <f ca="1">IFERROR(__xludf.DUMMYFUNCTION("""COMPUTED_VALUE"""),"專案")</f>
        <v>專案</v>
      </c>
      <c r="M534" s="12" t="str">
        <f ca="1">IFERROR(__xludf.DUMMYFUNCTION("""COMPUTED_VALUE"""),"2024/2/1重新上架；2023/3/1下架")</f>
        <v>2024/2/1重新上架；2023/3/1下架</v>
      </c>
      <c r="N534" s="12" t="str">
        <f ca="1">IFERROR(__xludf.DUMMYFUNCTION("""COMPUTED_VALUE"""),"一對一變頻冷專")</f>
        <v>一對一變頻冷專</v>
      </c>
      <c r="O534" s="12" t="str">
        <f ca="1">IFERROR(__xludf.DUMMYFUNCTION("""COMPUTED_VALUE"""),"白")</f>
        <v>白</v>
      </c>
      <c r="P534" s="12" t="str">
        <f ca="1">IFERROR(__xludf.DUMMYFUNCTION("""COMPUTED_VALUE"""),"16-18坪")</f>
        <v>16-18坪</v>
      </c>
      <c r="Q534" s="23" t="str">
        <f ca="1">IFERROR(__xludf.DUMMYFUNCTION("""COMPUTED_VALUE"""),"室內機：寬1390×高345×深245
室外機：寬1060(最大1155)×高940×深370")</f>
        <v>室內機：寬1390×高345×深245
室外機：寬1060(最大1155)×高940×深370</v>
      </c>
      <c r="R534" s="12" t="str">
        <f ca="1">IFERROR(__xludf.DUMMYFUNCTION("""COMPUTED_VALUE"""),"台灣")</f>
        <v>台灣</v>
      </c>
      <c r="S534" s="22" t="str">
        <f ca="1">IFERROR(__xludf.DUMMYFUNCTION("""COMPUTED_VALUE"""),"V")</f>
        <v>V</v>
      </c>
      <c r="T534" s="13" t="str">
        <f ca="1">IFERROR(__xludf.DUMMYFUNCTION("""COMPUTED_VALUE"""),"1級能效")</f>
        <v>1級能效</v>
      </c>
      <c r="U534" s="22" t="str">
        <f ca="1">IFERROR(__xludf.DUMMYFUNCTION("""COMPUTED_VALUE"""),"7年")</f>
        <v>7年</v>
      </c>
      <c r="V534" s="22" t="str">
        <f ca="1">IFERROR(__xludf.DUMMYFUNCTION("""COMPUTED_VALUE"""),"10年")</f>
        <v>10年</v>
      </c>
      <c r="W534" s="12"/>
      <c r="X534" s="12"/>
      <c r="Y534" s="12">
        <f ca="1">IFERROR(__xludf.DUMMYFUNCTION("""COMPUTED_VALUE"""),11)</f>
        <v>11</v>
      </c>
      <c r="Z534" s="14" t="str">
        <f ca="1">IFERROR(__xludf.DUMMYFUNCTION("""COMPUTED_VALUE"""),"2000")</f>
        <v>2000</v>
      </c>
      <c r="AA534" s="15" t="str">
        <f ca="1">IFERROR(__xludf.DUMMYFUNCTION("""COMPUTED_VALUE"""),"*環保冷媒R32*環保標章、凍結洗淨2.0+、PM0.1濾網去除率99.9%、3D立體氣流、恆溫快適、防霉風扇抗污抑菌、防黴防腐蝕科技、日本置壓縮機+台灣製造。")</f>
        <v>*環保冷媒R32*環保標章、凍結洗淨2.0+、PM0.1濾網去除率99.9%、3D立體氣流、恆溫快適、防霉風扇抗污抑菌、防黴防腐蝕科技、日本置壓縮機+台灣製造。</v>
      </c>
    </row>
    <row r="535" spans="1:27" ht="19.5" customHeight="1">
      <c r="A535" s="12" t="str">
        <f ca="1">IFERROR(__xludf.DUMMYFUNCTION("""COMPUTED_VALUE"""),"空調")</f>
        <v>空調</v>
      </c>
      <c r="B535" s="12" t="str">
        <f ca="1">IFERROR(__xludf.DUMMYFUNCTION("""COMPUTED_VALUE"""),"大同")</f>
        <v>大同</v>
      </c>
      <c r="C535" s="12" t="str">
        <f ca="1">IFERROR(__xludf.DUMMYFUNCTION("""COMPUTED_VALUE"""),"HITACHI")</f>
        <v>HITACHI</v>
      </c>
      <c r="D535" s="12" t="str">
        <f ca="1">IFERROR(__xludf.DUMMYFUNCTION("""COMPUTED_VALUE"""),"日立8-10坪一對一變頻頂級系列冷暖空調_RAS-50NJP/RAC-50NP")</f>
        <v>日立8-10坪一對一變頻頂級系列冷暖空調_RAS-50NJP/RAC-50NP</v>
      </c>
      <c r="E535" s="12" t="str">
        <f ca="1">IFERROR(__xludf.DUMMYFUNCTION("""COMPUTED_VALUE"""),"RAS-50NJP/RAC-50NP")</f>
        <v>RAS-50NJP/RAC-50NP</v>
      </c>
      <c r="F535" s="12">
        <f ca="1">IFERROR(__xludf.DUMMYFUNCTION("""COMPUTED_VALUE"""),51081252)</f>
        <v>51081252</v>
      </c>
      <c r="G535" s="12" t="str">
        <f ca="1">IFERROR(__xludf.DUMMYFUNCTION("""COMPUTED_VALUE"""),"IGEM061F")</f>
        <v>IGEM061F</v>
      </c>
      <c r="H535" s="12">
        <f ca="1">IFERROR(__xludf.DUMMYFUNCTION("""COMPUTED_VALUE"""),60200)</f>
        <v>60200</v>
      </c>
      <c r="I535" s="14">
        <f ca="1">IFERROR(__xludf.DUMMYFUNCTION("""COMPUTED_VALUE"""),57150)</f>
        <v>57150</v>
      </c>
      <c r="J535" s="16">
        <f ca="1">IFERROR(__xludf.DUMMYFUNCTION("""COMPUTED_VALUE"""),45658)</f>
        <v>45658</v>
      </c>
      <c r="K535" s="12" t="str">
        <f ca="1">IFERROR(__xludf.DUMMYFUNCTION("""COMPUTED_VALUE"""),"永久降價")</f>
        <v>永久降價</v>
      </c>
      <c r="L535" s="12" t="str">
        <f ca="1">IFERROR(__xludf.DUMMYFUNCTION("""COMPUTED_VALUE"""),"上架中")</f>
        <v>上架中</v>
      </c>
      <c r="M535" s="12" t="str">
        <f ca="1">IFERROR(__xludf.DUMMYFUNCTION("""COMPUTED_VALUE"""),"2025/1/1調降、2023/8/1上架，2022/4/6新品上架")</f>
        <v>2025/1/1調降、2023/8/1上架，2022/4/6新品上架</v>
      </c>
      <c r="N535" s="12" t="str">
        <f ca="1">IFERROR(__xludf.DUMMYFUNCTION("""COMPUTED_VALUE"""),"一對一變頻冷暖")</f>
        <v>一對一變頻冷暖</v>
      </c>
      <c r="O535" s="12" t="str">
        <f ca="1">IFERROR(__xludf.DUMMYFUNCTION("""COMPUTED_VALUE"""),"白")</f>
        <v>白</v>
      </c>
      <c r="P535" s="12" t="str">
        <f ca="1">IFERROR(__xludf.DUMMYFUNCTION("""COMPUTED_VALUE"""),"8-10坪")</f>
        <v>8-10坪</v>
      </c>
      <c r="Q535" s="23" t="str">
        <f ca="1">IFERROR(__xludf.DUMMYFUNCTION("""COMPUTED_VALUE"""),"室內機：高315×寬1110×深280
室外機：高685×寬810(最大906)×深300")</f>
        <v>室內機：高315×寬1110×深280
室外機：高685×寬810(最大906)×深300</v>
      </c>
      <c r="R535" s="12" t="str">
        <f ca="1">IFERROR(__xludf.DUMMYFUNCTION("""COMPUTED_VALUE"""),"台灣")</f>
        <v>台灣</v>
      </c>
      <c r="S535" s="22" t="str">
        <f ca="1">IFERROR(__xludf.DUMMYFUNCTION("""COMPUTED_VALUE"""),"V")</f>
        <v>V</v>
      </c>
      <c r="T535" s="13" t="str">
        <f ca="1">IFERROR(__xludf.DUMMYFUNCTION("""COMPUTED_VALUE"""),"1級能效")</f>
        <v>1級能效</v>
      </c>
      <c r="U535" s="22" t="str">
        <f ca="1">IFERROR(__xludf.DUMMYFUNCTION("""COMPUTED_VALUE"""),"7年")</f>
        <v>7年</v>
      </c>
      <c r="V535" s="22" t="str">
        <f ca="1">IFERROR(__xludf.DUMMYFUNCTION("""COMPUTED_VALUE"""),"10年")</f>
        <v>10年</v>
      </c>
      <c r="W535" s="12" t="str">
        <f ca="1">IFERROR(__xludf.DUMMYFUNCTION("""COMPUTED_VALUE"""),"(2/1-4/30)隨貨送好禮5選1:日立微波爐、哈根諾克電扇、飛利浦電鬍刀、日象電鍋、飛利浦黑晶爐")</f>
        <v>(2/1-4/30)隨貨送好禮5選1:日立微波爐、哈根諾克電扇、飛利浦電鬍刀、日象電鍋、飛利浦黑晶爐</v>
      </c>
      <c r="X535" s="12"/>
      <c r="Y535" s="12">
        <f ca="1">IFERROR(__xludf.DUMMYFUNCTION("""COMPUTED_VALUE"""),5)</f>
        <v>5</v>
      </c>
      <c r="Z535" s="14" t="str">
        <f ca="1">IFERROR(__xludf.DUMMYFUNCTION("""COMPUTED_VALUE"""),"2000")</f>
        <v>2000</v>
      </c>
      <c r="AA535" s="15" t="str">
        <f ca="1">IFERROR(__xludf.DUMMYFUNCTION("""COMPUTED_VALUE"""),"*環保冷媒R32*環保標章、凍結洗淨2.0+、PM0.1濾網去除率99.9%、3D立體氣流、恆溫快適、防霉風扇抗污抑菌、防黴防腐蝕科技")</f>
        <v>*環保冷媒R32*環保標章、凍結洗淨2.0+、PM0.1濾網去除率99.9%、3D立體氣流、恆溫快適、防霉風扇抗污抑菌、防黴防腐蝕科技</v>
      </c>
    </row>
    <row r="536" spans="1:27" ht="19.5" customHeight="1">
      <c r="A536" s="12" t="str">
        <f ca="1">IFERROR(__xludf.DUMMYFUNCTION("""COMPUTED_VALUE"""),"空調")</f>
        <v>空調</v>
      </c>
      <c r="B536" s="12" t="str">
        <f ca="1">IFERROR(__xludf.DUMMYFUNCTION("""COMPUTED_VALUE"""),"大同")</f>
        <v>大同</v>
      </c>
      <c r="C536" s="12" t="str">
        <f ca="1">IFERROR(__xludf.DUMMYFUNCTION("""COMPUTED_VALUE"""),"HITACHI")</f>
        <v>HITACHI</v>
      </c>
      <c r="D536" s="12" t="str">
        <f ca="1">IFERROR(__xludf.DUMMYFUNCTION("""COMPUTED_VALUE"""),"日立10-13坪一對一變頻頂級系列冷暖空調_RAS-63NJP/RAC-63NP")</f>
        <v>日立10-13坪一對一變頻頂級系列冷暖空調_RAS-63NJP/RAC-63NP</v>
      </c>
      <c r="E536" s="12" t="str">
        <f ca="1">IFERROR(__xludf.DUMMYFUNCTION("""COMPUTED_VALUE"""),"RAS-63NJP/RAC-63NP")</f>
        <v>RAS-63NJP/RAC-63NP</v>
      </c>
      <c r="F536" s="12">
        <f ca="1">IFERROR(__xludf.DUMMYFUNCTION("""COMPUTED_VALUE"""),51081253)</f>
        <v>51081253</v>
      </c>
      <c r="G536" s="12" t="str">
        <f ca="1">IFERROR(__xludf.DUMMYFUNCTION("""COMPUTED_VALUE"""),"IGEM061G")</f>
        <v>IGEM061G</v>
      </c>
      <c r="H536" s="12">
        <f ca="1">IFERROR(__xludf.DUMMYFUNCTION("""COMPUTED_VALUE"""),67400)</f>
        <v>67400</v>
      </c>
      <c r="I536" s="14">
        <f ca="1">IFERROR(__xludf.DUMMYFUNCTION("""COMPUTED_VALUE"""),64200)</f>
        <v>64200</v>
      </c>
      <c r="J536" s="16">
        <f ca="1">IFERROR(__xludf.DUMMYFUNCTION("""COMPUTED_VALUE"""),45658)</f>
        <v>45658</v>
      </c>
      <c r="K536" s="12" t="str">
        <f ca="1">IFERROR(__xludf.DUMMYFUNCTION("""COMPUTED_VALUE"""),"永久降價")</f>
        <v>永久降價</v>
      </c>
      <c r="L536" s="12" t="str">
        <f ca="1">IFERROR(__xludf.DUMMYFUNCTION("""COMPUTED_VALUE"""),"上架中")</f>
        <v>上架中</v>
      </c>
      <c r="M536" s="12" t="str">
        <f ca="1">IFERROR(__xludf.DUMMYFUNCTION("""COMPUTED_VALUE"""),"2025/1/1調降、2022/4/6新品上架，2023/4/1調漲價格，4/10調漲後重新上架")</f>
        <v>2025/1/1調降、2022/4/6新品上架，2023/4/1調漲價格，4/10調漲後重新上架</v>
      </c>
      <c r="N536" s="12" t="str">
        <f ca="1">IFERROR(__xludf.DUMMYFUNCTION("""COMPUTED_VALUE"""),"一對一變頻冷暖")</f>
        <v>一對一變頻冷暖</v>
      </c>
      <c r="O536" s="12" t="str">
        <f ca="1">IFERROR(__xludf.DUMMYFUNCTION("""COMPUTED_VALUE"""),"白")</f>
        <v>白</v>
      </c>
      <c r="P536" s="12" t="str">
        <f ca="1">IFERROR(__xludf.DUMMYFUNCTION("""COMPUTED_VALUE"""),"10-13坪")</f>
        <v>10-13坪</v>
      </c>
      <c r="Q536" s="23" t="str">
        <f ca="1">IFERROR(__xludf.DUMMYFUNCTION("""COMPUTED_VALUE"""),"室內機：高315×寬1110×深280
室外機：高790×寬880(最大954)×深315")</f>
        <v>室內機：高315×寬1110×深280
室外機：高790×寬880(最大954)×深315</v>
      </c>
      <c r="R536" s="12" t="str">
        <f ca="1">IFERROR(__xludf.DUMMYFUNCTION("""COMPUTED_VALUE"""),"台灣")</f>
        <v>台灣</v>
      </c>
      <c r="S536" s="22" t="str">
        <f ca="1">IFERROR(__xludf.DUMMYFUNCTION("""COMPUTED_VALUE"""),"V")</f>
        <v>V</v>
      </c>
      <c r="T536" s="13" t="str">
        <f ca="1">IFERROR(__xludf.DUMMYFUNCTION("""COMPUTED_VALUE"""),"1級能效")</f>
        <v>1級能效</v>
      </c>
      <c r="U536" s="22" t="str">
        <f ca="1">IFERROR(__xludf.DUMMYFUNCTION("""COMPUTED_VALUE"""),"7年")</f>
        <v>7年</v>
      </c>
      <c r="V536" s="22" t="str">
        <f ca="1">IFERROR(__xludf.DUMMYFUNCTION("""COMPUTED_VALUE"""),"10年")</f>
        <v>10年</v>
      </c>
      <c r="W536"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536" s="12"/>
      <c r="Y536" s="12">
        <f ca="1">IFERROR(__xludf.DUMMYFUNCTION("""COMPUTED_VALUE"""),6.3)</f>
        <v>6.3</v>
      </c>
      <c r="Z536" s="14" t="str">
        <f ca="1">IFERROR(__xludf.DUMMYFUNCTION("""COMPUTED_VALUE"""),"2000")</f>
        <v>2000</v>
      </c>
      <c r="AA536" s="15" t="str">
        <f ca="1">IFERROR(__xludf.DUMMYFUNCTION("""COMPUTED_VALUE"""),"*環保冷媒R32*環保標章、凍結洗淨2.0+、PM0.1濾網去除率99.9%、3D立體氣流、恆溫快適、防霉風扇抗污抑菌、防黴防腐蝕科技")</f>
        <v>*環保冷媒R32*環保標章、凍結洗淨2.0+、PM0.1濾網去除率99.9%、3D立體氣流、恆溫快適、防霉風扇抗污抑菌、防黴防腐蝕科技</v>
      </c>
    </row>
    <row r="537" spans="1:27" ht="19.5" customHeight="1">
      <c r="A537" s="12" t="str">
        <f ca="1">IFERROR(__xludf.DUMMYFUNCTION("""COMPUTED_VALUE"""),"空調")</f>
        <v>空調</v>
      </c>
      <c r="B537" s="12" t="str">
        <f ca="1">IFERROR(__xludf.DUMMYFUNCTION("""COMPUTED_VALUE"""),"大同")</f>
        <v>大同</v>
      </c>
      <c r="C537" s="12" t="str">
        <f ca="1">IFERROR(__xludf.DUMMYFUNCTION("""COMPUTED_VALUE"""),"HITACHI")</f>
        <v>HITACHI</v>
      </c>
      <c r="D537" s="12" t="str">
        <f ca="1">IFERROR(__xludf.DUMMYFUNCTION("""COMPUTED_VALUE"""),"日立11-14坪一對一變頻頂級系列冷暖空調_RAS-71NJP/RAC-71NP")</f>
        <v>日立11-14坪一對一變頻頂級系列冷暖空調_RAS-71NJP/RAC-71NP</v>
      </c>
      <c r="E537" s="12" t="str">
        <f ca="1">IFERROR(__xludf.DUMMYFUNCTION("""COMPUTED_VALUE"""),"RAS-71NJP/RAC-71NP")</f>
        <v>RAS-71NJP/RAC-71NP</v>
      </c>
      <c r="F537" s="12">
        <f ca="1">IFERROR(__xludf.DUMMYFUNCTION("""COMPUTED_VALUE"""),51081254)</f>
        <v>51081254</v>
      </c>
      <c r="G537" s="12" t="str">
        <f ca="1">IFERROR(__xludf.DUMMYFUNCTION("""COMPUTED_VALUE"""),"IGEM061H")</f>
        <v>IGEM061H</v>
      </c>
      <c r="H537" s="12">
        <f ca="1">IFERROR(__xludf.DUMMYFUNCTION("""COMPUTED_VALUE"""),75350)</f>
        <v>75350</v>
      </c>
      <c r="I537" s="14">
        <f ca="1">IFERROR(__xludf.DUMMYFUNCTION("""COMPUTED_VALUE"""),71900)</f>
        <v>71900</v>
      </c>
      <c r="J537" s="16">
        <f ca="1">IFERROR(__xludf.DUMMYFUNCTION("""COMPUTED_VALUE"""),45664)</f>
        <v>45664</v>
      </c>
      <c r="K537" s="12" t="str">
        <f ca="1">IFERROR(__xludf.DUMMYFUNCTION("""COMPUTED_VALUE"""),"停售")</f>
        <v>停售</v>
      </c>
      <c r="L537" s="12" t="str">
        <f ca="1">IFERROR(__xludf.DUMMYFUNCTION("""COMPUTED_VALUE"""),"上架中")</f>
        <v>上架中</v>
      </c>
      <c r="M537" s="12" t="str">
        <f ca="1">IFERROR(__xludf.DUMMYFUNCTION("""COMPUTED_VALUE"""),"2025/1/6停產、2025/1/1調降、2022/4/6新品上架，2023/4/1調漲價格，4/10調漲後重新上架")</f>
        <v>2025/1/6停產、2025/1/1調降、2022/4/6新品上架，2023/4/1調漲價格，4/10調漲後重新上架</v>
      </c>
      <c r="N537" s="12" t="str">
        <f ca="1">IFERROR(__xludf.DUMMYFUNCTION("""COMPUTED_VALUE"""),"一對一變頻冷暖")</f>
        <v>一對一變頻冷暖</v>
      </c>
      <c r="O537" s="12" t="str">
        <f ca="1">IFERROR(__xludf.DUMMYFUNCTION("""COMPUTED_VALUE"""),"白")</f>
        <v>白</v>
      </c>
      <c r="P537" s="12" t="str">
        <f ca="1">IFERROR(__xludf.DUMMYFUNCTION("""COMPUTED_VALUE"""),"11-14坪")</f>
        <v>11-14坪</v>
      </c>
      <c r="Q537" s="23" t="str">
        <f ca="1">IFERROR(__xludf.DUMMYFUNCTION("""COMPUTED_VALUE"""),"室內機：寬1110×高315×深280
室外機：880(最大954)×高790×深315")</f>
        <v>室內機：寬1110×高315×深280
室外機：880(最大954)×高790×深315</v>
      </c>
      <c r="R537" s="12" t="str">
        <f ca="1">IFERROR(__xludf.DUMMYFUNCTION("""COMPUTED_VALUE"""),"台灣")</f>
        <v>台灣</v>
      </c>
      <c r="S537" s="22" t="str">
        <f ca="1">IFERROR(__xludf.DUMMYFUNCTION("""COMPUTED_VALUE"""),"V")</f>
        <v>V</v>
      </c>
      <c r="T537" s="13" t="str">
        <f ca="1">IFERROR(__xludf.DUMMYFUNCTION("""COMPUTED_VALUE"""),"1級能效")</f>
        <v>1級能效</v>
      </c>
      <c r="U537" s="22" t="str">
        <f ca="1">IFERROR(__xludf.DUMMYFUNCTION("""COMPUTED_VALUE"""),"7年")</f>
        <v>7年</v>
      </c>
      <c r="V537" s="22" t="str">
        <f ca="1">IFERROR(__xludf.DUMMYFUNCTION("""COMPUTED_VALUE"""),"10年")</f>
        <v>10年</v>
      </c>
      <c r="W537"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537" s="12"/>
      <c r="Y537" s="12">
        <f ca="1">IFERROR(__xludf.DUMMYFUNCTION("""COMPUTED_VALUE"""),7.2)</f>
        <v>7.2</v>
      </c>
      <c r="Z537" s="14" t="str">
        <f ca="1">IFERROR(__xludf.DUMMYFUNCTION("""COMPUTED_VALUE"""),"2000")</f>
        <v>2000</v>
      </c>
      <c r="AA537" s="15" t="str">
        <f ca="1">IFERROR(__xludf.DUMMYFUNCTION("""COMPUTED_VALUE"""),"*環保冷媒R32*環保標章、凍結洗淨2.0+、PM0.1濾網去除率99.9%、3D立體氣流、恆溫快適、防霉風扇抗污抑菌、防黴防腐蝕科技")</f>
        <v>*環保冷媒R32*環保標章、凍結洗淨2.0+、PM0.1濾網去除率99.9%、3D立體氣流、恆溫快適、防霉風扇抗污抑菌、防黴防腐蝕科技</v>
      </c>
    </row>
    <row r="538" spans="1:27" ht="19.5" customHeight="1">
      <c r="A538" s="12" t="str">
        <f ca="1">IFERROR(__xludf.DUMMYFUNCTION("""COMPUTED_VALUE"""),"空調")</f>
        <v>空調</v>
      </c>
      <c r="B538" s="12" t="str">
        <f ca="1">IFERROR(__xludf.DUMMYFUNCTION("""COMPUTED_VALUE"""),"大同")</f>
        <v>大同</v>
      </c>
      <c r="C538" s="12" t="str">
        <f ca="1">IFERROR(__xludf.DUMMYFUNCTION("""COMPUTED_VALUE"""),"HITACHI")</f>
        <v>HITACHI</v>
      </c>
      <c r="D538" s="12" t="str">
        <f ca="1">IFERROR(__xludf.DUMMYFUNCTION("""COMPUTED_VALUE"""),"日立12-16坪一對一變頻頂級系列冷暖空調_RAS-81NJP/RAC-81NP")</f>
        <v>日立12-16坪一對一變頻頂級系列冷暖空調_RAS-81NJP/RAC-81NP</v>
      </c>
      <c r="E538" s="12" t="str">
        <f ca="1">IFERROR(__xludf.DUMMYFUNCTION("""COMPUTED_VALUE"""),"RAS-81NJP/RAC-81NP")</f>
        <v>RAS-81NJP/RAC-81NP</v>
      </c>
      <c r="F538" s="12">
        <f ca="1">IFERROR(__xludf.DUMMYFUNCTION("""COMPUTED_VALUE"""),51081255)</f>
        <v>51081255</v>
      </c>
      <c r="G538" s="12" t="str">
        <f ca="1">IFERROR(__xludf.DUMMYFUNCTION("""COMPUTED_VALUE"""),"IGEM061I")</f>
        <v>IGEM061I</v>
      </c>
      <c r="H538" s="12">
        <f ca="1">IFERROR(__xludf.DUMMYFUNCTION("""COMPUTED_VALUE"""),83340)</f>
        <v>83340</v>
      </c>
      <c r="I538" s="14">
        <f ca="1">IFERROR(__xludf.DUMMYFUNCTION("""COMPUTED_VALUE"""),79048)</f>
        <v>79048</v>
      </c>
      <c r="J538" s="16">
        <f ca="1">IFERROR(__xludf.DUMMYFUNCTION("""COMPUTED_VALUE"""),45658)</f>
        <v>45658</v>
      </c>
      <c r="K538" s="12" t="str">
        <f ca="1">IFERROR(__xludf.DUMMYFUNCTION("""COMPUTED_VALUE"""),"永久降價")</f>
        <v>永久降價</v>
      </c>
      <c r="L538" s="12" t="str">
        <f ca="1">IFERROR(__xludf.DUMMYFUNCTION("""COMPUTED_VALUE"""),"上架中")</f>
        <v>上架中</v>
      </c>
      <c r="M538" s="12" t="str">
        <f ca="1">IFERROR(__xludf.DUMMYFUNCTION("""COMPUTED_VALUE"""),"2025/1/1調降、2023/4/1調漲價格，4/10調漲後重新上架")</f>
        <v>2025/1/1調降、2023/4/1調漲價格，4/10調漲後重新上架</v>
      </c>
      <c r="N538" s="12" t="str">
        <f ca="1">IFERROR(__xludf.DUMMYFUNCTION("""COMPUTED_VALUE"""),"一對一變頻冷暖")</f>
        <v>一對一變頻冷暖</v>
      </c>
      <c r="O538" s="12" t="str">
        <f ca="1">IFERROR(__xludf.DUMMYFUNCTION("""COMPUTED_VALUE"""),"白")</f>
        <v>白</v>
      </c>
      <c r="P538" s="12" t="str">
        <f ca="1">IFERROR(__xludf.DUMMYFUNCTION("""COMPUTED_VALUE"""),"12-16坪")</f>
        <v>12-16坪</v>
      </c>
      <c r="Q538" s="23" t="str">
        <f ca="1">IFERROR(__xludf.DUMMYFUNCTION("""COMPUTED_VALUE"""),"室內機：寬1110×高315×深280
室外機：寬920(最大1016)×高885×深315")</f>
        <v>室內機：寬1110×高315×深280
室外機：寬920(最大1016)×高885×深315</v>
      </c>
      <c r="R538" s="12" t="str">
        <f ca="1">IFERROR(__xludf.DUMMYFUNCTION("""COMPUTED_VALUE"""),"台灣")</f>
        <v>台灣</v>
      </c>
      <c r="S538" s="22" t="str">
        <f ca="1">IFERROR(__xludf.DUMMYFUNCTION("""COMPUTED_VALUE"""),"V")</f>
        <v>V</v>
      </c>
      <c r="T538" s="13" t="str">
        <f ca="1">IFERROR(__xludf.DUMMYFUNCTION("""COMPUTED_VALUE"""),"1級能效")</f>
        <v>1級能效</v>
      </c>
      <c r="U538" s="22" t="str">
        <f ca="1">IFERROR(__xludf.DUMMYFUNCTION("""COMPUTED_VALUE"""),"7年")</f>
        <v>7年</v>
      </c>
      <c r="V538" s="22" t="str">
        <f ca="1">IFERROR(__xludf.DUMMYFUNCTION("""COMPUTED_VALUE"""),"10年")</f>
        <v>10年</v>
      </c>
      <c r="W538"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538" s="12"/>
      <c r="Y538" s="12">
        <f ca="1">IFERROR(__xludf.DUMMYFUNCTION("""COMPUTED_VALUE"""),8)</f>
        <v>8</v>
      </c>
      <c r="Z538" s="14" t="str">
        <f ca="1">IFERROR(__xludf.DUMMYFUNCTION("""COMPUTED_VALUE"""),"2000")</f>
        <v>2000</v>
      </c>
      <c r="AA538" s="15" t="str">
        <f ca="1">IFERROR(__xludf.DUMMYFUNCTION("""COMPUTED_VALUE"""),"*環保冷媒R32*環保標章、凍結洗淨2.0+、PM0.1濾網去除率99.9%、3D立體氣流、恆溫快適、防霉風扇抗污抑菌、防黴防腐蝕科技")</f>
        <v>*環保冷媒R32*環保標章、凍結洗淨2.0+、PM0.1濾網去除率99.9%、3D立體氣流、恆溫快適、防霉風扇抗污抑菌、防黴防腐蝕科技</v>
      </c>
    </row>
    <row r="539" spans="1:27" ht="19.5" customHeight="1">
      <c r="A539" s="12" t="str">
        <f ca="1">IFERROR(__xludf.DUMMYFUNCTION("""COMPUTED_VALUE"""),"空調")</f>
        <v>空調</v>
      </c>
      <c r="B539" s="12" t="str">
        <f ca="1">IFERROR(__xludf.DUMMYFUNCTION("""COMPUTED_VALUE"""),"大同")</f>
        <v>大同</v>
      </c>
      <c r="C539" s="12" t="str">
        <f ca="1">IFERROR(__xludf.DUMMYFUNCTION("""COMPUTED_VALUE"""),"HITACHI")</f>
        <v>HITACHI</v>
      </c>
      <c r="D539" s="12" t="str">
        <f ca="1">IFERROR(__xludf.DUMMYFUNCTION("""COMPUTED_VALUE"""),"日立15-17坪一對一變頻頂級系列冷暖空調_RAS-90NJP/RAC-90NP")</f>
        <v>日立15-17坪一對一變頻頂級系列冷暖空調_RAS-90NJP/RAC-90NP</v>
      </c>
      <c r="E539" s="12" t="str">
        <f ca="1">IFERROR(__xludf.DUMMYFUNCTION("""COMPUTED_VALUE"""),"RAS-90NJP/RAC-90NP")</f>
        <v>RAS-90NJP/RAC-90NP</v>
      </c>
      <c r="F539" s="12">
        <f ca="1">IFERROR(__xludf.DUMMYFUNCTION("""COMPUTED_VALUE"""),51081256)</f>
        <v>51081256</v>
      </c>
      <c r="G539" s="12" t="str">
        <f ca="1">IFERROR(__xludf.DUMMYFUNCTION("""COMPUTED_VALUE"""),"IGEM061J")</f>
        <v>IGEM061J</v>
      </c>
      <c r="H539" s="12">
        <f ca="1">IFERROR(__xludf.DUMMYFUNCTION("""COMPUTED_VALUE"""),89740)</f>
        <v>89740</v>
      </c>
      <c r="I539" s="14">
        <f ca="1">IFERROR(__xludf.DUMMYFUNCTION("""COMPUTED_VALUE"""),85250)</f>
        <v>85250</v>
      </c>
      <c r="J539" s="16">
        <f ca="1">IFERROR(__xludf.DUMMYFUNCTION("""COMPUTED_VALUE"""),45658)</f>
        <v>45658</v>
      </c>
      <c r="K539" s="12" t="str">
        <f ca="1">IFERROR(__xludf.DUMMYFUNCTION("""COMPUTED_VALUE"""),"永久降價")</f>
        <v>永久降價</v>
      </c>
      <c r="L539" s="12" t="str">
        <f ca="1">IFERROR(__xludf.DUMMYFUNCTION("""COMPUTED_VALUE"""),"上架中")</f>
        <v>上架中</v>
      </c>
      <c r="M539" s="12" t="str">
        <f ca="1">IFERROR(__xludf.DUMMYFUNCTION("""COMPUTED_VALUE"""),"2025/1/1調降、2023/4/1調漲價格，4/10調漲後重新上架")</f>
        <v>2025/1/1調降、2023/4/1調漲價格，4/10調漲後重新上架</v>
      </c>
      <c r="N539" s="12" t="str">
        <f ca="1">IFERROR(__xludf.DUMMYFUNCTION("""COMPUTED_VALUE"""),"一對一變頻冷暖")</f>
        <v>一對一變頻冷暖</v>
      </c>
      <c r="O539" s="12" t="str">
        <f ca="1">IFERROR(__xludf.DUMMYFUNCTION("""COMPUTED_VALUE"""),"白")</f>
        <v>白</v>
      </c>
      <c r="P539" s="12" t="str">
        <f ca="1">IFERROR(__xludf.DUMMYFUNCTION("""COMPUTED_VALUE"""),"15-17坪")</f>
        <v>15-17坪</v>
      </c>
      <c r="Q539" s="23" t="str">
        <f ca="1">IFERROR(__xludf.DUMMYFUNCTION("""COMPUTED_VALUE"""),"室內機：寬1110×高315×深280
室外機：寬920(最大1016)×高885×深315")</f>
        <v>室內機：寬1110×高315×深280
室外機：寬920(最大1016)×高885×深315</v>
      </c>
      <c r="R539" s="12" t="str">
        <f ca="1">IFERROR(__xludf.DUMMYFUNCTION("""COMPUTED_VALUE"""),"台灣")</f>
        <v>台灣</v>
      </c>
      <c r="S539" s="22" t="str">
        <f ca="1">IFERROR(__xludf.DUMMYFUNCTION("""COMPUTED_VALUE"""),"V")</f>
        <v>V</v>
      </c>
      <c r="T539" s="13" t="str">
        <f ca="1">IFERROR(__xludf.DUMMYFUNCTION("""COMPUTED_VALUE"""),"1級能效")</f>
        <v>1級能效</v>
      </c>
      <c r="U539" s="22" t="str">
        <f ca="1">IFERROR(__xludf.DUMMYFUNCTION("""COMPUTED_VALUE"""),"7年")</f>
        <v>7年</v>
      </c>
      <c r="V539" s="22" t="str">
        <f ca="1">IFERROR(__xludf.DUMMYFUNCTION("""COMPUTED_VALUE"""),"10年")</f>
        <v>10年</v>
      </c>
      <c r="W539"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539" s="12"/>
      <c r="Y539" s="12">
        <f ca="1">IFERROR(__xludf.DUMMYFUNCTION("""COMPUTED_VALUE"""),8.7)</f>
        <v>8.6999999999999993</v>
      </c>
      <c r="Z539" s="14" t="str">
        <f ca="1">IFERROR(__xludf.DUMMYFUNCTION("""COMPUTED_VALUE"""),"2000")</f>
        <v>2000</v>
      </c>
      <c r="AA539" s="15" t="str">
        <f ca="1">IFERROR(__xludf.DUMMYFUNCTION("""COMPUTED_VALUE"""),"*環保冷媒R32*環保標章、凍結洗淨2.0+、PM0.1濾網去除率99.9%、3D立體氣流、恆溫快適、防霉風扇抗污抑菌、防黴防腐蝕科技")</f>
        <v>*環保冷媒R32*環保標章、凍結洗淨2.0+、PM0.1濾網去除率99.9%、3D立體氣流、恆溫快適、防霉風扇抗污抑菌、防黴防腐蝕科技</v>
      </c>
    </row>
    <row r="540" spans="1:27" ht="19.5" customHeight="1">
      <c r="A540" s="12" t="str">
        <f ca="1">IFERROR(__xludf.DUMMYFUNCTION("""COMPUTED_VALUE"""),"空調")</f>
        <v>空調</v>
      </c>
      <c r="B540" s="12" t="str">
        <f ca="1">IFERROR(__xludf.DUMMYFUNCTION("""COMPUTED_VALUE"""),"大同")</f>
        <v>大同</v>
      </c>
      <c r="C540" s="12" t="str">
        <f ca="1">IFERROR(__xludf.DUMMYFUNCTION("""COMPUTED_VALUE"""),"HITACHI")</f>
        <v>HITACHI</v>
      </c>
      <c r="D540" s="12" t="str">
        <f ca="1">IFERROR(__xludf.DUMMYFUNCTION("""COMPUTED_VALUE"""),"日立16-18坪一對一變頻頂級系列冷暖空調_RAS-110NJP/RAC-110NP")</f>
        <v>日立16-18坪一對一變頻頂級系列冷暖空調_RAS-110NJP/RAC-110NP</v>
      </c>
      <c r="E540" s="12" t="str">
        <f ca="1">IFERROR(__xludf.DUMMYFUNCTION("""COMPUTED_VALUE"""),"RAS-110NJP/RAC-110NP")</f>
        <v>RAS-110NJP/RAC-110NP</v>
      </c>
      <c r="F540" s="12">
        <f ca="1">IFERROR(__xludf.DUMMYFUNCTION("""COMPUTED_VALUE"""),51081257)</f>
        <v>51081257</v>
      </c>
      <c r="G540" s="12" t="str">
        <f ca="1">IFERROR(__xludf.DUMMYFUNCTION("""COMPUTED_VALUE"""),"IGEM061K")</f>
        <v>IGEM061K</v>
      </c>
      <c r="H540" s="12">
        <f ca="1">IFERROR(__xludf.DUMMYFUNCTION("""COMPUTED_VALUE"""),96900)</f>
        <v>96900</v>
      </c>
      <c r="I540" s="14">
        <f ca="1">IFERROR(__xludf.DUMMYFUNCTION("""COMPUTED_VALUE"""),95100)</f>
        <v>95100</v>
      </c>
      <c r="J540" s="12"/>
      <c r="K540" s="12"/>
      <c r="L540" s="12" t="str">
        <f ca="1">IFERROR(__xludf.DUMMYFUNCTION("""COMPUTED_VALUE"""),"專案")</f>
        <v>專案</v>
      </c>
      <c r="M540" s="12" t="str">
        <f ca="1">IFERROR(__xludf.DUMMYFUNCTION("""COMPUTED_VALUE"""),"（需先確認貨況且另開代碼）2025/1/1調降")</f>
        <v>（需先確認貨況且另開代碼）2025/1/1調降</v>
      </c>
      <c r="N540" s="12" t="str">
        <f ca="1">IFERROR(__xludf.DUMMYFUNCTION("""COMPUTED_VALUE"""),"一對一變頻冷暖")</f>
        <v>一對一變頻冷暖</v>
      </c>
      <c r="O540" s="12" t="str">
        <f ca="1">IFERROR(__xludf.DUMMYFUNCTION("""COMPUTED_VALUE"""),"白")</f>
        <v>白</v>
      </c>
      <c r="P540" s="12" t="str">
        <f ca="1">IFERROR(__xludf.DUMMYFUNCTION("""COMPUTED_VALUE"""),"16-18坪")</f>
        <v>16-18坪</v>
      </c>
      <c r="Q540" s="23" t="str">
        <f ca="1">IFERROR(__xludf.DUMMYFUNCTION("""COMPUTED_VALUE"""),"室內機：寬1390×高345×深245
室外機：寬1060(最大1155)×高940×深370")</f>
        <v>室內機：寬1390×高345×深245
室外機：寬1060(最大1155)×高940×深370</v>
      </c>
      <c r="R540" s="12" t="str">
        <f ca="1">IFERROR(__xludf.DUMMYFUNCTION("""COMPUTED_VALUE"""),"台灣")</f>
        <v>台灣</v>
      </c>
      <c r="S540" s="22" t="str">
        <f ca="1">IFERROR(__xludf.DUMMYFUNCTION("""COMPUTED_VALUE"""),"V")</f>
        <v>V</v>
      </c>
      <c r="T540" s="13" t="str">
        <f ca="1">IFERROR(__xludf.DUMMYFUNCTION("""COMPUTED_VALUE"""),"1級能效")</f>
        <v>1級能效</v>
      </c>
      <c r="U540" s="22" t="str">
        <f ca="1">IFERROR(__xludf.DUMMYFUNCTION("""COMPUTED_VALUE"""),"7年")</f>
        <v>7年</v>
      </c>
      <c r="V540" s="22" t="str">
        <f ca="1">IFERROR(__xludf.DUMMYFUNCTION("""COMPUTED_VALUE"""),"10年")</f>
        <v>10年</v>
      </c>
      <c r="W540"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540" s="12"/>
      <c r="Y540" s="12">
        <f ca="1">IFERROR(__xludf.DUMMYFUNCTION("""COMPUTED_VALUE"""),11)</f>
        <v>11</v>
      </c>
      <c r="Z540" s="14" t="str">
        <f ca="1">IFERROR(__xludf.DUMMYFUNCTION("""COMPUTED_VALUE"""),"2000")</f>
        <v>2000</v>
      </c>
      <c r="AA540" s="15" t="str">
        <f ca="1">IFERROR(__xludf.DUMMYFUNCTION("""COMPUTED_VALUE"""),"*環保冷媒R32*環保標章、凍結洗淨2.0+、PM0.1濾網去除率99.9%、3D立體氣流、恆溫快適、防霉風扇抗污抑菌、防黴防腐蝕科技")</f>
        <v>*環保冷媒R32*環保標章、凍結洗淨2.0+、PM0.1濾網去除率99.9%、3D立體氣流、恆溫快適、防霉風扇抗污抑菌、防黴防腐蝕科技</v>
      </c>
    </row>
    <row r="541" spans="1:27" ht="19.5" customHeight="1">
      <c r="A541" s="12" t="str">
        <f ca="1">IFERROR(__xludf.DUMMYFUNCTION("""COMPUTED_VALUE"""),"空調")</f>
        <v>空調</v>
      </c>
      <c r="B541" s="12" t="str">
        <f ca="1">IFERROR(__xludf.DUMMYFUNCTION("""COMPUTED_VALUE"""),"大同")</f>
        <v>大同</v>
      </c>
      <c r="C541" s="12" t="str">
        <f ca="1">IFERROR(__xludf.DUMMYFUNCTION("""COMPUTED_VALUE"""),"HITACHI")</f>
        <v>HITACHI</v>
      </c>
      <c r="D541" s="12" t="str">
        <f ca="1">IFERROR(__xludf.DUMMYFUNCTION("""COMPUTED_VALUE"""),"HITACHI 6-8坪一對一變頻頂級系列冷暖空調_RAS-40NJP1/RAC-40NP")</f>
        <v>HITACHI 6-8坪一對一變頻頂級系列冷暖空調_RAS-40NJP1/RAC-40NP</v>
      </c>
      <c r="E541" s="12" t="str">
        <f ca="1">IFERROR(__xludf.DUMMYFUNCTION("""COMPUTED_VALUE"""),"RAS-40NJP1/RAC-40NP")</f>
        <v>RAS-40NJP1/RAC-40NP</v>
      </c>
      <c r="F541" s="12">
        <f ca="1">IFERROR(__xludf.DUMMYFUNCTION("""COMPUTED_VALUE"""),51081440)</f>
        <v>51081440</v>
      </c>
      <c r="G541" s="12" t="str">
        <f ca="1">IFERROR(__xludf.DUMMYFUNCTION("""COMPUTED_VALUE"""),"IGEM119S")</f>
        <v>IGEM119S</v>
      </c>
      <c r="H541" s="13">
        <f ca="1">IFERROR(__xludf.DUMMYFUNCTION("""COMPUTED_VALUE"""),48190)</f>
        <v>48190</v>
      </c>
      <c r="I541" s="14">
        <f ca="1">IFERROR(__xludf.DUMMYFUNCTION("""COMPUTED_VALUE"""),49260)</f>
        <v>49260</v>
      </c>
      <c r="J541" s="16">
        <f ca="1">IFERROR(__xludf.DUMMYFUNCTION("""COMPUTED_VALUE"""),45693)</f>
        <v>45693</v>
      </c>
      <c r="K541" s="12" t="str">
        <f ca="1">IFERROR(__xludf.DUMMYFUNCTION("""COMPUTED_VALUE"""),"新機上架")</f>
        <v>新機上架</v>
      </c>
      <c r="L541" s="12" t="str">
        <f ca="1">IFERROR(__xludf.DUMMYFUNCTION("""COMPUTED_VALUE"""),"上架中")</f>
        <v>上架中</v>
      </c>
      <c r="M541" s="12" t="str">
        <f ca="1">IFERROR(__xludf.DUMMYFUNCTION("""COMPUTED_VALUE"""),"2025/2/5新機上架")</f>
        <v>2025/2/5新機上架</v>
      </c>
      <c r="N541" s="12" t="str">
        <f ca="1">IFERROR(__xludf.DUMMYFUNCTION("""COMPUTED_VALUE"""),"一對一變頻冷暖")</f>
        <v>一對一變頻冷暖</v>
      </c>
      <c r="O541" s="12" t="str">
        <f ca="1">IFERROR(__xludf.DUMMYFUNCTION("""COMPUTED_VALUE"""),"白")</f>
        <v>白</v>
      </c>
      <c r="P541" s="12" t="str">
        <f ca="1">IFERROR(__xludf.DUMMYFUNCTION("""COMPUTED_VALUE"""),"6-8坪")</f>
        <v>6-8坪</v>
      </c>
      <c r="Q541" s="23" t="str">
        <f ca="1">IFERROR(__xludf.DUMMYFUNCTION("""COMPUTED_VALUE"""),"室內機：300×920×240mm 
室外機：685×810×300mm")</f>
        <v>室內機：300×920×240mm 
室外機：685×810×300mm</v>
      </c>
      <c r="R541" s="12" t="str">
        <f ca="1">IFERROR(__xludf.DUMMYFUNCTION("""COMPUTED_VALUE"""),"台灣")</f>
        <v>台灣</v>
      </c>
      <c r="S541" s="22" t="str">
        <f ca="1">IFERROR(__xludf.DUMMYFUNCTION("""COMPUTED_VALUE"""),"V")</f>
        <v>V</v>
      </c>
      <c r="T541" s="13" t="str">
        <f ca="1">IFERROR(__xludf.DUMMYFUNCTION("""COMPUTED_VALUE"""),"1級能效")</f>
        <v>1級能效</v>
      </c>
      <c r="U541" s="22" t="str">
        <f ca="1">IFERROR(__xludf.DUMMYFUNCTION("""COMPUTED_VALUE"""),"7年")</f>
        <v>7年</v>
      </c>
      <c r="V541" s="22" t="str">
        <f ca="1">IFERROR(__xludf.DUMMYFUNCTION("""COMPUTED_VALUE"""),"7年")</f>
        <v>7年</v>
      </c>
      <c r="W541" s="12" t="str">
        <f ca="1">IFERROR(__xludf.DUMMYFUNCTION("""COMPUTED_VALUE"""),"(2/1-4/30)隨貨送好禮5選1:日立微波爐、哈根諾克電扇、飛利浦電鬍刀、日象電鍋、飛利浦黑晶爐")</f>
        <v>(2/1-4/30)隨貨送好禮5選1:日立微波爐、哈根諾克電扇、飛利浦電鬍刀、日象電鍋、飛利浦黑晶爐</v>
      </c>
      <c r="X541" s="12"/>
      <c r="Y541" s="12">
        <f ca="1">IFERROR(__xludf.DUMMYFUNCTION("""COMPUTED_VALUE"""),4.1)</f>
        <v>4.0999999999999996</v>
      </c>
      <c r="Z541" s="14" t="str">
        <f ca="1">IFERROR(__xludf.DUMMYFUNCTION("""COMPUTED_VALUE"""),"2000")</f>
        <v>2000</v>
      </c>
      <c r="AA541" s="15" t="str">
        <f ca="1">IFERROR(__xludf.DUMMYFUNCTION("""COMPUTED_VALUE"""),"*日本同步變頻科技 :日本製壓縮機、日本制御技術、全直流變頻
*凍結洗淨2.0 :高性能CPU 一級省電、創新節電科技
*PM0.1去除率99.9% :機體防霉II 五段自選、3D立體氣流")</f>
        <v>*日本同步變頻科技 :日本製壓縮機、日本制御技術、全直流變頻
*凍結洗淨2.0 :高性能CPU 一級省電、創新節電科技
*PM0.1去除率99.9% :機體防霉II 五段自選、3D立體氣流</v>
      </c>
    </row>
    <row r="542" spans="1:27" ht="19.5" customHeight="1">
      <c r="A542" s="12" t="str">
        <f ca="1">IFERROR(__xludf.DUMMYFUNCTION("""COMPUTED_VALUE"""),"空調")</f>
        <v>空調</v>
      </c>
      <c r="B542" s="12" t="str">
        <f ca="1">IFERROR(__xludf.DUMMYFUNCTION("""COMPUTED_VALUE"""),"大同")</f>
        <v>大同</v>
      </c>
      <c r="C542" s="12" t="str">
        <f ca="1">IFERROR(__xludf.DUMMYFUNCTION("""COMPUTED_VALUE"""),"DAIKIN")</f>
        <v>DAIKIN</v>
      </c>
      <c r="D542" s="12" t="str">
        <f ca="1">IFERROR(__xludf.DUMMYFUNCTION("""COMPUTED_VALUE"""),"大金R32變頻冷暖新大關系列一對一分離式冷氣RXV22UVLT/FTXV22UVLT")</f>
        <v>大金R32變頻冷暖新大關系列一對一分離式冷氣RXV22UVLT/FTXV22UVLT</v>
      </c>
      <c r="E542" s="12" t="str">
        <f ca="1">IFERROR(__xludf.DUMMYFUNCTION("""COMPUTED_VALUE"""),"RXV22UVLT/FTXV22UVLT")</f>
        <v>RXV22UVLT/FTXV22UVLT</v>
      </c>
      <c r="F542" s="12">
        <f ca="1">IFERROR(__xludf.DUMMYFUNCTION("""COMPUTED_VALUE"""),51089320)</f>
        <v>51089320</v>
      </c>
      <c r="G542" s="12" t="str">
        <f ca="1">IFERROR(__xludf.DUMMYFUNCTION("""COMPUTED_VALUE"""),"IGEM021H")</f>
        <v>IGEM021H</v>
      </c>
      <c r="H542" s="12">
        <f ca="1">IFERROR(__xludf.DUMMYFUNCTION("""COMPUTED_VALUE"""),34680)</f>
        <v>34680</v>
      </c>
      <c r="I542" s="14">
        <f ca="1">IFERROR(__xludf.DUMMYFUNCTION("""COMPUTED_VALUE"""),33000)</f>
        <v>33000</v>
      </c>
      <c r="J542" s="16">
        <f ca="1">IFERROR(__xludf.DUMMYFUNCTION("""COMPUTED_VALUE"""),45658)</f>
        <v>45658</v>
      </c>
      <c r="K542" s="12" t="str">
        <f ca="1">IFERROR(__xludf.DUMMYFUNCTION("""COMPUTED_VALUE"""),"回價")</f>
        <v>回價</v>
      </c>
      <c r="L542" s="12" t="str">
        <f ca="1">IFERROR(__xludf.DUMMYFUNCTION("""COMPUTED_VALUE"""),"上架中")</f>
        <v>上架中</v>
      </c>
      <c r="M542" s="12" t="str">
        <f ca="1">IFERROR(__xludf.DUMMYFUNCTION("""COMPUTED_VALUE"""),"2025/1/1起回價並調整售價、2024/10/1-12/31現折2000、8/1回價、3/1-7/31現折2000、2024/2/20調漲重新上架銷售，2022/10/1-12/31現折2000，售價已折。5/10重新上架(優惠價已折)。3/11後暫時關檔，預計4月中旬新價格重新上架銷售。2021/3/1-7/31短促。2021/1/1新機上架")</f>
        <v>2025/1/1起回價並調整售價、2024/10/1-12/31現折2000、8/1回價、3/1-7/31現折2000、2024/2/20調漲重新上架銷售，2022/10/1-12/31現折2000，售價已折。5/10重新上架(優惠價已折)。3/11後暫時關檔，預計4月中旬新價格重新上架銷售。2021/3/1-7/31短促。2021/1/1新機上架</v>
      </c>
      <c r="N542" s="12" t="str">
        <f ca="1">IFERROR(__xludf.DUMMYFUNCTION("""COMPUTED_VALUE"""),"一對一變頻冷暖")</f>
        <v>一對一變頻冷暖</v>
      </c>
      <c r="O542" s="12" t="str">
        <f ca="1">IFERROR(__xludf.DUMMYFUNCTION("""COMPUTED_VALUE"""),"白")</f>
        <v>白</v>
      </c>
      <c r="P542" s="12" t="str">
        <f ca="1">IFERROR(__xludf.DUMMYFUNCTION("""COMPUTED_VALUE"""),"2-4坪")</f>
        <v>2-4坪</v>
      </c>
      <c r="Q542" s="23" t="str">
        <f ca="1">IFERROR(__xludf.DUMMYFUNCTION("""COMPUTED_VALUE"""),"室外機:550*675*284mm 室內機:285*770*226mm")</f>
        <v>室外機:550*675*284mm 室內機:285*770*226mm</v>
      </c>
      <c r="R542" s="12" t="str">
        <f ca="1">IFERROR(__xludf.DUMMYFUNCTION("""COMPUTED_VALUE"""),"泰國")</f>
        <v>泰國</v>
      </c>
      <c r="S542" s="22" t="str">
        <f ca="1">IFERROR(__xludf.DUMMYFUNCTION("""COMPUTED_VALUE"""),"V")</f>
        <v>V</v>
      </c>
      <c r="T542" s="13" t="str">
        <f ca="1">IFERROR(__xludf.DUMMYFUNCTION("""COMPUTED_VALUE"""),"1級能效")</f>
        <v>1級能效</v>
      </c>
      <c r="U542" s="22" t="str">
        <f ca="1">IFERROR(__xludf.DUMMYFUNCTION("""COMPUTED_VALUE"""),"7年")</f>
        <v>7年</v>
      </c>
      <c r="V542" s="22" t="str">
        <f ca="1">IFERROR(__xludf.DUMMYFUNCTION("""COMPUTED_VALUE"""),"10年")</f>
        <v>10年</v>
      </c>
      <c r="W542" s="12"/>
      <c r="X542" s="12"/>
      <c r="Y542" s="12">
        <f ca="1">IFERROR(__xludf.DUMMYFUNCTION("""COMPUTED_VALUE"""),2.2)</f>
        <v>2.2000000000000002</v>
      </c>
      <c r="Z542" s="14">
        <f ca="1">IFERROR(__xludf.DUMMYFUNCTION("""COMPUTED_VALUE"""),1600)</f>
        <v>1600</v>
      </c>
      <c r="AA542" s="15" t="str">
        <f ca="1">IFERROR(__xludf.DUMMYFUNCTION("""COMPUTED_VALUE"""),"*環保冷媒R32*除臭清淨濾網*室內機/室外機靜音運轉*智慧眼*溫、濕度智慧雙控")</f>
        <v>*環保冷媒R32*除臭清淨濾網*室內機/室外機靜音運轉*智慧眼*溫、濕度智慧雙控</v>
      </c>
    </row>
    <row r="543" spans="1:27" ht="19.5" customHeight="1">
      <c r="A543" s="12" t="str">
        <f ca="1">IFERROR(__xludf.DUMMYFUNCTION("""COMPUTED_VALUE"""),"空調")</f>
        <v>空調</v>
      </c>
      <c r="B543" s="12" t="str">
        <f ca="1">IFERROR(__xludf.DUMMYFUNCTION("""COMPUTED_VALUE"""),"大同")</f>
        <v>大同</v>
      </c>
      <c r="C543" s="12" t="str">
        <f ca="1">IFERROR(__xludf.DUMMYFUNCTION("""COMPUTED_VALUE"""),"DAIKIN")</f>
        <v>DAIKIN</v>
      </c>
      <c r="D543" s="12" t="str">
        <f ca="1">IFERROR(__xludf.DUMMYFUNCTION("""COMPUTED_VALUE"""),"大金R32變頻冷暖新大關系列二級能效一對一分離式冷氣RXV28UVLT/FTXV28UVLT")</f>
        <v>大金R32變頻冷暖新大關系列二級能效一對一分離式冷氣RXV28UVLT/FTXV28UVLT</v>
      </c>
      <c r="E543" s="12" t="str">
        <f ca="1">IFERROR(__xludf.DUMMYFUNCTION("""COMPUTED_VALUE"""),"RXV28UVLT/FTXV28UVLT")</f>
        <v>RXV28UVLT/FTXV28UVLT</v>
      </c>
      <c r="F543" s="12">
        <f ca="1">IFERROR(__xludf.DUMMYFUNCTION("""COMPUTED_VALUE"""),51089321)</f>
        <v>51089321</v>
      </c>
      <c r="G543" s="12" t="str">
        <f ca="1">IFERROR(__xludf.DUMMYFUNCTION("""COMPUTED_VALUE"""),"IGEM021I")</f>
        <v>IGEM021I</v>
      </c>
      <c r="H543" s="12">
        <f ca="1">IFERROR(__xludf.DUMMYFUNCTION("""COMPUTED_VALUE"""),39130)</f>
        <v>39130</v>
      </c>
      <c r="I543" s="14">
        <f ca="1">IFERROR(__xludf.DUMMYFUNCTION("""COMPUTED_VALUE"""),37300)</f>
        <v>37300</v>
      </c>
      <c r="J543" s="16">
        <f ca="1">IFERROR(__xludf.DUMMYFUNCTION("""COMPUTED_VALUE"""),45658)</f>
        <v>45658</v>
      </c>
      <c r="K543" s="12" t="str">
        <f ca="1">IFERROR(__xludf.DUMMYFUNCTION("""COMPUTED_VALUE"""),"短促")</f>
        <v>短促</v>
      </c>
      <c r="L543" s="12" t="str">
        <f ca="1">IFERROR(__xludf.DUMMYFUNCTION("""COMPUTED_VALUE"""),"上架中")</f>
        <v>上架中</v>
      </c>
      <c r="M543" s="12" t="str">
        <f ca="1">IFERROR(__xludf.DUMMYFUNCTION("""COMPUTED_VALUE"""),"2025/1/1起回價並調整售價、2024/10/1-12/31現折2000、8/1回價、3/1-7/31現折2000、2024/2/20調漲重新上架銷售，2022/10/1-12/31現折2000，售價已折。5/10重新上架(優惠價已折)。3/11後暫時關檔，預計4月中旬新價格重新上架銷售。2021/3/1-7/31短促。2021/1/1新機上架")</f>
        <v>2025/1/1起回價並調整售價、2024/10/1-12/31現折2000、8/1回價、3/1-7/31現折2000、2024/2/20調漲重新上架銷售，2022/10/1-12/31現折2000，售價已折。5/10重新上架(優惠價已折)。3/11後暫時關檔，預計4月中旬新價格重新上架銷售。2021/3/1-7/31短促。2021/1/1新機上架</v>
      </c>
      <c r="N543" s="12" t="str">
        <f ca="1">IFERROR(__xludf.DUMMYFUNCTION("""COMPUTED_VALUE"""),"一對一變頻冷暖")</f>
        <v>一對一變頻冷暖</v>
      </c>
      <c r="O543" s="12" t="str">
        <f ca="1">IFERROR(__xludf.DUMMYFUNCTION("""COMPUTED_VALUE"""),"白")</f>
        <v>白</v>
      </c>
      <c r="P543" s="12" t="str">
        <f ca="1">IFERROR(__xludf.DUMMYFUNCTION("""COMPUTED_VALUE"""),"3-5坪")</f>
        <v>3-5坪</v>
      </c>
      <c r="Q543" s="23" t="str">
        <f ca="1">IFERROR(__xludf.DUMMYFUNCTION("""COMPUTED_VALUE"""),"室外機:550*675*284mm 室內機:285*770*226mm")</f>
        <v>室外機:550*675*284mm 室內機:285*770*226mm</v>
      </c>
      <c r="R543" s="12" t="str">
        <f ca="1">IFERROR(__xludf.DUMMYFUNCTION("""COMPUTED_VALUE"""),"泰國")</f>
        <v>泰國</v>
      </c>
      <c r="S543" s="22" t="str">
        <f ca="1">IFERROR(__xludf.DUMMYFUNCTION("""COMPUTED_VALUE"""),"V")</f>
        <v>V</v>
      </c>
      <c r="T543" s="13" t="str">
        <f ca="1">IFERROR(__xludf.DUMMYFUNCTION("""COMPUTED_VALUE"""),"2級能效")</f>
        <v>2級能效</v>
      </c>
      <c r="U543" s="22" t="str">
        <f ca="1">IFERROR(__xludf.DUMMYFUNCTION("""COMPUTED_VALUE"""),"7年")</f>
        <v>7年</v>
      </c>
      <c r="V543" s="22" t="str">
        <f ca="1">IFERROR(__xludf.DUMMYFUNCTION("""COMPUTED_VALUE"""),"10年")</f>
        <v>10年</v>
      </c>
      <c r="W543" s="12" t="str">
        <f ca="1">IFERROR(__xludf.DUMMYFUNCTION("""COMPUTED_VALUE"""),"(即日起~2/28)隨貨送 DAIKIN MC30YSCT9 7坪 閃流空氣清淨機")</f>
        <v>(即日起~2/28)隨貨送 DAIKIN MC30YSCT9 7坪 閃流空氣清淨機</v>
      </c>
      <c r="X543" s="12"/>
      <c r="Y543" s="12">
        <f ca="1">IFERROR(__xludf.DUMMYFUNCTION("""COMPUTED_VALUE"""),2.8)</f>
        <v>2.8</v>
      </c>
      <c r="Z543" s="14">
        <f ca="1">IFERROR(__xludf.DUMMYFUNCTION("""COMPUTED_VALUE"""),1600)</f>
        <v>1600</v>
      </c>
      <c r="AA543" s="15" t="str">
        <f ca="1">IFERROR(__xludf.DUMMYFUNCTION("""COMPUTED_VALUE"""),"*環保冷媒R32*除臭清淨濾網*室內機/室外機靜音運轉*智慧眼*溫、濕度智慧雙控")</f>
        <v>*環保冷媒R32*除臭清淨濾網*室內機/室外機靜音運轉*智慧眼*溫、濕度智慧雙控</v>
      </c>
    </row>
    <row r="544" spans="1:27" ht="19.5" customHeight="1">
      <c r="A544" s="12" t="str">
        <f ca="1">IFERROR(__xludf.DUMMYFUNCTION("""COMPUTED_VALUE"""),"空調")</f>
        <v>空調</v>
      </c>
      <c r="B544" s="12" t="str">
        <f ca="1">IFERROR(__xludf.DUMMYFUNCTION("""COMPUTED_VALUE"""),"大同")</f>
        <v>大同</v>
      </c>
      <c r="C544" s="12" t="str">
        <f ca="1">IFERROR(__xludf.DUMMYFUNCTION("""COMPUTED_VALUE"""),"DAIKIN")</f>
        <v>DAIKIN</v>
      </c>
      <c r="D544" s="12" t="str">
        <f ca="1">IFERROR(__xludf.DUMMYFUNCTION("""COMPUTED_VALUE"""),"大金R32變頻冷暖新大關系列一對一分離式冷氣RXV36UVLT/FTXV36UVLT")</f>
        <v>大金R32變頻冷暖新大關系列一對一分離式冷氣RXV36UVLT/FTXV36UVLT</v>
      </c>
      <c r="E544" s="12" t="str">
        <f ca="1">IFERROR(__xludf.DUMMYFUNCTION("""COMPUTED_VALUE"""),"RXV36UVLT/FTXV36UVLT")</f>
        <v>RXV36UVLT/FTXV36UVLT</v>
      </c>
      <c r="F544" s="12">
        <f ca="1">IFERROR(__xludf.DUMMYFUNCTION("""COMPUTED_VALUE"""),51089322)</f>
        <v>51089322</v>
      </c>
      <c r="G544" s="12" t="str">
        <f ca="1">IFERROR(__xludf.DUMMYFUNCTION("""COMPUTED_VALUE"""),"IGEM021J")</f>
        <v>IGEM021J</v>
      </c>
      <c r="H544" s="12">
        <f ca="1">IFERROR(__xludf.DUMMYFUNCTION("""COMPUTED_VALUE"""),46430)</f>
        <v>46430</v>
      </c>
      <c r="I544" s="14">
        <f ca="1">IFERROR(__xludf.DUMMYFUNCTION("""COMPUTED_VALUE"""),44200)</f>
        <v>44200</v>
      </c>
      <c r="J544" s="16">
        <f ca="1">IFERROR(__xludf.DUMMYFUNCTION("""COMPUTED_VALUE"""),45658)</f>
        <v>45658</v>
      </c>
      <c r="K544" s="12" t="str">
        <f ca="1">IFERROR(__xludf.DUMMYFUNCTION("""COMPUTED_VALUE"""),"短促")</f>
        <v>短促</v>
      </c>
      <c r="L544" s="12" t="str">
        <f ca="1">IFERROR(__xludf.DUMMYFUNCTION("""COMPUTED_VALUE"""),"上架中")</f>
        <v>上架中</v>
      </c>
      <c r="M544" s="12" t="str">
        <f ca="1">IFERROR(__xludf.DUMMYFUNCTION("""COMPUTED_VALUE"""),"2025/1/1起回價並調整售價、2024/10/1-12/31現折2000、8/1回價、3/1-7/31現折2000、2024/2/20調漲重新上架銷售，2022/10/1-12/31現折2000，售價已折。5/10重新上架(優惠價已折)。3/11後暫時關檔，預計4月中旬新價格重新上架銷售。2021/3/1-7/31短促。2021/1/1新機上架")</f>
        <v>2025/1/1起回價並調整售價、2024/10/1-12/31現折2000、8/1回價、3/1-7/31現折2000、2024/2/20調漲重新上架銷售，2022/10/1-12/31現折2000，售價已折。5/10重新上架(優惠價已折)。3/11後暫時關檔，預計4月中旬新價格重新上架銷售。2021/3/1-7/31短促。2021/1/1新機上架</v>
      </c>
      <c r="N544" s="12" t="str">
        <f ca="1">IFERROR(__xludf.DUMMYFUNCTION("""COMPUTED_VALUE"""),"一對一變頻冷暖")</f>
        <v>一對一變頻冷暖</v>
      </c>
      <c r="O544" s="12" t="str">
        <f ca="1">IFERROR(__xludf.DUMMYFUNCTION("""COMPUTED_VALUE"""),"白")</f>
        <v>白</v>
      </c>
      <c r="P544" s="12" t="str">
        <f ca="1">IFERROR(__xludf.DUMMYFUNCTION("""COMPUTED_VALUE"""),"5-6坪")</f>
        <v>5-6坪</v>
      </c>
      <c r="Q544" s="23" t="str">
        <f ca="1">IFERROR(__xludf.DUMMYFUNCTION("""COMPUTED_VALUE"""),"室外機:595*845*300mm 室內機:285*770*226mm")</f>
        <v>室外機:595*845*300mm 室內機:285*770*226mm</v>
      </c>
      <c r="R544" s="12" t="str">
        <f ca="1">IFERROR(__xludf.DUMMYFUNCTION("""COMPUTED_VALUE"""),"泰國")</f>
        <v>泰國</v>
      </c>
      <c r="S544" s="22" t="str">
        <f ca="1">IFERROR(__xludf.DUMMYFUNCTION("""COMPUTED_VALUE"""),"V")</f>
        <v>V</v>
      </c>
      <c r="T544" s="13" t="str">
        <f ca="1">IFERROR(__xludf.DUMMYFUNCTION("""COMPUTED_VALUE"""),"1級能效")</f>
        <v>1級能效</v>
      </c>
      <c r="U544" s="22" t="str">
        <f ca="1">IFERROR(__xludf.DUMMYFUNCTION("""COMPUTED_VALUE"""),"7年")</f>
        <v>7年</v>
      </c>
      <c r="V544" s="22" t="str">
        <f ca="1">IFERROR(__xludf.DUMMYFUNCTION("""COMPUTED_VALUE"""),"10年")</f>
        <v>10年</v>
      </c>
      <c r="W544" s="12"/>
      <c r="X544" s="12"/>
      <c r="Y544" s="12">
        <f ca="1">IFERROR(__xludf.DUMMYFUNCTION("""COMPUTED_VALUE"""),3.5)</f>
        <v>3.5</v>
      </c>
      <c r="Z544" s="14">
        <f ca="1">IFERROR(__xludf.DUMMYFUNCTION("""COMPUTED_VALUE"""),1600)</f>
        <v>1600</v>
      </c>
      <c r="AA544" s="15" t="str">
        <f ca="1">IFERROR(__xludf.DUMMYFUNCTION("""COMPUTED_VALUE"""),"*環保冷媒R32*除臭清淨濾網*室內機/室外機靜音運轉*智慧眼*溫、濕度智慧雙控")</f>
        <v>*環保冷媒R32*除臭清淨濾網*室內機/室外機靜音運轉*智慧眼*溫、濕度智慧雙控</v>
      </c>
    </row>
    <row r="545" spans="1:27" ht="19.5" customHeight="1">
      <c r="A545" s="12" t="str">
        <f ca="1">IFERROR(__xludf.DUMMYFUNCTION("""COMPUTED_VALUE"""),"空調")</f>
        <v>空調</v>
      </c>
      <c r="B545" s="12" t="str">
        <f ca="1">IFERROR(__xludf.DUMMYFUNCTION("""COMPUTED_VALUE"""),"大同")</f>
        <v>大同</v>
      </c>
      <c r="C545" s="12" t="str">
        <f ca="1">IFERROR(__xludf.DUMMYFUNCTION("""COMPUTED_VALUE"""),"DAIKIN")</f>
        <v>DAIKIN</v>
      </c>
      <c r="D545" s="12" t="str">
        <f ca="1">IFERROR(__xludf.DUMMYFUNCTION("""COMPUTED_VALUE"""),"大金R32變頻冷暖新大關系列一對一分離式冷氣RXV41UVLT/FTXV41UVLT")</f>
        <v>大金R32變頻冷暖新大關系列一對一分離式冷氣RXV41UVLT/FTXV41UVLT</v>
      </c>
      <c r="E545" s="12" t="str">
        <f ca="1">IFERROR(__xludf.DUMMYFUNCTION("""COMPUTED_VALUE"""),"RXV41UVLT/FTXV41UVLT")</f>
        <v>RXV41UVLT/FTXV41UVLT</v>
      </c>
      <c r="F545" s="12">
        <f ca="1">IFERROR(__xludf.DUMMYFUNCTION("""COMPUTED_VALUE"""),51089323)</f>
        <v>51089323</v>
      </c>
      <c r="G545" s="12" t="str">
        <f ca="1">IFERROR(__xludf.DUMMYFUNCTION("""COMPUTED_VALUE"""),"IGEM021K")</f>
        <v>IGEM021K</v>
      </c>
      <c r="H545" s="12">
        <f ca="1">IFERROR(__xludf.DUMMYFUNCTION("""COMPUTED_VALUE"""),49530)</f>
        <v>49530</v>
      </c>
      <c r="I545" s="14">
        <f ca="1">IFERROR(__xludf.DUMMYFUNCTION("""COMPUTED_VALUE"""),47500)</f>
        <v>47500</v>
      </c>
      <c r="J545" s="16">
        <f ca="1">IFERROR(__xludf.DUMMYFUNCTION("""COMPUTED_VALUE"""),45658)</f>
        <v>45658</v>
      </c>
      <c r="K545" s="12" t="str">
        <f ca="1">IFERROR(__xludf.DUMMYFUNCTION("""COMPUTED_VALUE"""),"短促")</f>
        <v>短促</v>
      </c>
      <c r="L545" s="12" t="str">
        <f ca="1">IFERROR(__xludf.DUMMYFUNCTION("""COMPUTED_VALUE"""),"上架中")</f>
        <v>上架中</v>
      </c>
      <c r="M545" s="12" t="str">
        <f ca="1">IFERROR(__xludf.DUMMYFUNCTION("""COMPUTED_VALUE"""),"2025/1/1起回價並調整售價、2024/10/1-12/31現折2000、8/1回價、3/1-7/31現折2000、2024/2/20調漲重新上架銷售，2022/10/1-12/31現折2000，售價已折。5/10重新上架(優惠價已折)。3/11後暫時關檔，預計4月中旬新價格重新上架銷售。2021/3/1-7/31短促。2021/1/1新機上架")</f>
        <v>2025/1/1起回價並調整售價、2024/10/1-12/31現折2000、8/1回價、3/1-7/31現折2000、2024/2/20調漲重新上架銷售，2022/10/1-12/31現折2000，售價已折。5/10重新上架(優惠價已折)。3/11後暫時關檔，預計4月中旬新價格重新上架銷售。2021/3/1-7/31短促。2021/1/1新機上架</v>
      </c>
      <c r="N545" s="12" t="str">
        <f ca="1">IFERROR(__xludf.DUMMYFUNCTION("""COMPUTED_VALUE"""),"一對一變頻冷暖")</f>
        <v>一對一變頻冷暖</v>
      </c>
      <c r="O545" s="12" t="str">
        <f ca="1">IFERROR(__xludf.DUMMYFUNCTION("""COMPUTED_VALUE"""),"白")</f>
        <v>白</v>
      </c>
      <c r="P545" s="12" t="str">
        <f ca="1">IFERROR(__xludf.DUMMYFUNCTION("""COMPUTED_VALUE"""),"6-7坪")</f>
        <v>6-7坪</v>
      </c>
      <c r="Q545" s="23" t="str">
        <f ca="1">IFERROR(__xludf.DUMMYFUNCTION("""COMPUTED_VALUE"""),"室外機:595*930*350mm 室內機:295*990*266mm")</f>
        <v>室外機:595*930*350mm 室內機:295*990*266mm</v>
      </c>
      <c r="R545" s="12" t="str">
        <f ca="1">IFERROR(__xludf.DUMMYFUNCTION("""COMPUTED_VALUE"""),"泰國")</f>
        <v>泰國</v>
      </c>
      <c r="S545" s="22" t="str">
        <f ca="1">IFERROR(__xludf.DUMMYFUNCTION("""COMPUTED_VALUE"""),"V")</f>
        <v>V</v>
      </c>
      <c r="T545" s="13" t="str">
        <f ca="1">IFERROR(__xludf.DUMMYFUNCTION("""COMPUTED_VALUE"""),"1級能效")</f>
        <v>1級能效</v>
      </c>
      <c r="U545" s="22" t="str">
        <f ca="1">IFERROR(__xludf.DUMMYFUNCTION("""COMPUTED_VALUE"""),"7年")</f>
        <v>7年</v>
      </c>
      <c r="V545" s="22" t="str">
        <f ca="1">IFERROR(__xludf.DUMMYFUNCTION("""COMPUTED_VALUE"""),"10年")</f>
        <v>10年</v>
      </c>
      <c r="W545" s="12"/>
      <c r="X545" s="12"/>
      <c r="Y545" s="12">
        <f ca="1">IFERROR(__xludf.DUMMYFUNCTION("""COMPUTED_VALUE"""),4.1)</f>
        <v>4.0999999999999996</v>
      </c>
      <c r="Z545" s="14" t="str">
        <f ca="1">IFERROR(__xludf.DUMMYFUNCTION("""COMPUTED_VALUE"""),"2000")</f>
        <v>2000</v>
      </c>
      <c r="AA545" s="15" t="str">
        <f ca="1">IFERROR(__xludf.DUMMYFUNCTION("""COMPUTED_VALUE"""),"*環保冷媒R32*除臭清淨濾網*室內機/室外機靜音運轉*智慧眼*溫、濕度智慧雙控")</f>
        <v>*環保冷媒R32*除臭清淨濾網*室內機/室外機靜音運轉*智慧眼*溫、濕度智慧雙控</v>
      </c>
    </row>
    <row r="546" spans="1:27" ht="19.5" customHeight="1">
      <c r="A546" s="12" t="str">
        <f ca="1">IFERROR(__xludf.DUMMYFUNCTION("""COMPUTED_VALUE"""),"空調")</f>
        <v>空調</v>
      </c>
      <c r="B546" s="12" t="str">
        <f ca="1">IFERROR(__xludf.DUMMYFUNCTION("""COMPUTED_VALUE"""),"大同")</f>
        <v>大同</v>
      </c>
      <c r="C546" s="12" t="str">
        <f ca="1">IFERROR(__xludf.DUMMYFUNCTION("""COMPUTED_VALUE"""),"DAIKIN")</f>
        <v>DAIKIN</v>
      </c>
      <c r="D546" s="12" t="str">
        <f ca="1">IFERROR(__xludf.DUMMYFUNCTION("""COMPUTED_VALUE"""),"大金R32變頻冷暖新大關系列一對一分離式冷氣RXV50UVLT/FTXV50UVLT")</f>
        <v>大金R32變頻冷暖新大關系列一對一分離式冷氣RXV50UVLT/FTXV50UVLT</v>
      </c>
      <c r="E546" s="12" t="str">
        <f ca="1">IFERROR(__xludf.DUMMYFUNCTION("""COMPUTED_VALUE"""),"RXV50UVLT/FTXV50UVLT")</f>
        <v>RXV50UVLT/FTXV50UVLT</v>
      </c>
      <c r="F546" s="12">
        <f ca="1">IFERROR(__xludf.DUMMYFUNCTION("""COMPUTED_VALUE"""),51089324)</f>
        <v>51089324</v>
      </c>
      <c r="G546" s="12" t="str">
        <f ca="1">IFERROR(__xludf.DUMMYFUNCTION("""COMPUTED_VALUE"""),"IGEM021L")</f>
        <v>IGEM021L</v>
      </c>
      <c r="H546" s="12">
        <f ca="1">IFERROR(__xludf.DUMMYFUNCTION("""COMPUTED_VALUE"""),55930)</f>
        <v>55930</v>
      </c>
      <c r="I546" s="14">
        <f ca="1">IFERROR(__xludf.DUMMYFUNCTION("""COMPUTED_VALUE"""),53600)</f>
        <v>53600</v>
      </c>
      <c r="J546" s="16">
        <f ca="1">IFERROR(__xludf.DUMMYFUNCTION("""COMPUTED_VALUE"""),45658)</f>
        <v>45658</v>
      </c>
      <c r="K546" s="12" t="str">
        <f ca="1">IFERROR(__xludf.DUMMYFUNCTION("""COMPUTED_VALUE"""),"短促")</f>
        <v>短促</v>
      </c>
      <c r="L546" s="12" t="str">
        <f ca="1">IFERROR(__xludf.DUMMYFUNCTION("""COMPUTED_VALUE"""),"上架中")</f>
        <v>上架中</v>
      </c>
      <c r="M546" s="12" t="str">
        <f ca="1">IFERROR(__xludf.DUMMYFUNCTION("""COMPUTED_VALUE"""),"2025/1/1起回價並調整售價、2024/10/1-12/31現折2000、8/1回價、3/1-7/31現折2000、2024/2/20調漲重新上架銷售，2022/10/1-12/31現折2000，售價已折。/10重新上架(優惠價已折)。3/11後暫時關檔，預計4月中旬新價格重新上架銷售。2021/3/1-7/31短促。2021/1/1新機上架")</f>
        <v>2025/1/1起回價並調整售價、2024/10/1-12/31現折2000、8/1回價、3/1-7/31現折2000、2024/2/20調漲重新上架銷售，2022/10/1-12/31現折2000，售價已折。/10重新上架(優惠價已折)。3/11後暫時關檔，預計4月中旬新價格重新上架銷售。2021/3/1-7/31短促。2021/1/1新機上架</v>
      </c>
      <c r="N546" s="12" t="str">
        <f ca="1">IFERROR(__xludf.DUMMYFUNCTION("""COMPUTED_VALUE"""),"一對一變頻冷暖")</f>
        <v>一對一變頻冷暖</v>
      </c>
      <c r="O546" s="12" t="str">
        <f ca="1">IFERROR(__xludf.DUMMYFUNCTION("""COMPUTED_VALUE"""),"白")</f>
        <v>白</v>
      </c>
      <c r="P546" s="12" t="str">
        <f ca="1">IFERROR(__xludf.DUMMYFUNCTION("""COMPUTED_VALUE"""),"7-8坪")</f>
        <v>7-8坪</v>
      </c>
      <c r="Q546" s="23" t="str">
        <f ca="1">IFERROR(__xludf.DUMMYFUNCTION("""COMPUTED_VALUE"""),"室外機:595*930*350mm 室內機:295*990*266mm")</f>
        <v>室外機:595*930*350mm 室內機:295*990*266mm</v>
      </c>
      <c r="R546" s="12" t="str">
        <f ca="1">IFERROR(__xludf.DUMMYFUNCTION("""COMPUTED_VALUE"""),"泰國")</f>
        <v>泰國</v>
      </c>
      <c r="S546" s="22" t="str">
        <f ca="1">IFERROR(__xludf.DUMMYFUNCTION("""COMPUTED_VALUE"""),"V")</f>
        <v>V</v>
      </c>
      <c r="T546" s="13" t="str">
        <f ca="1">IFERROR(__xludf.DUMMYFUNCTION("""COMPUTED_VALUE"""),"1級能效")</f>
        <v>1級能效</v>
      </c>
      <c r="U546" s="22" t="str">
        <f ca="1">IFERROR(__xludf.DUMMYFUNCTION("""COMPUTED_VALUE"""),"7年")</f>
        <v>7年</v>
      </c>
      <c r="V546" s="22" t="str">
        <f ca="1">IFERROR(__xludf.DUMMYFUNCTION("""COMPUTED_VALUE"""),"10年")</f>
        <v>10年</v>
      </c>
      <c r="W546" s="12"/>
      <c r="X546" s="12"/>
      <c r="Y546" s="12">
        <f ca="1">IFERROR(__xludf.DUMMYFUNCTION("""COMPUTED_VALUE"""),5)</f>
        <v>5</v>
      </c>
      <c r="Z546" s="14" t="str">
        <f ca="1">IFERROR(__xludf.DUMMYFUNCTION("""COMPUTED_VALUE"""),"2000")</f>
        <v>2000</v>
      </c>
      <c r="AA546" s="15" t="str">
        <f ca="1">IFERROR(__xludf.DUMMYFUNCTION("""COMPUTED_VALUE"""),"*環保冷媒R32*除臭清淨濾網*室內機/室外機靜音運轉*智慧眼*溫、濕度智慧雙控")</f>
        <v>*環保冷媒R32*除臭清淨濾網*室內機/室外機靜音運轉*智慧眼*溫、濕度智慧雙控</v>
      </c>
    </row>
    <row r="547" spans="1:27" ht="19.5" customHeight="1">
      <c r="A547" s="12" t="str">
        <f ca="1">IFERROR(__xludf.DUMMYFUNCTION("""COMPUTED_VALUE"""),"空調")</f>
        <v>空調</v>
      </c>
      <c r="B547" s="12" t="str">
        <f ca="1">IFERROR(__xludf.DUMMYFUNCTION("""COMPUTED_VALUE"""),"大同")</f>
        <v>大同</v>
      </c>
      <c r="C547" s="12" t="str">
        <f ca="1">IFERROR(__xludf.DUMMYFUNCTION("""COMPUTED_VALUE"""),"DAIKIN")</f>
        <v>DAIKIN</v>
      </c>
      <c r="D547" s="12" t="str">
        <f ca="1">IFERROR(__xludf.DUMMYFUNCTION("""COMPUTED_VALUE"""),"大金R32變頻冷暖新大關系列一對一分離式冷氣RXV60UVLT/FTXV60UVLT")</f>
        <v>大金R32變頻冷暖新大關系列一對一分離式冷氣RXV60UVLT/FTXV60UVLT</v>
      </c>
      <c r="E547" s="12" t="str">
        <f ca="1">IFERROR(__xludf.DUMMYFUNCTION("""COMPUTED_VALUE"""),"RXV60UVLT/FTXV60UVLT")</f>
        <v>RXV60UVLT/FTXV60UVLT</v>
      </c>
      <c r="F547" s="12">
        <f ca="1">IFERROR(__xludf.DUMMYFUNCTION("""COMPUTED_VALUE"""),51089325)</f>
        <v>51089325</v>
      </c>
      <c r="G547" s="12" t="str">
        <f ca="1">IFERROR(__xludf.DUMMYFUNCTION("""COMPUTED_VALUE"""),"IGEM021M")</f>
        <v>IGEM021M</v>
      </c>
      <c r="H547" s="12">
        <f ca="1">IFERROR(__xludf.DUMMYFUNCTION("""COMPUTED_VALUE"""),64680)</f>
        <v>64680</v>
      </c>
      <c r="I547" s="14">
        <f ca="1">IFERROR(__xludf.DUMMYFUNCTION("""COMPUTED_VALUE"""),61800)</f>
        <v>61800</v>
      </c>
      <c r="J547" s="16">
        <f ca="1">IFERROR(__xludf.DUMMYFUNCTION("""COMPUTED_VALUE"""),45658)</f>
        <v>45658</v>
      </c>
      <c r="K547" s="12" t="str">
        <f ca="1">IFERROR(__xludf.DUMMYFUNCTION("""COMPUTED_VALUE"""),"短促")</f>
        <v>短促</v>
      </c>
      <c r="L547" s="12" t="str">
        <f ca="1">IFERROR(__xludf.DUMMYFUNCTION("""COMPUTED_VALUE"""),"上架中")</f>
        <v>上架中</v>
      </c>
      <c r="M547" s="12" t="str">
        <f ca="1">IFERROR(__xludf.DUMMYFUNCTION("""COMPUTED_VALUE"""),"2025/1/1起回價並調整售價、2024/10/1-12/31現折2000、8/1回價、3/1-7/31現折2000、2024/2/20調漲重新上架銷售，2022/10/1-12/31現折2000，售價已折。5/10重新上架(優惠價已折)。3/11後暫時關檔，預計4月中旬新價格重新上架銷售。2021/3/1-7/31短促。2021/1/1新機上架")</f>
        <v>2025/1/1起回價並調整售價、2024/10/1-12/31現折2000、8/1回價、3/1-7/31現折2000、2024/2/20調漲重新上架銷售，2022/10/1-12/31現折2000，售價已折。5/10重新上架(優惠價已折)。3/11後暫時關檔，預計4月中旬新價格重新上架銷售。2021/3/1-7/31短促。2021/1/1新機上架</v>
      </c>
      <c r="N547" s="12" t="str">
        <f ca="1">IFERROR(__xludf.DUMMYFUNCTION("""COMPUTED_VALUE"""),"一對一變頻冷暖")</f>
        <v>一對一變頻冷暖</v>
      </c>
      <c r="O547" s="12" t="str">
        <f ca="1">IFERROR(__xludf.DUMMYFUNCTION("""COMPUTED_VALUE"""),"白")</f>
        <v>白</v>
      </c>
      <c r="P547" s="12" t="str">
        <f ca="1">IFERROR(__xludf.DUMMYFUNCTION("""COMPUTED_VALUE"""),"8-10坪")</f>
        <v>8-10坪</v>
      </c>
      <c r="Q547" s="23" t="str">
        <f ca="1">IFERROR(__xludf.DUMMYFUNCTION("""COMPUTED_VALUE"""),"室外機:695*930*350mm 室內機:295*990*266mm")</f>
        <v>室外機:695*930*350mm 室內機:295*990*266mm</v>
      </c>
      <c r="R547" s="12" t="str">
        <f ca="1">IFERROR(__xludf.DUMMYFUNCTION("""COMPUTED_VALUE"""),"泰國")</f>
        <v>泰國</v>
      </c>
      <c r="S547" s="22" t="str">
        <f ca="1">IFERROR(__xludf.DUMMYFUNCTION("""COMPUTED_VALUE"""),"V")</f>
        <v>V</v>
      </c>
      <c r="T547" s="13" t="str">
        <f ca="1">IFERROR(__xludf.DUMMYFUNCTION("""COMPUTED_VALUE"""),"1級能效")</f>
        <v>1級能效</v>
      </c>
      <c r="U547" s="22" t="str">
        <f ca="1">IFERROR(__xludf.DUMMYFUNCTION("""COMPUTED_VALUE"""),"7年")</f>
        <v>7年</v>
      </c>
      <c r="V547" s="22" t="str">
        <f ca="1">IFERROR(__xludf.DUMMYFUNCTION("""COMPUTED_VALUE"""),"10年")</f>
        <v>10年</v>
      </c>
      <c r="W547" s="12"/>
      <c r="X547" s="12"/>
      <c r="Y547" s="12">
        <f ca="1">IFERROR(__xludf.DUMMYFUNCTION("""COMPUTED_VALUE"""),6)</f>
        <v>6</v>
      </c>
      <c r="Z547" s="14" t="str">
        <f ca="1">IFERROR(__xludf.DUMMYFUNCTION("""COMPUTED_VALUE"""),"2000")</f>
        <v>2000</v>
      </c>
      <c r="AA547" s="15" t="str">
        <f ca="1">IFERROR(__xludf.DUMMYFUNCTION("""COMPUTED_VALUE"""),"*環保冷媒R32*除臭清淨濾網*室內機/室外機靜音運轉*智慧眼*溫、濕度智慧雙控")</f>
        <v>*環保冷媒R32*除臭清淨濾網*室內機/室外機靜音運轉*智慧眼*溫、濕度智慧雙控</v>
      </c>
    </row>
    <row r="548" spans="1:27" ht="19.5" customHeight="1">
      <c r="A548" s="12" t="str">
        <f ca="1">IFERROR(__xludf.DUMMYFUNCTION("""COMPUTED_VALUE"""),"空調")</f>
        <v>空調</v>
      </c>
      <c r="B548" s="12" t="str">
        <f ca="1">IFERROR(__xludf.DUMMYFUNCTION("""COMPUTED_VALUE"""),"大同")</f>
        <v>大同</v>
      </c>
      <c r="C548" s="12" t="str">
        <f ca="1">IFERROR(__xludf.DUMMYFUNCTION("""COMPUTED_VALUE"""),"DAIKIN")</f>
        <v>DAIKIN</v>
      </c>
      <c r="D548" s="12" t="str">
        <f ca="1">IFERROR(__xludf.DUMMYFUNCTION("""COMPUTED_VALUE"""),"大金R32變頻冷暖新大關系列二級能效一對一分離式冷氣RXV71UVLT/FTXV71UVLT")</f>
        <v>大金R32變頻冷暖新大關系列二級能效一對一分離式冷氣RXV71UVLT/FTXV71UVLT</v>
      </c>
      <c r="E548" s="12" t="str">
        <f ca="1">IFERROR(__xludf.DUMMYFUNCTION("""COMPUTED_VALUE"""),"RXV71UVLT/FTXV71UVLT")</f>
        <v>RXV71UVLT/FTXV71UVLT</v>
      </c>
      <c r="F548" s="12">
        <f ca="1">IFERROR(__xludf.DUMMYFUNCTION("""COMPUTED_VALUE"""),51089326)</f>
        <v>51089326</v>
      </c>
      <c r="G548" s="12" t="str">
        <f ca="1">IFERROR(__xludf.DUMMYFUNCTION("""COMPUTED_VALUE"""),"IGEM021N")</f>
        <v>IGEM021N</v>
      </c>
      <c r="H548" s="12">
        <f ca="1">IFERROR(__xludf.DUMMYFUNCTION("""COMPUTED_VALUE"""),69980)</f>
        <v>69980</v>
      </c>
      <c r="I548" s="14">
        <f ca="1">IFERROR(__xludf.DUMMYFUNCTION("""COMPUTED_VALUE"""),66800)</f>
        <v>66800</v>
      </c>
      <c r="J548" s="16">
        <f ca="1">IFERROR(__xludf.DUMMYFUNCTION("""COMPUTED_VALUE"""),45658)</f>
        <v>45658</v>
      </c>
      <c r="K548" s="12" t="str">
        <f ca="1">IFERROR(__xludf.DUMMYFUNCTION("""COMPUTED_VALUE"""),"短促")</f>
        <v>短促</v>
      </c>
      <c r="L548" s="12" t="str">
        <f ca="1">IFERROR(__xludf.DUMMYFUNCTION("""COMPUTED_VALUE"""),"上架中")</f>
        <v>上架中</v>
      </c>
      <c r="M548" s="12" t="str">
        <f ca="1">IFERROR(__xludf.DUMMYFUNCTION("""COMPUTED_VALUE"""),"2025/1/1起回價並調整售價、2024/10/1-12/31現折2000、8/1回價、客訂商品請先聯繫廠商貨況。3/1-7/31現折2000、2024/2/20調漲重新上架銷售，2022/10/1-12/31現折2000，售價已折。5/10重新上架(優惠價已折)。3/11後暫時關檔，預計4月中旬新價格重新上架銷售。2021/3/1-7/31短促。2021/1/1新機上架")</f>
        <v>2025/1/1起回價並調整售價、2024/10/1-12/31現折2000、8/1回價、客訂商品請先聯繫廠商貨況。3/1-7/31現折2000、2024/2/20調漲重新上架銷售，2022/10/1-12/31現折2000，售價已折。5/10重新上架(優惠價已折)。3/11後暫時關檔，預計4月中旬新價格重新上架銷售。2021/3/1-7/31短促。2021/1/1新機上架</v>
      </c>
      <c r="N548" s="12" t="str">
        <f ca="1">IFERROR(__xludf.DUMMYFUNCTION("""COMPUTED_VALUE"""),"一對一變頻冷暖")</f>
        <v>一對一變頻冷暖</v>
      </c>
      <c r="O548" s="12" t="str">
        <f ca="1">IFERROR(__xludf.DUMMYFUNCTION("""COMPUTED_VALUE"""),"白")</f>
        <v>白</v>
      </c>
      <c r="P548" s="12" t="str">
        <f ca="1">IFERROR(__xludf.DUMMYFUNCTION("""COMPUTED_VALUE"""),"11-12坪")</f>
        <v>11-12坪</v>
      </c>
      <c r="Q548" s="23" t="str">
        <f ca="1">IFERROR(__xludf.DUMMYFUNCTION("""COMPUTED_VALUE"""),"室外機:695*930*350mm 室內機:295*990*266mm")</f>
        <v>室外機:695*930*350mm 室內機:295*990*266mm</v>
      </c>
      <c r="R548" s="12" t="str">
        <f ca="1">IFERROR(__xludf.DUMMYFUNCTION("""COMPUTED_VALUE"""),"泰國")</f>
        <v>泰國</v>
      </c>
      <c r="S548" s="22" t="str">
        <f ca="1">IFERROR(__xludf.DUMMYFUNCTION("""COMPUTED_VALUE"""),"V")</f>
        <v>V</v>
      </c>
      <c r="T548" s="13" t="str">
        <f ca="1">IFERROR(__xludf.DUMMYFUNCTION("""COMPUTED_VALUE"""),"2級能效")</f>
        <v>2級能效</v>
      </c>
      <c r="U548" s="22" t="str">
        <f ca="1">IFERROR(__xludf.DUMMYFUNCTION("""COMPUTED_VALUE"""),"7年")</f>
        <v>7年</v>
      </c>
      <c r="V548" s="22" t="str">
        <f ca="1">IFERROR(__xludf.DUMMYFUNCTION("""COMPUTED_VALUE"""),"10年")</f>
        <v>10年</v>
      </c>
      <c r="W548" s="12" t="str">
        <f ca="1">IFERROR(__xludf.DUMMYFUNCTION("""COMPUTED_VALUE"""),"(即日起~2/28)隨貨送 DAIKIN MC30YSCT9 7坪 閃流空氣清淨機")</f>
        <v>(即日起~2/28)隨貨送 DAIKIN MC30YSCT9 7坪 閃流空氣清淨機</v>
      </c>
      <c r="X548" s="12"/>
      <c r="Y548" s="12">
        <f ca="1">IFERROR(__xludf.DUMMYFUNCTION("""COMPUTED_VALUE"""),7)</f>
        <v>7</v>
      </c>
      <c r="Z548" s="14" t="str">
        <f ca="1">IFERROR(__xludf.DUMMYFUNCTION("""COMPUTED_VALUE"""),"2000")</f>
        <v>2000</v>
      </c>
      <c r="AA548" s="15" t="str">
        <f ca="1">IFERROR(__xludf.DUMMYFUNCTION("""COMPUTED_VALUE"""),"*環保冷媒R32*除臭清淨濾網*室內機/室外機靜音運轉*智慧眼*溫、濕度智慧雙控")</f>
        <v>*環保冷媒R32*除臭清淨濾網*室內機/室外機靜音運轉*智慧眼*溫、濕度智慧雙控</v>
      </c>
    </row>
    <row r="549" spans="1:27" ht="19.5" customHeight="1">
      <c r="A549" s="12" t="str">
        <f ca="1">IFERROR(__xludf.DUMMYFUNCTION("""COMPUTED_VALUE"""),"空調")</f>
        <v>空調</v>
      </c>
      <c r="B549" s="12" t="str">
        <f ca="1">IFERROR(__xludf.DUMMYFUNCTION("""COMPUTED_VALUE"""),"大同")</f>
        <v>大同</v>
      </c>
      <c r="C549" s="12" t="str">
        <f ca="1">IFERROR(__xludf.DUMMYFUNCTION("""COMPUTED_VALUE"""),"DAIKIN")</f>
        <v>DAIKIN</v>
      </c>
      <c r="D549" s="12" t="str">
        <f ca="1">IFERROR(__xludf.DUMMYFUNCTION("""COMPUTED_VALUE"""),"大金R32變頻冷暖經典V系列ㄧ對一分離式空調RHF20VAVLT/FTHF20VAVLT")</f>
        <v>大金R32變頻冷暖經典V系列ㄧ對一分離式空調RHF20VAVLT/FTHF20VAVLT</v>
      </c>
      <c r="E549" s="12" t="str">
        <f ca="1">IFERROR(__xludf.DUMMYFUNCTION("""COMPUTED_VALUE"""),"RHF20VAVLT/FTHF20VAVLT")</f>
        <v>RHF20VAVLT/FTHF20VAVLT</v>
      </c>
      <c r="F549" s="12">
        <f ca="1">IFERROR(__xludf.DUMMYFUNCTION("""COMPUTED_VALUE"""),51089366)</f>
        <v>51089366</v>
      </c>
      <c r="G549" s="12" t="str">
        <f ca="1">IFERROR(__xludf.DUMMYFUNCTION("""COMPUTED_VALUE"""),"IGEM038I")</f>
        <v>IGEM038I</v>
      </c>
      <c r="H549" s="13">
        <f ca="1">IFERROR(__xludf.DUMMYFUNCTION("""COMPUTED_VALUE"""),28980)</f>
        <v>28980</v>
      </c>
      <c r="I549" s="14">
        <f ca="1">IFERROR(__xludf.DUMMYFUNCTION("""COMPUTED_VALUE"""),27600)</f>
        <v>27600</v>
      </c>
      <c r="J549" s="16">
        <f ca="1">IFERROR(__xludf.DUMMYFUNCTION("""COMPUTED_VALUE"""),45573)</f>
        <v>45573</v>
      </c>
      <c r="K549" s="12" t="str">
        <f ca="1">IFERROR(__xludf.DUMMYFUNCTION("""COMPUTED_VALUE"""),"短促")</f>
        <v>短促</v>
      </c>
      <c r="L549" s="12" t="str">
        <f ca="1">IFERROR(__xludf.DUMMYFUNCTION("""COMPUTED_VALUE"""),"上架中")</f>
        <v>上架中</v>
      </c>
      <c r="M549" s="12" t="str">
        <f ca="1">IFERROR(__xludf.DUMMYFUNCTION("""COMPUTED_VALUE"""),"2025/1/1起回價並調整售價、12/31現折2000活動、024/8/1回價、4/2調漲銷售、3/12調漲暫缺、2024/3/1-7/31現折3000、11/14調漲暫缺貨，8/1回價，2/1-7/31原廠現折2000活動,2023/1/1起調漲")</f>
        <v>2025/1/1起回價並調整售價、12/31現折2000活動、024/8/1回價、4/2調漲銷售、3/12調漲暫缺、2024/3/1-7/31現折3000、11/14調漲暫缺貨，8/1回價，2/1-7/31原廠現折2000活動,2023/1/1起調漲</v>
      </c>
      <c r="N549" s="12" t="str">
        <f ca="1">IFERROR(__xludf.DUMMYFUNCTION("""COMPUTED_VALUE"""),"一對一變頻冷暖")</f>
        <v>一對一變頻冷暖</v>
      </c>
      <c r="O549" s="12" t="str">
        <f ca="1">IFERROR(__xludf.DUMMYFUNCTION("""COMPUTED_VALUE"""),"白")</f>
        <v>白</v>
      </c>
      <c r="P549" s="12" t="str">
        <f ca="1">IFERROR(__xludf.DUMMYFUNCTION("""COMPUTED_VALUE"""),"2-4坪")</f>
        <v>2-4坪</v>
      </c>
      <c r="Q549" s="23" t="str">
        <f ca="1">IFERROR(__xludf.DUMMYFUNCTION("""COMPUTED_VALUE"""),"室外機:550*675*284mm 室內機:285*770*242mm")</f>
        <v>室外機:550*675*284mm 室內機:285*770*242mm</v>
      </c>
      <c r="R549" s="12" t="str">
        <f ca="1">IFERROR(__xludf.DUMMYFUNCTION("""COMPUTED_VALUE"""),"泰國")</f>
        <v>泰國</v>
      </c>
      <c r="S549" s="22" t="str">
        <f ca="1">IFERROR(__xludf.DUMMYFUNCTION("""COMPUTED_VALUE"""),"V")</f>
        <v>V</v>
      </c>
      <c r="T549" s="13" t="str">
        <f ca="1">IFERROR(__xludf.DUMMYFUNCTION("""COMPUTED_VALUE"""),"1級能效")</f>
        <v>1級能效</v>
      </c>
      <c r="U549" s="22" t="str">
        <f ca="1">IFERROR(__xludf.DUMMYFUNCTION("""COMPUTED_VALUE"""),"7年")</f>
        <v>7年</v>
      </c>
      <c r="V549" s="22" t="str">
        <f ca="1">IFERROR(__xludf.DUMMYFUNCTION("""COMPUTED_VALUE"""),"10年")</f>
        <v>10年</v>
      </c>
      <c r="W549" s="12"/>
      <c r="X549" s="12"/>
      <c r="Y549" s="12">
        <f ca="1">IFERROR(__xludf.DUMMYFUNCTION("""COMPUTED_VALUE"""),2.2)</f>
        <v>2.2000000000000002</v>
      </c>
      <c r="Z549" s="14">
        <f ca="1">IFERROR(__xludf.DUMMYFUNCTION("""COMPUTED_VALUE"""),1600)</f>
        <v>1600</v>
      </c>
      <c r="AA549" s="15" t="str">
        <f ca="1">IFERROR(__xludf.DUMMYFUNCTION("""COMPUTED_VALUE"""),"*環保冷媒R32*除臭清淨濾網*室內機/室外機靜音運轉*防霉運轉")</f>
        <v>*環保冷媒R32*除臭清淨濾網*室內機/室外機靜音運轉*防霉運轉</v>
      </c>
    </row>
    <row r="550" spans="1:27" ht="19.5" customHeight="1">
      <c r="A550" s="12" t="str">
        <f ca="1">IFERROR(__xludf.DUMMYFUNCTION("""COMPUTED_VALUE"""),"空調")</f>
        <v>空調</v>
      </c>
      <c r="B550" s="12" t="str">
        <f ca="1">IFERROR(__xludf.DUMMYFUNCTION("""COMPUTED_VALUE"""),"大同")</f>
        <v>大同</v>
      </c>
      <c r="C550" s="12" t="str">
        <f ca="1">IFERROR(__xludf.DUMMYFUNCTION("""COMPUTED_VALUE"""),"DAIKIN")</f>
        <v>DAIKIN</v>
      </c>
      <c r="D550" s="12" t="str">
        <f ca="1">IFERROR(__xludf.DUMMYFUNCTION("""COMPUTED_VALUE"""),"大金R32變頻冷暖經典V系列ㄧ對一分離式空調RHF25VAVLT/FTHF25VAVLT")</f>
        <v>大金R32變頻冷暖經典V系列ㄧ對一分離式空調RHF25VAVLT/FTHF25VAVLT</v>
      </c>
      <c r="E550" s="12" t="str">
        <f ca="1">IFERROR(__xludf.DUMMYFUNCTION("""COMPUTED_VALUE"""),"RHF25VAVLT/FTHF25VAVLT")</f>
        <v>RHF25VAVLT/FTHF25VAVLT</v>
      </c>
      <c r="F550" s="12">
        <f ca="1">IFERROR(__xludf.DUMMYFUNCTION("""COMPUTED_VALUE"""),51089367)</f>
        <v>51089367</v>
      </c>
      <c r="G550" s="12" t="str">
        <f ca="1">IFERROR(__xludf.DUMMYFUNCTION("""COMPUTED_VALUE"""),"IGEM038J")</f>
        <v>IGEM038J</v>
      </c>
      <c r="H550" s="13">
        <f ca="1">IFERROR(__xludf.DUMMYFUNCTION("""COMPUTED_VALUE"""),31980)</f>
        <v>31980</v>
      </c>
      <c r="I550" s="14">
        <f ca="1">IFERROR(__xludf.DUMMYFUNCTION("""COMPUTED_VALUE"""),30600)</f>
        <v>30600</v>
      </c>
      <c r="J550" s="16">
        <f ca="1">IFERROR(__xludf.DUMMYFUNCTION("""COMPUTED_VALUE"""),45573)</f>
        <v>45573</v>
      </c>
      <c r="K550" s="12" t="str">
        <f ca="1">IFERROR(__xludf.DUMMYFUNCTION("""COMPUTED_VALUE"""),"短促")</f>
        <v>短促</v>
      </c>
      <c r="L550" s="12" t="str">
        <f ca="1">IFERROR(__xludf.DUMMYFUNCTION("""COMPUTED_VALUE"""),"上架中")</f>
        <v>上架中</v>
      </c>
      <c r="M550" s="12" t="str">
        <f ca="1">IFERROR(__xludf.DUMMYFUNCTION("""COMPUTED_VALUE"""),"2025/1/1起回價並調整售價、10/1-12/31現折2000活動、2024/8/1回價、4/2調漲重新上架銷售、3/12調漲暫缺貨、2024/3/1-7/31現折3000、11/14調漲暫缺貨，8/1回價，2/1-7/31原廠現折2000活動,2023/1/1起調漲")</f>
        <v>2025/1/1起回價並調整售價、10/1-12/31現折2000活動、2024/8/1回價、4/2調漲重新上架銷售、3/12調漲暫缺貨、2024/3/1-7/31現折3000、11/14調漲暫缺貨，8/1回價，2/1-7/31原廠現折2000活動,2023/1/1起調漲</v>
      </c>
      <c r="N550" s="12" t="str">
        <f ca="1">IFERROR(__xludf.DUMMYFUNCTION("""COMPUTED_VALUE"""),"一對一變頻冷暖")</f>
        <v>一對一變頻冷暖</v>
      </c>
      <c r="O550" s="12" t="str">
        <f ca="1">IFERROR(__xludf.DUMMYFUNCTION("""COMPUTED_VALUE"""),"白")</f>
        <v>白</v>
      </c>
      <c r="P550" s="12" t="str">
        <f ca="1">IFERROR(__xludf.DUMMYFUNCTION("""COMPUTED_VALUE"""),"3-5坪")</f>
        <v>3-5坪</v>
      </c>
      <c r="Q550" s="23" t="str">
        <f ca="1">IFERROR(__xludf.DUMMYFUNCTION("""COMPUTED_VALUE"""),"室外機:550*675*284mm 室內機:285*770*242mm")</f>
        <v>室外機:550*675*284mm 室內機:285*770*242mm</v>
      </c>
      <c r="R550" s="12" t="str">
        <f ca="1">IFERROR(__xludf.DUMMYFUNCTION("""COMPUTED_VALUE"""),"泰國")</f>
        <v>泰國</v>
      </c>
      <c r="S550" s="22" t="str">
        <f ca="1">IFERROR(__xludf.DUMMYFUNCTION("""COMPUTED_VALUE"""),"V")</f>
        <v>V</v>
      </c>
      <c r="T550" s="13" t="str">
        <f ca="1">IFERROR(__xludf.DUMMYFUNCTION("""COMPUTED_VALUE"""),"1級能效")</f>
        <v>1級能效</v>
      </c>
      <c r="U550" s="22" t="str">
        <f ca="1">IFERROR(__xludf.DUMMYFUNCTION("""COMPUTED_VALUE"""),"7年")</f>
        <v>7年</v>
      </c>
      <c r="V550" s="22" t="str">
        <f ca="1">IFERROR(__xludf.DUMMYFUNCTION("""COMPUTED_VALUE"""),"10年")</f>
        <v>10年</v>
      </c>
      <c r="W550" s="12"/>
      <c r="X550" s="12"/>
      <c r="Y550" s="12">
        <f ca="1">IFERROR(__xludf.DUMMYFUNCTION("""COMPUTED_VALUE"""),2.5)</f>
        <v>2.5</v>
      </c>
      <c r="Z550" s="14">
        <f ca="1">IFERROR(__xludf.DUMMYFUNCTION("""COMPUTED_VALUE"""),1600)</f>
        <v>1600</v>
      </c>
      <c r="AA550" s="15" t="str">
        <f ca="1">IFERROR(__xludf.DUMMYFUNCTION("""COMPUTED_VALUE"""),"*環保冷媒R32*除臭清淨濾網*室內機/室外機靜音運轉*防霉運轉")</f>
        <v>*環保冷媒R32*除臭清淨濾網*室內機/室外機靜音運轉*防霉運轉</v>
      </c>
    </row>
    <row r="551" spans="1:27" ht="19.5" customHeight="1">
      <c r="A551" s="12" t="str">
        <f ca="1">IFERROR(__xludf.DUMMYFUNCTION("""COMPUTED_VALUE"""),"空調")</f>
        <v>空調</v>
      </c>
      <c r="B551" s="12" t="str">
        <f ca="1">IFERROR(__xludf.DUMMYFUNCTION("""COMPUTED_VALUE"""),"大同")</f>
        <v>大同</v>
      </c>
      <c r="C551" s="12" t="str">
        <f ca="1">IFERROR(__xludf.DUMMYFUNCTION("""COMPUTED_VALUE"""),"DAIKIN")</f>
        <v>DAIKIN</v>
      </c>
      <c r="D551" s="12" t="str">
        <f ca="1">IFERROR(__xludf.DUMMYFUNCTION("""COMPUTED_VALUE"""),"大金R32變頻冷暖經典V系列二級能效ㄧ對一分離式空調RHF30VAVLT/FTHF30VAVLT")</f>
        <v>大金R32變頻冷暖經典V系列二級能效ㄧ對一分離式空調RHF30VAVLT/FTHF30VAVLT</v>
      </c>
      <c r="E551" s="12" t="str">
        <f ca="1">IFERROR(__xludf.DUMMYFUNCTION("""COMPUTED_VALUE"""),"RHF30VAVLT/FTHF30VAVLT")</f>
        <v>RHF30VAVLT/FTHF30VAVLT</v>
      </c>
      <c r="F551" s="12">
        <f ca="1">IFERROR(__xludf.DUMMYFUNCTION("""COMPUTED_VALUE"""),51089368)</f>
        <v>51089368</v>
      </c>
      <c r="G551" s="12" t="str">
        <f ca="1">IFERROR(__xludf.DUMMYFUNCTION("""COMPUTED_VALUE"""),"IGEM038K")</f>
        <v>IGEM038K</v>
      </c>
      <c r="H551" s="13">
        <f ca="1">IFERROR(__xludf.DUMMYFUNCTION("""COMPUTED_VALUE"""),34980)</f>
        <v>34980</v>
      </c>
      <c r="I551" s="14">
        <f ca="1">IFERROR(__xludf.DUMMYFUNCTION("""COMPUTED_VALUE"""),33400)</f>
        <v>33400</v>
      </c>
      <c r="J551" s="16">
        <f ca="1">IFERROR(__xludf.DUMMYFUNCTION("""COMPUTED_VALUE"""),45573)</f>
        <v>45573</v>
      </c>
      <c r="K551" s="12" t="str">
        <f ca="1">IFERROR(__xludf.DUMMYFUNCTION("""COMPUTED_VALUE"""),"短促")</f>
        <v>短促</v>
      </c>
      <c r="L551" s="12" t="str">
        <f ca="1">IFERROR(__xludf.DUMMYFUNCTION("""COMPUTED_VALUE"""),"上架中")</f>
        <v>上架中</v>
      </c>
      <c r="M551" s="12" t="str">
        <f ca="1">IFERROR(__xludf.DUMMYFUNCTION("""COMPUTED_VALUE"""),"2025/1/1起回價並調整售價、2024/10/1-12/31現折2000活動、2024/8/1回價、4/2調漲重新上架銷售、3/12調漲暫缺貨、2024/3/1-7/31現折3000、8/1回價，2/1-7/31原廠現折2000活動,2023/1/1起調漲")</f>
        <v>2025/1/1起回價並調整售價、2024/10/1-12/31現折2000活動、2024/8/1回價、4/2調漲重新上架銷售、3/12調漲暫缺貨、2024/3/1-7/31現折3000、8/1回價，2/1-7/31原廠現折2000活動,2023/1/1起調漲</v>
      </c>
      <c r="N551" s="12" t="str">
        <f ca="1">IFERROR(__xludf.DUMMYFUNCTION("""COMPUTED_VALUE"""),"一對一變頻冷暖")</f>
        <v>一對一變頻冷暖</v>
      </c>
      <c r="O551" s="12" t="str">
        <f ca="1">IFERROR(__xludf.DUMMYFUNCTION("""COMPUTED_VALUE"""),"白")</f>
        <v>白</v>
      </c>
      <c r="P551" s="12" t="str">
        <f ca="1">IFERROR(__xludf.DUMMYFUNCTION("""COMPUTED_VALUE"""),"5-6坪")</f>
        <v>5-6坪</v>
      </c>
      <c r="Q551" s="23" t="str">
        <f ca="1">IFERROR(__xludf.DUMMYFUNCTION("""COMPUTED_VALUE"""),"室外機:550*675*284mm 室內機:285*770*242mm")</f>
        <v>室外機:550*675*284mm 室內機:285*770*242mm</v>
      </c>
      <c r="R551" s="12" t="str">
        <f ca="1">IFERROR(__xludf.DUMMYFUNCTION("""COMPUTED_VALUE"""),"泰國")</f>
        <v>泰國</v>
      </c>
      <c r="S551" s="22" t="str">
        <f ca="1">IFERROR(__xludf.DUMMYFUNCTION("""COMPUTED_VALUE"""),"V")</f>
        <v>V</v>
      </c>
      <c r="T551" s="13" t="str">
        <f ca="1">IFERROR(__xludf.DUMMYFUNCTION("""COMPUTED_VALUE"""),"2級能效")</f>
        <v>2級能效</v>
      </c>
      <c r="U551" s="22" t="str">
        <f ca="1">IFERROR(__xludf.DUMMYFUNCTION("""COMPUTED_VALUE"""),"7年")</f>
        <v>7年</v>
      </c>
      <c r="V551" s="22" t="str">
        <f ca="1">IFERROR(__xludf.DUMMYFUNCTION("""COMPUTED_VALUE"""),"10年")</f>
        <v>10年</v>
      </c>
      <c r="W551" s="12" t="str">
        <f ca="1">IFERROR(__xludf.DUMMYFUNCTION("""COMPUTED_VALUE"""),"(即日起~2/28)隨貨送 DAIKIN MC30YSCT9 7坪 閃流空氣清淨機")</f>
        <v>(即日起~2/28)隨貨送 DAIKIN MC30YSCT9 7坪 閃流空氣清淨機</v>
      </c>
      <c r="X551" s="12"/>
      <c r="Y551" s="12">
        <f ca="1">IFERROR(__xludf.DUMMYFUNCTION("""COMPUTED_VALUE"""),3)</f>
        <v>3</v>
      </c>
      <c r="Z551" s="14">
        <f ca="1">IFERROR(__xludf.DUMMYFUNCTION("""COMPUTED_VALUE"""),1600)</f>
        <v>1600</v>
      </c>
      <c r="AA551" s="15" t="str">
        <f ca="1">IFERROR(__xludf.DUMMYFUNCTION("""COMPUTED_VALUE"""),"*環保冷媒R32*除臭清淨濾網*室內機/室外機靜音運轉*防霉運轉")</f>
        <v>*環保冷媒R32*除臭清淨濾網*室內機/室外機靜音運轉*防霉運轉</v>
      </c>
    </row>
    <row r="552" spans="1:27" ht="19.5" customHeight="1">
      <c r="A552" s="12" t="str">
        <f ca="1">IFERROR(__xludf.DUMMYFUNCTION("""COMPUTED_VALUE"""),"空調")</f>
        <v>空調</v>
      </c>
      <c r="B552" s="12" t="str">
        <f ca="1">IFERROR(__xludf.DUMMYFUNCTION("""COMPUTED_VALUE"""),"大同")</f>
        <v>大同</v>
      </c>
      <c r="C552" s="12" t="str">
        <f ca="1">IFERROR(__xludf.DUMMYFUNCTION("""COMPUTED_VALUE"""),"DAIKIN")</f>
        <v>DAIKIN</v>
      </c>
      <c r="D552" s="12" t="str">
        <f ca="1">IFERROR(__xludf.DUMMYFUNCTION("""COMPUTED_VALUE"""),"DAIKIN_大金R32變頻冷暖經典V系列二級能效ㄧ對一分離式空調RHF40VAVLT/FTHF40VAVLT")</f>
        <v>DAIKIN_大金R32變頻冷暖經典V系列二級能效ㄧ對一分離式空調RHF40VAVLT/FTHF40VAVLT</v>
      </c>
      <c r="E552" s="12" t="str">
        <f ca="1">IFERROR(__xludf.DUMMYFUNCTION("""COMPUTED_VALUE"""),"RHF40VAVLT/FTHF40VAVLT")</f>
        <v>RHF40VAVLT/FTHF40VAVLT</v>
      </c>
      <c r="F552" s="12">
        <f ca="1">IFERROR(__xludf.DUMMYFUNCTION("""COMPUTED_VALUE"""),51081370)</f>
        <v>51081370</v>
      </c>
      <c r="G552" s="12" t="str">
        <f ca="1">IFERROR(__xludf.DUMMYFUNCTION("""COMPUTED_VALUE"""),"IGEM098S")</f>
        <v>IGEM098S</v>
      </c>
      <c r="H552" s="13">
        <f ca="1">IFERROR(__xludf.DUMMYFUNCTION("""COMPUTED_VALUE"""),41980)</f>
        <v>41980</v>
      </c>
      <c r="I552" s="18">
        <f ca="1">IFERROR(__xludf.DUMMYFUNCTION("""COMPUTED_VALUE"""),40200)</f>
        <v>40200</v>
      </c>
      <c r="J552" s="16">
        <f ca="1">IFERROR(__xludf.DUMMYFUNCTION("""COMPUTED_VALUE"""),45658)</f>
        <v>45658</v>
      </c>
      <c r="K552" s="12" t="str">
        <f ca="1">IFERROR(__xludf.DUMMYFUNCTION("""COMPUTED_VALUE"""),"回價")</f>
        <v>回價</v>
      </c>
      <c r="L552" s="12" t="str">
        <f ca="1">IFERROR(__xludf.DUMMYFUNCTION("""COMPUTED_VALUE"""),"上架中")</f>
        <v>上架中</v>
      </c>
      <c r="M552" s="12" t="str">
        <f ca="1">IFERROR(__xludf.DUMMYFUNCTION("""COMPUTED_VALUE"""),"2025/1/1起回價並調整售價、10/1-12/31現折2000活動、2024//8/1回價，4/1新品上架")</f>
        <v>2025/1/1起回價並調整售價、10/1-12/31現折2000活動、2024//8/1回價，4/1新品上架</v>
      </c>
      <c r="N552" s="12" t="str">
        <f ca="1">IFERROR(__xludf.DUMMYFUNCTION("""COMPUTED_VALUE"""),"一對一變頻冷暖")</f>
        <v>一對一變頻冷暖</v>
      </c>
      <c r="O552" s="12" t="str">
        <f ca="1">IFERROR(__xludf.DUMMYFUNCTION("""COMPUTED_VALUE"""),"白")</f>
        <v>白</v>
      </c>
      <c r="P552" s="12" t="str">
        <f ca="1">IFERROR(__xludf.DUMMYFUNCTION("""COMPUTED_VALUE"""),"6-7坪")</f>
        <v>6-7坪</v>
      </c>
      <c r="Q552" s="23" t="str">
        <f ca="1">IFERROR(__xludf.DUMMYFUNCTION("""COMPUTED_VALUE"""),"室外機:595*845*300mm室內機:295*990*281mm")</f>
        <v>室外機:595*845*300mm室內機:295*990*281mm</v>
      </c>
      <c r="R552" s="12" t="str">
        <f ca="1">IFERROR(__xludf.DUMMYFUNCTION("""COMPUTED_VALUE"""),"泰國")</f>
        <v>泰國</v>
      </c>
      <c r="S552" s="22" t="str">
        <f ca="1">IFERROR(__xludf.DUMMYFUNCTION("""COMPUTED_VALUE"""),"V")</f>
        <v>V</v>
      </c>
      <c r="T552" s="13" t="str">
        <f ca="1">IFERROR(__xludf.DUMMYFUNCTION("""COMPUTED_VALUE"""),"2級能效")</f>
        <v>2級能效</v>
      </c>
      <c r="U552" s="22" t="str">
        <f ca="1">IFERROR(__xludf.DUMMYFUNCTION("""COMPUTED_VALUE"""),"7年")</f>
        <v>7年</v>
      </c>
      <c r="V552" s="12"/>
      <c r="W552" s="12" t="str">
        <f ca="1">IFERROR(__xludf.DUMMYFUNCTION("""COMPUTED_VALUE"""),"(即日起~2/28)隨貨送 DAIKIN MC30YSCT9 7坪 閃流空氣清淨機")</f>
        <v>(即日起~2/28)隨貨送 DAIKIN MC30YSCT9 7坪 閃流空氣清淨機</v>
      </c>
      <c r="X552" s="12"/>
      <c r="Y552" s="12">
        <f ca="1">IFERROR(__xludf.DUMMYFUNCTION("""COMPUTED_VALUE"""),4)</f>
        <v>4</v>
      </c>
      <c r="Z552" s="14" t="str">
        <f ca="1">IFERROR(__xludf.DUMMYFUNCTION("""COMPUTED_VALUE"""),"2000")</f>
        <v>2000</v>
      </c>
      <c r="AA552" s="15" t="str">
        <f ca="1">IFERROR(__xludf.DUMMYFUNCTION("""COMPUTED_VALUE"""),"*環保冷媒R32*航太康達流體力學出風板設計*室內機/室外機靜音運轉*風速自動控制")</f>
        <v>*環保冷媒R32*航太康達流體力學出風板設計*室內機/室外機靜音運轉*風速自動控制</v>
      </c>
    </row>
    <row r="553" spans="1:27" ht="19.5" customHeight="1">
      <c r="A553" s="12" t="str">
        <f ca="1">IFERROR(__xludf.DUMMYFUNCTION("""COMPUTED_VALUE"""),"空調")</f>
        <v>空調</v>
      </c>
      <c r="B553" s="12" t="str">
        <f ca="1">IFERROR(__xludf.DUMMYFUNCTION("""COMPUTED_VALUE"""),"大同")</f>
        <v>大同</v>
      </c>
      <c r="C553" s="12" t="str">
        <f ca="1">IFERROR(__xludf.DUMMYFUNCTION("""COMPUTED_VALUE"""),"DAIKIN")</f>
        <v>DAIKIN</v>
      </c>
      <c r="D553" s="12" t="str">
        <f ca="1">IFERROR(__xludf.DUMMYFUNCTION("""COMPUTED_VALUE"""),"DAIKIN_大金R32變頻冷暖經典V系列ㄧ對一分離式空調RHF50VAVLT/FTHF50VAVLT")</f>
        <v>DAIKIN_大金R32變頻冷暖經典V系列ㄧ對一分離式空調RHF50VAVLT/FTHF50VAVLT</v>
      </c>
      <c r="E553" s="12" t="str">
        <f ca="1">IFERROR(__xludf.DUMMYFUNCTION("""COMPUTED_VALUE"""),"RHF50VAVLT/FTHF50VAVLT")</f>
        <v>RHF50VAVLT/FTHF50VAVLT</v>
      </c>
      <c r="F553" s="12">
        <f ca="1">IFERROR(__xludf.DUMMYFUNCTION("""COMPUTED_VALUE"""),51081371)</f>
        <v>51081371</v>
      </c>
      <c r="G553" s="12" t="str">
        <f ca="1">IFERROR(__xludf.DUMMYFUNCTION("""COMPUTED_VALUE"""),"IGEM098T")</f>
        <v>IGEM098T</v>
      </c>
      <c r="H553" s="13">
        <f ca="1">IFERROR(__xludf.DUMMYFUNCTION("""COMPUTED_VALUE"""),49980)</f>
        <v>49980</v>
      </c>
      <c r="I553" s="18">
        <f ca="1">IFERROR(__xludf.DUMMYFUNCTION("""COMPUTED_VALUE"""),48200)</f>
        <v>48200</v>
      </c>
      <c r="J553" s="16">
        <f ca="1">IFERROR(__xludf.DUMMYFUNCTION("""COMPUTED_VALUE"""),45658)</f>
        <v>45658</v>
      </c>
      <c r="K553" s="12" t="str">
        <f ca="1">IFERROR(__xludf.DUMMYFUNCTION("""COMPUTED_VALUE"""),"回價")</f>
        <v>回價</v>
      </c>
      <c r="L553" s="12" t="str">
        <f ca="1">IFERROR(__xludf.DUMMYFUNCTION("""COMPUTED_VALUE"""),"上架中")</f>
        <v>上架中</v>
      </c>
      <c r="M553" s="12" t="str">
        <f ca="1">IFERROR(__xludf.DUMMYFUNCTION("""COMPUTED_VALUE"""),"2025/1/1起回價並調整售價、10/1-12/31現折2000活動、2024//8/1回價，4/1新品上架")</f>
        <v>2025/1/1起回價並調整售價、10/1-12/31現折2000活動、2024//8/1回價，4/1新品上架</v>
      </c>
      <c r="N553" s="12" t="str">
        <f ca="1">IFERROR(__xludf.DUMMYFUNCTION("""COMPUTED_VALUE"""),"一對一變頻冷暖")</f>
        <v>一對一變頻冷暖</v>
      </c>
      <c r="O553" s="12" t="str">
        <f ca="1">IFERROR(__xludf.DUMMYFUNCTION("""COMPUTED_VALUE"""),"白")</f>
        <v>白</v>
      </c>
      <c r="P553" s="12" t="str">
        <f ca="1">IFERROR(__xludf.DUMMYFUNCTION("""COMPUTED_VALUE"""),"7-8坪")</f>
        <v>7-8坪</v>
      </c>
      <c r="Q553" s="23" t="str">
        <f ca="1">IFERROR(__xludf.DUMMYFUNCTION("""COMPUTED_VALUE"""),"室外機:595*845*300mm室內機:295*990*281mm")</f>
        <v>室外機:595*845*300mm室內機:295*990*281mm</v>
      </c>
      <c r="R553" s="12" t="str">
        <f ca="1">IFERROR(__xludf.DUMMYFUNCTION("""COMPUTED_VALUE"""),"泰國")</f>
        <v>泰國</v>
      </c>
      <c r="S553" s="22" t="str">
        <f ca="1">IFERROR(__xludf.DUMMYFUNCTION("""COMPUTED_VALUE"""),"V")</f>
        <v>V</v>
      </c>
      <c r="T553" s="13" t="str">
        <f ca="1">IFERROR(__xludf.DUMMYFUNCTION("""COMPUTED_VALUE"""),"1級能效")</f>
        <v>1級能效</v>
      </c>
      <c r="U553" s="22" t="str">
        <f ca="1">IFERROR(__xludf.DUMMYFUNCTION("""COMPUTED_VALUE"""),"7年")</f>
        <v>7年</v>
      </c>
      <c r="V553" s="12"/>
      <c r="W553" s="12"/>
      <c r="X553" s="12"/>
      <c r="Y553" s="12">
        <f ca="1">IFERROR(__xludf.DUMMYFUNCTION("""COMPUTED_VALUE"""),5)</f>
        <v>5</v>
      </c>
      <c r="Z553" s="14" t="str">
        <f ca="1">IFERROR(__xludf.DUMMYFUNCTION("""COMPUTED_VALUE"""),"2000")</f>
        <v>2000</v>
      </c>
      <c r="AA553" s="15" t="str">
        <f ca="1">IFERROR(__xludf.DUMMYFUNCTION("""COMPUTED_VALUE"""),"*環保冷媒R32*航太康達流體力學出風板設計*室內機/室外機靜音運轉*風速自動控制")</f>
        <v>*環保冷媒R32*航太康達流體力學出風板設計*室內機/室外機靜音運轉*風速自動控制</v>
      </c>
    </row>
    <row r="554" spans="1:27" ht="19.5" customHeight="1">
      <c r="A554" s="12" t="str">
        <f ca="1">IFERROR(__xludf.DUMMYFUNCTION("""COMPUTED_VALUE"""),"空調")</f>
        <v>空調</v>
      </c>
      <c r="B554" s="12" t="str">
        <f ca="1">IFERROR(__xludf.DUMMYFUNCTION("""COMPUTED_VALUE"""),"大同")</f>
        <v>大同</v>
      </c>
      <c r="C554" s="12" t="str">
        <f ca="1">IFERROR(__xludf.DUMMYFUNCTION("""COMPUTED_VALUE"""),"DAIKIN")</f>
        <v>DAIKIN</v>
      </c>
      <c r="D554" s="12" t="str">
        <f ca="1">IFERROR(__xludf.DUMMYFUNCTION("""COMPUTED_VALUE"""),"DAIKIN_大金R32變頻冷暖經典V系列二級能效ㄧ對一分離式空調RHF60VAVLT/FTHF60VAVLT")</f>
        <v>DAIKIN_大金R32變頻冷暖經典V系列二級能效ㄧ對一分離式空調RHF60VAVLT/FTHF60VAVLT</v>
      </c>
      <c r="E554" s="12" t="str">
        <f ca="1">IFERROR(__xludf.DUMMYFUNCTION("""COMPUTED_VALUE"""),"RHF60VAVLT/FTHF60VAVLT")</f>
        <v>RHF60VAVLT/FTHF60VAVLT</v>
      </c>
      <c r="F554" s="12">
        <f ca="1">IFERROR(__xludf.DUMMYFUNCTION("""COMPUTED_VALUE"""),51081372)</f>
        <v>51081372</v>
      </c>
      <c r="G554" s="12" t="str">
        <f ca="1">IFERROR(__xludf.DUMMYFUNCTION("""COMPUTED_VALUE"""),"IGEM098U")</f>
        <v>IGEM098U</v>
      </c>
      <c r="H554" s="13">
        <f ca="1">IFERROR(__xludf.DUMMYFUNCTION("""COMPUTED_VALUE"""),57980)</f>
        <v>57980</v>
      </c>
      <c r="I554" s="18">
        <f ca="1">IFERROR(__xludf.DUMMYFUNCTION("""COMPUTED_VALUE"""),56000)</f>
        <v>56000</v>
      </c>
      <c r="J554" s="16">
        <f ca="1">IFERROR(__xludf.DUMMYFUNCTION("""COMPUTED_VALUE"""),45658)</f>
        <v>45658</v>
      </c>
      <c r="K554" s="12" t="str">
        <f ca="1">IFERROR(__xludf.DUMMYFUNCTION("""COMPUTED_VALUE"""),"回價")</f>
        <v>回價</v>
      </c>
      <c r="L554" s="12" t="str">
        <f ca="1">IFERROR(__xludf.DUMMYFUNCTION("""COMPUTED_VALUE"""),"上架中")</f>
        <v>上架中</v>
      </c>
      <c r="M554" s="12" t="str">
        <f ca="1">IFERROR(__xludf.DUMMYFUNCTION("""COMPUTED_VALUE"""),"2025/1/1起回價並調整售價、10/1-12/31現折2000活動、2024//8/1回價，4/1新品上架")</f>
        <v>2025/1/1起回價並調整售價、10/1-12/31現折2000活動、2024//8/1回價，4/1新品上架</v>
      </c>
      <c r="N554" s="12" t="str">
        <f ca="1">IFERROR(__xludf.DUMMYFUNCTION("""COMPUTED_VALUE"""),"一對一變頻冷暖")</f>
        <v>一對一變頻冷暖</v>
      </c>
      <c r="O554" s="12" t="str">
        <f ca="1">IFERROR(__xludf.DUMMYFUNCTION("""COMPUTED_VALUE"""),"白")</f>
        <v>白</v>
      </c>
      <c r="P554" s="12" t="str">
        <f ca="1">IFERROR(__xludf.DUMMYFUNCTION("""COMPUTED_VALUE"""),"8-9坪")</f>
        <v>8-9坪</v>
      </c>
      <c r="Q554" s="23" t="str">
        <f ca="1">IFERROR(__xludf.DUMMYFUNCTION("""COMPUTED_VALUE"""),"室外機:595*845*300mm室內機:295*990*281mm")</f>
        <v>室外機:595*845*300mm室內機:295*990*281mm</v>
      </c>
      <c r="R554" s="12" t="str">
        <f ca="1">IFERROR(__xludf.DUMMYFUNCTION("""COMPUTED_VALUE"""),"泰國")</f>
        <v>泰國</v>
      </c>
      <c r="S554" s="22" t="str">
        <f ca="1">IFERROR(__xludf.DUMMYFUNCTION("""COMPUTED_VALUE"""),"V")</f>
        <v>V</v>
      </c>
      <c r="T554" s="13" t="str">
        <f ca="1">IFERROR(__xludf.DUMMYFUNCTION("""COMPUTED_VALUE"""),"2級能效")</f>
        <v>2級能效</v>
      </c>
      <c r="U554" s="22" t="str">
        <f ca="1">IFERROR(__xludf.DUMMYFUNCTION("""COMPUTED_VALUE"""),"7年")</f>
        <v>7年</v>
      </c>
      <c r="V554" s="12"/>
      <c r="W554" s="12" t="str">
        <f ca="1">IFERROR(__xludf.DUMMYFUNCTION("""COMPUTED_VALUE"""),"(即日起~2/28)隨貨送 DAIKIN MC30YSCT9 7坪 閃流空氣清淨機")</f>
        <v>(即日起~2/28)隨貨送 DAIKIN MC30YSCT9 7坪 閃流空氣清淨機</v>
      </c>
      <c r="X554" s="12"/>
      <c r="Y554" s="12">
        <f ca="1">IFERROR(__xludf.DUMMYFUNCTION("""COMPUTED_VALUE"""),6)</f>
        <v>6</v>
      </c>
      <c r="Z554" s="14" t="str">
        <f ca="1">IFERROR(__xludf.DUMMYFUNCTION("""COMPUTED_VALUE"""),"2000")</f>
        <v>2000</v>
      </c>
      <c r="AA554" s="15" t="str">
        <f ca="1">IFERROR(__xludf.DUMMYFUNCTION("""COMPUTED_VALUE"""),"*環保冷媒R32*航太康達流體力學出風板設計*室內機/室外機靜音運轉*風速自動控制")</f>
        <v>*環保冷媒R32*航太康達流體力學出風板設計*室內機/室外機靜音運轉*風速自動控制</v>
      </c>
    </row>
    <row r="555" spans="1:27" ht="19.5" customHeight="1">
      <c r="A555" s="12" t="str">
        <f ca="1">IFERROR(__xludf.DUMMYFUNCTION("""COMPUTED_VALUE"""),"空調")</f>
        <v>空調</v>
      </c>
      <c r="B555" s="12" t="str">
        <f ca="1">IFERROR(__xludf.DUMMYFUNCTION("""COMPUTED_VALUE"""),"大同")</f>
        <v>大同</v>
      </c>
      <c r="C555" s="12" t="str">
        <f ca="1">IFERROR(__xludf.DUMMYFUNCTION("""COMPUTED_VALUE"""),"DAIKIN")</f>
        <v>DAIKIN</v>
      </c>
      <c r="D555" s="12" t="str">
        <f ca="1">IFERROR(__xludf.DUMMYFUNCTION("""COMPUTED_VALUE"""),"DAIKIN_大金R32變頻冷暖經典V系列二級能效ㄧ對一分離式空調RHF71VAVLT/FTHF71VAVLT")</f>
        <v>DAIKIN_大金R32變頻冷暖經典V系列二級能效ㄧ對一分離式空調RHF71VAVLT/FTHF71VAVLT</v>
      </c>
      <c r="E555" s="12" t="str">
        <f ca="1">IFERROR(__xludf.DUMMYFUNCTION("""COMPUTED_VALUE"""),"RHF71VAVLT/FTHF71VAVLT")</f>
        <v>RHF71VAVLT/FTHF71VAVLT</v>
      </c>
      <c r="F555" s="12">
        <f ca="1">IFERROR(__xludf.DUMMYFUNCTION("""COMPUTED_VALUE"""),51081373)</f>
        <v>51081373</v>
      </c>
      <c r="G555" s="12" t="str">
        <f ca="1">IFERROR(__xludf.DUMMYFUNCTION("""COMPUTED_VALUE"""),"IGEM098V")</f>
        <v>IGEM098V</v>
      </c>
      <c r="H555" s="13">
        <f ca="1">IFERROR(__xludf.DUMMYFUNCTION("""COMPUTED_VALUE"""),64980)</f>
        <v>64980</v>
      </c>
      <c r="I555" s="18">
        <f ca="1">IFERROR(__xludf.DUMMYFUNCTION("""COMPUTED_VALUE"""),62800)</f>
        <v>62800</v>
      </c>
      <c r="J555" s="16">
        <f ca="1">IFERROR(__xludf.DUMMYFUNCTION("""COMPUTED_VALUE"""),45658)</f>
        <v>45658</v>
      </c>
      <c r="K555" s="12" t="str">
        <f ca="1">IFERROR(__xludf.DUMMYFUNCTION("""COMPUTED_VALUE"""),"回價")</f>
        <v>回價</v>
      </c>
      <c r="L555" s="12" t="str">
        <f ca="1">IFERROR(__xludf.DUMMYFUNCTION("""COMPUTED_VALUE"""),"上架中")</f>
        <v>上架中</v>
      </c>
      <c r="M555" s="12" t="str">
        <f ca="1">IFERROR(__xludf.DUMMYFUNCTION("""COMPUTED_VALUE"""),"2025/1/1起回價並調整售價、10/1-12/31現折2000活動、2024//8/1回價，4/1新品上架")</f>
        <v>2025/1/1起回價並調整售價、10/1-12/31現折2000活動、2024//8/1回價，4/1新品上架</v>
      </c>
      <c r="N555" s="12" t="str">
        <f ca="1">IFERROR(__xludf.DUMMYFUNCTION("""COMPUTED_VALUE"""),"一對一變頻冷暖")</f>
        <v>一對一變頻冷暖</v>
      </c>
      <c r="O555" s="12" t="str">
        <f ca="1">IFERROR(__xludf.DUMMYFUNCTION("""COMPUTED_VALUE"""),"白")</f>
        <v>白</v>
      </c>
      <c r="P555" s="12" t="str">
        <f ca="1">IFERROR(__xludf.DUMMYFUNCTION("""COMPUTED_VALUE"""),"9-10坪")</f>
        <v>9-10坪</v>
      </c>
      <c r="Q555" s="23" t="str">
        <f ca="1">IFERROR(__xludf.DUMMYFUNCTION("""COMPUTED_VALUE"""),"室外機:595*845*300mm室內機:295*990*281mm")</f>
        <v>室外機:595*845*300mm室內機:295*990*281mm</v>
      </c>
      <c r="R555" s="12" t="str">
        <f ca="1">IFERROR(__xludf.DUMMYFUNCTION("""COMPUTED_VALUE"""),"泰國")</f>
        <v>泰國</v>
      </c>
      <c r="S555" s="22" t="str">
        <f ca="1">IFERROR(__xludf.DUMMYFUNCTION("""COMPUTED_VALUE"""),"V")</f>
        <v>V</v>
      </c>
      <c r="T555" s="13" t="str">
        <f ca="1">IFERROR(__xludf.DUMMYFUNCTION("""COMPUTED_VALUE"""),"2級能效")</f>
        <v>2級能效</v>
      </c>
      <c r="U555" s="22" t="str">
        <f ca="1">IFERROR(__xludf.DUMMYFUNCTION("""COMPUTED_VALUE"""),"7年")</f>
        <v>7年</v>
      </c>
      <c r="V555" s="12"/>
      <c r="W555" s="12" t="str">
        <f ca="1">IFERROR(__xludf.DUMMYFUNCTION("""COMPUTED_VALUE"""),"(即日起~2/28)隨貨送 DAIKIN MC30YSCT9 7坪 閃流空氣清淨機")</f>
        <v>(即日起~2/28)隨貨送 DAIKIN MC30YSCT9 7坪 閃流空氣清淨機</v>
      </c>
      <c r="X555" s="12"/>
      <c r="Y555" s="12">
        <f ca="1">IFERROR(__xludf.DUMMYFUNCTION("""COMPUTED_VALUE"""),7.2)</f>
        <v>7.2</v>
      </c>
      <c r="Z555" s="14" t="str">
        <f ca="1">IFERROR(__xludf.DUMMYFUNCTION("""COMPUTED_VALUE"""),"2000")</f>
        <v>2000</v>
      </c>
      <c r="AA555" s="15" t="str">
        <f ca="1">IFERROR(__xludf.DUMMYFUNCTION("""COMPUTED_VALUE"""),"*環保冷媒R32*航太康達流體力學出風板設計*室內機/室外機靜音運轉*風速自動控制")</f>
        <v>*環保冷媒R32*航太康達流體力學出風板設計*室內機/室外機靜音運轉*風速自動控制</v>
      </c>
    </row>
    <row r="556" spans="1:27" ht="19.5" customHeight="1">
      <c r="A556" s="12" t="str">
        <f ca="1">IFERROR(__xludf.DUMMYFUNCTION("""COMPUTED_VALUE"""),"空調")</f>
        <v>空調</v>
      </c>
      <c r="B556" s="12" t="str">
        <f ca="1">IFERROR(__xludf.DUMMYFUNCTION("""COMPUTED_VALUE"""),"大同")</f>
        <v>大同</v>
      </c>
      <c r="C556" s="12" t="str">
        <f ca="1">IFERROR(__xludf.DUMMYFUNCTION("""COMPUTED_VALUE"""),"DAIKIN")</f>
        <v>DAIKIN</v>
      </c>
      <c r="D556" s="12" t="str">
        <f ca="1">IFERROR(__xludf.DUMMYFUNCTION("""COMPUTED_VALUE"""),"DAIKIN_大金一對二6-7坪+5-6坪變頻冷暖空調2MXM56RVLT/FTXM36RVLT+FTXM28RVLT")</f>
        <v>DAIKIN_大金一對二6-7坪+5-6坪變頻冷暖空調2MXM56RVLT/FTXM36RVLT+FTXM28RVLT</v>
      </c>
      <c r="E556" s="12" t="str">
        <f ca="1">IFERROR(__xludf.DUMMYFUNCTION("""COMPUTED_VALUE"""),"2MXM56RVLT/FTXM36RVLT+FTXM28RVLT")</f>
        <v>2MXM56RVLT/FTXM36RVLT+FTXM28RVLT</v>
      </c>
      <c r="F556" s="12">
        <f ca="1">IFERROR(__xludf.DUMMYFUNCTION("""COMPUTED_VALUE"""),51081435)</f>
        <v>51081435</v>
      </c>
      <c r="G556" s="12" t="str">
        <f ca="1">IFERROR(__xludf.DUMMYFUNCTION("""COMPUTED_VALUE"""),"IGEM119E")</f>
        <v>IGEM119E</v>
      </c>
      <c r="H556" s="13">
        <f ca="1">IFERROR(__xludf.DUMMYFUNCTION("""COMPUTED_VALUE"""),92580)</f>
        <v>92580</v>
      </c>
      <c r="I556" s="14">
        <f ca="1">IFERROR(__xludf.DUMMYFUNCTION("""COMPUTED_VALUE"""),88880)</f>
        <v>88880</v>
      </c>
      <c r="J556" s="12"/>
      <c r="K556" s="12"/>
      <c r="L556" s="12" t="str">
        <f ca="1">IFERROR(__xludf.DUMMYFUNCTION("""COMPUTED_VALUE"""),"專案")</f>
        <v>專案</v>
      </c>
      <c r="M556" s="12"/>
      <c r="N556" s="12" t="str">
        <f ca="1">IFERROR(__xludf.DUMMYFUNCTION("""COMPUTED_VALUE"""),"一對多變頻冷暖")</f>
        <v>一對多變頻冷暖</v>
      </c>
      <c r="O556" s="12" t="str">
        <f ca="1">IFERROR(__xludf.DUMMYFUNCTION("""COMPUTED_VALUE"""),"白")</f>
        <v>白</v>
      </c>
      <c r="P556" s="12" t="str">
        <f ca="1">IFERROR(__xludf.DUMMYFUNCTION("""COMPUTED_VALUE"""),"6-7坪+5-6坪")</f>
        <v>6-7坪+5-6坪</v>
      </c>
      <c r="Q556" s="23" t="str">
        <f ca="1">IFERROR(__xludf.DUMMYFUNCTION("""COMPUTED_VALUE"""),"室外機：685×810×300mm 室內機：300×920×240mm ")</f>
        <v xml:space="preserve">室外機：685×810×300mm 室內機：300×920×240mm </v>
      </c>
      <c r="R556" s="12" t="str">
        <f ca="1">IFERROR(__xludf.DUMMYFUNCTION("""COMPUTED_VALUE"""),"台灣")</f>
        <v>台灣</v>
      </c>
      <c r="S556" s="12"/>
      <c r="T556" s="13" t="str">
        <f ca="1">IFERROR(__xludf.DUMMYFUNCTION("""COMPUTED_VALUE"""),"1級能效")</f>
        <v>1級能效</v>
      </c>
      <c r="U556" s="22" t="str">
        <f ca="1">IFERROR(__xludf.DUMMYFUNCTION("""COMPUTED_VALUE"""),"7年")</f>
        <v>7年</v>
      </c>
      <c r="V556" s="22" t="str">
        <f ca="1">IFERROR(__xludf.DUMMYFUNCTION("""COMPUTED_VALUE"""),"7年")</f>
        <v>7年</v>
      </c>
      <c r="W556" s="12"/>
      <c r="X556" s="12"/>
      <c r="Y556" s="12">
        <f ca="1">IFERROR(__xludf.DUMMYFUNCTION("""COMPUTED_VALUE"""),4.1)</f>
        <v>4.0999999999999996</v>
      </c>
      <c r="Z556" s="14" t="str">
        <f ca="1">IFERROR(__xludf.DUMMYFUNCTION("""COMPUTED_VALUE"""),"2000")</f>
        <v>2000</v>
      </c>
      <c r="AA556" s="15" t="str">
        <f ca="1">IFERROR(__xludf.DUMMYFUNCTION("""COMPUTED_VALUE"""),"*日本同步變頻科技:日本製壓縮機、日本制御技術、全直流變頻*凍結洗淨2.0:高性能CPU 一級省電、創新節電科技*PM0.1去除率99.9%、機體防霉II 五段自選、3D立體氣流")</f>
        <v>*日本同步變頻科技:日本製壓縮機、日本制御技術、全直流變頻*凍結洗淨2.0:高性能CPU 一級省電、創新節電科技*PM0.1去除率99.9%、機體防霉II 五段自選、3D立體氣流</v>
      </c>
    </row>
    <row r="557" spans="1:27" ht="19.5" customHeight="1">
      <c r="A557" s="12" t="str">
        <f ca="1">IFERROR(__xludf.DUMMYFUNCTION("""COMPUTED_VALUE"""),"空調")</f>
        <v>空調</v>
      </c>
      <c r="B557" s="12" t="str">
        <f ca="1">IFERROR(__xludf.DUMMYFUNCTION("""COMPUTED_VALUE"""),"聲寶")</f>
        <v>聲寶</v>
      </c>
      <c r="C557" s="12" t="str">
        <f ca="1">IFERROR(__xludf.DUMMYFUNCTION("""COMPUTED_VALUE"""),"聲寶")</f>
        <v>聲寶</v>
      </c>
      <c r="D557" s="12" t="str">
        <f ca="1">IFERROR(__xludf.DUMMYFUNCTION("""COMPUTED_VALUE"""),"聲寶17-23坪R32一對一變頻分離式冷專空調 AM-NF110D/AU-NF110D")</f>
        <v>聲寶17-23坪R32一對一變頻分離式冷專空調 AM-NF110D/AU-NF110D</v>
      </c>
      <c r="E557" s="12" t="str">
        <f ca="1">IFERROR(__xludf.DUMMYFUNCTION("""COMPUTED_VALUE"""),"AM-NF110D/AU-NF110D")</f>
        <v>AM-NF110D/AU-NF110D</v>
      </c>
      <c r="F557" s="12">
        <f ca="1">IFERROR(__xludf.DUMMYFUNCTION("""COMPUTED_VALUE"""),51001169)</f>
        <v>51001169</v>
      </c>
      <c r="G557" s="12" t="str">
        <f ca="1">IFERROR(__xludf.DUMMYFUNCTION("""COMPUTED_VALUE"""),"IGEM079Z")</f>
        <v>IGEM079Z</v>
      </c>
      <c r="H557" s="13">
        <f ca="1">IFERROR(__xludf.DUMMYFUNCTION("""COMPUTED_VALUE"""),79900)</f>
        <v>79900</v>
      </c>
      <c r="I557" s="14">
        <f ca="1">IFERROR(__xludf.DUMMYFUNCTION("""COMPUTED_VALUE"""),75410)</f>
        <v>75410</v>
      </c>
      <c r="J557" s="16">
        <f ca="1">IFERROR(__xludf.DUMMYFUNCTION("""COMPUTED_VALUE"""),45134)</f>
        <v>45134</v>
      </c>
      <c r="K557" s="12" t="str">
        <f ca="1">IFERROR(__xludf.DUMMYFUNCTION("""COMPUTED_VALUE"""),"新機上架")</f>
        <v>新機上架</v>
      </c>
      <c r="L557" s="12" t="str">
        <f ca="1">IFERROR(__xludf.DUMMYFUNCTION("""COMPUTED_VALUE"""),"上架中")</f>
        <v>上架中</v>
      </c>
      <c r="M557" s="12" t="str">
        <f ca="1">IFERROR(__xludf.DUMMYFUNCTION("""COMPUTED_VALUE"""),"2023/7/26上架")</f>
        <v>2023/7/26上架</v>
      </c>
      <c r="N557" s="12" t="str">
        <f ca="1">IFERROR(__xludf.DUMMYFUNCTION("""COMPUTED_VALUE"""),"一對一變頻冷專")</f>
        <v>一對一變頻冷專</v>
      </c>
      <c r="O557" s="12" t="str">
        <f ca="1">IFERROR(__xludf.DUMMYFUNCTION("""COMPUTED_VALUE"""),"白色")</f>
        <v>白色</v>
      </c>
      <c r="P557" s="12" t="str">
        <f ca="1">IFERROR(__xludf.DUMMYFUNCTION("""COMPUTED_VALUE"""),"17-23坪")</f>
        <v>17-23坪</v>
      </c>
      <c r="Q557" s="23" t="str">
        <f ca="1">IFERROR(__xludf.DUMMYFUNCTION("""COMPUTED_VALUE"""),"室外機:890*1050*500mm 室內機:480*1495*410mm")</f>
        <v>室外機:890*1050*500mm 室內機:480*1495*410mm</v>
      </c>
      <c r="R557" s="12" t="str">
        <f ca="1">IFERROR(__xludf.DUMMYFUNCTION("""COMPUTED_VALUE"""),"台灣")</f>
        <v>台灣</v>
      </c>
      <c r="S557" s="12" t="str">
        <f ca="1">IFERROR(__xludf.DUMMYFUNCTION("""COMPUTED_VALUE"""),"V")</f>
        <v>V</v>
      </c>
      <c r="T557" s="12" t="str">
        <f ca="1">IFERROR(__xludf.DUMMYFUNCTION("""COMPUTED_VALUE"""),"1級能效")</f>
        <v>1級能效</v>
      </c>
      <c r="U557" s="12" t="str">
        <f ca="1">IFERROR(__xludf.DUMMYFUNCTION("""COMPUTED_VALUE"""),"7年")</f>
        <v>7年</v>
      </c>
      <c r="V557" s="12" t="str">
        <f ca="1">IFERROR(__xludf.DUMMYFUNCTION("""COMPUTED_VALUE"""),"10年")</f>
        <v>10年</v>
      </c>
      <c r="W557" s="12"/>
      <c r="X557" s="12"/>
      <c r="Y557" s="12">
        <f ca="1">IFERROR(__xludf.DUMMYFUNCTION("""COMPUTED_VALUE"""),11)</f>
        <v>11</v>
      </c>
      <c r="Z557" s="14" t="str">
        <f ca="1">IFERROR(__xludf.DUMMYFUNCTION("""COMPUTED_VALUE"""),"2000")</f>
        <v>2000</v>
      </c>
      <c r="AA557" s="15" t="str">
        <f ca="1">IFERROR(__xludf.DUMMYFUNCTION("""COMPUTED_VALUE"""),"*R32環保冷媒全變頻 *強化防鏽設計*搭配壁掛1級能效*好貼心液晶無線遙控
")</f>
        <v xml:space="preserve">*R32環保冷媒全變頻 *強化防鏽設計*搭配壁掛1級能效*好貼心液晶無線遙控
</v>
      </c>
    </row>
    <row r="558" spans="1:27" ht="19.5" customHeight="1">
      <c r="A558" s="12" t="str">
        <f ca="1">IFERROR(__xludf.DUMMYFUNCTION("""COMPUTED_VALUE"""),"空調")</f>
        <v>空調</v>
      </c>
      <c r="B558" s="12" t="str">
        <f ca="1">IFERROR(__xludf.DUMMYFUNCTION("""COMPUTED_VALUE"""),"聲寶")</f>
        <v>聲寶</v>
      </c>
      <c r="C558" s="12" t="str">
        <f ca="1">IFERROR(__xludf.DUMMYFUNCTION("""COMPUTED_VALUE"""),"聲寶")</f>
        <v>聲寶</v>
      </c>
      <c r="D558" s="12" t="str">
        <f ca="1">IFERROR(__xludf.DUMMYFUNCTION("""COMPUTED_VALUE"""),"聲寶 3~5坪1級變頻右吹窗型冷氣 AW-PF22D")</f>
        <v>聲寶 3~5坪1級變頻右吹窗型冷氣 AW-PF22D</v>
      </c>
      <c r="E558" s="12" t="str">
        <f ca="1">IFERROR(__xludf.DUMMYFUNCTION("""COMPUTED_VALUE"""),"AW-PF22D")</f>
        <v>AW-PF22D</v>
      </c>
      <c r="F558" s="12">
        <f ca="1">IFERROR(__xludf.DUMMYFUNCTION("""COMPUTED_VALUE"""),51001227)</f>
        <v>51001227</v>
      </c>
      <c r="G558" s="12" t="str">
        <f ca="1">IFERROR(__xludf.DUMMYFUNCTION("""COMPUTED_VALUE"""),"IGEM077Z")</f>
        <v>IGEM077Z</v>
      </c>
      <c r="H558" s="13">
        <f ca="1">IFERROR(__xludf.DUMMYFUNCTION("""COMPUTED_VALUE"""),20500)</f>
        <v>20500</v>
      </c>
      <c r="I558" s="14">
        <f ca="1">IFERROR(__xludf.DUMMYFUNCTION("""COMPUTED_VALUE"""),18000)</f>
        <v>18000</v>
      </c>
      <c r="J558" s="16">
        <f ca="1">IFERROR(__xludf.DUMMYFUNCTION("""COMPUTED_VALUE"""),45658)</f>
        <v>45658</v>
      </c>
      <c r="K558" s="12" t="str">
        <f ca="1">IFERROR(__xludf.DUMMYFUNCTION("""COMPUTED_VALUE"""),"永久降價")</f>
        <v>永久降價</v>
      </c>
      <c r="L558" s="12" t="str">
        <f ca="1">IFERROR(__xludf.DUMMYFUNCTION("""COMPUTED_VALUE"""),"上架中")</f>
        <v>上架中</v>
      </c>
      <c r="M558" s="12" t="str">
        <f ca="1">IFERROR(__xludf.DUMMYFUNCTION("""COMPUTED_VALUE"""),"2025/1/1調降、2024/1/30正常供貨、2023/5/1-6/30短促、2023/3/15新機上架")</f>
        <v>2025/1/1調降、2024/1/30正常供貨、2023/5/1-6/30短促、2023/3/15新機上架</v>
      </c>
      <c r="N558" s="12" t="str">
        <f ca="1">IFERROR(__xludf.DUMMYFUNCTION("""COMPUTED_VALUE"""),"窗型變頻冷專")</f>
        <v>窗型變頻冷專</v>
      </c>
      <c r="O558" s="12" t="str">
        <f ca="1">IFERROR(__xludf.DUMMYFUNCTION("""COMPUTED_VALUE"""),"白")</f>
        <v>白</v>
      </c>
      <c r="P558" s="12" t="str">
        <f ca="1">IFERROR(__xludf.DUMMYFUNCTION("""COMPUTED_VALUE"""),"3-5坪")</f>
        <v>3-5坪</v>
      </c>
      <c r="Q558" s="23" t="str">
        <f ca="1">IFERROR(__xludf.DUMMYFUNCTION("""COMPUTED_VALUE"""),"350*451*675mm")</f>
        <v>350*451*675mm</v>
      </c>
      <c r="R558" s="12" t="str">
        <f ca="1">IFERROR(__xludf.DUMMYFUNCTION("""COMPUTED_VALUE"""),"台灣")</f>
        <v>台灣</v>
      </c>
      <c r="S558" s="12" t="str">
        <f ca="1">IFERROR(__xludf.DUMMYFUNCTION("""COMPUTED_VALUE"""),"V")</f>
        <v>V</v>
      </c>
      <c r="T558" s="12" t="str">
        <f ca="1">IFERROR(__xludf.DUMMYFUNCTION("""COMPUTED_VALUE"""),"1級能效")</f>
        <v>1級能效</v>
      </c>
      <c r="U558" s="12" t="str">
        <f ca="1">IFERROR(__xludf.DUMMYFUNCTION("""COMPUTED_VALUE"""),"上網登錄享7年")</f>
        <v>上網登錄享7年</v>
      </c>
      <c r="V558" s="12" t="str">
        <f ca="1">IFERROR(__xludf.DUMMYFUNCTION("""COMPUTED_VALUE"""),"10年")</f>
        <v>10年</v>
      </c>
      <c r="W558"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58" s="12"/>
      <c r="Y558" s="12">
        <f ca="1">IFERROR(__xludf.DUMMYFUNCTION("""COMPUTED_VALUE"""),2.2)</f>
        <v>2.2000000000000002</v>
      </c>
      <c r="Z558" s="14">
        <f ca="1">IFERROR(__xludf.DUMMYFUNCTION("""COMPUTED_VALUE"""),1600)</f>
        <v>1600</v>
      </c>
      <c r="AA558" s="15" t="str">
        <f ca="1">IFERROR(__xludf.DUMMYFUNCTION("""COMPUTED_VALUE"""),"*R32環保冷媒*全系列一級能效*1+1清淨濾網(HEPA濾網+奈米光觸媒)*窄身設計重量更輕 靈活安裝*強化防鏽設計*我的最愛液晶無線遙控*全系列台灣製造")</f>
        <v>*R32環保冷媒*全系列一級能效*1+1清淨濾網(HEPA濾網+奈米光觸媒)*窄身設計重量更輕 靈活安裝*強化防鏽設計*我的最愛液晶無線遙控*全系列台灣製造</v>
      </c>
    </row>
    <row r="559" spans="1:27" ht="19.5" customHeight="1">
      <c r="A559" s="12" t="str">
        <f ca="1">IFERROR(__xludf.DUMMYFUNCTION("""COMPUTED_VALUE"""),"空調")</f>
        <v>空調</v>
      </c>
      <c r="B559" s="12" t="str">
        <f ca="1">IFERROR(__xludf.DUMMYFUNCTION("""COMPUTED_VALUE"""),"聲寶")</f>
        <v>聲寶</v>
      </c>
      <c r="C559" s="12" t="str">
        <f ca="1">IFERROR(__xludf.DUMMYFUNCTION("""COMPUTED_VALUE"""),"聲寶")</f>
        <v>聲寶</v>
      </c>
      <c r="D559" s="12" t="str">
        <f ca="1">IFERROR(__xludf.DUMMYFUNCTION("""COMPUTED_VALUE"""),"聲寶 4~6坪1級變頻右吹窗型冷氣 AW-PF28D")</f>
        <v>聲寶 4~6坪1級變頻右吹窗型冷氣 AW-PF28D</v>
      </c>
      <c r="E559" s="12" t="str">
        <f ca="1">IFERROR(__xludf.DUMMYFUNCTION("""COMPUTED_VALUE"""),"AW-PF28D")</f>
        <v>AW-PF28D</v>
      </c>
      <c r="F559" s="12">
        <f ca="1">IFERROR(__xludf.DUMMYFUNCTION("""COMPUTED_VALUE"""),51001228)</f>
        <v>51001228</v>
      </c>
      <c r="G559" s="12" t="str">
        <f ca="1">IFERROR(__xludf.DUMMYFUNCTION("""COMPUTED_VALUE"""),"IGEM0781")</f>
        <v>IGEM0781</v>
      </c>
      <c r="H559" s="13">
        <f ca="1">IFERROR(__xludf.DUMMYFUNCTION("""COMPUTED_VALUE"""),24000)</f>
        <v>24000</v>
      </c>
      <c r="I559" s="14">
        <f ca="1">IFERROR(__xludf.DUMMYFUNCTION("""COMPUTED_VALUE"""),20600)</f>
        <v>20600</v>
      </c>
      <c r="J559" s="16">
        <f ca="1">IFERROR(__xludf.DUMMYFUNCTION("""COMPUTED_VALUE"""),45658)</f>
        <v>45658</v>
      </c>
      <c r="K559" s="12" t="str">
        <f ca="1">IFERROR(__xludf.DUMMYFUNCTION("""COMPUTED_VALUE"""),"永久降價")</f>
        <v>永久降價</v>
      </c>
      <c r="L559" s="12" t="str">
        <f ca="1">IFERROR(__xludf.DUMMYFUNCTION("""COMPUTED_VALUE"""),"上架中")</f>
        <v>上架中</v>
      </c>
      <c r="M559" s="12" t="str">
        <f ca="1">IFERROR(__xludf.DUMMYFUNCTION("""COMPUTED_VALUE"""),"2025/1/1調降、2024/1/30正常供貨、2023/5/1-6/30短促、2023/3/15新機上架")</f>
        <v>2025/1/1調降、2024/1/30正常供貨、2023/5/1-6/30短促、2023/3/15新機上架</v>
      </c>
      <c r="N559" s="12" t="str">
        <f ca="1">IFERROR(__xludf.DUMMYFUNCTION("""COMPUTED_VALUE"""),"窗型變頻冷專")</f>
        <v>窗型變頻冷專</v>
      </c>
      <c r="O559" s="12" t="str">
        <f ca="1">IFERROR(__xludf.DUMMYFUNCTION("""COMPUTED_VALUE"""),"白")</f>
        <v>白</v>
      </c>
      <c r="P559" s="12" t="str">
        <f ca="1">IFERROR(__xludf.DUMMYFUNCTION("""COMPUTED_VALUE"""),"4-6坪")</f>
        <v>4-6坪</v>
      </c>
      <c r="Q559" s="23" t="str">
        <f ca="1">IFERROR(__xludf.DUMMYFUNCTION("""COMPUTED_VALUE"""),"350*451*675mm")</f>
        <v>350*451*675mm</v>
      </c>
      <c r="R559" s="12" t="str">
        <f ca="1">IFERROR(__xludf.DUMMYFUNCTION("""COMPUTED_VALUE"""),"台灣")</f>
        <v>台灣</v>
      </c>
      <c r="S559" s="12" t="str">
        <f ca="1">IFERROR(__xludf.DUMMYFUNCTION("""COMPUTED_VALUE"""),"V")</f>
        <v>V</v>
      </c>
      <c r="T559" s="12" t="str">
        <f ca="1">IFERROR(__xludf.DUMMYFUNCTION("""COMPUTED_VALUE"""),"1級能效")</f>
        <v>1級能效</v>
      </c>
      <c r="U559" s="12" t="str">
        <f ca="1">IFERROR(__xludf.DUMMYFUNCTION("""COMPUTED_VALUE"""),"上網登錄享7年")</f>
        <v>上網登錄享7年</v>
      </c>
      <c r="V559" s="12" t="str">
        <f ca="1">IFERROR(__xludf.DUMMYFUNCTION("""COMPUTED_VALUE"""),"10年")</f>
        <v>10年</v>
      </c>
      <c r="W559"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59" s="12"/>
      <c r="Y559" s="12">
        <f ca="1">IFERROR(__xludf.DUMMYFUNCTION("""COMPUTED_VALUE"""),3)</f>
        <v>3</v>
      </c>
      <c r="Z559" s="14">
        <f ca="1">IFERROR(__xludf.DUMMYFUNCTION("""COMPUTED_VALUE"""),1600)</f>
        <v>1600</v>
      </c>
      <c r="AA559" s="15" t="str">
        <f ca="1">IFERROR(__xludf.DUMMYFUNCTION("""COMPUTED_VALUE"""),"*R32環保冷媒*全系列一級能效*1+1清淨濾網(HEPA濾網+奈米光觸媒)*窄身設計重量更輕 靈活安裝*強化防鏽設計*我的最愛液晶無線遙控*全系列台灣製造")</f>
        <v>*R32環保冷媒*全系列一級能效*1+1清淨濾網(HEPA濾網+奈米光觸媒)*窄身設計重量更輕 靈活安裝*強化防鏽設計*我的最愛液晶無線遙控*全系列台灣製造</v>
      </c>
    </row>
    <row r="560" spans="1:27" ht="19.5" customHeight="1">
      <c r="A560" s="12" t="str">
        <f ca="1">IFERROR(__xludf.DUMMYFUNCTION("""COMPUTED_VALUE"""),"空調")</f>
        <v>空調</v>
      </c>
      <c r="B560" s="12" t="str">
        <f ca="1">IFERROR(__xludf.DUMMYFUNCTION("""COMPUTED_VALUE"""),"聲寶")</f>
        <v>聲寶</v>
      </c>
      <c r="C560" s="12" t="str">
        <f ca="1">IFERROR(__xludf.DUMMYFUNCTION("""COMPUTED_VALUE"""),"聲寶")</f>
        <v>聲寶</v>
      </c>
      <c r="D560" s="12" t="str">
        <f ca="1">IFERROR(__xludf.DUMMYFUNCTION("""COMPUTED_VALUE"""),"聲寶 5~7坪1級變頻右吹窗型冷氣 AW-PF36D")</f>
        <v>聲寶 5~7坪1級變頻右吹窗型冷氣 AW-PF36D</v>
      </c>
      <c r="E560" s="12" t="str">
        <f ca="1">IFERROR(__xludf.DUMMYFUNCTION("""COMPUTED_VALUE"""),"AW-PF36D")</f>
        <v>AW-PF36D</v>
      </c>
      <c r="F560" s="12">
        <f ca="1">IFERROR(__xludf.DUMMYFUNCTION("""COMPUTED_VALUE"""),51001229)</f>
        <v>51001229</v>
      </c>
      <c r="G560" s="12" t="str">
        <f ca="1">IFERROR(__xludf.DUMMYFUNCTION("""COMPUTED_VALUE"""),"IGEM0782")</f>
        <v>IGEM0782</v>
      </c>
      <c r="H560" s="13">
        <f ca="1">IFERROR(__xludf.DUMMYFUNCTION("""COMPUTED_VALUE"""),30400)</f>
        <v>30400</v>
      </c>
      <c r="I560" s="14">
        <f ca="1">IFERROR(__xludf.DUMMYFUNCTION("""COMPUTED_VALUE"""),25590)</f>
        <v>25590</v>
      </c>
      <c r="J560" s="16">
        <f ca="1">IFERROR(__xludf.DUMMYFUNCTION("""COMPUTED_VALUE"""),45658)</f>
        <v>45658</v>
      </c>
      <c r="K560" s="12" t="str">
        <f ca="1">IFERROR(__xludf.DUMMYFUNCTION("""COMPUTED_VALUE"""),"永久降價")</f>
        <v>永久降價</v>
      </c>
      <c r="L560" s="12" t="str">
        <f ca="1">IFERROR(__xludf.DUMMYFUNCTION("""COMPUTED_VALUE"""),"上架中")</f>
        <v>上架中</v>
      </c>
      <c r="M560" s="12" t="str">
        <f ca="1">IFERROR(__xludf.DUMMYFUNCTION("""COMPUTED_VALUE"""),"2025/1/1調降、2024/1/30正常供貨、5/5缺貨。2023/5/1-6/30短促、2023/3/15新機上架")</f>
        <v>2025/1/1調降、2024/1/30正常供貨、5/5缺貨。2023/5/1-6/30短促、2023/3/15新機上架</v>
      </c>
      <c r="N560" s="12" t="str">
        <f ca="1">IFERROR(__xludf.DUMMYFUNCTION("""COMPUTED_VALUE"""),"窗型變頻冷專")</f>
        <v>窗型變頻冷專</v>
      </c>
      <c r="O560" s="12" t="str">
        <f ca="1">IFERROR(__xludf.DUMMYFUNCTION("""COMPUTED_VALUE"""),"白")</f>
        <v>白</v>
      </c>
      <c r="P560" s="12" t="str">
        <f ca="1">IFERROR(__xludf.DUMMYFUNCTION("""COMPUTED_VALUE"""),"5-7坪")</f>
        <v>5-7坪</v>
      </c>
      <c r="Q560" s="23" t="str">
        <f ca="1">IFERROR(__xludf.DUMMYFUNCTION("""COMPUTED_VALUE"""),"350*451*675mm")</f>
        <v>350*451*675mm</v>
      </c>
      <c r="R560" s="12" t="str">
        <f ca="1">IFERROR(__xludf.DUMMYFUNCTION("""COMPUTED_VALUE"""),"台灣")</f>
        <v>台灣</v>
      </c>
      <c r="S560" s="12" t="str">
        <f ca="1">IFERROR(__xludf.DUMMYFUNCTION("""COMPUTED_VALUE"""),"V")</f>
        <v>V</v>
      </c>
      <c r="T560" s="12" t="str">
        <f ca="1">IFERROR(__xludf.DUMMYFUNCTION("""COMPUTED_VALUE"""),"1級能效")</f>
        <v>1級能效</v>
      </c>
      <c r="U560" s="12" t="str">
        <f ca="1">IFERROR(__xludf.DUMMYFUNCTION("""COMPUTED_VALUE"""),"上網登錄享7年")</f>
        <v>上網登錄享7年</v>
      </c>
      <c r="V560" s="12" t="str">
        <f ca="1">IFERROR(__xludf.DUMMYFUNCTION("""COMPUTED_VALUE"""),"10年")</f>
        <v>10年</v>
      </c>
      <c r="W560"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0" s="12"/>
      <c r="Y560" s="12">
        <f ca="1">IFERROR(__xludf.DUMMYFUNCTION("""COMPUTED_VALUE"""),3.6)</f>
        <v>3.6</v>
      </c>
      <c r="Z560" s="14" t="str">
        <f ca="1">IFERROR(__xludf.DUMMYFUNCTION("""COMPUTED_VALUE"""),"2000")</f>
        <v>2000</v>
      </c>
      <c r="AA560" s="15" t="str">
        <f ca="1">IFERROR(__xludf.DUMMYFUNCTION("""COMPUTED_VALUE"""),"*R32環保冷媒*全系列一級能效*1+1清淨濾網(HEPA濾網+奈米光觸媒)*窄身設計重量更輕 靈活安裝*強化防鏽設計*我的最愛液晶無線遙控*全系列台灣製造")</f>
        <v>*R32環保冷媒*全系列一級能效*1+1清淨濾網(HEPA濾網+奈米光觸媒)*窄身設計重量更輕 靈活安裝*強化防鏽設計*我的最愛液晶無線遙控*全系列台灣製造</v>
      </c>
    </row>
    <row r="561" spans="1:27" ht="19.5" customHeight="1">
      <c r="A561" s="12" t="str">
        <f ca="1">IFERROR(__xludf.DUMMYFUNCTION("""COMPUTED_VALUE"""),"空調")</f>
        <v>空調</v>
      </c>
      <c r="B561" s="12" t="str">
        <f ca="1">IFERROR(__xludf.DUMMYFUNCTION("""COMPUTED_VALUE"""),"聲寶")</f>
        <v>聲寶</v>
      </c>
      <c r="C561" s="12" t="str">
        <f ca="1">IFERROR(__xludf.DUMMYFUNCTION("""COMPUTED_VALUE"""),"聲寶")</f>
        <v>聲寶</v>
      </c>
      <c r="D561" s="12" t="str">
        <f ca="1">IFERROR(__xludf.DUMMYFUNCTION("""COMPUTED_VALUE"""),"聲寶 6~8坪1級變頻右吹窗型冷氣 AW-PF41D")</f>
        <v>聲寶 6~8坪1級變頻右吹窗型冷氣 AW-PF41D</v>
      </c>
      <c r="E561" s="12" t="str">
        <f ca="1">IFERROR(__xludf.DUMMYFUNCTION("""COMPUTED_VALUE"""),"AW-PF41D")</f>
        <v>AW-PF41D</v>
      </c>
      <c r="F561" s="12">
        <f ca="1">IFERROR(__xludf.DUMMYFUNCTION("""COMPUTED_VALUE"""),51001230)</f>
        <v>51001230</v>
      </c>
      <c r="G561" s="12" t="str">
        <f ca="1">IFERROR(__xludf.DUMMYFUNCTION("""COMPUTED_VALUE"""),"IGEM0783")</f>
        <v>IGEM0783</v>
      </c>
      <c r="H561" s="13">
        <f ca="1">IFERROR(__xludf.DUMMYFUNCTION("""COMPUTED_VALUE"""),34300)</f>
        <v>34300</v>
      </c>
      <c r="I561" s="14">
        <f ca="1">IFERROR(__xludf.DUMMYFUNCTION("""COMPUTED_VALUE"""),27100)</f>
        <v>27100</v>
      </c>
      <c r="J561" s="16">
        <f ca="1">IFERROR(__xludf.DUMMYFUNCTION("""COMPUTED_VALUE"""),45658)</f>
        <v>45658</v>
      </c>
      <c r="K561" s="12" t="str">
        <f ca="1">IFERROR(__xludf.DUMMYFUNCTION("""COMPUTED_VALUE"""),"永久降價")</f>
        <v>永久降價</v>
      </c>
      <c r="L561" s="12" t="str">
        <f ca="1">IFERROR(__xludf.DUMMYFUNCTION("""COMPUTED_VALUE"""),"上架中")</f>
        <v>上架中</v>
      </c>
      <c r="M561" s="12" t="str">
        <f ca="1">IFERROR(__xludf.DUMMYFUNCTION("""COMPUTED_VALUE"""),"2025/1/1調降、2023/5/1-6/30短促、2023/3/15新機上架")</f>
        <v>2025/1/1調降、2023/5/1-6/30短促、2023/3/15新機上架</v>
      </c>
      <c r="N561" s="12" t="str">
        <f ca="1">IFERROR(__xludf.DUMMYFUNCTION("""COMPUTED_VALUE"""),"窗型變頻冷專")</f>
        <v>窗型變頻冷專</v>
      </c>
      <c r="O561" s="12" t="str">
        <f ca="1">IFERROR(__xludf.DUMMYFUNCTION("""COMPUTED_VALUE"""),"白")</f>
        <v>白</v>
      </c>
      <c r="P561" s="12" t="str">
        <f ca="1">IFERROR(__xludf.DUMMYFUNCTION("""COMPUTED_VALUE"""),"6-8坪")</f>
        <v>6-8坪</v>
      </c>
      <c r="Q561" s="23" t="str">
        <f ca="1">IFERROR(__xludf.DUMMYFUNCTION("""COMPUTED_VALUE"""),"428*660*780mm")</f>
        <v>428*660*780mm</v>
      </c>
      <c r="R561" s="12" t="str">
        <f ca="1">IFERROR(__xludf.DUMMYFUNCTION("""COMPUTED_VALUE"""),"台灣")</f>
        <v>台灣</v>
      </c>
      <c r="S561" s="12" t="str">
        <f ca="1">IFERROR(__xludf.DUMMYFUNCTION("""COMPUTED_VALUE"""),"V")</f>
        <v>V</v>
      </c>
      <c r="T561" s="12" t="str">
        <f ca="1">IFERROR(__xludf.DUMMYFUNCTION("""COMPUTED_VALUE"""),"1級能效")</f>
        <v>1級能效</v>
      </c>
      <c r="U561" s="12" t="str">
        <f ca="1">IFERROR(__xludf.DUMMYFUNCTION("""COMPUTED_VALUE"""),"上網登錄享7年")</f>
        <v>上網登錄享7年</v>
      </c>
      <c r="V561" s="12" t="str">
        <f ca="1">IFERROR(__xludf.DUMMYFUNCTION("""COMPUTED_VALUE"""),"10年")</f>
        <v>10年</v>
      </c>
      <c r="W561"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1" s="12"/>
      <c r="Y561" s="12">
        <f ca="1">IFERROR(__xludf.DUMMYFUNCTION("""COMPUTED_VALUE"""),4.2)</f>
        <v>4.2</v>
      </c>
      <c r="Z561" s="14" t="str">
        <f ca="1">IFERROR(__xludf.DUMMYFUNCTION("""COMPUTED_VALUE"""),"2000")</f>
        <v>2000</v>
      </c>
      <c r="AA561" s="15" t="str">
        <f ca="1">IFERROR(__xludf.DUMMYFUNCTION("""COMPUTED_VALUE"""),"*R32環保冷媒*全系列一級能效*1+1清淨濾網(HEPA濾網+奈米光觸媒)*窄身設計重量更輕 靈活安裝*強化防鏽設計*我的最愛液晶無線遙控*全系列台灣製造")</f>
        <v>*R32環保冷媒*全系列一級能效*1+1清淨濾網(HEPA濾網+奈米光觸媒)*窄身設計重量更輕 靈活安裝*強化防鏽設計*我的最愛液晶無線遙控*全系列台灣製造</v>
      </c>
    </row>
    <row r="562" spans="1:27" ht="19.5" customHeight="1">
      <c r="A562" s="12" t="str">
        <f ca="1">IFERROR(__xludf.DUMMYFUNCTION("""COMPUTED_VALUE"""),"空調")</f>
        <v>空調</v>
      </c>
      <c r="B562" s="12" t="str">
        <f ca="1">IFERROR(__xludf.DUMMYFUNCTION("""COMPUTED_VALUE"""),"聲寶")</f>
        <v>聲寶</v>
      </c>
      <c r="C562" s="12" t="str">
        <f ca="1">IFERROR(__xludf.DUMMYFUNCTION("""COMPUTED_VALUE"""),"聲寶")</f>
        <v>聲寶</v>
      </c>
      <c r="D562" s="12" t="str">
        <f ca="1">IFERROR(__xludf.DUMMYFUNCTION("""COMPUTED_VALUE"""),"聲寶 8~11坪1級變頻右吹窗型冷氣 AW-PF50D")</f>
        <v>聲寶 8~11坪1級變頻右吹窗型冷氣 AW-PF50D</v>
      </c>
      <c r="E562" s="12" t="str">
        <f ca="1">IFERROR(__xludf.DUMMYFUNCTION("""COMPUTED_VALUE"""),"AW-PF50D")</f>
        <v>AW-PF50D</v>
      </c>
      <c r="F562" s="12">
        <f ca="1">IFERROR(__xludf.DUMMYFUNCTION("""COMPUTED_VALUE"""),51001231)</f>
        <v>51001231</v>
      </c>
      <c r="G562" s="12" t="str">
        <f ca="1">IFERROR(__xludf.DUMMYFUNCTION("""COMPUTED_VALUE"""),"IGEM0784")</f>
        <v>IGEM0784</v>
      </c>
      <c r="H562" s="13">
        <f ca="1">IFERROR(__xludf.DUMMYFUNCTION("""COMPUTED_VALUE"""),38400)</f>
        <v>38400</v>
      </c>
      <c r="I562" s="14">
        <f ca="1">IFERROR(__xludf.DUMMYFUNCTION("""COMPUTED_VALUE"""),31400)</f>
        <v>31400</v>
      </c>
      <c r="J562" s="16">
        <f ca="1">IFERROR(__xludf.DUMMYFUNCTION("""COMPUTED_VALUE"""),45658)</f>
        <v>45658</v>
      </c>
      <c r="K562" s="12" t="str">
        <f ca="1">IFERROR(__xludf.DUMMYFUNCTION("""COMPUTED_VALUE"""),"永久降價")</f>
        <v>永久降價</v>
      </c>
      <c r="L562" s="12" t="str">
        <f ca="1">IFERROR(__xludf.DUMMYFUNCTION("""COMPUTED_VALUE"""),"上架中")</f>
        <v>上架中</v>
      </c>
      <c r="M562" s="12" t="str">
        <f ca="1">IFERROR(__xludf.DUMMYFUNCTION("""COMPUTED_VALUE"""),"2025/1/1調降、2023/5/1-6/30短促、2023/3/15新機上架")</f>
        <v>2025/1/1調降、2023/5/1-6/30短促、2023/3/15新機上架</v>
      </c>
      <c r="N562" s="12" t="str">
        <f ca="1">IFERROR(__xludf.DUMMYFUNCTION("""COMPUTED_VALUE"""),"窗型變頻冷專")</f>
        <v>窗型變頻冷專</v>
      </c>
      <c r="O562" s="12" t="str">
        <f ca="1">IFERROR(__xludf.DUMMYFUNCTION("""COMPUTED_VALUE"""),"白")</f>
        <v>白</v>
      </c>
      <c r="P562" s="12" t="str">
        <f ca="1">IFERROR(__xludf.DUMMYFUNCTION("""COMPUTED_VALUE"""),"8-11坪")</f>
        <v>8-11坪</v>
      </c>
      <c r="Q562" s="23" t="str">
        <f ca="1">IFERROR(__xludf.DUMMYFUNCTION("""COMPUTED_VALUE"""),"428*660*780mm")</f>
        <v>428*660*780mm</v>
      </c>
      <c r="R562" s="12" t="str">
        <f ca="1">IFERROR(__xludf.DUMMYFUNCTION("""COMPUTED_VALUE"""),"台灣")</f>
        <v>台灣</v>
      </c>
      <c r="S562" s="12" t="str">
        <f ca="1">IFERROR(__xludf.DUMMYFUNCTION("""COMPUTED_VALUE"""),"V")</f>
        <v>V</v>
      </c>
      <c r="T562" s="12" t="str">
        <f ca="1">IFERROR(__xludf.DUMMYFUNCTION("""COMPUTED_VALUE"""),"1級能效")</f>
        <v>1級能效</v>
      </c>
      <c r="U562" s="12" t="str">
        <f ca="1">IFERROR(__xludf.DUMMYFUNCTION("""COMPUTED_VALUE"""),"上網登錄享7年")</f>
        <v>上網登錄享7年</v>
      </c>
      <c r="V562" s="12" t="str">
        <f ca="1">IFERROR(__xludf.DUMMYFUNCTION("""COMPUTED_VALUE"""),"10年")</f>
        <v>10年</v>
      </c>
      <c r="W562"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2" s="12"/>
      <c r="Y562" s="12">
        <f ca="1">IFERROR(__xludf.DUMMYFUNCTION("""COMPUTED_VALUE"""),5.5)</f>
        <v>5.5</v>
      </c>
      <c r="Z562" s="14" t="str">
        <f ca="1">IFERROR(__xludf.DUMMYFUNCTION("""COMPUTED_VALUE"""),"2000")</f>
        <v>2000</v>
      </c>
      <c r="AA562" s="15" t="str">
        <f ca="1">IFERROR(__xludf.DUMMYFUNCTION("""COMPUTED_VALUE"""),"*R32環保冷媒*全系列一級能效*1+1清淨濾網(HEPA濾網+奈米光觸媒)*窄身設計重量更輕 靈活安裝*強化防鏽設計*我的最愛液晶無線遙控*全系列台灣製造")</f>
        <v>*R32環保冷媒*全系列一級能效*1+1清淨濾網(HEPA濾網+奈米光觸媒)*窄身設計重量更輕 靈活安裝*強化防鏽設計*我的最愛液晶無線遙控*全系列台灣製造</v>
      </c>
    </row>
    <row r="563" spans="1:27" ht="19.5" customHeight="1">
      <c r="A563" s="12" t="str">
        <f ca="1">IFERROR(__xludf.DUMMYFUNCTION("""COMPUTED_VALUE"""),"空調")</f>
        <v>空調</v>
      </c>
      <c r="B563" s="12" t="str">
        <f ca="1">IFERROR(__xludf.DUMMYFUNCTION("""COMPUTED_VALUE"""),"聲寶")</f>
        <v>聲寶</v>
      </c>
      <c r="C563" s="12" t="str">
        <f ca="1">IFERROR(__xludf.DUMMYFUNCTION("""COMPUTED_VALUE"""),"聲寶")</f>
        <v>聲寶</v>
      </c>
      <c r="D563" s="12" t="str">
        <f ca="1">IFERROR(__xludf.DUMMYFUNCTION("""COMPUTED_VALUE"""),"聲寶 9~12坪1級變頻右吹窗型冷氣 AW-PF65D")</f>
        <v>聲寶 9~12坪1級變頻右吹窗型冷氣 AW-PF65D</v>
      </c>
      <c r="E563" s="12" t="str">
        <f ca="1">IFERROR(__xludf.DUMMYFUNCTION("""COMPUTED_VALUE"""),"AW-PF65D")</f>
        <v>AW-PF65D</v>
      </c>
      <c r="F563" s="12">
        <f ca="1">IFERROR(__xludf.DUMMYFUNCTION("""COMPUTED_VALUE"""),51001232)</f>
        <v>51001232</v>
      </c>
      <c r="G563" s="12" t="str">
        <f ca="1">IFERROR(__xludf.DUMMYFUNCTION("""COMPUTED_VALUE"""),"IGEM0785")</f>
        <v>IGEM0785</v>
      </c>
      <c r="H563" s="13">
        <f ca="1">IFERROR(__xludf.DUMMYFUNCTION("""COMPUTED_VALUE"""),44400)</f>
        <v>44400</v>
      </c>
      <c r="I563" s="14">
        <f ca="1">IFERROR(__xludf.DUMMYFUNCTION("""COMPUTED_VALUE"""),37000)</f>
        <v>37000</v>
      </c>
      <c r="J563" s="16">
        <f ca="1">IFERROR(__xludf.DUMMYFUNCTION("""COMPUTED_VALUE"""),45658)</f>
        <v>45658</v>
      </c>
      <c r="K563" s="12" t="str">
        <f ca="1">IFERROR(__xludf.DUMMYFUNCTION("""COMPUTED_VALUE"""),"永久降價")</f>
        <v>永久降價</v>
      </c>
      <c r="L563" s="12" t="str">
        <f ca="1">IFERROR(__xludf.DUMMYFUNCTION("""COMPUTED_VALUE"""),"缺貨")</f>
        <v>缺貨</v>
      </c>
      <c r="M563" s="12" t="str">
        <f ca="1">IFERROR(__xludf.DUMMYFUNCTION("""COMPUTED_VALUE"""),"2025/1/1調降、2024/6/24短暫缺貨、2023/5/1-6/30短促、2023/3/15新機上架")</f>
        <v>2025/1/1調降、2024/6/24短暫缺貨、2023/5/1-6/30短促、2023/3/15新機上架</v>
      </c>
      <c r="N563" s="12" t="str">
        <f ca="1">IFERROR(__xludf.DUMMYFUNCTION("""COMPUTED_VALUE"""),"窗型變頻冷專")</f>
        <v>窗型變頻冷專</v>
      </c>
      <c r="O563" s="12" t="str">
        <f ca="1">IFERROR(__xludf.DUMMYFUNCTION("""COMPUTED_VALUE"""),"白")</f>
        <v>白</v>
      </c>
      <c r="P563" s="12" t="str">
        <f ca="1">IFERROR(__xludf.DUMMYFUNCTION("""COMPUTED_VALUE"""),"9-12坪")</f>
        <v>9-12坪</v>
      </c>
      <c r="Q563" s="23" t="str">
        <f ca="1">IFERROR(__xludf.DUMMYFUNCTION("""COMPUTED_VALUE"""),"428*660*780mm")</f>
        <v>428*660*780mm</v>
      </c>
      <c r="R563" s="12" t="str">
        <f ca="1">IFERROR(__xludf.DUMMYFUNCTION("""COMPUTED_VALUE"""),"台灣")</f>
        <v>台灣</v>
      </c>
      <c r="S563" s="12" t="str">
        <f ca="1">IFERROR(__xludf.DUMMYFUNCTION("""COMPUTED_VALUE"""),"V")</f>
        <v>V</v>
      </c>
      <c r="T563" s="12" t="str">
        <f ca="1">IFERROR(__xludf.DUMMYFUNCTION("""COMPUTED_VALUE"""),"1級能效")</f>
        <v>1級能效</v>
      </c>
      <c r="U563" s="12" t="str">
        <f ca="1">IFERROR(__xludf.DUMMYFUNCTION("""COMPUTED_VALUE"""),"上網登錄享7年")</f>
        <v>上網登錄享7年</v>
      </c>
      <c r="V563" s="12" t="str">
        <f ca="1">IFERROR(__xludf.DUMMYFUNCTION("""COMPUTED_VALUE"""),"10年")</f>
        <v>10年</v>
      </c>
      <c r="W563"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3" s="12"/>
      <c r="Y563" s="12">
        <f ca="1">IFERROR(__xludf.DUMMYFUNCTION("""COMPUTED_VALUE"""),6.5)</f>
        <v>6.5</v>
      </c>
      <c r="Z563" s="14" t="str">
        <f ca="1">IFERROR(__xludf.DUMMYFUNCTION("""COMPUTED_VALUE"""),"2000")</f>
        <v>2000</v>
      </c>
      <c r="AA563" s="15" t="str">
        <f ca="1">IFERROR(__xludf.DUMMYFUNCTION("""COMPUTED_VALUE"""),"*R32環保冷媒*全系列一級能效*1+1清淨濾網(HEPA濾網+奈米光觸媒)*窄身設計重量更輕 靈活安裝*強化防鏽設計*我的最愛液晶無線遙控*全系列台灣製造")</f>
        <v>*R32環保冷媒*全系列一級能效*1+1清淨濾網(HEPA濾網+奈米光觸媒)*窄身設計重量更輕 靈活安裝*強化防鏽設計*我的最愛液晶無線遙控*全系列台灣製造</v>
      </c>
    </row>
    <row r="564" spans="1:27" ht="19.5" customHeight="1">
      <c r="A564" s="12" t="str">
        <f ca="1">IFERROR(__xludf.DUMMYFUNCTION("""COMPUTED_VALUE"""),"空調")</f>
        <v>空調</v>
      </c>
      <c r="B564" s="12" t="str">
        <f ca="1">IFERROR(__xludf.DUMMYFUNCTION("""COMPUTED_VALUE"""),"聲寶")</f>
        <v>聲寶</v>
      </c>
      <c r="C564" s="12" t="str">
        <f ca="1">IFERROR(__xludf.DUMMYFUNCTION("""COMPUTED_VALUE"""),"聲寶")</f>
        <v>聲寶</v>
      </c>
      <c r="D564" s="12" t="str">
        <f ca="1">IFERROR(__xludf.DUMMYFUNCTION("""COMPUTED_VALUE"""),"聲寶4-6坪R32一對一變頻分離式冷暖空調AM-PF28DC/AU-PF28DC")</f>
        <v>聲寶4-6坪R32一對一變頻分離式冷暖空調AM-PF28DC/AU-PF28DC</v>
      </c>
      <c r="E564" s="12" t="str">
        <f ca="1">IFERROR(__xludf.DUMMYFUNCTION("""COMPUTED_VALUE"""),"AM-PF28DC/AU-PF28DC")</f>
        <v>AM-PF28DC/AU-PF28DC</v>
      </c>
      <c r="F564" s="12">
        <f ca="1">IFERROR(__xludf.DUMMYFUNCTION("""COMPUTED_VALUE"""),51086213)</f>
        <v>51086213</v>
      </c>
      <c r="G564" s="12" t="str">
        <f ca="1">IFERROR(__xludf.DUMMYFUNCTION("""COMPUTED_VALUE"""),"IGEM056K")</f>
        <v>IGEM056K</v>
      </c>
      <c r="H564" s="12">
        <f ca="1">IFERROR(__xludf.DUMMYFUNCTION("""COMPUTED_VALUE"""),28400)</f>
        <v>28400</v>
      </c>
      <c r="I564" s="14">
        <f ca="1">IFERROR(__xludf.DUMMYFUNCTION("""COMPUTED_VALUE"""),22000)</f>
        <v>22000</v>
      </c>
      <c r="J564" s="16">
        <f ca="1">IFERROR(__xludf.DUMMYFUNCTION("""COMPUTED_VALUE"""),45689)</f>
        <v>45689</v>
      </c>
      <c r="K564" s="12" t="str">
        <f ca="1">IFERROR(__xludf.DUMMYFUNCTION("""COMPUTED_VALUE"""),"短促")</f>
        <v>短促</v>
      </c>
      <c r="L564" s="12" t="str">
        <f ca="1">IFERROR(__xludf.DUMMYFUNCTION("""COMPUTED_VALUE"""),"上架中")</f>
        <v>上架中</v>
      </c>
      <c r="M564" s="12" t="str">
        <f ca="1">IFERROR(__xludf.DUMMYFUNCTION("""COMPUTED_VALUE"""),"2/1-3/31短促、2025/1/1調降、2024/5/1-12/31現折、2023/7/1-12/31現折800元、2023/3/1短促再降價，2022/9/1短促，2022/3/1新機上架")</f>
        <v>2/1-3/31短促、2025/1/1調降、2024/5/1-12/31現折、2023/7/1-12/31現折800元、2023/3/1短促再降價，2022/9/1短促，2022/3/1新機上架</v>
      </c>
      <c r="N564" s="12" t="str">
        <f ca="1">IFERROR(__xludf.DUMMYFUNCTION("""COMPUTED_VALUE"""),"一對一變頻冷暖")</f>
        <v>一對一變頻冷暖</v>
      </c>
      <c r="O564" s="12" t="str">
        <f ca="1">IFERROR(__xludf.DUMMYFUNCTION("""COMPUTED_VALUE"""),"白色")</f>
        <v>白色</v>
      </c>
      <c r="P564" s="12" t="str">
        <f ca="1">IFERROR(__xludf.DUMMYFUNCTION("""COMPUTED_VALUE"""),"4-6坪")</f>
        <v>4-6坪</v>
      </c>
      <c r="Q564" s="12" t="str">
        <f ca="1">IFERROR(__xludf.DUMMYFUNCTION("""COMPUTED_VALUE"""),"室外機:540*780*260mm
室內機:276*816*220mm")</f>
        <v>室外機:540*780*260mm
室內機:276*816*220mm</v>
      </c>
      <c r="R564" s="12" t="str">
        <f ca="1">IFERROR(__xludf.DUMMYFUNCTION("""COMPUTED_VALUE"""),"台灣")</f>
        <v>台灣</v>
      </c>
      <c r="S564" s="12" t="str">
        <f ca="1">IFERROR(__xludf.DUMMYFUNCTION("""COMPUTED_VALUE"""),"V")</f>
        <v>V</v>
      </c>
      <c r="T564" s="12" t="str">
        <f ca="1">IFERROR(__xludf.DUMMYFUNCTION("""COMPUTED_VALUE"""),"1級能效")</f>
        <v>1級能效</v>
      </c>
      <c r="U564" s="12" t="str">
        <f ca="1">IFERROR(__xludf.DUMMYFUNCTION("""COMPUTED_VALUE"""),"7年")</f>
        <v>7年</v>
      </c>
      <c r="V564" s="12" t="str">
        <f ca="1">IFERROR(__xludf.DUMMYFUNCTION("""COMPUTED_VALUE"""),"10年")</f>
        <v>10年</v>
      </c>
      <c r="W564"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4" s="12"/>
      <c r="Y564" s="12">
        <f ca="1">IFERROR(__xludf.DUMMYFUNCTION("""COMPUTED_VALUE"""),2.8)</f>
        <v>2.8</v>
      </c>
      <c r="Z564" s="14">
        <f ca="1">IFERROR(__xludf.DUMMYFUNCTION("""COMPUTED_VALUE"""),1600)</f>
        <v>1600</v>
      </c>
      <c r="AA564" s="15" t="str">
        <f ca="1">IFERROR(__xludf.DUMMYFUNCTION("""COMPUTED_VALUE"""),"*R32環保冷媒全變頻*奈米光觸媒+HEPA濾網*PICOPURE水離子*強化防鏽設計*急凍雙洗淨*4D大方吹*搭配壁掛1級能效*好貼心液晶無線遙控")</f>
        <v>*R32環保冷媒全變頻*奈米光觸媒+HEPA濾網*PICOPURE水離子*強化防鏽設計*急凍雙洗淨*4D大方吹*搭配壁掛1級能效*好貼心液晶無線遙控</v>
      </c>
    </row>
    <row r="565" spans="1:27" ht="19.5" customHeight="1">
      <c r="A565" s="12" t="str">
        <f ca="1">IFERROR(__xludf.DUMMYFUNCTION("""COMPUTED_VALUE"""),"空調")</f>
        <v>空調</v>
      </c>
      <c r="B565" s="12" t="str">
        <f ca="1">IFERROR(__xludf.DUMMYFUNCTION("""COMPUTED_VALUE"""),"聲寶")</f>
        <v>聲寶</v>
      </c>
      <c r="C565" s="12" t="str">
        <f ca="1">IFERROR(__xludf.DUMMYFUNCTION("""COMPUTED_VALUE"""),"聲寶")</f>
        <v>聲寶</v>
      </c>
      <c r="D565" s="12" t="str">
        <f ca="1">IFERROR(__xludf.DUMMYFUNCTION("""COMPUTED_VALUE"""),"聲寶5-7坪R32一對一變頻分離式冷暖空調AM-PF36DC/AU-PF36DC")</f>
        <v>聲寶5-7坪R32一對一變頻分離式冷暖空調AM-PF36DC/AU-PF36DC</v>
      </c>
      <c r="E565" s="12" t="str">
        <f ca="1">IFERROR(__xludf.DUMMYFUNCTION("""COMPUTED_VALUE"""),"AM-PF36DC/AU-PF36DC")</f>
        <v>AM-PF36DC/AU-PF36DC</v>
      </c>
      <c r="F565" s="12">
        <f ca="1">IFERROR(__xludf.DUMMYFUNCTION("""COMPUTED_VALUE"""),51086214)</f>
        <v>51086214</v>
      </c>
      <c r="G565" s="12" t="str">
        <f ca="1">IFERROR(__xludf.DUMMYFUNCTION("""COMPUTED_VALUE"""),"IGEM056L")</f>
        <v>IGEM056L</v>
      </c>
      <c r="H565" s="12">
        <f ca="1">IFERROR(__xludf.DUMMYFUNCTION("""COMPUTED_VALUE"""),36000)</f>
        <v>36000</v>
      </c>
      <c r="I565" s="14">
        <f ca="1">IFERROR(__xludf.DUMMYFUNCTION("""COMPUTED_VALUE"""),27500)</f>
        <v>27500</v>
      </c>
      <c r="J565" s="16">
        <f ca="1">IFERROR(__xludf.DUMMYFUNCTION("""COMPUTED_VALUE"""),45689)</f>
        <v>45689</v>
      </c>
      <c r="K565" s="12" t="str">
        <f ca="1">IFERROR(__xludf.DUMMYFUNCTION("""COMPUTED_VALUE"""),"短促")</f>
        <v>短促</v>
      </c>
      <c r="L565" s="12" t="str">
        <f ca="1">IFERROR(__xludf.DUMMYFUNCTION("""COMPUTED_VALUE"""),"上架中")</f>
        <v>上架中</v>
      </c>
      <c r="M565" s="12" t="str">
        <f ca="1">IFERROR(__xludf.DUMMYFUNCTION("""COMPUTED_VALUE"""),"2/1-3/31短促、2025/1/1調降、2024/5/1-12/31現折、2023/7/1-12/31現折2060元、2023/3/1短促再降價，2022/9/1短促，2022/3/1新機上架")</f>
        <v>2/1-3/31短促、2025/1/1調降、2024/5/1-12/31現折、2023/7/1-12/31現折2060元、2023/3/1短促再降價，2022/9/1短促，2022/3/1新機上架</v>
      </c>
      <c r="N565" s="12" t="str">
        <f ca="1">IFERROR(__xludf.DUMMYFUNCTION("""COMPUTED_VALUE"""),"一對一變頻冷暖")</f>
        <v>一對一變頻冷暖</v>
      </c>
      <c r="O565" s="12" t="str">
        <f ca="1">IFERROR(__xludf.DUMMYFUNCTION("""COMPUTED_VALUE"""),"白色")</f>
        <v>白色</v>
      </c>
      <c r="P565" s="12" t="str">
        <f ca="1">IFERROR(__xludf.DUMMYFUNCTION("""COMPUTED_VALUE"""),"5-7坪")</f>
        <v>5-7坪</v>
      </c>
      <c r="Q565" s="12" t="str">
        <f ca="1">IFERROR(__xludf.DUMMYFUNCTION("""COMPUTED_VALUE"""),"室外機:540*780*260mm
室內機:276*816*220mm")</f>
        <v>室外機:540*780*260mm
室內機:276*816*220mm</v>
      </c>
      <c r="R565" s="12" t="str">
        <f ca="1">IFERROR(__xludf.DUMMYFUNCTION("""COMPUTED_VALUE"""),"台灣")</f>
        <v>台灣</v>
      </c>
      <c r="S565" s="12" t="str">
        <f ca="1">IFERROR(__xludf.DUMMYFUNCTION("""COMPUTED_VALUE"""),"V")</f>
        <v>V</v>
      </c>
      <c r="T565" s="12" t="str">
        <f ca="1">IFERROR(__xludf.DUMMYFUNCTION("""COMPUTED_VALUE"""),"1級能效")</f>
        <v>1級能效</v>
      </c>
      <c r="U565" s="12" t="str">
        <f ca="1">IFERROR(__xludf.DUMMYFUNCTION("""COMPUTED_VALUE"""),"7年")</f>
        <v>7年</v>
      </c>
      <c r="V565" s="12" t="str">
        <f ca="1">IFERROR(__xludf.DUMMYFUNCTION("""COMPUTED_VALUE"""),"10年")</f>
        <v>10年</v>
      </c>
      <c r="W565"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5" s="12"/>
      <c r="Y565" s="12">
        <f ca="1">IFERROR(__xludf.DUMMYFUNCTION("""COMPUTED_VALUE"""),3.6)</f>
        <v>3.6</v>
      </c>
      <c r="Z565" s="14" t="str">
        <f ca="1">IFERROR(__xludf.DUMMYFUNCTION("""COMPUTED_VALUE"""),"2000")</f>
        <v>2000</v>
      </c>
      <c r="AA565" s="15" t="str">
        <f ca="1">IFERROR(__xludf.DUMMYFUNCTION("""COMPUTED_VALUE"""),"*R32環保冷媒全變頻*奈米光觸媒+HEPA濾網*PICOPURE水離子*強化防鏽設計*急凍雙洗淨*4D大方吹*搭配壁掛1級能效*好貼心液晶無線遙控")</f>
        <v>*R32環保冷媒全變頻*奈米光觸媒+HEPA濾網*PICOPURE水離子*強化防鏽設計*急凍雙洗淨*4D大方吹*搭配壁掛1級能效*好貼心液晶無線遙控</v>
      </c>
    </row>
    <row r="566" spans="1:27" ht="19.5" customHeight="1">
      <c r="A566" s="12" t="str">
        <f ca="1">IFERROR(__xludf.DUMMYFUNCTION("""COMPUTED_VALUE"""),"空調")</f>
        <v>空調</v>
      </c>
      <c r="B566" s="12" t="str">
        <f ca="1">IFERROR(__xludf.DUMMYFUNCTION("""COMPUTED_VALUE"""),"聲寶")</f>
        <v>聲寶</v>
      </c>
      <c r="C566" s="12" t="str">
        <f ca="1">IFERROR(__xludf.DUMMYFUNCTION("""COMPUTED_VALUE"""),"聲寶")</f>
        <v>聲寶</v>
      </c>
      <c r="D566" s="12" t="str">
        <f ca="1">IFERROR(__xludf.DUMMYFUNCTION("""COMPUTED_VALUE"""),"聲寶6-8坪R32一對一變頻分離式冷暖空調AM-PF41DC/AU-PF41DC")</f>
        <v>聲寶6-8坪R32一對一變頻分離式冷暖空調AM-PF41DC/AU-PF41DC</v>
      </c>
      <c r="E566" s="12" t="str">
        <f ca="1">IFERROR(__xludf.DUMMYFUNCTION("""COMPUTED_VALUE"""),"AM-PF41DC/AU-PF41DC")</f>
        <v>AM-PF41DC/AU-PF41DC</v>
      </c>
      <c r="F566" s="12">
        <f ca="1">IFERROR(__xludf.DUMMYFUNCTION("""COMPUTED_VALUE"""),51086215)</f>
        <v>51086215</v>
      </c>
      <c r="G566" s="12" t="str">
        <f ca="1">IFERROR(__xludf.DUMMYFUNCTION("""COMPUTED_VALUE"""),"IGEM056M")</f>
        <v>IGEM056M</v>
      </c>
      <c r="H566" s="12">
        <f ca="1">IFERROR(__xludf.DUMMYFUNCTION("""COMPUTED_VALUE"""),38400)</f>
        <v>38400</v>
      </c>
      <c r="I566" s="14">
        <f ca="1">IFERROR(__xludf.DUMMYFUNCTION("""COMPUTED_VALUE"""),30400)</f>
        <v>30400</v>
      </c>
      <c r="J566" s="16">
        <f ca="1">IFERROR(__xludf.DUMMYFUNCTION("""COMPUTED_VALUE"""),45689)</f>
        <v>45689</v>
      </c>
      <c r="K566" s="12" t="str">
        <f ca="1">IFERROR(__xludf.DUMMYFUNCTION("""COMPUTED_VALUE"""),"短促")</f>
        <v>短促</v>
      </c>
      <c r="L566" s="12" t="str">
        <f ca="1">IFERROR(__xludf.DUMMYFUNCTION("""COMPUTED_VALUE"""),"上架中")</f>
        <v>上架中</v>
      </c>
      <c r="M566" s="12" t="str">
        <f ca="1">IFERROR(__xludf.DUMMYFUNCTION("""COMPUTED_VALUE"""),"2/1-3/31短促、2025/1/1調降、2024/5/1-12/31現折、2023/7/1-12/31現折1460元、2023/3/1短促再降價，2022/9/1短促，2022/3/1新機上架")</f>
        <v>2/1-3/31短促、2025/1/1調降、2024/5/1-12/31現折、2023/7/1-12/31現折1460元、2023/3/1短促再降價，2022/9/1短促，2022/3/1新機上架</v>
      </c>
      <c r="N566" s="12" t="str">
        <f ca="1">IFERROR(__xludf.DUMMYFUNCTION("""COMPUTED_VALUE"""),"一對一變頻冷暖")</f>
        <v>一對一變頻冷暖</v>
      </c>
      <c r="O566" s="12" t="str">
        <f ca="1">IFERROR(__xludf.DUMMYFUNCTION("""COMPUTED_VALUE"""),"白色")</f>
        <v>白色</v>
      </c>
      <c r="P566" s="12" t="str">
        <f ca="1">IFERROR(__xludf.DUMMYFUNCTION("""COMPUTED_VALUE"""),"6-8坪")</f>
        <v>6-8坪</v>
      </c>
      <c r="Q566" s="12" t="str">
        <f ca="1">IFERROR(__xludf.DUMMYFUNCTION("""COMPUTED_VALUE"""),"室外機:585*810*280mm
室內機:322*915*241mm")</f>
        <v>室外機:585*810*280mm
室內機:322*915*241mm</v>
      </c>
      <c r="R566" s="12" t="str">
        <f ca="1">IFERROR(__xludf.DUMMYFUNCTION("""COMPUTED_VALUE"""),"台灣")</f>
        <v>台灣</v>
      </c>
      <c r="S566" s="12" t="str">
        <f ca="1">IFERROR(__xludf.DUMMYFUNCTION("""COMPUTED_VALUE"""),"V")</f>
        <v>V</v>
      </c>
      <c r="T566" s="12" t="str">
        <f ca="1">IFERROR(__xludf.DUMMYFUNCTION("""COMPUTED_VALUE"""),"1級能效")</f>
        <v>1級能效</v>
      </c>
      <c r="U566" s="12" t="str">
        <f ca="1">IFERROR(__xludf.DUMMYFUNCTION("""COMPUTED_VALUE"""),"7年")</f>
        <v>7年</v>
      </c>
      <c r="V566" s="12" t="str">
        <f ca="1">IFERROR(__xludf.DUMMYFUNCTION("""COMPUTED_VALUE"""),"10年")</f>
        <v>10年</v>
      </c>
      <c r="W566"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6" s="12"/>
      <c r="Y566" s="12">
        <f ca="1">IFERROR(__xludf.DUMMYFUNCTION("""COMPUTED_VALUE"""),4.1)</f>
        <v>4.0999999999999996</v>
      </c>
      <c r="Z566" s="14" t="str">
        <f ca="1">IFERROR(__xludf.DUMMYFUNCTION("""COMPUTED_VALUE"""),"2000")</f>
        <v>2000</v>
      </c>
      <c r="AA566" s="15" t="str">
        <f ca="1">IFERROR(__xludf.DUMMYFUNCTION("""COMPUTED_VALUE"""),"*R32環保冷媒全變頻*奈米光觸媒+HEPA濾網*PICOPURE水離子*強化防鏽設計*急凍雙洗淨*4D大方吹*搭配壁掛1級能效*好貼心液晶無線遙控")</f>
        <v>*R32環保冷媒全變頻*奈米光觸媒+HEPA濾網*PICOPURE水離子*強化防鏽設計*急凍雙洗淨*4D大方吹*搭配壁掛1級能效*好貼心液晶無線遙控</v>
      </c>
    </row>
    <row r="567" spans="1:27" ht="19.5" customHeight="1">
      <c r="A567" s="12" t="str">
        <f ca="1">IFERROR(__xludf.DUMMYFUNCTION("""COMPUTED_VALUE"""),"空調")</f>
        <v>空調</v>
      </c>
      <c r="B567" s="12" t="str">
        <f ca="1">IFERROR(__xludf.DUMMYFUNCTION("""COMPUTED_VALUE"""),"聲寶")</f>
        <v>聲寶</v>
      </c>
      <c r="C567" s="12" t="str">
        <f ca="1">IFERROR(__xludf.DUMMYFUNCTION("""COMPUTED_VALUE"""),"聲寶")</f>
        <v>聲寶</v>
      </c>
      <c r="D567" s="12" t="str">
        <f ca="1">IFERROR(__xludf.DUMMYFUNCTION("""COMPUTED_VALUE"""),"聲寶8-10坪R32一對一變頻分離式冷暖空調AM-PF50DC/AU-PF50DC")</f>
        <v>聲寶8-10坪R32一對一變頻分離式冷暖空調AM-PF50DC/AU-PF50DC</v>
      </c>
      <c r="E567" s="12" t="str">
        <f ca="1">IFERROR(__xludf.DUMMYFUNCTION("""COMPUTED_VALUE"""),"AM-PF50DC/AU-PF50DC")</f>
        <v>AM-PF50DC/AU-PF50DC</v>
      </c>
      <c r="F567" s="12">
        <f ca="1">IFERROR(__xludf.DUMMYFUNCTION("""COMPUTED_VALUE"""),51086216)</f>
        <v>51086216</v>
      </c>
      <c r="G567" s="12" t="str">
        <f ca="1">IFERROR(__xludf.DUMMYFUNCTION("""COMPUTED_VALUE"""),"IGEM056N")</f>
        <v>IGEM056N</v>
      </c>
      <c r="H567" s="12">
        <f ca="1">IFERROR(__xludf.DUMMYFUNCTION("""COMPUTED_VALUE"""),45400)</f>
        <v>45400</v>
      </c>
      <c r="I567" s="14">
        <f ca="1">IFERROR(__xludf.DUMMYFUNCTION("""COMPUTED_VALUE"""),37000)</f>
        <v>37000</v>
      </c>
      <c r="J567" s="16">
        <f ca="1">IFERROR(__xludf.DUMMYFUNCTION("""COMPUTED_VALUE"""),45689)</f>
        <v>45689</v>
      </c>
      <c r="K567" s="12" t="str">
        <f ca="1">IFERROR(__xludf.DUMMYFUNCTION("""COMPUTED_VALUE"""),"短促")</f>
        <v>短促</v>
      </c>
      <c r="L567" s="12" t="str">
        <f ca="1">IFERROR(__xludf.DUMMYFUNCTION("""COMPUTED_VALUE"""),"上架中")</f>
        <v>上架中</v>
      </c>
      <c r="M567" s="12" t="str">
        <f ca="1">IFERROR(__xludf.DUMMYFUNCTION("""COMPUTED_VALUE"""),"2/1-3/31短促、2025/1/1調降、2024/5/1-12/31現折、2023/7/1-12/31現折1360元、2023/3/1短促再降價，2022/9/1短促，2022/3/1新機上架")</f>
        <v>2/1-3/31短促、2025/1/1調降、2024/5/1-12/31現折、2023/7/1-12/31現折1360元、2023/3/1短促再降價，2022/9/1短促，2022/3/1新機上架</v>
      </c>
      <c r="N567" s="12" t="str">
        <f ca="1">IFERROR(__xludf.DUMMYFUNCTION("""COMPUTED_VALUE"""),"一對一變頻冷暖")</f>
        <v>一對一變頻冷暖</v>
      </c>
      <c r="O567" s="12" t="str">
        <f ca="1">IFERROR(__xludf.DUMMYFUNCTION("""COMPUTED_VALUE"""),"白色")</f>
        <v>白色</v>
      </c>
      <c r="P567" s="12" t="str">
        <f ca="1">IFERROR(__xludf.DUMMYFUNCTION("""COMPUTED_VALUE"""),"8-10坪")</f>
        <v>8-10坪</v>
      </c>
      <c r="Q567" s="12" t="str">
        <f ca="1">IFERROR(__xludf.DUMMYFUNCTION("""COMPUTED_VALUE"""),"室外機:585*810*280mm
室內機:322*915*241mm")</f>
        <v>室外機:585*810*280mm
室內機:322*915*241mm</v>
      </c>
      <c r="R567" s="12" t="str">
        <f ca="1">IFERROR(__xludf.DUMMYFUNCTION("""COMPUTED_VALUE"""),"台灣")</f>
        <v>台灣</v>
      </c>
      <c r="S567" s="12" t="str">
        <f ca="1">IFERROR(__xludf.DUMMYFUNCTION("""COMPUTED_VALUE"""),"V")</f>
        <v>V</v>
      </c>
      <c r="T567" s="12" t="str">
        <f ca="1">IFERROR(__xludf.DUMMYFUNCTION("""COMPUTED_VALUE"""),"1級能效")</f>
        <v>1級能效</v>
      </c>
      <c r="U567" s="12" t="str">
        <f ca="1">IFERROR(__xludf.DUMMYFUNCTION("""COMPUTED_VALUE"""),"7年")</f>
        <v>7年</v>
      </c>
      <c r="V567" s="12" t="str">
        <f ca="1">IFERROR(__xludf.DUMMYFUNCTION("""COMPUTED_VALUE"""),"10年")</f>
        <v>10年</v>
      </c>
      <c r="W567"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7" s="12"/>
      <c r="Y567" s="12">
        <f ca="1">IFERROR(__xludf.DUMMYFUNCTION("""COMPUTED_VALUE"""),5)</f>
        <v>5</v>
      </c>
      <c r="Z567" s="14" t="str">
        <f ca="1">IFERROR(__xludf.DUMMYFUNCTION("""COMPUTED_VALUE"""),"2000")</f>
        <v>2000</v>
      </c>
      <c r="AA567" s="15" t="str">
        <f ca="1">IFERROR(__xludf.DUMMYFUNCTION("""COMPUTED_VALUE"""),"*R32環保冷媒全變頻*奈米光觸媒+HEPA濾網*PICOPURE水離子*強化防鏽設計*急凍雙洗淨*4D大方吹*搭配壁掛1級能效*好貼心液晶無線遙控")</f>
        <v>*R32環保冷媒全變頻*奈米光觸媒+HEPA濾網*PICOPURE水離子*強化防鏽設計*急凍雙洗淨*4D大方吹*搭配壁掛1級能效*好貼心液晶無線遙控</v>
      </c>
    </row>
    <row r="568" spans="1:27" ht="19.5" customHeight="1">
      <c r="A568" s="12" t="str">
        <f ca="1">IFERROR(__xludf.DUMMYFUNCTION("""COMPUTED_VALUE"""),"空調")</f>
        <v>空調</v>
      </c>
      <c r="B568" s="12" t="str">
        <f ca="1">IFERROR(__xludf.DUMMYFUNCTION("""COMPUTED_VALUE"""),"聲寶")</f>
        <v>聲寶</v>
      </c>
      <c r="C568" s="12" t="str">
        <f ca="1">IFERROR(__xludf.DUMMYFUNCTION("""COMPUTED_VALUE"""),"聲寶")</f>
        <v>聲寶</v>
      </c>
      <c r="D568" s="12" t="str">
        <f ca="1">IFERROR(__xludf.DUMMYFUNCTION("""COMPUTED_VALUE"""),"聲寶10-13坪R32一對一變頻分離式冷暖空調AM-PF63DC/AU-PF63DC")</f>
        <v>聲寶10-13坪R32一對一變頻分離式冷暖空調AM-PF63DC/AU-PF63DC</v>
      </c>
      <c r="E568" s="12" t="str">
        <f ca="1">IFERROR(__xludf.DUMMYFUNCTION("""COMPUTED_VALUE"""),"AM-PF63DC/AU-PF63DC")</f>
        <v>AM-PF63DC/AU-PF63DC</v>
      </c>
      <c r="F568" s="12">
        <f ca="1">IFERROR(__xludf.DUMMYFUNCTION("""COMPUTED_VALUE"""),51086217)</f>
        <v>51086217</v>
      </c>
      <c r="G568" s="12" t="str">
        <f ca="1">IFERROR(__xludf.DUMMYFUNCTION("""COMPUTED_VALUE"""),"IGEM056O")</f>
        <v>IGEM056O</v>
      </c>
      <c r="H568" s="12">
        <f ca="1">IFERROR(__xludf.DUMMYFUNCTION("""COMPUTED_VALUE"""),52400)</f>
        <v>52400</v>
      </c>
      <c r="I568" s="14">
        <f ca="1">IFERROR(__xludf.DUMMYFUNCTION("""COMPUTED_VALUE"""),42400)</f>
        <v>42400</v>
      </c>
      <c r="J568" s="16">
        <f ca="1">IFERROR(__xludf.DUMMYFUNCTION("""COMPUTED_VALUE"""),45658)</f>
        <v>45658</v>
      </c>
      <c r="K568" s="12" t="str">
        <f ca="1">IFERROR(__xludf.DUMMYFUNCTION("""COMPUTED_VALUE"""),"永久降價")</f>
        <v>永久降價</v>
      </c>
      <c r="L568" s="12" t="str">
        <f ca="1">IFERROR(__xludf.DUMMYFUNCTION("""COMPUTED_VALUE"""),"上架中")</f>
        <v>上架中</v>
      </c>
      <c r="M568" s="12" t="str">
        <f ca="1">IFERROR(__xludf.DUMMYFUNCTION("""COMPUTED_VALUE"""),"2025/1/1調降、2024/5/1-12/31現折、2023/7/1-12/31現折1810元、2023/3/1短促再降價，2022/9/1短促，2022/3/1新機上架")</f>
        <v>2025/1/1調降、2024/5/1-12/31現折、2023/7/1-12/31現折1810元、2023/3/1短促再降價，2022/9/1短促，2022/3/1新機上架</v>
      </c>
      <c r="N568" s="12" t="str">
        <f ca="1">IFERROR(__xludf.DUMMYFUNCTION("""COMPUTED_VALUE"""),"一對一變頻冷暖")</f>
        <v>一對一變頻冷暖</v>
      </c>
      <c r="O568" s="12" t="str">
        <f ca="1">IFERROR(__xludf.DUMMYFUNCTION("""COMPUTED_VALUE"""),"白色")</f>
        <v>白色</v>
      </c>
      <c r="P568" s="12" t="str">
        <f ca="1">IFERROR(__xludf.DUMMYFUNCTION("""COMPUTED_VALUE"""),"10-13坪")</f>
        <v>10-13坪</v>
      </c>
      <c r="Q568" s="12" t="str">
        <f ca="1">IFERROR(__xludf.DUMMYFUNCTION("""COMPUTED_VALUE"""),"室外機:667*860*310mm
室內機:322*1085*241mm")</f>
        <v>室外機:667*860*310mm
室內機:322*1085*241mm</v>
      </c>
      <c r="R568" s="12" t="str">
        <f ca="1">IFERROR(__xludf.DUMMYFUNCTION("""COMPUTED_VALUE"""),"台灣")</f>
        <v>台灣</v>
      </c>
      <c r="S568" s="12" t="str">
        <f ca="1">IFERROR(__xludf.DUMMYFUNCTION("""COMPUTED_VALUE"""),"V")</f>
        <v>V</v>
      </c>
      <c r="T568" s="12" t="str">
        <f ca="1">IFERROR(__xludf.DUMMYFUNCTION("""COMPUTED_VALUE"""),"1級能效")</f>
        <v>1級能效</v>
      </c>
      <c r="U568" s="12" t="str">
        <f ca="1">IFERROR(__xludf.DUMMYFUNCTION("""COMPUTED_VALUE"""),"7年")</f>
        <v>7年</v>
      </c>
      <c r="V568" s="12" t="str">
        <f ca="1">IFERROR(__xludf.DUMMYFUNCTION("""COMPUTED_VALUE"""),"10年")</f>
        <v>10年</v>
      </c>
      <c r="W568"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8" s="12"/>
      <c r="Y568" s="12">
        <f ca="1">IFERROR(__xludf.DUMMYFUNCTION("""COMPUTED_VALUE"""),6.3)</f>
        <v>6.3</v>
      </c>
      <c r="Z568" s="14" t="str">
        <f ca="1">IFERROR(__xludf.DUMMYFUNCTION("""COMPUTED_VALUE"""),"2000")</f>
        <v>2000</v>
      </c>
      <c r="AA568" s="15" t="str">
        <f ca="1">IFERROR(__xludf.DUMMYFUNCTION("""COMPUTED_VALUE"""),"*R32環保冷媒全變頻*奈米光觸媒+HEPA濾網*PICOPURE水離子*強化防鏽設計*急凍雙洗淨*4D大方吹*搭配壁掛1級能效*好貼心液晶無線遙控")</f>
        <v>*R32環保冷媒全變頻*奈米光觸媒+HEPA濾網*PICOPURE水離子*強化防鏽設計*急凍雙洗淨*4D大方吹*搭配壁掛1級能效*好貼心液晶無線遙控</v>
      </c>
    </row>
    <row r="569" spans="1:27" ht="19.5" customHeight="1">
      <c r="A569" s="12" t="str">
        <f ca="1">IFERROR(__xludf.DUMMYFUNCTION("""COMPUTED_VALUE"""),"空調")</f>
        <v>空調</v>
      </c>
      <c r="B569" s="12" t="str">
        <f ca="1">IFERROR(__xludf.DUMMYFUNCTION("""COMPUTED_VALUE"""),"聲寶")</f>
        <v>聲寶</v>
      </c>
      <c r="C569" s="12" t="str">
        <f ca="1">IFERROR(__xludf.DUMMYFUNCTION("""COMPUTED_VALUE"""),"聲寶")</f>
        <v>聲寶</v>
      </c>
      <c r="D569" s="12" t="str">
        <f ca="1">IFERROR(__xludf.DUMMYFUNCTION("""COMPUTED_VALUE"""),"聲寶11-15坪R32一對一變頻分離式冷暖空調AM-PF72DC/AU-PF72DC")</f>
        <v>聲寶11-15坪R32一對一變頻分離式冷暖空調AM-PF72DC/AU-PF72DC</v>
      </c>
      <c r="E569" s="12" t="str">
        <f ca="1">IFERROR(__xludf.DUMMYFUNCTION("""COMPUTED_VALUE"""),"AM-PF72DC/AU-PF72DC")</f>
        <v>AM-PF72DC/AU-PF72DC</v>
      </c>
      <c r="F569" s="12">
        <f ca="1">IFERROR(__xludf.DUMMYFUNCTION("""COMPUTED_VALUE"""),51086218)</f>
        <v>51086218</v>
      </c>
      <c r="G569" s="12" t="str">
        <f ca="1">IFERROR(__xludf.DUMMYFUNCTION("""COMPUTED_VALUE"""),"IGEM056P")</f>
        <v>IGEM056P</v>
      </c>
      <c r="H569" s="12">
        <f ca="1">IFERROR(__xludf.DUMMYFUNCTION("""COMPUTED_VALUE"""),57400)</f>
        <v>57400</v>
      </c>
      <c r="I569" s="14">
        <f ca="1">IFERROR(__xludf.DUMMYFUNCTION("""COMPUTED_VALUE"""),47860)</f>
        <v>47860</v>
      </c>
      <c r="J569" s="16">
        <f ca="1">IFERROR(__xludf.DUMMYFUNCTION("""COMPUTED_VALUE"""),45658)</f>
        <v>45658</v>
      </c>
      <c r="K569" s="12" t="str">
        <f ca="1">IFERROR(__xludf.DUMMYFUNCTION("""COMPUTED_VALUE"""),"永久降價")</f>
        <v>永久降價</v>
      </c>
      <c r="L569" s="12" t="str">
        <f ca="1">IFERROR(__xludf.DUMMYFUNCTION("""COMPUTED_VALUE"""),"上架中")</f>
        <v>上架中</v>
      </c>
      <c r="M569" s="12" t="str">
        <f ca="1">IFERROR(__xludf.DUMMYFUNCTION("""COMPUTED_VALUE"""),"2025/1/1調降、2024/7/31正常供貨、2024/5/1-12/31現折、7/19缺貨，暫無交期;2023/7/1-12/31現折1560元、2023/3/1短促再降價，2022/9/1短促，2022/3/1新機上架")</f>
        <v>2025/1/1調降、2024/7/31正常供貨、2024/5/1-12/31現折、7/19缺貨，暫無交期;2023/7/1-12/31現折1560元、2023/3/1短促再降價，2022/9/1短促，2022/3/1新機上架</v>
      </c>
      <c r="N569" s="12" t="str">
        <f ca="1">IFERROR(__xludf.DUMMYFUNCTION("""COMPUTED_VALUE"""),"一對一變頻冷暖")</f>
        <v>一對一變頻冷暖</v>
      </c>
      <c r="O569" s="12" t="str">
        <f ca="1">IFERROR(__xludf.DUMMYFUNCTION("""COMPUTED_VALUE"""),"白色")</f>
        <v>白色</v>
      </c>
      <c r="P569" s="12" t="str">
        <f ca="1">IFERROR(__xludf.DUMMYFUNCTION("""COMPUTED_VALUE"""),"11-15坪")</f>
        <v>11-15坪</v>
      </c>
      <c r="Q569" s="12" t="str">
        <f ca="1">IFERROR(__xludf.DUMMYFUNCTION("""COMPUTED_VALUE"""),"室外機:667*860*310mm
室內機:322*1085*241mm")</f>
        <v>室外機:667*860*310mm
室內機:322*1085*241mm</v>
      </c>
      <c r="R569" s="12" t="str">
        <f ca="1">IFERROR(__xludf.DUMMYFUNCTION("""COMPUTED_VALUE"""),"台灣")</f>
        <v>台灣</v>
      </c>
      <c r="S569" s="12" t="str">
        <f ca="1">IFERROR(__xludf.DUMMYFUNCTION("""COMPUTED_VALUE"""),"V")</f>
        <v>V</v>
      </c>
      <c r="T569" s="12" t="str">
        <f ca="1">IFERROR(__xludf.DUMMYFUNCTION("""COMPUTED_VALUE"""),"1級能效")</f>
        <v>1級能效</v>
      </c>
      <c r="U569" s="12" t="str">
        <f ca="1">IFERROR(__xludf.DUMMYFUNCTION("""COMPUTED_VALUE"""),"7年")</f>
        <v>7年</v>
      </c>
      <c r="V569" s="12" t="str">
        <f ca="1">IFERROR(__xludf.DUMMYFUNCTION("""COMPUTED_VALUE"""),"10年")</f>
        <v>10年</v>
      </c>
      <c r="W569"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69" s="12"/>
      <c r="Y569" s="12">
        <f ca="1">IFERROR(__xludf.DUMMYFUNCTION("""COMPUTED_VALUE"""),7.2)</f>
        <v>7.2</v>
      </c>
      <c r="Z569" s="14" t="str">
        <f ca="1">IFERROR(__xludf.DUMMYFUNCTION("""COMPUTED_VALUE"""),"2000")</f>
        <v>2000</v>
      </c>
      <c r="AA569" s="15" t="str">
        <f ca="1">IFERROR(__xludf.DUMMYFUNCTION("""COMPUTED_VALUE"""),"*R32環保冷媒全變頻*奈米光觸媒+HEPA濾網*PICOPURE水離子*強化防鏽設計*急凍雙洗淨*4D大方吹*搭配壁掛1級能效*好貼心液晶無線遙控")</f>
        <v>*R32環保冷媒全變頻*奈米光觸媒+HEPA濾網*PICOPURE水離子*強化防鏽設計*急凍雙洗淨*4D大方吹*搭配壁掛1級能效*好貼心液晶無線遙控</v>
      </c>
    </row>
    <row r="570" spans="1:27" ht="19.5" customHeight="1">
      <c r="A570" s="12" t="str">
        <f ca="1">IFERROR(__xludf.DUMMYFUNCTION("""COMPUTED_VALUE"""),"空調")</f>
        <v>空調</v>
      </c>
      <c r="B570" s="12" t="str">
        <f ca="1">IFERROR(__xludf.DUMMYFUNCTION("""COMPUTED_VALUE"""),"聲寶")</f>
        <v>聲寶</v>
      </c>
      <c r="C570" s="12" t="str">
        <f ca="1">IFERROR(__xludf.DUMMYFUNCTION("""COMPUTED_VALUE"""),"聲寶")</f>
        <v>聲寶</v>
      </c>
      <c r="D570" s="12" t="str">
        <f ca="1">IFERROR(__xludf.DUMMYFUNCTION("""COMPUTED_VALUE"""),"聲寶3-5坪R32一對一變頻分離式冷專空調AM-NF22D/AU-NF22D")</f>
        <v>聲寶3-5坪R32一對一變頻分離式冷專空調AM-NF22D/AU-NF22D</v>
      </c>
      <c r="E570" s="12" t="str">
        <f ca="1">IFERROR(__xludf.DUMMYFUNCTION("""COMPUTED_VALUE"""),"AM-NF22D/AU-NF22D")</f>
        <v>AM-NF22D/AU-NF22D</v>
      </c>
      <c r="F570" s="12">
        <f ca="1">IFERROR(__xludf.DUMMYFUNCTION("""COMPUTED_VALUE"""),51086221)</f>
        <v>51086221</v>
      </c>
      <c r="G570" s="12" t="str">
        <f ca="1">IFERROR(__xludf.DUMMYFUNCTION("""COMPUTED_VALUE"""),"IGEM056S")</f>
        <v>IGEM056S</v>
      </c>
      <c r="H570" s="12">
        <f ca="1">IFERROR(__xludf.DUMMYFUNCTION("""COMPUTED_VALUE"""),22900)</f>
        <v>22900</v>
      </c>
      <c r="I570" s="14">
        <f ca="1">IFERROR(__xludf.DUMMYFUNCTION("""COMPUTED_VALUE"""),18390)</f>
        <v>18390</v>
      </c>
      <c r="J570" s="16">
        <f ca="1">IFERROR(__xludf.DUMMYFUNCTION("""COMPUTED_VALUE"""),45689)</f>
        <v>45689</v>
      </c>
      <c r="K570" s="12" t="str">
        <f ca="1">IFERROR(__xludf.DUMMYFUNCTION("""COMPUTED_VALUE"""),"短促")</f>
        <v>短促</v>
      </c>
      <c r="L570" s="12" t="str">
        <f ca="1">IFERROR(__xludf.DUMMYFUNCTION("""COMPUTED_VALUE"""),"上架中")</f>
        <v>上架中</v>
      </c>
      <c r="M570" s="12" t="str">
        <f ca="1">IFERROR(__xludf.DUMMYFUNCTION("""COMPUTED_VALUE"""),"2/1-3/31短促、2025/1/1調降、2024/5/1-12/31現折、2023/7/1-12/31現折200元、2023/3/1短促再降價，2022/9/1短促，2022/3/1新機上架")</f>
        <v>2/1-3/31短促、2025/1/1調降、2024/5/1-12/31現折、2023/7/1-12/31現折200元、2023/3/1短促再降價，2022/9/1短促，2022/3/1新機上架</v>
      </c>
      <c r="N570" s="12" t="str">
        <f ca="1">IFERROR(__xludf.DUMMYFUNCTION("""COMPUTED_VALUE"""),"一對一變頻冷專")</f>
        <v>一對一變頻冷專</v>
      </c>
      <c r="O570" s="12" t="str">
        <f ca="1">IFERROR(__xludf.DUMMYFUNCTION("""COMPUTED_VALUE"""),"白色")</f>
        <v>白色</v>
      </c>
      <c r="P570" s="12" t="str">
        <f ca="1">IFERROR(__xludf.DUMMYFUNCTION("""COMPUTED_VALUE"""),"3-5坪")</f>
        <v>3-5坪</v>
      </c>
      <c r="Q570" s="12" t="str">
        <f ca="1">IFERROR(__xludf.DUMMYFUNCTION("""COMPUTED_VALUE"""),"室外機:540*710*240mm
室內機:276*816*220mm")</f>
        <v>室外機:540*710*240mm
室內機:276*816*220mm</v>
      </c>
      <c r="R570" s="12" t="str">
        <f ca="1">IFERROR(__xludf.DUMMYFUNCTION("""COMPUTED_VALUE"""),"台灣")</f>
        <v>台灣</v>
      </c>
      <c r="S570" s="12" t="str">
        <f ca="1">IFERROR(__xludf.DUMMYFUNCTION("""COMPUTED_VALUE"""),"V")</f>
        <v>V</v>
      </c>
      <c r="T570" s="12" t="str">
        <f ca="1">IFERROR(__xludf.DUMMYFUNCTION("""COMPUTED_VALUE"""),"1級能效")</f>
        <v>1級能效</v>
      </c>
      <c r="U570" s="12" t="str">
        <f ca="1">IFERROR(__xludf.DUMMYFUNCTION("""COMPUTED_VALUE"""),"7年")</f>
        <v>7年</v>
      </c>
      <c r="V570" s="12" t="str">
        <f ca="1">IFERROR(__xludf.DUMMYFUNCTION("""COMPUTED_VALUE"""),"10年")</f>
        <v>10年</v>
      </c>
      <c r="W570"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70" s="12"/>
      <c r="Y570" s="12">
        <f ca="1">IFERROR(__xludf.DUMMYFUNCTION("""COMPUTED_VALUE"""),2.2)</f>
        <v>2.2000000000000002</v>
      </c>
      <c r="Z570" s="14">
        <f ca="1">IFERROR(__xludf.DUMMYFUNCTION("""COMPUTED_VALUE"""),1600)</f>
        <v>1600</v>
      </c>
      <c r="AA570" s="15" t="str">
        <f ca="1">IFERROR(__xludf.DUMMYFUNCTION("""COMPUTED_VALUE"""),"*R32環保冷媒全變頻*奈米光觸媒+HEPA濾網*PICOPURE水離子*強化防鏽設計*急凍雙洗淨*4D大方吹*搭配壁掛1級能效*好貼心液晶無線遙控")</f>
        <v>*R32環保冷媒全變頻*奈米光觸媒+HEPA濾網*PICOPURE水離子*強化防鏽設計*急凍雙洗淨*4D大方吹*搭配壁掛1級能效*好貼心液晶無線遙控</v>
      </c>
    </row>
    <row r="571" spans="1:27" ht="19.5" customHeight="1">
      <c r="A571" s="12" t="str">
        <f ca="1">IFERROR(__xludf.DUMMYFUNCTION("""COMPUTED_VALUE"""),"空調")</f>
        <v>空調</v>
      </c>
      <c r="B571" s="12" t="str">
        <f ca="1">IFERROR(__xludf.DUMMYFUNCTION("""COMPUTED_VALUE"""),"聲寶")</f>
        <v>聲寶</v>
      </c>
      <c r="C571" s="12" t="str">
        <f ca="1">IFERROR(__xludf.DUMMYFUNCTION("""COMPUTED_VALUE"""),"聲寶")</f>
        <v>聲寶</v>
      </c>
      <c r="D571" s="12" t="str">
        <f ca="1">IFERROR(__xludf.DUMMYFUNCTION("""COMPUTED_VALUE"""),"聲寶4-6坪R32一對一變頻分離式冷專空調AM-NF28D/AU-NF28D")</f>
        <v>聲寶4-6坪R32一對一變頻分離式冷專空調AM-NF28D/AU-NF28D</v>
      </c>
      <c r="E571" s="12" t="str">
        <f ca="1">IFERROR(__xludf.DUMMYFUNCTION("""COMPUTED_VALUE"""),"AM-NF28D/AU-NF28D")</f>
        <v>AM-NF28D/AU-NF28D</v>
      </c>
      <c r="F571" s="12">
        <f ca="1">IFERROR(__xludf.DUMMYFUNCTION("""COMPUTED_VALUE"""),51086222)</f>
        <v>51086222</v>
      </c>
      <c r="G571" s="12" t="str">
        <f ca="1">IFERROR(__xludf.DUMMYFUNCTION("""COMPUTED_VALUE"""),"IGEM056T")</f>
        <v>IGEM056T</v>
      </c>
      <c r="H571" s="12">
        <f ca="1">IFERROR(__xludf.DUMMYFUNCTION("""COMPUTED_VALUE"""),25900)</f>
        <v>25900</v>
      </c>
      <c r="I571" s="14">
        <f ca="1">IFERROR(__xludf.DUMMYFUNCTION("""COMPUTED_VALUE"""),19980)</f>
        <v>19980</v>
      </c>
      <c r="J571" s="16">
        <f ca="1">IFERROR(__xludf.DUMMYFUNCTION("""COMPUTED_VALUE"""),45689)</f>
        <v>45689</v>
      </c>
      <c r="K571" s="12" t="str">
        <f ca="1">IFERROR(__xludf.DUMMYFUNCTION("""COMPUTED_VALUE"""),"短促")</f>
        <v>短促</v>
      </c>
      <c r="L571" s="12" t="str">
        <f ca="1">IFERROR(__xludf.DUMMYFUNCTION("""COMPUTED_VALUE"""),"上架中")</f>
        <v>上架中</v>
      </c>
      <c r="M571" s="12" t="str">
        <f ca="1">IFERROR(__xludf.DUMMYFUNCTION("""COMPUTED_VALUE"""),"2/1-3/31短促、2025/1/1調降、2024/5/1-12/31現折、2023/7/1-12/31現折800元、2023/3/1短促再降價，2022/9/1短促，2022/3/1新機上架")</f>
        <v>2/1-3/31短促、2025/1/1調降、2024/5/1-12/31現折、2023/7/1-12/31現折800元、2023/3/1短促再降價，2022/9/1短促，2022/3/1新機上架</v>
      </c>
      <c r="N571" s="12" t="str">
        <f ca="1">IFERROR(__xludf.DUMMYFUNCTION("""COMPUTED_VALUE"""),"一對一變頻冷專")</f>
        <v>一對一變頻冷專</v>
      </c>
      <c r="O571" s="12" t="str">
        <f ca="1">IFERROR(__xludf.DUMMYFUNCTION("""COMPUTED_VALUE"""),"白色")</f>
        <v>白色</v>
      </c>
      <c r="P571" s="12" t="str">
        <f ca="1">IFERROR(__xludf.DUMMYFUNCTION("""COMPUTED_VALUE"""),"4-6坪")</f>
        <v>4-6坪</v>
      </c>
      <c r="Q571" s="12" t="str">
        <f ca="1">IFERROR(__xludf.DUMMYFUNCTION("""COMPUTED_VALUE"""),"室外機:540*710*240mm
室內機:276*816*220mm")</f>
        <v>室外機:540*710*240mm
室內機:276*816*220mm</v>
      </c>
      <c r="R571" s="12" t="str">
        <f ca="1">IFERROR(__xludf.DUMMYFUNCTION("""COMPUTED_VALUE"""),"台灣")</f>
        <v>台灣</v>
      </c>
      <c r="S571" s="12" t="str">
        <f ca="1">IFERROR(__xludf.DUMMYFUNCTION("""COMPUTED_VALUE"""),"V")</f>
        <v>V</v>
      </c>
      <c r="T571" s="12" t="str">
        <f ca="1">IFERROR(__xludf.DUMMYFUNCTION("""COMPUTED_VALUE"""),"1級能效")</f>
        <v>1級能效</v>
      </c>
      <c r="U571" s="12" t="str">
        <f ca="1">IFERROR(__xludf.DUMMYFUNCTION("""COMPUTED_VALUE"""),"7年")</f>
        <v>7年</v>
      </c>
      <c r="V571" s="12" t="str">
        <f ca="1">IFERROR(__xludf.DUMMYFUNCTION("""COMPUTED_VALUE"""),"10年")</f>
        <v>10年</v>
      </c>
      <c r="W571"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71" s="12"/>
      <c r="Y571" s="12">
        <f ca="1">IFERROR(__xludf.DUMMYFUNCTION("""COMPUTED_VALUE"""),2.8)</f>
        <v>2.8</v>
      </c>
      <c r="Z571" s="14">
        <f ca="1">IFERROR(__xludf.DUMMYFUNCTION("""COMPUTED_VALUE"""),1600)</f>
        <v>1600</v>
      </c>
      <c r="AA571" s="15" t="str">
        <f ca="1">IFERROR(__xludf.DUMMYFUNCTION("""COMPUTED_VALUE"""),"*R32環保冷媒全變頻*強化防鏽設計*搭配壁掛1級能效*好貼心液晶無線遙控")</f>
        <v>*R32環保冷媒全變頻*強化防鏽設計*搭配壁掛1級能效*好貼心液晶無線遙控</v>
      </c>
    </row>
    <row r="572" spans="1:27" ht="19.5" customHeight="1">
      <c r="A572" s="12" t="str">
        <f ca="1">IFERROR(__xludf.DUMMYFUNCTION("""COMPUTED_VALUE"""),"空調")</f>
        <v>空調</v>
      </c>
      <c r="B572" s="12" t="str">
        <f ca="1">IFERROR(__xludf.DUMMYFUNCTION("""COMPUTED_VALUE"""),"聲寶")</f>
        <v>聲寶</v>
      </c>
      <c r="C572" s="12" t="str">
        <f ca="1">IFERROR(__xludf.DUMMYFUNCTION("""COMPUTED_VALUE"""),"聲寶")</f>
        <v>聲寶</v>
      </c>
      <c r="D572" s="12" t="str">
        <f ca="1">IFERROR(__xludf.DUMMYFUNCTION("""COMPUTED_VALUE"""),"聲寶5-7坪R32一對一變頻分離式冷專空調AM-NF36D/AU-NF36D")</f>
        <v>聲寶5-7坪R32一對一變頻分離式冷專空調AM-NF36D/AU-NF36D</v>
      </c>
      <c r="E572" s="12" t="str">
        <f ca="1">IFERROR(__xludf.DUMMYFUNCTION("""COMPUTED_VALUE"""),"AM-NF36D/AU-NF36D")</f>
        <v>AM-NF36D/AU-NF36D</v>
      </c>
      <c r="F572" s="12">
        <f ca="1">IFERROR(__xludf.DUMMYFUNCTION("""COMPUTED_VALUE"""),51086223)</f>
        <v>51086223</v>
      </c>
      <c r="G572" s="12" t="str">
        <f ca="1">IFERROR(__xludf.DUMMYFUNCTION("""COMPUTED_VALUE"""),"IGEM056U")</f>
        <v>IGEM056U</v>
      </c>
      <c r="H572" s="12">
        <f ca="1">IFERROR(__xludf.DUMMYFUNCTION("""COMPUTED_VALUE"""),33500)</f>
        <v>33500</v>
      </c>
      <c r="I572" s="14">
        <f ca="1">IFERROR(__xludf.DUMMYFUNCTION("""COMPUTED_VALUE"""),26500)</f>
        <v>26500</v>
      </c>
      <c r="J572" s="16">
        <f ca="1">IFERROR(__xludf.DUMMYFUNCTION("""COMPUTED_VALUE"""),45689)</f>
        <v>45689</v>
      </c>
      <c r="K572" s="12" t="str">
        <f ca="1">IFERROR(__xludf.DUMMYFUNCTION("""COMPUTED_VALUE"""),"短促")</f>
        <v>短促</v>
      </c>
      <c r="L572" s="12" t="str">
        <f ca="1">IFERROR(__xludf.DUMMYFUNCTION("""COMPUTED_VALUE"""),"上架中")</f>
        <v>上架中</v>
      </c>
      <c r="M572" s="12" t="str">
        <f ca="1">IFERROR(__xludf.DUMMYFUNCTION("""COMPUTED_VALUE"""),"2/1-3/31短促、2025/1/1調降、2024/5/1-12/31現折、2023/7/1-12/31現折1070元、2023/3/1短促再降價，2022/9/1短促，2022/3/1新機上架")</f>
        <v>2/1-3/31短促、2025/1/1調降、2024/5/1-12/31現折、2023/7/1-12/31現折1070元、2023/3/1短促再降價，2022/9/1短促，2022/3/1新機上架</v>
      </c>
      <c r="N572" s="12" t="str">
        <f ca="1">IFERROR(__xludf.DUMMYFUNCTION("""COMPUTED_VALUE"""),"一對一變頻冷專")</f>
        <v>一對一變頻冷專</v>
      </c>
      <c r="O572" s="12" t="str">
        <f ca="1">IFERROR(__xludf.DUMMYFUNCTION("""COMPUTED_VALUE"""),"白色")</f>
        <v>白色</v>
      </c>
      <c r="P572" s="12" t="str">
        <f ca="1">IFERROR(__xludf.DUMMYFUNCTION("""COMPUTED_VALUE"""),"5-7坪")</f>
        <v>5-7坪</v>
      </c>
      <c r="Q572" s="12" t="str">
        <f ca="1">IFERROR(__xludf.DUMMYFUNCTION("""COMPUTED_VALUE"""),"室外機:540*710*240mm
室內機:276*816*220mm")</f>
        <v>室外機:540*710*240mm
室內機:276*816*220mm</v>
      </c>
      <c r="R572" s="12" t="str">
        <f ca="1">IFERROR(__xludf.DUMMYFUNCTION("""COMPUTED_VALUE"""),"台灣")</f>
        <v>台灣</v>
      </c>
      <c r="S572" s="12" t="str">
        <f ca="1">IFERROR(__xludf.DUMMYFUNCTION("""COMPUTED_VALUE"""),"V")</f>
        <v>V</v>
      </c>
      <c r="T572" s="12" t="str">
        <f ca="1">IFERROR(__xludf.DUMMYFUNCTION("""COMPUTED_VALUE"""),"1級能效")</f>
        <v>1級能效</v>
      </c>
      <c r="U572" s="12" t="str">
        <f ca="1">IFERROR(__xludf.DUMMYFUNCTION("""COMPUTED_VALUE"""),"7年")</f>
        <v>7年</v>
      </c>
      <c r="V572" s="12" t="str">
        <f ca="1">IFERROR(__xludf.DUMMYFUNCTION("""COMPUTED_VALUE"""),"10年")</f>
        <v>10年</v>
      </c>
      <c r="W572"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72" s="12"/>
      <c r="Y572" s="12">
        <f ca="1">IFERROR(__xludf.DUMMYFUNCTION("""COMPUTED_VALUE"""),3.6)</f>
        <v>3.6</v>
      </c>
      <c r="Z572" s="14" t="str">
        <f ca="1">IFERROR(__xludf.DUMMYFUNCTION("""COMPUTED_VALUE"""),"2000")</f>
        <v>2000</v>
      </c>
      <c r="AA572" s="15" t="str">
        <f ca="1">IFERROR(__xludf.DUMMYFUNCTION("""COMPUTED_VALUE"""),"*R32環保冷媒全變頻*強化防鏽設計*搭配壁掛1級能效*好貼心液晶無線遙控")</f>
        <v>*R32環保冷媒全變頻*強化防鏽設計*搭配壁掛1級能效*好貼心液晶無線遙控</v>
      </c>
    </row>
    <row r="573" spans="1:27" ht="19.5" customHeight="1">
      <c r="A573" s="12" t="str">
        <f ca="1">IFERROR(__xludf.DUMMYFUNCTION("""COMPUTED_VALUE"""),"空調")</f>
        <v>空調</v>
      </c>
      <c r="B573" s="12" t="str">
        <f ca="1">IFERROR(__xludf.DUMMYFUNCTION("""COMPUTED_VALUE"""),"聲寶")</f>
        <v>聲寶</v>
      </c>
      <c r="C573" s="12" t="str">
        <f ca="1">IFERROR(__xludf.DUMMYFUNCTION("""COMPUTED_VALUE"""),"聲寶")</f>
        <v>聲寶</v>
      </c>
      <c r="D573" s="12" t="str">
        <f ca="1">IFERROR(__xludf.DUMMYFUNCTION("""COMPUTED_VALUE"""),"聲寶6-8坪R32一對一變頻分離式冷專空調AM-NF41D/AU-NF41D")</f>
        <v>聲寶6-8坪R32一對一變頻分離式冷專空調AM-NF41D/AU-NF41D</v>
      </c>
      <c r="E573" s="12" t="str">
        <f ca="1">IFERROR(__xludf.DUMMYFUNCTION("""COMPUTED_VALUE"""),"AM-NF41D/AU-NF41D")</f>
        <v>AM-NF41D/AU-NF41D</v>
      </c>
      <c r="F573" s="12">
        <f ca="1">IFERROR(__xludf.DUMMYFUNCTION("""COMPUTED_VALUE"""),51086224)</f>
        <v>51086224</v>
      </c>
      <c r="G573" s="12" t="str">
        <f ca="1">IFERROR(__xludf.DUMMYFUNCTION("""COMPUTED_VALUE"""),"IGEM056V")</f>
        <v>IGEM056V</v>
      </c>
      <c r="H573" s="12">
        <f ca="1">IFERROR(__xludf.DUMMYFUNCTION("""COMPUTED_VALUE"""),35900)</f>
        <v>35900</v>
      </c>
      <c r="I573" s="14">
        <f ca="1">IFERROR(__xludf.DUMMYFUNCTION("""COMPUTED_VALUE"""),28200)</f>
        <v>28200</v>
      </c>
      <c r="J573" s="16">
        <f ca="1">IFERROR(__xludf.DUMMYFUNCTION("""COMPUTED_VALUE"""),45689)</f>
        <v>45689</v>
      </c>
      <c r="K573" s="12" t="str">
        <f ca="1">IFERROR(__xludf.DUMMYFUNCTION("""COMPUTED_VALUE"""),"短促")</f>
        <v>短促</v>
      </c>
      <c r="L573" s="12" t="str">
        <f ca="1">IFERROR(__xludf.DUMMYFUNCTION("""COMPUTED_VALUE"""),"上架中")</f>
        <v>上架中</v>
      </c>
      <c r="M573" s="12" t="str">
        <f ca="1">IFERROR(__xludf.DUMMYFUNCTION("""COMPUTED_VALUE"""),"2/1-3/31短促、2025/1/1調降、2024/5/1-12/31現折、2023/7/1-12/31現折1200元、2023/3/1短促再降價，2022/9/1短促，2022/3/1新機上架")</f>
        <v>2/1-3/31短促、2025/1/1調降、2024/5/1-12/31現折、2023/7/1-12/31現折1200元、2023/3/1短促再降價，2022/9/1短促，2022/3/1新機上架</v>
      </c>
      <c r="N573" s="12" t="str">
        <f ca="1">IFERROR(__xludf.DUMMYFUNCTION("""COMPUTED_VALUE"""),"一對一變頻冷專")</f>
        <v>一對一變頻冷專</v>
      </c>
      <c r="O573" s="12" t="str">
        <f ca="1">IFERROR(__xludf.DUMMYFUNCTION("""COMPUTED_VALUE"""),"白色")</f>
        <v>白色</v>
      </c>
      <c r="P573" s="12" t="str">
        <f ca="1">IFERROR(__xludf.DUMMYFUNCTION("""COMPUTED_VALUE"""),"6-8坪")</f>
        <v>6-8坪</v>
      </c>
      <c r="Q573" s="12" t="str">
        <f ca="1">IFERROR(__xludf.DUMMYFUNCTION("""COMPUTED_VALUE"""),"室外機:585*810*280mm
室內機:322*915*241mm")</f>
        <v>室外機:585*810*280mm
室內機:322*915*241mm</v>
      </c>
      <c r="R573" s="12" t="str">
        <f ca="1">IFERROR(__xludf.DUMMYFUNCTION("""COMPUTED_VALUE"""),"台灣")</f>
        <v>台灣</v>
      </c>
      <c r="S573" s="12" t="str">
        <f ca="1">IFERROR(__xludf.DUMMYFUNCTION("""COMPUTED_VALUE"""),"V")</f>
        <v>V</v>
      </c>
      <c r="T573" s="12" t="str">
        <f ca="1">IFERROR(__xludf.DUMMYFUNCTION("""COMPUTED_VALUE"""),"1級能效")</f>
        <v>1級能效</v>
      </c>
      <c r="U573" s="12" t="str">
        <f ca="1">IFERROR(__xludf.DUMMYFUNCTION("""COMPUTED_VALUE"""),"7年")</f>
        <v>7年</v>
      </c>
      <c r="V573" s="12" t="str">
        <f ca="1">IFERROR(__xludf.DUMMYFUNCTION("""COMPUTED_VALUE"""),"10年")</f>
        <v>10年</v>
      </c>
      <c r="W573"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73" s="12"/>
      <c r="Y573" s="12">
        <f ca="1">IFERROR(__xludf.DUMMYFUNCTION("""COMPUTED_VALUE"""),4.1)</f>
        <v>4.0999999999999996</v>
      </c>
      <c r="Z573" s="14" t="str">
        <f ca="1">IFERROR(__xludf.DUMMYFUNCTION("""COMPUTED_VALUE"""),"2000")</f>
        <v>2000</v>
      </c>
      <c r="AA573" s="15" t="str">
        <f ca="1">IFERROR(__xludf.DUMMYFUNCTION("""COMPUTED_VALUE"""),"*R32環保冷媒全變頻*強化防鏽設計*搭配壁掛1級能效*好貼心液晶無線遙控")</f>
        <v>*R32環保冷媒全變頻*強化防鏽設計*搭配壁掛1級能效*好貼心液晶無線遙控</v>
      </c>
    </row>
    <row r="574" spans="1:27" ht="19.5" customHeight="1">
      <c r="A574" s="12" t="str">
        <f ca="1">IFERROR(__xludf.DUMMYFUNCTION("""COMPUTED_VALUE"""),"空調")</f>
        <v>空調</v>
      </c>
      <c r="B574" s="12" t="str">
        <f ca="1">IFERROR(__xludf.DUMMYFUNCTION("""COMPUTED_VALUE"""),"聲寶")</f>
        <v>聲寶</v>
      </c>
      <c r="C574" s="12" t="str">
        <f ca="1">IFERROR(__xludf.DUMMYFUNCTION("""COMPUTED_VALUE"""),"聲寶")</f>
        <v>聲寶</v>
      </c>
      <c r="D574" s="12" t="str">
        <f ca="1">IFERROR(__xludf.DUMMYFUNCTION("""COMPUTED_VALUE"""),"聲寶8-10坪R32一對一變頻分離式冷專空調AM-NF50D/AU-NF50D")</f>
        <v>聲寶8-10坪R32一對一變頻分離式冷專空調AM-NF50D/AU-NF50D</v>
      </c>
      <c r="E574" s="12" t="str">
        <f ca="1">IFERROR(__xludf.DUMMYFUNCTION("""COMPUTED_VALUE"""),"AM-NF50D/AU-NF50D")</f>
        <v>AM-NF50D/AU-NF50D</v>
      </c>
      <c r="F574" s="12">
        <f ca="1">IFERROR(__xludf.DUMMYFUNCTION("""COMPUTED_VALUE"""),51086225)</f>
        <v>51086225</v>
      </c>
      <c r="G574" s="12" t="str">
        <f ca="1">IFERROR(__xludf.DUMMYFUNCTION("""COMPUTED_VALUE"""),"IGEM056W")</f>
        <v>IGEM056W</v>
      </c>
      <c r="H574" s="12">
        <f ca="1">IFERROR(__xludf.DUMMYFUNCTION("""COMPUTED_VALUE"""),42900)</f>
        <v>42900</v>
      </c>
      <c r="I574" s="14">
        <f ca="1">IFERROR(__xludf.DUMMYFUNCTION("""COMPUTED_VALUE"""),35100)</f>
        <v>35100</v>
      </c>
      <c r="J574" s="16">
        <f ca="1">IFERROR(__xludf.DUMMYFUNCTION("""COMPUTED_VALUE"""),45689)</f>
        <v>45689</v>
      </c>
      <c r="K574" s="12" t="str">
        <f ca="1">IFERROR(__xludf.DUMMYFUNCTION("""COMPUTED_VALUE"""),"短促")</f>
        <v>短促</v>
      </c>
      <c r="L574" s="12" t="str">
        <f ca="1">IFERROR(__xludf.DUMMYFUNCTION("""COMPUTED_VALUE"""),"上架中")</f>
        <v>上架中</v>
      </c>
      <c r="M574" s="12" t="str">
        <f ca="1">IFERROR(__xludf.DUMMYFUNCTION("""COMPUTED_VALUE"""),"2/1-3/31短促、2025/1/1調降、2024/5/1-12/31現折、2023/7/1-12/31現折1210元、2023/3/1短促再降價，2022/9/1短促，2022/3/1新機上架")</f>
        <v>2/1-3/31短促、2025/1/1調降、2024/5/1-12/31現折、2023/7/1-12/31現折1210元、2023/3/1短促再降價，2022/9/1短促，2022/3/1新機上架</v>
      </c>
      <c r="N574" s="12" t="str">
        <f ca="1">IFERROR(__xludf.DUMMYFUNCTION("""COMPUTED_VALUE"""),"一對一變頻冷專")</f>
        <v>一對一變頻冷專</v>
      </c>
      <c r="O574" s="12" t="str">
        <f ca="1">IFERROR(__xludf.DUMMYFUNCTION("""COMPUTED_VALUE"""),"白色")</f>
        <v>白色</v>
      </c>
      <c r="P574" s="12" t="str">
        <f ca="1">IFERROR(__xludf.DUMMYFUNCTION("""COMPUTED_VALUE"""),"8-10坪")</f>
        <v>8-10坪</v>
      </c>
      <c r="Q574" s="12" t="str">
        <f ca="1">IFERROR(__xludf.DUMMYFUNCTION("""COMPUTED_VALUE"""),"室外機:585*810*280mm
室內機:322*915*241mm")</f>
        <v>室外機:585*810*280mm
室內機:322*915*241mm</v>
      </c>
      <c r="R574" s="12" t="str">
        <f ca="1">IFERROR(__xludf.DUMMYFUNCTION("""COMPUTED_VALUE"""),"台灣")</f>
        <v>台灣</v>
      </c>
      <c r="S574" s="12" t="str">
        <f ca="1">IFERROR(__xludf.DUMMYFUNCTION("""COMPUTED_VALUE"""),"V")</f>
        <v>V</v>
      </c>
      <c r="T574" s="12" t="str">
        <f ca="1">IFERROR(__xludf.DUMMYFUNCTION("""COMPUTED_VALUE"""),"1級能效")</f>
        <v>1級能效</v>
      </c>
      <c r="U574" s="12" t="str">
        <f ca="1">IFERROR(__xludf.DUMMYFUNCTION("""COMPUTED_VALUE"""),"7年")</f>
        <v>7年</v>
      </c>
      <c r="V574" s="12" t="str">
        <f ca="1">IFERROR(__xludf.DUMMYFUNCTION("""COMPUTED_VALUE"""),"10年")</f>
        <v>10年</v>
      </c>
      <c r="W574"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74" s="12"/>
      <c r="Y574" s="12">
        <f ca="1">IFERROR(__xludf.DUMMYFUNCTION("""COMPUTED_VALUE"""),5)</f>
        <v>5</v>
      </c>
      <c r="Z574" s="14" t="str">
        <f ca="1">IFERROR(__xludf.DUMMYFUNCTION("""COMPUTED_VALUE"""),"2000")</f>
        <v>2000</v>
      </c>
      <c r="AA574" s="15" t="str">
        <f ca="1">IFERROR(__xludf.DUMMYFUNCTION("""COMPUTED_VALUE"""),"*R32環保冷媒全變頻*強化防鏽設計*搭配壁掛1級能效*好貼心液晶無線遙控")</f>
        <v>*R32環保冷媒全變頻*強化防鏽設計*搭配壁掛1級能效*好貼心液晶無線遙控</v>
      </c>
    </row>
    <row r="575" spans="1:27" ht="19.5" customHeight="1">
      <c r="A575" s="12" t="str">
        <f ca="1">IFERROR(__xludf.DUMMYFUNCTION("""COMPUTED_VALUE"""),"空調")</f>
        <v>空調</v>
      </c>
      <c r="B575" s="12" t="str">
        <f ca="1">IFERROR(__xludf.DUMMYFUNCTION("""COMPUTED_VALUE"""),"聲寶")</f>
        <v>聲寶</v>
      </c>
      <c r="C575" s="12" t="str">
        <f ca="1">IFERROR(__xludf.DUMMYFUNCTION("""COMPUTED_VALUE"""),"聲寶")</f>
        <v>聲寶</v>
      </c>
      <c r="D575" s="12" t="str">
        <f ca="1">IFERROR(__xludf.DUMMYFUNCTION("""COMPUTED_VALUE"""),"聲寶10-13坪R32一對一變頻分離式冷專空調AM-NF63D/AU-NF63D")</f>
        <v>聲寶10-13坪R32一對一變頻分離式冷專空調AM-NF63D/AU-NF63D</v>
      </c>
      <c r="E575" s="12" t="str">
        <f ca="1">IFERROR(__xludf.DUMMYFUNCTION("""COMPUTED_VALUE"""),"AM-NF63D/AU-NF63D")</f>
        <v>AM-NF63D/AU-NF63D</v>
      </c>
      <c r="F575" s="12">
        <f ca="1">IFERROR(__xludf.DUMMYFUNCTION("""COMPUTED_VALUE"""),51086226)</f>
        <v>51086226</v>
      </c>
      <c r="G575" s="12" t="str">
        <f ca="1">IFERROR(__xludf.DUMMYFUNCTION("""COMPUTED_VALUE"""),"IGEM056X")</f>
        <v>IGEM056X</v>
      </c>
      <c r="H575" s="12">
        <f ca="1">IFERROR(__xludf.DUMMYFUNCTION("""COMPUTED_VALUE"""),49900)</f>
        <v>49900</v>
      </c>
      <c r="I575" s="14">
        <f ca="1">IFERROR(__xludf.DUMMYFUNCTION("""COMPUTED_VALUE"""),41200)</f>
        <v>41200</v>
      </c>
      <c r="J575" s="16">
        <f ca="1">IFERROR(__xludf.DUMMYFUNCTION("""COMPUTED_VALUE"""),45658)</f>
        <v>45658</v>
      </c>
      <c r="K575" s="12" t="str">
        <f ca="1">IFERROR(__xludf.DUMMYFUNCTION("""COMPUTED_VALUE"""),"永久降價")</f>
        <v>永久降價</v>
      </c>
      <c r="L575" s="12" t="str">
        <f ca="1">IFERROR(__xludf.DUMMYFUNCTION("""COMPUTED_VALUE"""),"上架中")</f>
        <v>上架中</v>
      </c>
      <c r="M575" s="12" t="str">
        <f ca="1">IFERROR(__xludf.DUMMYFUNCTION("""COMPUTED_VALUE"""),"2025/1/1調降、2024/5/1-12/31現折、2023/7/1-12/31現折1610元、2023/7/1-8/31現折490元、2023/3/1短促再降價，2022/9/1短促，2022/3/1新機上架")</f>
        <v>2025/1/1調降、2024/5/1-12/31現折、2023/7/1-12/31現折1610元、2023/7/1-8/31現折490元、2023/3/1短促再降價，2022/9/1短促，2022/3/1新機上架</v>
      </c>
      <c r="N575" s="12" t="str">
        <f ca="1">IFERROR(__xludf.DUMMYFUNCTION("""COMPUTED_VALUE"""),"一對一變頻冷專")</f>
        <v>一對一變頻冷專</v>
      </c>
      <c r="O575" s="12" t="str">
        <f ca="1">IFERROR(__xludf.DUMMYFUNCTION("""COMPUTED_VALUE"""),"白色")</f>
        <v>白色</v>
      </c>
      <c r="P575" s="12" t="str">
        <f ca="1">IFERROR(__xludf.DUMMYFUNCTION("""COMPUTED_VALUE"""),"10-13坪")</f>
        <v>10-13坪</v>
      </c>
      <c r="Q575" s="12" t="str">
        <f ca="1">IFERROR(__xludf.DUMMYFUNCTION("""COMPUTED_VALUE"""),"室外機:667*860*310mm
室內機:322*1085*241mm")</f>
        <v>室外機:667*860*310mm
室內機:322*1085*241mm</v>
      </c>
      <c r="R575" s="12" t="str">
        <f ca="1">IFERROR(__xludf.DUMMYFUNCTION("""COMPUTED_VALUE"""),"台灣")</f>
        <v>台灣</v>
      </c>
      <c r="S575" s="12" t="str">
        <f ca="1">IFERROR(__xludf.DUMMYFUNCTION("""COMPUTED_VALUE"""),"V")</f>
        <v>V</v>
      </c>
      <c r="T575" s="12" t="str">
        <f ca="1">IFERROR(__xludf.DUMMYFUNCTION("""COMPUTED_VALUE"""),"1級能效")</f>
        <v>1級能效</v>
      </c>
      <c r="U575" s="12" t="str">
        <f ca="1">IFERROR(__xludf.DUMMYFUNCTION("""COMPUTED_VALUE"""),"7年")</f>
        <v>7年</v>
      </c>
      <c r="V575" s="12" t="str">
        <f ca="1">IFERROR(__xludf.DUMMYFUNCTION("""COMPUTED_VALUE"""),"10年")</f>
        <v>10年</v>
      </c>
      <c r="W575"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75" s="12"/>
      <c r="Y575" s="12">
        <f ca="1">IFERROR(__xludf.DUMMYFUNCTION("""COMPUTED_VALUE"""),6.3)</f>
        <v>6.3</v>
      </c>
      <c r="Z575" s="14" t="str">
        <f ca="1">IFERROR(__xludf.DUMMYFUNCTION("""COMPUTED_VALUE"""),"2000")</f>
        <v>2000</v>
      </c>
      <c r="AA575" s="15" t="str">
        <f ca="1">IFERROR(__xludf.DUMMYFUNCTION("""COMPUTED_VALUE"""),"*R32環保冷媒全變頻*強化防鏽設計*搭配壁掛1級能效*好貼心液晶無線遙控")</f>
        <v>*R32環保冷媒全變頻*強化防鏽設計*搭配壁掛1級能效*好貼心液晶無線遙控</v>
      </c>
    </row>
    <row r="576" spans="1:27" ht="19.5" customHeight="1">
      <c r="A576" s="12" t="str">
        <f ca="1">IFERROR(__xludf.DUMMYFUNCTION("""COMPUTED_VALUE"""),"空調")</f>
        <v>空調</v>
      </c>
      <c r="B576" s="12" t="str">
        <f ca="1">IFERROR(__xludf.DUMMYFUNCTION("""COMPUTED_VALUE"""),"聲寶")</f>
        <v>聲寶</v>
      </c>
      <c r="C576" s="12" t="str">
        <f ca="1">IFERROR(__xludf.DUMMYFUNCTION("""COMPUTED_VALUE"""),"聲寶")</f>
        <v>聲寶</v>
      </c>
      <c r="D576" s="12" t="str">
        <f ca="1">IFERROR(__xludf.DUMMYFUNCTION("""COMPUTED_VALUE"""),"聲寶11-15坪R32一對一變頻分離式冷專空調AM-NF72D/AU-NF72D")</f>
        <v>聲寶11-15坪R32一對一變頻分離式冷專空調AM-NF72D/AU-NF72D</v>
      </c>
      <c r="E576" s="12" t="str">
        <f ca="1">IFERROR(__xludf.DUMMYFUNCTION("""COMPUTED_VALUE"""),"AM-NF72D/AU-NF72D")</f>
        <v>AM-NF72D/AU-NF72D</v>
      </c>
      <c r="F576" s="12">
        <f ca="1">IFERROR(__xludf.DUMMYFUNCTION("""COMPUTED_VALUE"""),51086227)</f>
        <v>51086227</v>
      </c>
      <c r="G576" s="12" t="str">
        <f ca="1">IFERROR(__xludf.DUMMYFUNCTION("""COMPUTED_VALUE"""),"IGEM056Y")</f>
        <v>IGEM056Y</v>
      </c>
      <c r="H576" s="12">
        <f ca="1">IFERROR(__xludf.DUMMYFUNCTION("""COMPUTED_VALUE"""),54900)</f>
        <v>54900</v>
      </c>
      <c r="I576" s="14">
        <f ca="1">IFERROR(__xludf.DUMMYFUNCTION("""COMPUTED_VALUE"""),46200)</f>
        <v>46200</v>
      </c>
      <c r="J576" s="16">
        <f ca="1">IFERROR(__xludf.DUMMYFUNCTION("""COMPUTED_VALUE"""),45658)</f>
        <v>45658</v>
      </c>
      <c r="K576" s="12" t="str">
        <f ca="1">IFERROR(__xludf.DUMMYFUNCTION("""COMPUTED_VALUE"""),"永久降價")</f>
        <v>永久降價</v>
      </c>
      <c r="L576" s="12" t="str">
        <f ca="1">IFERROR(__xludf.DUMMYFUNCTION("""COMPUTED_VALUE"""),"上架中")</f>
        <v>上架中</v>
      </c>
      <c r="M576" s="12" t="str">
        <f ca="1">IFERROR(__xludf.DUMMYFUNCTION("""COMPUTED_VALUE"""),"2025/1/1調降、2024/5/1-12/31現折、2023/7/1-12/31現折1310元、6/19缺貨，到貨日未定；2023/3/1短促再降價，2022/9/1短促，2022/3/1新機上架")</f>
        <v>2025/1/1調降、2024/5/1-12/31現折、2023/7/1-12/31現折1310元、6/19缺貨，到貨日未定；2023/3/1短促再降價，2022/9/1短促，2022/3/1新機上架</v>
      </c>
      <c r="N576" s="12" t="str">
        <f ca="1">IFERROR(__xludf.DUMMYFUNCTION("""COMPUTED_VALUE"""),"一對一變頻冷專")</f>
        <v>一對一變頻冷專</v>
      </c>
      <c r="O576" s="12" t="str">
        <f ca="1">IFERROR(__xludf.DUMMYFUNCTION("""COMPUTED_VALUE"""),"白色")</f>
        <v>白色</v>
      </c>
      <c r="P576" s="12" t="str">
        <f ca="1">IFERROR(__xludf.DUMMYFUNCTION("""COMPUTED_VALUE"""),"11-15坪")</f>
        <v>11-15坪</v>
      </c>
      <c r="Q576" s="12" t="str">
        <f ca="1">IFERROR(__xludf.DUMMYFUNCTION("""COMPUTED_VALUE"""),"室外機:667*860*310mm
室內機:322*1085*241mm")</f>
        <v>室外機:667*860*310mm
室內機:322*1085*241mm</v>
      </c>
      <c r="R576" s="12" t="str">
        <f ca="1">IFERROR(__xludf.DUMMYFUNCTION("""COMPUTED_VALUE"""),"台灣")</f>
        <v>台灣</v>
      </c>
      <c r="S576" s="12" t="str">
        <f ca="1">IFERROR(__xludf.DUMMYFUNCTION("""COMPUTED_VALUE"""),"V")</f>
        <v>V</v>
      </c>
      <c r="T576" s="12" t="str">
        <f ca="1">IFERROR(__xludf.DUMMYFUNCTION("""COMPUTED_VALUE"""),"1級能效")</f>
        <v>1級能效</v>
      </c>
      <c r="U576" s="12" t="str">
        <f ca="1">IFERROR(__xludf.DUMMYFUNCTION("""COMPUTED_VALUE"""),"7年")</f>
        <v>7年</v>
      </c>
      <c r="V576" s="12" t="str">
        <f ca="1">IFERROR(__xludf.DUMMYFUNCTION("""COMPUTED_VALUE"""),"10年")</f>
        <v>10年</v>
      </c>
      <c r="W576" s="12" t="str">
        <f ca="1">IFERROR(__xludf.DUMMYFUNCTION("""COMPUTED_VALUE"""),"(2/1-3/31)隨貨送聲寶好禮5選1:新格SYNCO 16吋遙控DC立扇、新格SYNCO 20L轉盤式微波爐、聲寶SAMPO 6人份電子鍋、Balzano無線吸塵器、新格SYNCO 遙控可拆洗式大廈扇，早買早選，送完為止")</f>
        <v>(2/1-3/31)隨貨送聲寶好禮5選1:新格SYNCO 16吋遙控DC立扇、新格SYNCO 20L轉盤式微波爐、聲寶SAMPO 6人份電子鍋、Balzano無線吸塵器、新格SYNCO 遙控可拆洗式大廈扇，早買早選，送完為止</v>
      </c>
      <c r="X576" s="12"/>
      <c r="Y576" s="12">
        <f ca="1">IFERROR(__xludf.DUMMYFUNCTION("""COMPUTED_VALUE"""),7.2)</f>
        <v>7.2</v>
      </c>
      <c r="Z576" s="14" t="str">
        <f ca="1">IFERROR(__xludf.DUMMYFUNCTION("""COMPUTED_VALUE"""),"2000")</f>
        <v>2000</v>
      </c>
      <c r="AA576" s="15" t="str">
        <f ca="1">IFERROR(__xludf.DUMMYFUNCTION("""COMPUTED_VALUE"""),"*R32環保冷媒全變頻*強化防鏽設計*搭配壁掛1級能效*好貼心液晶無線遙控")</f>
        <v>*R32環保冷媒全變頻*強化防鏽設計*搭配壁掛1級能效*好貼心液晶無線遙控</v>
      </c>
    </row>
    <row r="577" spans="1:27" ht="19.5" customHeight="1">
      <c r="A577" s="12" t="str">
        <f ca="1">IFERROR(__xludf.DUMMYFUNCTION("""COMPUTED_VALUE"""),"空調")</f>
        <v>空調</v>
      </c>
      <c r="B577" s="12" t="str">
        <f ca="1">IFERROR(__xludf.DUMMYFUNCTION("""COMPUTED_VALUE"""),"聲寶")</f>
        <v>聲寶</v>
      </c>
      <c r="C577" s="12" t="str">
        <f ca="1">IFERROR(__xludf.DUMMYFUNCTION("""COMPUTED_VALUE"""),"聲寶")</f>
        <v>聲寶</v>
      </c>
      <c r="D577" s="12" t="str">
        <f ca="1">IFERROR(__xludf.DUMMYFUNCTION("""COMPUTED_VALUE"""),"聲寶 5-7坪+5-7坪 R32 一對二變頻冷暖空調 AU-PF72DC2/AM-NF36DC+AM-NF36DC")</f>
        <v>聲寶 5-7坪+5-7坪 R32 一對二變頻冷暖空調 AU-PF72DC2/AM-NF36DC+AM-NF36DC</v>
      </c>
      <c r="E577" s="12" t="str">
        <f ca="1">IFERROR(__xludf.DUMMYFUNCTION("""COMPUTED_VALUE"""),"AU-PF72DC2/AM-NF36DC+AM-NF36DC")</f>
        <v>AU-PF72DC2/AM-NF36DC+AM-NF36DC</v>
      </c>
      <c r="F577" s="12">
        <f ca="1">IFERROR(__xludf.DUMMYFUNCTION("""COMPUTED_VALUE"""),51086264)</f>
        <v>51086264</v>
      </c>
      <c r="G577" s="12" t="str">
        <f ca="1">IFERROR(__xludf.DUMMYFUNCTION("""COMPUTED_VALUE"""),"IGEM065W")</f>
        <v>IGEM065W</v>
      </c>
      <c r="H577" s="12">
        <f ca="1">IFERROR(__xludf.DUMMYFUNCTION("""COMPUTED_VALUE"""),72600)</f>
        <v>72600</v>
      </c>
      <c r="I577" s="14">
        <f ca="1">IFERROR(__xludf.DUMMYFUNCTION("""COMPUTED_VALUE"""),59140)</f>
        <v>59140</v>
      </c>
      <c r="J577" s="16">
        <f ca="1">IFERROR(__xludf.DUMMYFUNCTION("""COMPUTED_VALUE"""),45658)</f>
        <v>45658</v>
      </c>
      <c r="K577" s="12" t="str">
        <f ca="1">IFERROR(__xludf.DUMMYFUNCTION("""COMPUTED_VALUE"""),"永久降價")</f>
        <v>永久降價</v>
      </c>
      <c r="L577" s="12" t="str">
        <f ca="1">IFERROR(__xludf.DUMMYFUNCTION("""COMPUTED_VALUE"""),"上架中")</f>
        <v>上架中</v>
      </c>
      <c r="M577" s="12" t="str">
        <f ca="1">IFERROR(__xludf.DUMMYFUNCTION("""COMPUTED_VALUE"""),"2025/1/1調降、2024/5/1-12/31短促、7/1-12/31短促現折3126元，2023/3/1短促降價，2022/7/8新機上架")</f>
        <v>2025/1/1調降、2024/5/1-12/31短促、7/1-12/31短促現折3126元，2023/3/1短促降價，2022/7/8新機上架</v>
      </c>
      <c r="N577" s="12" t="str">
        <f ca="1">IFERROR(__xludf.DUMMYFUNCTION("""COMPUTED_VALUE"""),"一對多變頻冷暖")</f>
        <v>一對多變頻冷暖</v>
      </c>
      <c r="O577" s="12" t="str">
        <f ca="1">IFERROR(__xludf.DUMMYFUNCTION("""COMPUTED_VALUE"""),"白色")</f>
        <v>白色</v>
      </c>
      <c r="P577" s="12" t="str">
        <f ca="1">IFERROR(__xludf.DUMMYFUNCTION("""COMPUTED_VALUE"""),"5-7坪+5-7坪")</f>
        <v>5-7坪+5-7坪</v>
      </c>
      <c r="Q577" s="23" t="str">
        <f ca="1">IFERROR(__xludf.DUMMYFUNCTION("""COMPUTED_VALUE"""),"室外機:705*845*360mm
室內機:276*816*220mm+276*816*220mm")</f>
        <v>室外機:705*845*360mm
室內機:276*816*220mm+276*816*220mm</v>
      </c>
      <c r="R577" s="12" t="str">
        <f ca="1">IFERROR(__xludf.DUMMYFUNCTION("""COMPUTED_VALUE"""),"台灣")</f>
        <v>台灣</v>
      </c>
      <c r="S577" s="12" t="str">
        <f ca="1">IFERROR(__xludf.DUMMYFUNCTION("""COMPUTED_VALUE"""),"V")</f>
        <v>V</v>
      </c>
      <c r="T577" s="12" t="str">
        <f ca="1">IFERROR(__xludf.DUMMYFUNCTION("""COMPUTED_VALUE"""),"1級能效")</f>
        <v>1級能效</v>
      </c>
      <c r="U577" s="12" t="str">
        <f ca="1">IFERROR(__xludf.DUMMYFUNCTION("""COMPUTED_VALUE"""),"7年(需登錄)")</f>
        <v>7年(需登錄)</v>
      </c>
      <c r="V577" s="12">
        <f ca="1">IFERROR(__xludf.DUMMYFUNCTION("""COMPUTED_VALUE"""),10)</f>
        <v>10</v>
      </c>
      <c r="W577" s="12"/>
      <c r="X577" s="12"/>
      <c r="Y577" s="12">
        <f ca="1">IFERROR(__xludf.DUMMYFUNCTION("""COMPUTED_VALUE"""),7.2)</f>
        <v>7.2</v>
      </c>
      <c r="Z577" s="14" t="str">
        <f ca="1">IFERROR(__xludf.DUMMYFUNCTION("""COMPUTED_VALUE"""),"2000")</f>
        <v>2000</v>
      </c>
      <c r="AA577" s="15" t="str">
        <f ca="1">IFERROR(__xludf.DUMMYFUNCTION("""COMPUTED_VALUE"""),"*全變頻*強化防鏽*我的最愛專利液晶無線遙控*全自動FUZZY溫控運轉*靜音便利鍵*省電便利鍵*強力便利鍵*預約定時開、關機功能*R32新型環保冷媒")</f>
        <v>*全變頻*強化防鏽*我的最愛專利液晶無線遙控*全自動FUZZY溫控運轉*靜音便利鍵*省電便利鍵*強力便利鍵*預約定時開、關機功能*R32新型環保冷媒</v>
      </c>
    </row>
    <row r="578" spans="1:27" ht="19.5" customHeight="1">
      <c r="A578" s="12" t="str">
        <f ca="1">IFERROR(__xludf.DUMMYFUNCTION("""COMPUTED_VALUE"""),"空調")</f>
        <v>空調</v>
      </c>
      <c r="B578" s="12" t="str">
        <f ca="1">IFERROR(__xludf.DUMMYFUNCTION("""COMPUTED_VALUE"""),"聲寶")</f>
        <v>聲寶</v>
      </c>
      <c r="C578" s="12" t="str">
        <f ca="1">IFERROR(__xludf.DUMMYFUNCTION("""COMPUTED_VALUE"""),"聲寶")</f>
        <v>聲寶</v>
      </c>
      <c r="D578" s="12" t="str">
        <f ca="1">IFERROR(__xludf.DUMMYFUNCTION("""COMPUTED_VALUE"""),"聲寶 4-6坪+6-8坪 R32 一對二變頻冷暖空調 AU-PF72DC2/AM-NF28DC+AM-NF41DC")</f>
        <v>聲寶 4-6坪+6-8坪 R32 一對二變頻冷暖空調 AU-PF72DC2/AM-NF28DC+AM-NF41DC</v>
      </c>
      <c r="E578" s="12" t="str">
        <f ca="1">IFERROR(__xludf.DUMMYFUNCTION("""COMPUTED_VALUE"""),"AU-PF72DC2/AM-NF28DC+AM-NF41DC")</f>
        <v>AU-PF72DC2/AM-NF28DC+AM-NF41DC</v>
      </c>
      <c r="F578" s="12">
        <f ca="1">IFERROR(__xludf.DUMMYFUNCTION("""COMPUTED_VALUE"""),51086265)</f>
        <v>51086265</v>
      </c>
      <c r="G578" s="12" t="str">
        <f ca="1">IFERROR(__xludf.DUMMYFUNCTION("""COMPUTED_VALUE"""),"IGEM065X")</f>
        <v>IGEM065X</v>
      </c>
      <c r="H578" s="12">
        <f ca="1">IFERROR(__xludf.DUMMYFUNCTION("""COMPUTED_VALUE"""),70600)</f>
        <v>70600</v>
      </c>
      <c r="I578" s="14">
        <f ca="1">IFERROR(__xludf.DUMMYFUNCTION("""COMPUTED_VALUE"""),57540)</f>
        <v>57540</v>
      </c>
      <c r="J578" s="16">
        <f ca="1">IFERROR(__xludf.DUMMYFUNCTION("""COMPUTED_VALUE"""),45658)</f>
        <v>45658</v>
      </c>
      <c r="K578" s="12" t="str">
        <f ca="1">IFERROR(__xludf.DUMMYFUNCTION("""COMPUTED_VALUE"""),"永久降價")</f>
        <v>永久降價</v>
      </c>
      <c r="L578" s="12" t="str">
        <f ca="1">IFERROR(__xludf.DUMMYFUNCTION("""COMPUTED_VALUE"""),"上架中")</f>
        <v>上架中</v>
      </c>
      <c r="M578" s="12" t="str">
        <f ca="1">IFERROR(__xludf.DUMMYFUNCTION("""COMPUTED_VALUE"""),"2025/1/1調降、2024/5/1-12/31短促、7/1-12/31短促現折4226元，2023/3/1短促降價，2022/7/8新機上架")</f>
        <v>2025/1/1調降、2024/5/1-12/31短促、7/1-12/31短促現折4226元，2023/3/1短促降價，2022/7/8新機上架</v>
      </c>
      <c r="N578" s="12" t="str">
        <f ca="1">IFERROR(__xludf.DUMMYFUNCTION("""COMPUTED_VALUE"""),"一對多變頻冷暖")</f>
        <v>一對多變頻冷暖</v>
      </c>
      <c r="O578" s="12" t="str">
        <f ca="1">IFERROR(__xludf.DUMMYFUNCTION("""COMPUTED_VALUE"""),"白色")</f>
        <v>白色</v>
      </c>
      <c r="P578" s="12" t="str">
        <f ca="1">IFERROR(__xludf.DUMMYFUNCTION("""COMPUTED_VALUE"""),"4-6坪+6-8坪")</f>
        <v>4-6坪+6-8坪</v>
      </c>
      <c r="Q578" s="23" t="str">
        <f ca="1">IFERROR(__xludf.DUMMYFUNCTION("""COMPUTED_VALUE"""),"室外機:705*845*360mm
室內機:276*816*220mm+322*815*241mm")</f>
        <v>室外機:705*845*360mm
室內機:276*816*220mm+322*815*241mm</v>
      </c>
      <c r="R578" s="12" t="str">
        <f ca="1">IFERROR(__xludf.DUMMYFUNCTION("""COMPUTED_VALUE"""),"台灣")</f>
        <v>台灣</v>
      </c>
      <c r="S578" s="12" t="str">
        <f ca="1">IFERROR(__xludf.DUMMYFUNCTION("""COMPUTED_VALUE"""),"V")</f>
        <v>V</v>
      </c>
      <c r="T578" s="12" t="str">
        <f ca="1">IFERROR(__xludf.DUMMYFUNCTION("""COMPUTED_VALUE"""),"1級能效")</f>
        <v>1級能效</v>
      </c>
      <c r="U578" s="12" t="str">
        <f ca="1">IFERROR(__xludf.DUMMYFUNCTION("""COMPUTED_VALUE"""),"7年(需登錄)")</f>
        <v>7年(需登錄)</v>
      </c>
      <c r="V578" s="12">
        <f ca="1">IFERROR(__xludf.DUMMYFUNCTION("""COMPUTED_VALUE"""),10)</f>
        <v>10</v>
      </c>
      <c r="W578" s="12"/>
      <c r="X578" s="12"/>
      <c r="Y578" s="12">
        <f ca="1">IFERROR(__xludf.DUMMYFUNCTION("""COMPUTED_VALUE"""),7.2)</f>
        <v>7.2</v>
      </c>
      <c r="Z578" s="14" t="str">
        <f ca="1">IFERROR(__xludf.DUMMYFUNCTION("""COMPUTED_VALUE"""),"2000")</f>
        <v>2000</v>
      </c>
      <c r="AA578" s="15" t="str">
        <f ca="1">IFERROR(__xludf.DUMMYFUNCTION("""COMPUTED_VALUE"""),"*全變頻*強化防鏽*我的最愛專利液晶無線遙控*全自動FUZZY溫控運轉*靜音便利鍵*省電便利鍵*強力便利鍵*預約定時開、關機功能*R32新型環保冷媒")</f>
        <v>*全變頻*強化防鏽*我的最愛專利液晶無線遙控*全自動FUZZY溫控運轉*靜音便利鍵*省電便利鍵*強力便利鍵*預約定時開、關機功能*R32新型環保冷媒</v>
      </c>
    </row>
    <row r="579" spans="1:27" ht="19.5" customHeight="1">
      <c r="A579" s="12" t="str">
        <f ca="1">IFERROR(__xludf.DUMMYFUNCTION("""COMPUTED_VALUE"""),"空調")</f>
        <v>空調</v>
      </c>
      <c r="B579" s="12" t="str">
        <f ca="1">IFERROR(__xludf.DUMMYFUNCTION("""COMPUTED_VALUE"""),"聲寶")</f>
        <v>聲寶</v>
      </c>
      <c r="C579" s="12" t="str">
        <f ca="1">IFERROR(__xludf.DUMMYFUNCTION("""COMPUTED_VALUE"""),"聲寶")</f>
        <v>聲寶</v>
      </c>
      <c r="D579" s="12" t="str">
        <f ca="1">IFERROR(__xludf.DUMMYFUNCTION("""COMPUTED_VALUE"""),"聲寶 4-6坪+8-10坪 R32 一對二變頻冷暖空調 AU-PF72DC2/AM-NF28DC+AM-NF50DC")</f>
        <v>聲寶 4-6坪+8-10坪 R32 一對二變頻冷暖空調 AU-PF72DC2/AM-NF28DC+AM-NF50DC</v>
      </c>
      <c r="E579" s="12" t="str">
        <f ca="1">IFERROR(__xludf.DUMMYFUNCTION("""COMPUTED_VALUE"""),"AU-PF72DC2/AM-NF28DC+AM-NF50DC")</f>
        <v>AU-PF72DC2/AM-NF28DC+AM-NF50DC</v>
      </c>
      <c r="F579" s="12">
        <f ca="1">IFERROR(__xludf.DUMMYFUNCTION("""COMPUTED_VALUE"""),51086266)</f>
        <v>51086266</v>
      </c>
      <c r="G579" s="12" t="str">
        <f ca="1">IFERROR(__xludf.DUMMYFUNCTION("""COMPUTED_VALUE"""),"IGEM065Y")</f>
        <v>IGEM065Y</v>
      </c>
      <c r="H579" s="12">
        <f ca="1">IFERROR(__xludf.DUMMYFUNCTION("""COMPUTED_VALUE"""),73400)</f>
        <v>73400</v>
      </c>
      <c r="I579" s="14">
        <f ca="1">IFERROR(__xludf.DUMMYFUNCTION("""COMPUTED_VALUE"""),59800)</f>
        <v>59800</v>
      </c>
      <c r="J579" s="16">
        <f ca="1">IFERROR(__xludf.DUMMYFUNCTION("""COMPUTED_VALUE"""),45658)</f>
        <v>45658</v>
      </c>
      <c r="K579" s="12" t="str">
        <f ca="1">IFERROR(__xludf.DUMMYFUNCTION("""COMPUTED_VALUE"""),"永久降價")</f>
        <v>永久降價</v>
      </c>
      <c r="L579" s="12" t="str">
        <f ca="1">IFERROR(__xludf.DUMMYFUNCTION("""COMPUTED_VALUE"""),"上架中")</f>
        <v>上架中</v>
      </c>
      <c r="M579" s="12" t="str">
        <f ca="1">IFERROR(__xludf.DUMMYFUNCTION("""COMPUTED_VALUE"""),"2025/1/1調降、2024/5/1-12/31短促、7/1-12/31短促現折3300元，2023/3/1短促降價，2022/7/8新機上架")</f>
        <v>2025/1/1調降、2024/5/1-12/31短促、7/1-12/31短促現折3300元，2023/3/1短促降價，2022/7/8新機上架</v>
      </c>
      <c r="N579" s="12" t="str">
        <f ca="1">IFERROR(__xludf.DUMMYFUNCTION("""COMPUTED_VALUE"""),"一對多變頻冷暖")</f>
        <v>一對多變頻冷暖</v>
      </c>
      <c r="O579" s="12" t="str">
        <f ca="1">IFERROR(__xludf.DUMMYFUNCTION("""COMPUTED_VALUE"""),"白色")</f>
        <v>白色</v>
      </c>
      <c r="P579" s="12" t="str">
        <f ca="1">IFERROR(__xludf.DUMMYFUNCTION("""COMPUTED_VALUE"""),"4-6坪+8-10坪")</f>
        <v>4-6坪+8-10坪</v>
      </c>
      <c r="Q579" s="23" t="str">
        <f ca="1">IFERROR(__xludf.DUMMYFUNCTION("""COMPUTED_VALUE"""),"室外機:705*845*360mm
室內機:276*816*220mm+322*815*241mm")</f>
        <v>室外機:705*845*360mm
室內機:276*816*220mm+322*815*241mm</v>
      </c>
      <c r="R579" s="12" t="str">
        <f ca="1">IFERROR(__xludf.DUMMYFUNCTION("""COMPUTED_VALUE"""),"台灣")</f>
        <v>台灣</v>
      </c>
      <c r="S579" s="12" t="str">
        <f ca="1">IFERROR(__xludf.DUMMYFUNCTION("""COMPUTED_VALUE"""),"V")</f>
        <v>V</v>
      </c>
      <c r="T579" s="12" t="str">
        <f ca="1">IFERROR(__xludf.DUMMYFUNCTION("""COMPUTED_VALUE"""),"1級能效")</f>
        <v>1級能效</v>
      </c>
      <c r="U579" s="12" t="str">
        <f ca="1">IFERROR(__xludf.DUMMYFUNCTION("""COMPUTED_VALUE"""),"7年(需登錄)")</f>
        <v>7年(需登錄)</v>
      </c>
      <c r="V579" s="12">
        <f ca="1">IFERROR(__xludf.DUMMYFUNCTION("""COMPUTED_VALUE"""),10)</f>
        <v>10</v>
      </c>
      <c r="W579" s="12"/>
      <c r="X579" s="12"/>
      <c r="Y579" s="12">
        <f ca="1">IFERROR(__xludf.DUMMYFUNCTION("""COMPUTED_VALUE"""),7.2)</f>
        <v>7.2</v>
      </c>
      <c r="Z579" s="14" t="str">
        <f ca="1">IFERROR(__xludf.DUMMYFUNCTION("""COMPUTED_VALUE"""),"2000")</f>
        <v>2000</v>
      </c>
      <c r="AA579" s="15" t="str">
        <f ca="1">IFERROR(__xludf.DUMMYFUNCTION("""COMPUTED_VALUE"""),"*全變頻*強化防鏽*我的最愛專利液晶無線遙控*全自動FUZZY溫控運轉*靜音便利鍵*省電便利鍵*強力便利鍵*預約定時開、關機功能*R32新型環保冷媒")</f>
        <v>*全變頻*強化防鏽*我的最愛專利液晶無線遙控*全自動FUZZY溫控運轉*靜音便利鍵*省電便利鍵*強力便利鍵*預約定時開、關機功能*R32新型環保冷媒</v>
      </c>
    </row>
    <row r="580" spans="1:27" ht="19.5" customHeight="1">
      <c r="A580" s="12" t="str">
        <f ca="1">IFERROR(__xludf.DUMMYFUNCTION("""COMPUTED_VALUE"""),"空調")</f>
        <v>空調</v>
      </c>
      <c r="B580" s="12" t="str">
        <f ca="1">IFERROR(__xludf.DUMMYFUNCTION("""COMPUTED_VALUE"""),"聲寶")</f>
        <v>聲寶</v>
      </c>
      <c r="C580" s="12" t="str">
        <f ca="1">IFERROR(__xludf.DUMMYFUNCTION("""COMPUTED_VALUE"""),"聲寶")</f>
        <v>聲寶</v>
      </c>
      <c r="D580" s="12" t="str">
        <f ca="1">IFERROR(__xludf.DUMMYFUNCTION("""COMPUTED_VALUE"""),"聲寶3-5坪R32一對一變頻分離式冷暖空調 AU-VF22DC/AM-VF22DC")</f>
        <v>聲寶3-5坪R32一對一變頻分離式冷暖空調 AU-VF22DC/AM-VF22DC</v>
      </c>
      <c r="E580" s="12" t="str">
        <f ca="1">IFERROR(__xludf.DUMMYFUNCTION("""COMPUTED_VALUE"""),"AU-VF22DC/AM-VF22DC")</f>
        <v>AU-VF22DC/AM-VF22DC</v>
      </c>
      <c r="F580" s="12">
        <f ca="1">IFERROR(__xludf.DUMMYFUNCTION("""COMPUTED_VALUE"""),51001288)</f>
        <v>51001288</v>
      </c>
      <c r="G580" s="12" t="str">
        <f ca="1">IFERROR(__xludf.DUMMYFUNCTION("""COMPUTED_VALUE"""),"IGEM0979")</f>
        <v>IGEM0979</v>
      </c>
      <c r="H580" s="13">
        <f ca="1">IFERROR(__xludf.DUMMYFUNCTION("""COMPUTED_VALUE"""),20900)</f>
        <v>20900</v>
      </c>
      <c r="I580" s="14">
        <f ca="1">IFERROR(__xludf.DUMMYFUNCTION("""COMPUTED_VALUE"""),16500)</f>
        <v>16500</v>
      </c>
      <c r="J580" s="16">
        <f ca="1">IFERROR(__xludf.DUMMYFUNCTION("""COMPUTED_VALUE"""),45689)</f>
        <v>45689</v>
      </c>
      <c r="K580" s="12" t="str">
        <f ca="1">IFERROR(__xludf.DUMMYFUNCTION("""COMPUTED_VALUE"""),"短促")</f>
        <v>短促</v>
      </c>
      <c r="L580" s="12" t="str">
        <f ca="1">IFERROR(__xludf.DUMMYFUNCTION("""COMPUTED_VALUE"""),"上架中")</f>
        <v>上架中</v>
      </c>
      <c r="M580" s="12" t="str">
        <f ca="1">IFERROR(__xludf.DUMMYFUNCTION("""COMPUTED_VALUE"""),"2/1-3/31短促、2025/1/1調降、5/1-12/31短促")</f>
        <v>2/1-3/31短促、2025/1/1調降、5/1-12/31短促</v>
      </c>
      <c r="N580" s="12" t="str">
        <f ca="1">IFERROR(__xludf.DUMMYFUNCTION("""COMPUTED_VALUE"""),"一對一變頻冷暖")</f>
        <v>一對一變頻冷暖</v>
      </c>
      <c r="O580" s="12" t="str">
        <f ca="1">IFERROR(__xludf.DUMMYFUNCTION("""COMPUTED_VALUE"""),"白色")</f>
        <v>白色</v>
      </c>
      <c r="P580" s="12" t="str">
        <f ca="1">IFERROR(__xludf.DUMMYFUNCTION("""COMPUTED_VALUE"""),"3-5坪")</f>
        <v>3-5坪</v>
      </c>
      <c r="Q580" s="12" t="str">
        <f ca="1">IFERROR(__xludf.DUMMYFUNCTION("""COMPUTED_VALUE"""),"室外機:555*765*305mm
室內機:300*805*190mm")</f>
        <v>室外機:555*765*305mm
室內機:300*805*190mm</v>
      </c>
      <c r="R580" s="12" t="str">
        <f ca="1">IFERROR(__xludf.DUMMYFUNCTION("""COMPUTED_VALUE"""),"台灣")</f>
        <v>台灣</v>
      </c>
      <c r="S580" s="12" t="str">
        <f ca="1">IFERROR(__xludf.DUMMYFUNCTION("""COMPUTED_VALUE"""),"V")</f>
        <v>V</v>
      </c>
      <c r="T580" s="12" t="str">
        <f ca="1">IFERROR(__xludf.DUMMYFUNCTION("""COMPUTED_VALUE"""),"1級能效")</f>
        <v>1級能效</v>
      </c>
      <c r="U580" s="12" t="str">
        <f ca="1">IFERROR(__xludf.DUMMYFUNCTION("""COMPUTED_VALUE"""),"3年")</f>
        <v>3年</v>
      </c>
      <c r="V580" s="12" t="str">
        <f ca="1">IFERROR(__xludf.DUMMYFUNCTION("""COMPUTED_VALUE"""),"10年")</f>
        <v>10年</v>
      </c>
      <c r="W580" s="12"/>
      <c r="X580" s="12"/>
      <c r="Y580" s="12">
        <f ca="1">IFERROR(__xludf.DUMMYFUNCTION("""COMPUTED_VALUE"""),2.3)</f>
        <v>2.2999999999999998</v>
      </c>
      <c r="Z580" s="14">
        <f ca="1">IFERROR(__xludf.DUMMYFUNCTION("""COMPUTED_VALUE"""),1600)</f>
        <v>1600</v>
      </c>
      <c r="AA580" s="15" t="str">
        <f ca="1">IFERROR(__xludf.DUMMYFUNCTION("""COMPUTED_VALUE"""),"*全機強化防鏽 / 清淨濾網 / 防霉淨功能*強力.省電.靜音便利鍵 /支援*TaiSEIA物聯通訊*台灣製造")</f>
        <v>*全機強化防鏽 / 清淨濾網 / 防霉淨功能*強力.省電.靜音便利鍵 /支援*TaiSEIA物聯通訊*台灣製造</v>
      </c>
    </row>
    <row r="581" spans="1:27" ht="19.5" customHeight="1">
      <c r="A581" s="12" t="str">
        <f ca="1">IFERROR(__xludf.DUMMYFUNCTION("""COMPUTED_VALUE"""),"空調")</f>
        <v>空調</v>
      </c>
      <c r="B581" s="12" t="str">
        <f ca="1">IFERROR(__xludf.DUMMYFUNCTION("""COMPUTED_VALUE"""),"聲寶")</f>
        <v>聲寶</v>
      </c>
      <c r="C581" s="12" t="str">
        <f ca="1">IFERROR(__xludf.DUMMYFUNCTION("""COMPUTED_VALUE"""),"聲寶")</f>
        <v>聲寶</v>
      </c>
      <c r="D581" s="12" t="str">
        <f ca="1">IFERROR(__xludf.DUMMYFUNCTION("""COMPUTED_VALUE"""),"聲寶4-6坪R32一對一變頻分離式冷暖空調 AU-VF28DC/AM-VF28DC")</f>
        <v>聲寶4-6坪R32一對一變頻分離式冷暖空調 AU-VF28DC/AM-VF28DC</v>
      </c>
      <c r="E581" s="12" t="str">
        <f ca="1">IFERROR(__xludf.DUMMYFUNCTION("""COMPUTED_VALUE"""),"AU-VF28DC/AM-VF28DC")</f>
        <v>AU-VF28DC/AM-VF28DC</v>
      </c>
      <c r="F581" s="12">
        <f ca="1">IFERROR(__xludf.DUMMYFUNCTION("""COMPUTED_VALUE"""),51001289)</f>
        <v>51001289</v>
      </c>
      <c r="G581" s="12" t="str">
        <f ca="1">IFERROR(__xludf.DUMMYFUNCTION("""COMPUTED_VALUE"""),"IGEM097A")</f>
        <v>IGEM097A</v>
      </c>
      <c r="H581" s="13">
        <f ca="1">IFERROR(__xludf.DUMMYFUNCTION("""COMPUTED_VALUE"""),23900)</f>
        <v>23900</v>
      </c>
      <c r="I581" s="14">
        <f ca="1">IFERROR(__xludf.DUMMYFUNCTION("""COMPUTED_VALUE"""),17750)</f>
        <v>17750</v>
      </c>
      <c r="J581" s="16">
        <f ca="1">IFERROR(__xludf.DUMMYFUNCTION("""COMPUTED_VALUE"""),45689)</f>
        <v>45689</v>
      </c>
      <c r="K581" s="12" t="str">
        <f ca="1">IFERROR(__xludf.DUMMYFUNCTION("""COMPUTED_VALUE"""),"短促")</f>
        <v>短促</v>
      </c>
      <c r="L581" s="12" t="str">
        <f ca="1">IFERROR(__xludf.DUMMYFUNCTION("""COMPUTED_VALUE"""),"上架中")</f>
        <v>上架中</v>
      </c>
      <c r="M581" s="12" t="str">
        <f ca="1">IFERROR(__xludf.DUMMYFUNCTION("""COMPUTED_VALUE"""),"2/1-3/31短促、2025/1/1調降、5/1-12/31短促")</f>
        <v>2/1-3/31短促、2025/1/1調降、5/1-12/31短促</v>
      </c>
      <c r="N581" s="12" t="str">
        <f ca="1">IFERROR(__xludf.DUMMYFUNCTION("""COMPUTED_VALUE"""),"一對一變頻冷暖")</f>
        <v>一對一變頻冷暖</v>
      </c>
      <c r="O581" s="12" t="str">
        <f ca="1">IFERROR(__xludf.DUMMYFUNCTION("""COMPUTED_VALUE"""),"白色")</f>
        <v>白色</v>
      </c>
      <c r="P581" s="12" t="str">
        <f ca="1">IFERROR(__xludf.DUMMYFUNCTION("""COMPUTED_VALUE"""),"4-6坪")</f>
        <v>4-6坪</v>
      </c>
      <c r="Q581" s="12" t="str">
        <f ca="1">IFERROR(__xludf.DUMMYFUNCTION("""COMPUTED_VALUE"""),"室外機:555*805*330mm
室內機:300*805*190mm")</f>
        <v>室外機:555*805*330mm
室內機:300*805*190mm</v>
      </c>
      <c r="R581" s="12" t="str">
        <f ca="1">IFERROR(__xludf.DUMMYFUNCTION("""COMPUTED_VALUE"""),"台灣")</f>
        <v>台灣</v>
      </c>
      <c r="S581" s="12" t="str">
        <f ca="1">IFERROR(__xludf.DUMMYFUNCTION("""COMPUTED_VALUE"""),"V")</f>
        <v>V</v>
      </c>
      <c r="T581" s="12" t="str">
        <f ca="1">IFERROR(__xludf.DUMMYFUNCTION("""COMPUTED_VALUE"""),"1級能效")</f>
        <v>1級能效</v>
      </c>
      <c r="U581" s="12" t="str">
        <f ca="1">IFERROR(__xludf.DUMMYFUNCTION("""COMPUTED_VALUE"""),"3年")</f>
        <v>3年</v>
      </c>
      <c r="V581" s="12" t="str">
        <f ca="1">IFERROR(__xludf.DUMMYFUNCTION("""COMPUTED_VALUE"""),"10年")</f>
        <v>10年</v>
      </c>
      <c r="W581" s="12"/>
      <c r="X581" s="12"/>
      <c r="Y581" s="12">
        <f ca="1">IFERROR(__xludf.DUMMYFUNCTION("""COMPUTED_VALUE"""),2.8)</f>
        <v>2.8</v>
      </c>
      <c r="Z581" s="14">
        <f ca="1">IFERROR(__xludf.DUMMYFUNCTION("""COMPUTED_VALUE"""),1600)</f>
        <v>1600</v>
      </c>
      <c r="AA581" s="15" t="str">
        <f ca="1">IFERROR(__xludf.DUMMYFUNCTION("""COMPUTED_VALUE"""),"*全機強化防鏽 / 清淨濾網 / 防霉淨功能*強力.省電.靜音便利鍵 /支援*TaiSEIA物聯通訊*台灣製造")</f>
        <v>*全機強化防鏽 / 清淨濾網 / 防霉淨功能*強力.省電.靜音便利鍵 /支援*TaiSEIA物聯通訊*台灣製造</v>
      </c>
    </row>
    <row r="582" spans="1:27" ht="19.5" customHeight="1">
      <c r="A582" s="12" t="str">
        <f ca="1">IFERROR(__xludf.DUMMYFUNCTION("""COMPUTED_VALUE"""),"空調")</f>
        <v>空調</v>
      </c>
      <c r="B582" s="12" t="str">
        <f ca="1">IFERROR(__xludf.DUMMYFUNCTION("""COMPUTED_VALUE"""),"聲寶")</f>
        <v>聲寶</v>
      </c>
      <c r="C582" s="12" t="str">
        <f ca="1">IFERROR(__xludf.DUMMYFUNCTION("""COMPUTED_VALUE"""),"聲寶")</f>
        <v>聲寶</v>
      </c>
      <c r="D582" s="12" t="str">
        <f ca="1">IFERROR(__xludf.DUMMYFUNCTION("""COMPUTED_VALUE"""),"聲寶5-7坪R32一對一變頻分離式冷暖空調 AU-VF36DC/AM-VF36DC")</f>
        <v>聲寶5-7坪R32一對一變頻分離式冷暖空調 AU-VF36DC/AM-VF36DC</v>
      </c>
      <c r="E582" s="12" t="str">
        <f ca="1">IFERROR(__xludf.DUMMYFUNCTION("""COMPUTED_VALUE"""),"AU-VF36DC/AM-VF36DC")</f>
        <v>AU-VF36DC/AM-VF36DC</v>
      </c>
      <c r="F582" s="12">
        <f ca="1">IFERROR(__xludf.DUMMYFUNCTION("""COMPUTED_VALUE"""),51001290)</f>
        <v>51001290</v>
      </c>
      <c r="G582" s="12" t="str">
        <f ca="1">IFERROR(__xludf.DUMMYFUNCTION("""COMPUTED_VALUE"""),"IGEM097B")</f>
        <v>IGEM097B</v>
      </c>
      <c r="H582" s="13">
        <f ca="1">IFERROR(__xludf.DUMMYFUNCTION("""COMPUTED_VALUE"""),31500)</f>
        <v>31500</v>
      </c>
      <c r="I582" s="14">
        <f ca="1">IFERROR(__xludf.DUMMYFUNCTION("""COMPUTED_VALUE"""),24200)</f>
        <v>24200</v>
      </c>
      <c r="J582" s="16">
        <f ca="1">IFERROR(__xludf.DUMMYFUNCTION("""COMPUTED_VALUE"""),45689)</f>
        <v>45689</v>
      </c>
      <c r="K582" s="12" t="str">
        <f ca="1">IFERROR(__xludf.DUMMYFUNCTION("""COMPUTED_VALUE"""),"短促")</f>
        <v>短促</v>
      </c>
      <c r="L582" s="12" t="str">
        <f ca="1">IFERROR(__xludf.DUMMYFUNCTION("""COMPUTED_VALUE"""),"上架中")</f>
        <v>上架中</v>
      </c>
      <c r="M582" s="12" t="str">
        <f ca="1">IFERROR(__xludf.DUMMYFUNCTION("""COMPUTED_VALUE"""),"2/1-3/31短促、2025/1/1調降、5/1-12/31短促")</f>
        <v>2/1-3/31短促、2025/1/1調降、5/1-12/31短促</v>
      </c>
      <c r="N582" s="12" t="str">
        <f ca="1">IFERROR(__xludf.DUMMYFUNCTION("""COMPUTED_VALUE"""),"一對一變頻冷暖")</f>
        <v>一對一變頻冷暖</v>
      </c>
      <c r="O582" s="12" t="str">
        <f ca="1">IFERROR(__xludf.DUMMYFUNCTION("""COMPUTED_VALUE"""),"白色")</f>
        <v>白色</v>
      </c>
      <c r="P582" s="12" t="str">
        <f ca="1">IFERROR(__xludf.DUMMYFUNCTION("""COMPUTED_VALUE"""),"5-7坪")</f>
        <v>5-7坪</v>
      </c>
      <c r="Q582" s="12" t="str">
        <f ca="1">IFERROR(__xludf.DUMMYFUNCTION("""COMPUTED_VALUE"""),"室外機:555*805*330mm
室內機:300*805*190mm")</f>
        <v>室外機:555*805*330mm
室內機:300*805*190mm</v>
      </c>
      <c r="R582" s="12" t="str">
        <f ca="1">IFERROR(__xludf.DUMMYFUNCTION("""COMPUTED_VALUE"""),"台灣")</f>
        <v>台灣</v>
      </c>
      <c r="S582" s="12" t="str">
        <f ca="1">IFERROR(__xludf.DUMMYFUNCTION("""COMPUTED_VALUE"""),"V")</f>
        <v>V</v>
      </c>
      <c r="T582" s="12" t="str">
        <f ca="1">IFERROR(__xludf.DUMMYFUNCTION("""COMPUTED_VALUE"""),"1級能效")</f>
        <v>1級能效</v>
      </c>
      <c r="U582" s="12" t="str">
        <f ca="1">IFERROR(__xludf.DUMMYFUNCTION("""COMPUTED_VALUE"""),"3年")</f>
        <v>3年</v>
      </c>
      <c r="V582" s="12" t="str">
        <f ca="1">IFERROR(__xludf.DUMMYFUNCTION("""COMPUTED_VALUE"""),"10年")</f>
        <v>10年</v>
      </c>
      <c r="W582" s="12"/>
      <c r="X582" s="12"/>
      <c r="Y582" s="12">
        <f ca="1">IFERROR(__xludf.DUMMYFUNCTION("""COMPUTED_VALUE"""),3.6)</f>
        <v>3.6</v>
      </c>
      <c r="Z582" s="14" t="str">
        <f ca="1">IFERROR(__xludf.DUMMYFUNCTION("""COMPUTED_VALUE"""),"2000")</f>
        <v>2000</v>
      </c>
      <c r="AA582" s="15" t="str">
        <f ca="1">IFERROR(__xludf.DUMMYFUNCTION("""COMPUTED_VALUE"""),"*全機強化防鏽 / 清淨濾網 / 防霉淨功能*強力.省電.靜音便利鍵 /支援*TaiSEIA物聯通訊*台灣製造")</f>
        <v>*全機強化防鏽 / 清淨濾網 / 防霉淨功能*強力.省電.靜音便利鍵 /支援*TaiSEIA物聯通訊*台灣製造</v>
      </c>
    </row>
    <row r="583" spans="1:27" ht="19.5" customHeight="1">
      <c r="A583" s="12" t="str">
        <f ca="1">IFERROR(__xludf.DUMMYFUNCTION("""COMPUTED_VALUE"""),"空調")</f>
        <v>空調</v>
      </c>
      <c r="B583" s="12" t="str">
        <f ca="1">IFERROR(__xludf.DUMMYFUNCTION("""COMPUTED_VALUE"""),"聲寶")</f>
        <v>聲寶</v>
      </c>
      <c r="C583" s="12" t="str">
        <f ca="1">IFERROR(__xludf.DUMMYFUNCTION("""COMPUTED_VALUE"""),"聲寶")</f>
        <v>聲寶</v>
      </c>
      <c r="D583" s="12" t="str">
        <f ca="1">IFERROR(__xludf.DUMMYFUNCTION("""COMPUTED_VALUE"""),"聲寶6-8坪R32一對一變頻分離式冷暖空調 AU-VF41DC/AM-VF41DC")</f>
        <v>聲寶6-8坪R32一對一變頻分離式冷暖空調 AU-VF41DC/AM-VF41DC</v>
      </c>
      <c r="E583" s="12" t="str">
        <f ca="1">IFERROR(__xludf.DUMMYFUNCTION("""COMPUTED_VALUE"""),"AU-VF41DC/AM-VF41DC")</f>
        <v>AU-VF41DC/AM-VF41DC</v>
      </c>
      <c r="F583" s="12">
        <f ca="1">IFERROR(__xludf.DUMMYFUNCTION("""COMPUTED_VALUE"""),51001291)</f>
        <v>51001291</v>
      </c>
      <c r="G583" s="12" t="str">
        <f ca="1">IFERROR(__xludf.DUMMYFUNCTION("""COMPUTED_VALUE"""),"IGEM097C")</f>
        <v>IGEM097C</v>
      </c>
      <c r="H583" s="13">
        <f ca="1">IFERROR(__xludf.DUMMYFUNCTION("""COMPUTED_VALUE"""),33900)</f>
        <v>33900</v>
      </c>
      <c r="I583" s="14">
        <f ca="1">IFERROR(__xludf.DUMMYFUNCTION("""COMPUTED_VALUE"""),27700)</f>
        <v>27700</v>
      </c>
      <c r="J583" s="16">
        <f ca="1">IFERROR(__xludf.DUMMYFUNCTION("""COMPUTED_VALUE"""),45689)</f>
        <v>45689</v>
      </c>
      <c r="K583" s="12" t="str">
        <f ca="1">IFERROR(__xludf.DUMMYFUNCTION("""COMPUTED_VALUE"""),"短促")</f>
        <v>短促</v>
      </c>
      <c r="L583" s="12" t="str">
        <f ca="1">IFERROR(__xludf.DUMMYFUNCTION("""COMPUTED_VALUE"""),"上架中")</f>
        <v>上架中</v>
      </c>
      <c r="M583" s="12" t="str">
        <f ca="1">IFERROR(__xludf.DUMMYFUNCTION("""COMPUTED_VALUE"""),"2/1-3/31短促、2025/1/1調降、5/1-12/31短促")</f>
        <v>2/1-3/31短促、2025/1/1調降、5/1-12/31短促</v>
      </c>
      <c r="N583" s="12" t="str">
        <f ca="1">IFERROR(__xludf.DUMMYFUNCTION("""COMPUTED_VALUE"""),"一對一變頻冷暖")</f>
        <v>一對一變頻冷暖</v>
      </c>
      <c r="O583" s="12" t="str">
        <f ca="1">IFERROR(__xludf.DUMMYFUNCTION("""COMPUTED_VALUE"""),"白色")</f>
        <v>白色</v>
      </c>
      <c r="P583" s="12" t="str">
        <f ca="1">IFERROR(__xludf.DUMMYFUNCTION("""COMPUTED_VALUE"""),"6-8坪")</f>
        <v>6-8坪</v>
      </c>
      <c r="Q583" s="12" t="str">
        <f ca="1">IFERROR(__xludf.DUMMYFUNCTION("""COMPUTED_VALUE"""),"室外機:555*805*330mm
室內機:300*805*190mm")</f>
        <v>室外機:555*805*330mm
室內機:300*805*190mm</v>
      </c>
      <c r="R583" s="12" t="str">
        <f ca="1">IFERROR(__xludf.DUMMYFUNCTION("""COMPUTED_VALUE"""),"台灣")</f>
        <v>台灣</v>
      </c>
      <c r="S583" s="12" t="str">
        <f ca="1">IFERROR(__xludf.DUMMYFUNCTION("""COMPUTED_VALUE"""),"V")</f>
        <v>V</v>
      </c>
      <c r="T583" s="12" t="str">
        <f ca="1">IFERROR(__xludf.DUMMYFUNCTION("""COMPUTED_VALUE"""),"1級能效")</f>
        <v>1級能效</v>
      </c>
      <c r="U583" s="12" t="str">
        <f ca="1">IFERROR(__xludf.DUMMYFUNCTION("""COMPUTED_VALUE"""),"3年")</f>
        <v>3年</v>
      </c>
      <c r="V583" s="12" t="str">
        <f ca="1">IFERROR(__xludf.DUMMYFUNCTION("""COMPUTED_VALUE"""),"10年")</f>
        <v>10年</v>
      </c>
      <c r="W583" s="12"/>
      <c r="X583" s="12"/>
      <c r="Y583" s="12">
        <f ca="1">IFERROR(__xludf.DUMMYFUNCTION("""COMPUTED_VALUE"""),4.1)</f>
        <v>4.0999999999999996</v>
      </c>
      <c r="Z583" s="14" t="str">
        <f ca="1">IFERROR(__xludf.DUMMYFUNCTION("""COMPUTED_VALUE"""),"2000")</f>
        <v>2000</v>
      </c>
      <c r="AA583" s="15" t="str">
        <f ca="1">IFERROR(__xludf.DUMMYFUNCTION("""COMPUTED_VALUE"""),"*全機強化防鏽 / 清淨濾網 / 防霉淨功能*強力.省電.靜音便利鍵 /支援*TaiSEIA物聯通訊*台灣製造")</f>
        <v>*全機強化防鏽 / 清淨濾網 / 防霉淨功能*強力.省電.靜音便利鍵 /支援*TaiSEIA物聯通訊*台灣製造</v>
      </c>
    </row>
    <row r="584" spans="1:27" ht="19.5" customHeight="1">
      <c r="A584" s="12" t="str">
        <f ca="1">IFERROR(__xludf.DUMMYFUNCTION("""COMPUTED_VALUE"""),"空調")</f>
        <v>空調</v>
      </c>
      <c r="B584" s="12" t="str">
        <f ca="1">IFERROR(__xludf.DUMMYFUNCTION("""COMPUTED_VALUE"""),"聲寶")</f>
        <v>聲寶</v>
      </c>
      <c r="C584" s="12" t="str">
        <f ca="1">IFERROR(__xludf.DUMMYFUNCTION("""COMPUTED_VALUE"""),"聲寶")</f>
        <v>聲寶</v>
      </c>
      <c r="D584" s="12" t="str">
        <f ca="1">IFERROR(__xludf.DUMMYFUNCTION("""COMPUTED_VALUE"""),"聲寶8-10坪R32一對一變頻分離式冷暖空調 AU-VF50DC/AM-VF50DC")</f>
        <v>聲寶8-10坪R32一對一變頻分離式冷暖空調 AU-VF50DC/AM-VF50DC</v>
      </c>
      <c r="E584" s="12" t="str">
        <f ca="1">IFERROR(__xludf.DUMMYFUNCTION("""COMPUTED_VALUE"""),"AU-VF50DC/AM-VF50DC")</f>
        <v>AU-VF50DC/AM-VF50DC</v>
      </c>
      <c r="F584" s="12">
        <f ca="1">IFERROR(__xludf.DUMMYFUNCTION("""COMPUTED_VALUE"""),51001292)</f>
        <v>51001292</v>
      </c>
      <c r="G584" s="12" t="str">
        <f ca="1">IFERROR(__xludf.DUMMYFUNCTION("""COMPUTED_VALUE"""),"IGEM097D")</f>
        <v>IGEM097D</v>
      </c>
      <c r="H584" s="13">
        <f ca="1">IFERROR(__xludf.DUMMYFUNCTION("""COMPUTED_VALUE"""),40900)</f>
        <v>40900</v>
      </c>
      <c r="I584" s="14">
        <f ca="1">IFERROR(__xludf.DUMMYFUNCTION("""COMPUTED_VALUE"""),32000)</f>
        <v>32000</v>
      </c>
      <c r="J584" s="16">
        <f ca="1">IFERROR(__xludf.DUMMYFUNCTION("""COMPUTED_VALUE"""),45689)</f>
        <v>45689</v>
      </c>
      <c r="K584" s="12" t="str">
        <f ca="1">IFERROR(__xludf.DUMMYFUNCTION("""COMPUTED_VALUE"""),"短促")</f>
        <v>短促</v>
      </c>
      <c r="L584" s="12" t="str">
        <f ca="1">IFERROR(__xludf.DUMMYFUNCTION("""COMPUTED_VALUE"""),"上架中")</f>
        <v>上架中</v>
      </c>
      <c r="M584" s="12" t="str">
        <f ca="1">IFERROR(__xludf.DUMMYFUNCTION("""COMPUTED_VALUE"""),"2/1-3/31短促、2025/1/1調降、5/1-12/31短促")</f>
        <v>2/1-3/31短促、2025/1/1調降、5/1-12/31短促</v>
      </c>
      <c r="N584" s="12" t="str">
        <f ca="1">IFERROR(__xludf.DUMMYFUNCTION("""COMPUTED_VALUE"""),"一對一變頻冷暖")</f>
        <v>一對一變頻冷暖</v>
      </c>
      <c r="O584" s="12" t="str">
        <f ca="1">IFERROR(__xludf.DUMMYFUNCTION("""COMPUTED_VALUE"""),"白色")</f>
        <v>白色</v>
      </c>
      <c r="P584" s="12" t="str">
        <f ca="1">IFERROR(__xludf.DUMMYFUNCTION("""COMPUTED_VALUE"""),"8-10坪")</f>
        <v>8-10坪</v>
      </c>
      <c r="Q584" s="12" t="str">
        <f ca="1">IFERROR(__xludf.DUMMYFUNCTION("""COMPUTED_VALUE"""),"室外機:675*890*345mm
室內機:320*965*215mm")</f>
        <v>室外機:675*890*345mm
室內機:320*965*215mm</v>
      </c>
      <c r="R584" s="12" t="str">
        <f ca="1">IFERROR(__xludf.DUMMYFUNCTION("""COMPUTED_VALUE"""),"台灣")</f>
        <v>台灣</v>
      </c>
      <c r="S584" s="12" t="str">
        <f ca="1">IFERROR(__xludf.DUMMYFUNCTION("""COMPUTED_VALUE"""),"V")</f>
        <v>V</v>
      </c>
      <c r="T584" s="12" t="str">
        <f ca="1">IFERROR(__xludf.DUMMYFUNCTION("""COMPUTED_VALUE"""),"1級能效")</f>
        <v>1級能效</v>
      </c>
      <c r="U584" s="12" t="str">
        <f ca="1">IFERROR(__xludf.DUMMYFUNCTION("""COMPUTED_VALUE"""),"3年")</f>
        <v>3年</v>
      </c>
      <c r="V584" s="12" t="str">
        <f ca="1">IFERROR(__xludf.DUMMYFUNCTION("""COMPUTED_VALUE"""),"10年")</f>
        <v>10年</v>
      </c>
      <c r="W584" s="12"/>
      <c r="X584" s="12"/>
      <c r="Y584" s="12">
        <f ca="1">IFERROR(__xludf.DUMMYFUNCTION("""COMPUTED_VALUE"""),5.1)</f>
        <v>5.0999999999999996</v>
      </c>
      <c r="Z584" s="14" t="str">
        <f ca="1">IFERROR(__xludf.DUMMYFUNCTION("""COMPUTED_VALUE"""),"2000")</f>
        <v>2000</v>
      </c>
      <c r="AA584" s="15" t="str">
        <f ca="1">IFERROR(__xludf.DUMMYFUNCTION("""COMPUTED_VALUE"""),"*全機強化防鏽 / 清淨濾網 / 防霉淨功能*強力.省電.靜音便利鍵 /支援*TaiSEIA物聯通訊*台灣製造")</f>
        <v>*全機強化防鏽 / 清淨濾網 / 防霉淨功能*強力.省電.靜音便利鍵 /支援*TaiSEIA物聯通訊*台灣製造</v>
      </c>
    </row>
    <row r="585" spans="1:27" ht="19.5" customHeight="1">
      <c r="A585" s="12" t="str">
        <f ca="1">IFERROR(__xludf.DUMMYFUNCTION("""COMPUTED_VALUE"""),"空調")</f>
        <v>空調</v>
      </c>
      <c r="B585" s="12" t="str">
        <f ca="1">IFERROR(__xludf.DUMMYFUNCTION("""COMPUTED_VALUE"""),"聲寶")</f>
        <v>聲寶</v>
      </c>
      <c r="C585" s="12" t="str">
        <f ca="1">IFERROR(__xludf.DUMMYFUNCTION("""COMPUTED_VALUE"""),"聲寶")</f>
        <v>聲寶</v>
      </c>
      <c r="D585" s="12" t="str">
        <f ca="1">IFERROR(__xludf.DUMMYFUNCTION("""COMPUTED_VALUE"""),"聲寶11-15坪R32一對一變頻分離式冷暖空調 AU-VF72DC/AM-VF72DC")</f>
        <v>聲寶11-15坪R32一對一變頻分離式冷暖空調 AU-VF72DC/AM-VF72DC</v>
      </c>
      <c r="E585" s="12" t="str">
        <f ca="1">IFERROR(__xludf.DUMMYFUNCTION("""COMPUTED_VALUE"""),"AU-VF72DC/AM-VF72DC")</f>
        <v>AU-VF72DC/AM-VF72DC</v>
      </c>
      <c r="F585" s="12">
        <f ca="1">IFERROR(__xludf.DUMMYFUNCTION("""COMPUTED_VALUE"""),51001293)</f>
        <v>51001293</v>
      </c>
      <c r="G585" s="12" t="str">
        <f ca="1">IFERROR(__xludf.DUMMYFUNCTION("""COMPUTED_VALUE"""),"IGEM097E")</f>
        <v>IGEM097E</v>
      </c>
      <c r="H585" s="13">
        <f ca="1">IFERROR(__xludf.DUMMYFUNCTION("""COMPUTED_VALUE"""),52900)</f>
        <v>52900</v>
      </c>
      <c r="I585" s="14">
        <f ca="1">IFERROR(__xludf.DUMMYFUNCTION("""COMPUTED_VALUE"""),43200)</f>
        <v>43200</v>
      </c>
      <c r="J585" s="16">
        <f ca="1">IFERROR(__xludf.DUMMYFUNCTION("""COMPUTED_VALUE"""),45658)</f>
        <v>45658</v>
      </c>
      <c r="K585" s="12" t="str">
        <f ca="1">IFERROR(__xludf.DUMMYFUNCTION("""COMPUTED_VALUE"""),"永久降價")</f>
        <v>永久降價</v>
      </c>
      <c r="L585" s="12" t="str">
        <f ca="1">IFERROR(__xludf.DUMMYFUNCTION("""COMPUTED_VALUE"""),"上架中")</f>
        <v>上架中</v>
      </c>
      <c r="M585" s="12" t="str">
        <f ca="1">IFERROR(__xludf.DUMMYFUNCTION("""COMPUTED_VALUE"""),"2025/1/1調降、5/1-12/31短促")</f>
        <v>2025/1/1調降、5/1-12/31短促</v>
      </c>
      <c r="N585" s="12" t="str">
        <f ca="1">IFERROR(__xludf.DUMMYFUNCTION("""COMPUTED_VALUE"""),"一對一變頻冷暖")</f>
        <v>一對一變頻冷暖</v>
      </c>
      <c r="O585" s="12" t="str">
        <f ca="1">IFERROR(__xludf.DUMMYFUNCTION("""COMPUTED_VALUE"""),"白色")</f>
        <v>白色</v>
      </c>
      <c r="P585" s="12" t="str">
        <f ca="1">IFERROR(__xludf.DUMMYFUNCTION("""COMPUTED_VALUE"""),"11-15坪")</f>
        <v>11-15坪</v>
      </c>
      <c r="Q585" s="12" t="str">
        <f ca="1">IFERROR(__xludf.DUMMYFUNCTION("""COMPUTED_VALUE"""),"室外機:675*890*345mm
室內機:335*1080*225mm")</f>
        <v>室外機:675*890*345mm
室內機:335*1080*225mm</v>
      </c>
      <c r="R585" s="12" t="str">
        <f ca="1">IFERROR(__xludf.DUMMYFUNCTION("""COMPUTED_VALUE"""),"台灣")</f>
        <v>台灣</v>
      </c>
      <c r="S585" s="12" t="str">
        <f ca="1">IFERROR(__xludf.DUMMYFUNCTION("""COMPUTED_VALUE"""),"V")</f>
        <v>V</v>
      </c>
      <c r="T585" s="12" t="str">
        <f ca="1">IFERROR(__xludf.DUMMYFUNCTION("""COMPUTED_VALUE"""),"1級能效")</f>
        <v>1級能效</v>
      </c>
      <c r="U585" s="12" t="str">
        <f ca="1">IFERROR(__xludf.DUMMYFUNCTION("""COMPUTED_VALUE"""),"3年")</f>
        <v>3年</v>
      </c>
      <c r="V585" s="12" t="str">
        <f ca="1">IFERROR(__xludf.DUMMYFUNCTION("""COMPUTED_VALUE"""),"10年")</f>
        <v>10年</v>
      </c>
      <c r="W585" s="12"/>
      <c r="X585" s="12"/>
      <c r="Y585" s="12">
        <f ca="1">IFERROR(__xludf.DUMMYFUNCTION("""COMPUTED_VALUE"""),7.4)</f>
        <v>7.4</v>
      </c>
      <c r="Z585" s="14" t="str">
        <f ca="1">IFERROR(__xludf.DUMMYFUNCTION("""COMPUTED_VALUE"""),"2000")</f>
        <v>2000</v>
      </c>
      <c r="AA585" s="15" t="str">
        <f ca="1">IFERROR(__xludf.DUMMYFUNCTION("""COMPUTED_VALUE"""),"*全機強化防鏽 / 清淨濾網 / 防霉淨功能*強力.省電.靜音便利鍵 /支援*TaiSEIA物聯通訊*台灣製造")</f>
        <v>*全機強化防鏽 / 清淨濾網 / 防霉淨功能*強力.省電.靜音便利鍵 /支援*TaiSEIA物聯通訊*台灣製造</v>
      </c>
    </row>
    <row r="586" spans="1:27" ht="19.5" customHeight="1">
      <c r="A586" s="12" t="str">
        <f ca="1">IFERROR(__xludf.DUMMYFUNCTION("""COMPUTED_VALUE"""),"空調")</f>
        <v>空調</v>
      </c>
      <c r="B586" s="12" t="str">
        <f ca="1">IFERROR(__xludf.DUMMYFUNCTION("""COMPUTED_VALUE"""),"聲寶")</f>
        <v>聲寶</v>
      </c>
      <c r="C586" s="12" t="str">
        <f ca="1">IFERROR(__xludf.DUMMYFUNCTION("""COMPUTED_VALUE"""),"聲寶")</f>
        <v>聲寶</v>
      </c>
      <c r="D586" s="12" t="str">
        <f ca="1">IFERROR(__xludf.DUMMYFUNCTION("""COMPUTED_VALUE"""),"聲寶12-16坪R32一對一變頻分離式冷暖空調 AU-VF88DC/AM-VF88DC")</f>
        <v>聲寶12-16坪R32一對一變頻分離式冷暖空調 AU-VF88DC/AM-VF88DC</v>
      </c>
      <c r="E586" s="12" t="str">
        <f ca="1">IFERROR(__xludf.DUMMYFUNCTION("""COMPUTED_VALUE"""),"AU-VF88DC/AM-VF88DC")</f>
        <v>AU-VF88DC/AM-VF88DC</v>
      </c>
      <c r="F586" s="12">
        <f ca="1">IFERROR(__xludf.DUMMYFUNCTION("""COMPUTED_VALUE"""),51001294)</f>
        <v>51001294</v>
      </c>
      <c r="G586" s="12" t="str">
        <f ca="1">IFERROR(__xludf.DUMMYFUNCTION("""COMPUTED_VALUE"""),"IGEM097F")</f>
        <v>IGEM097F</v>
      </c>
      <c r="H586" s="13">
        <f ca="1">IFERROR(__xludf.DUMMYFUNCTION("""COMPUTED_VALUE"""),61900)</f>
        <v>61900</v>
      </c>
      <c r="I586" s="14">
        <f ca="1">IFERROR(__xludf.DUMMYFUNCTION("""COMPUTED_VALUE"""),52000)</f>
        <v>52000</v>
      </c>
      <c r="J586" s="16">
        <f ca="1">IFERROR(__xludf.DUMMYFUNCTION("""COMPUTED_VALUE"""),45658)</f>
        <v>45658</v>
      </c>
      <c r="K586" s="12" t="str">
        <f ca="1">IFERROR(__xludf.DUMMYFUNCTION("""COMPUTED_VALUE"""),"永久降價")</f>
        <v>永久降價</v>
      </c>
      <c r="L586" s="12" t="str">
        <f ca="1">IFERROR(__xludf.DUMMYFUNCTION("""COMPUTED_VALUE"""),"上架中")</f>
        <v>上架中</v>
      </c>
      <c r="M586" s="12" t="str">
        <f ca="1">IFERROR(__xludf.DUMMYFUNCTION("""COMPUTED_VALUE"""),"2025/1/1調降、5/1-12/31短促")</f>
        <v>2025/1/1調降、5/1-12/31短促</v>
      </c>
      <c r="N586" s="12" t="str">
        <f ca="1">IFERROR(__xludf.DUMMYFUNCTION("""COMPUTED_VALUE"""),"一對一變頻冷暖")</f>
        <v>一對一變頻冷暖</v>
      </c>
      <c r="O586" s="12" t="str">
        <f ca="1">IFERROR(__xludf.DUMMYFUNCTION("""COMPUTED_VALUE"""),"白色")</f>
        <v>白色</v>
      </c>
      <c r="P586" s="12" t="str">
        <f ca="1">IFERROR(__xludf.DUMMYFUNCTION("""COMPUTED_VALUE"""),"12-16坪")</f>
        <v>12-16坪</v>
      </c>
      <c r="Q586" s="12" t="str">
        <f ca="1">IFERROR(__xludf.DUMMYFUNCTION("""COMPUTED_VALUE"""),"室外機:810*945*410mm
室內機:365*1260*285mm")</f>
        <v>室外機:810*945*410mm
室內機:365*1260*285mm</v>
      </c>
      <c r="R586" s="12" t="str">
        <f ca="1">IFERROR(__xludf.DUMMYFUNCTION("""COMPUTED_VALUE"""),"台灣")</f>
        <v>台灣</v>
      </c>
      <c r="S586" s="12" t="str">
        <f ca="1">IFERROR(__xludf.DUMMYFUNCTION("""COMPUTED_VALUE"""),"V")</f>
        <v>V</v>
      </c>
      <c r="T586" s="12" t="str">
        <f ca="1">IFERROR(__xludf.DUMMYFUNCTION("""COMPUTED_VALUE"""),"1級能效")</f>
        <v>1級能效</v>
      </c>
      <c r="U586" s="12" t="str">
        <f ca="1">IFERROR(__xludf.DUMMYFUNCTION("""COMPUTED_VALUE"""),"3年")</f>
        <v>3年</v>
      </c>
      <c r="V586" s="12" t="str">
        <f ca="1">IFERROR(__xludf.DUMMYFUNCTION("""COMPUTED_VALUE"""),"10年")</f>
        <v>10年</v>
      </c>
      <c r="W586" s="12"/>
      <c r="X586" s="12"/>
      <c r="Y586" s="12">
        <f ca="1">IFERROR(__xludf.DUMMYFUNCTION("""COMPUTED_VALUE"""),8.8)</f>
        <v>8.8000000000000007</v>
      </c>
      <c r="Z586" s="14" t="str">
        <f ca="1">IFERROR(__xludf.DUMMYFUNCTION("""COMPUTED_VALUE"""),"2000")</f>
        <v>2000</v>
      </c>
      <c r="AA586" s="15" t="str">
        <f ca="1">IFERROR(__xludf.DUMMYFUNCTION("""COMPUTED_VALUE"""),"*全機強化防鏽 / 清淨濾網 / 防霉淨功能*強力.省電.靜音便利鍵 /支援*TaiSEIA物聯通訊*台灣製造")</f>
        <v>*全機強化防鏽 / 清淨濾網 / 防霉淨功能*強力.省電.靜音便利鍵 /支援*TaiSEIA物聯通訊*台灣製造</v>
      </c>
    </row>
    <row r="587" spans="1:27" ht="19.5" customHeight="1">
      <c r="A587" s="12" t="str">
        <f ca="1">IFERROR(__xludf.DUMMYFUNCTION("""COMPUTED_VALUE"""),"空調")</f>
        <v>空調</v>
      </c>
      <c r="B587" s="12" t="str">
        <f ca="1">IFERROR(__xludf.DUMMYFUNCTION("""COMPUTED_VALUE"""),"聲寶")</f>
        <v>聲寶</v>
      </c>
      <c r="C587" s="12" t="str">
        <f ca="1">IFERROR(__xludf.DUMMYFUNCTION("""COMPUTED_VALUE"""),"聲寶")</f>
        <v>聲寶</v>
      </c>
      <c r="D587" s="12" t="str">
        <f ca="1">IFERROR(__xludf.DUMMYFUNCTION("""COMPUTED_VALUE"""),"聲寶 3-5坪R32一對一變頻分離式冷暖空調 AM-PF22DC1/AU-PF22DC1")</f>
        <v>聲寶 3-5坪R32一對一變頻分離式冷暖空調 AM-PF22DC1/AU-PF22DC1</v>
      </c>
      <c r="E587" s="12" t="str">
        <f ca="1">IFERROR(__xludf.DUMMYFUNCTION("""COMPUTED_VALUE"""),"AM-PF22DC1/AU-PF22DC1")</f>
        <v>AM-PF22DC1/AU-PF22DC1</v>
      </c>
      <c r="F587" s="12">
        <f ca="1">IFERROR(__xludf.DUMMYFUNCTION("""COMPUTED_VALUE"""),51001295)</f>
        <v>51001295</v>
      </c>
      <c r="G587" s="12" t="str">
        <f ca="1">IFERROR(__xludf.DUMMYFUNCTION("""COMPUTED_VALUE"""),"IGEM099G")</f>
        <v>IGEM099G</v>
      </c>
      <c r="H587" s="13">
        <f ca="1">IFERROR(__xludf.DUMMYFUNCTION("""COMPUTED_VALUE"""),25400)</f>
        <v>25400</v>
      </c>
      <c r="I587" s="18">
        <f ca="1">IFERROR(__xludf.DUMMYFUNCTION("""COMPUTED_VALUE"""),19998)</f>
        <v>19998</v>
      </c>
      <c r="J587" s="16">
        <f ca="1">IFERROR(__xludf.DUMMYFUNCTION("""COMPUTED_VALUE"""),45689)</f>
        <v>45689</v>
      </c>
      <c r="K587" s="12" t="str">
        <f ca="1">IFERROR(__xludf.DUMMYFUNCTION("""COMPUTED_VALUE"""),"短促")</f>
        <v>短促</v>
      </c>
      <c r="L587" s="12" t="str">
        <f ca="1">IFERROR(__xludf.DUMMYFUNCTION("""COMPUTED_VALUE"""),"上架中")</f>
        <v>上架中</v>
      </c>
      <c r="M587" s="12" t="str">
        <f ca="1">IFERROR(__xludf.DUMMYFUNCTION("""COMPUTED_VALUE"""),"2/1-3/31短促、2025/1/1調降、2024/4/1上架，5/1-12/31短促")</f>
        <v>2/1-3/31短促、2025/1/1調降、2024/4/1上架，5/1-12/31短促</v>
      </c>
      <c r="N587" s="12" t="str">
        <f ca="1">IFERROR(__xludf.DUMMYFUNCTION("""COMPUTED_VALUE"""),"一對一變頻冷暖")</f>
        <v>一對一變頻冷暖</v>
      </c>
      <c r="O587" s="12" t="str">
        <f ca="1">IFERROR(__xludf.DUMMYFUNCTION("""COMPUTED_VALUE"""),"白色")</f>
        <v>白色</v>
      </c>
      <c r="P587" s="12" t="str">
        <f ca="1">IFERROR(__xludf.DUMMYFUNCTION("""COMPUTED_VALUE"""),"3-5坪")</f>
        <v>3-5坪</v>
      </c>
      <c r="Q587" s="12" t="str">
        <f ca="1">IFERROR(__xludf.DUMMYFUNCTION("""COMPUTED_VALUE"""),"室外機:540*715*240
室內機:276*816*220")</f>
        <v>室外機:540*715*240
室內機:276*816*220</v>
      </c>
      <c r="R587" s="12" t="str">
        <f ca="1">IFERROR(__xludf.DUMMYFUNCTION("""COMPUTED_VALUE"""),"台灣")</f>
        <v>台灣</v>
      </c>
      <c r="S587" s="12" t="str">
        <f ca="1">IFERROR(__xludf.DUMMYFUNCTION("""COMPUTED_VALUE"""),"V")</f>
        <v>V</v>
      </c>
      <c r="T587" s="12" t="str">
        <f ca="1">IFERROR(__xludf.DUMMYFUNCTION("""COMPUTED_VALUE"""),"1級能效")</f>
        <v>1級能效</v>
      </c>
      <c r="U587" s="12" t="str">
        <f ca="1">IFERROR(__xludf.DUMMYFUNCTION("""COMPUTED_VALUE"""),"3年")</f>
        <v>3年</v>
      </c>
      <c r="V587" s="12" t="str">
        <f ca="1">IFERROR(__xludf.DUMMYFUNCTION("""COMPUTED_VALUE"""),"10年")</f>
        <v>10年</v>
      </c>
      <c r="W587" s="12"/>
      <c r="X587" s="12"/>
      <c r="Y587" s="12">
        <f ca="1">IFERROR(__xludf.DUMMYFUNCTION("""COMPUTED_VALUE"""),2.3)</f>
        <v>2.2999999999999998</v>
      </c>
      <c r="Z587" s="14">
        <f ca="1">IFERROR(__xludf.DUMMYFUNCTION("""COMPUTED_VALUE"""),1600)</f>
        <v>1600</v>
      </c>
      <c r="AA587" s="15" t="str">
        <f ca="1">IFERROR(__xludf.DUMMYFUNCTION("""COMPUTED_VALUE"""),"*變頻1級能效*七大金級防鏽*急凍雙洗淨功能*PICO PURE科技除菌、防霉、脫臭*濾網升級HEPA、奈米光觸媒濾網*4D大方吹風向*我的最愛專利液晶無線遙控*靜音、省力、強力便利鍵*預約定時開、關機功能*台灣製造")</f>
        <v>*變頻1級能效*七大金級防鏽*急凍雙洗淨功能*PICO PURE科技除菌、防霉、脫臭*濾網升級HEPA、奈米光觸媒濾網*4D大方吹風向*我的最愛專利液晶無線遙控*靜音、省力、強力便利鍵*預約定時開、關機功能*台灣製造</v>
      </c>
    </row>
    <row r="588" spans="1:27" ht="19.5" customHeight="1">
      <c r="A588" s="12" t="str">
        <f ca="1">IFERROR(__xludf.DUMMYFUNCTION("""COMPUTED_VALUE"""),"空調")</f>
        <v>空調</v>
      </c>
      <c r="B588" s="12" t="str">
        <f ca="1">IFERROR(__xludf.DUMMYFUNCTION("""COMPUTED_VALUE"""),"聲寶")</f>
        <v>聲寶</v>
      </c>
      <c r="C588" s="12" t="str">
        <f ca="1">IFERROR(__xludf.DUMMYFUNCTION("""COMPUTED_VALUE"""),"聲寶")</f>
        <v>聲寶</v>
      </c>
      <c r="D588" s="12" t="str">
        <f ca="1">IFERROR(__xludf.DUMMYFUNCTION("""COMPUTED_VALUE"""),"聲寶12-16坪R32一對一變頻分離式冷暖空調 AM-PF86DC1/AU-PF86DC1")</f>
        <v>聲寶12-16坪R32一對一變頻分離式冷暖空調 AM-PF86DC1/AU-PF86DC1</v>
      </c>
      <c r="E588" s="12" t="str">
        <f ca="1">IFERROR(__xludf.DUMMYFUNCTION("""COMPUTED_VALUE"""),"AM-PF86DC1/AU-PF86DC1")</f>
        <v>AM-PF86DC1/AU-PF86DC1</v>
      </c>
      <c r="F588" s="12">
        <f ca="1">IFERROR(__xludf.DUMMYFUNCTION("""COMPUTED_VALUE"""),51001296)</f>
        <v>51001296</v>
      </c>
      <c r="G588" s="12" t="str">
        <f ca="1">IFERROR(__xludf.DUMMYFUNCTION("""COMPUTED_VALUE"""),"IGEM099H")</f>
        <v>IGEM099H</v>
      </c>
      <c r="H588" s="13">
        <f ca="1">IFERROR(__xludf.DUMMYFUNCTION("""COMPUTED_VALUE"""),68900)</f>
        <v>68900</v>
      </c>
      <c r="I588" s="18">
        <f ca="1">IFERROR(__xludf.DUMMYFUNCTION("""COMPUTED_VALUE"""),61800)</f>
        <v>61800</v>
      </c>
      <c r="J588" s="16">
        <f ca="1">IFERROR(__xludf.DUMMYFUNCTION("""COMPUTED_VALUE"""),45658)</f>
        <v>45658</v>
      </c>
      <c r="K588" s="12" t="str">
        <f ca="1">IFERROR(__xludf.DUMMYFUNCTION("""COMPUTED_VALUE"""),"永久降價")</f>
        <v>永久降價</v>
      </c>
      <c r="L588" s="12" t="str">
        <f ca="1">IFERROR(__xludf.DUMMYFUNCTION("""COMPUTED_VALUE"""),"上架中")</f>
        <v>上架中</v>
      </c>
      <c r="M588" s="12" t="str">
        <f ca="1">IFERROR(__xludf.DUMMYFUNCTION("""COMPUTED_VALUE"""),"2025/1/1調降、2024/4/1新機上架，5/1-12/31短促")</f>
        <v>2025/1/1調降、2024/4/1新機上架，5/1-12/31短促</v>
      </c>
      <c r="N588" s="12" t="str">
        <f ca="1">IFERROR(__xludf.DUMMYFUNCTION("""COMPUTED_VALUE"""),"一對一變頻冷暖")</f>
        <v>一對一變頻冷暖</v>
      </c>
      <c r="O588" s="12" t="str">
        <f ca="1">IFERROR(__xludf.DUMMYFUNCTION("""COMPUTED_VALUE"""),"白色")</f>
        <v>白色</v>
      </c>
      <c r="P588" s="12" t="str">
        <f ca="1">IFERROR(__xludf.DUMMYFUNCTION("""COMPUTED_VALUE"""),"12-16坪")</f>
        <v>12-16坪</v>
      </c>
      <c r="Q588" s="12" t="str">
        <f ca="1">IFERROR(__xludf.DUMMYFUNCTION("""COMPUTED_VALUE"""),"室外機:750*900*340
室內機:360*1280*260")</f>
        <v>室外機:750*900*340
室內機:360*1280*260</v>
      </c>
      <c r="R588" s="12" t="str">
        <f ca="1">IFERROR(__xludf.DUMMYFUNCTION("""COMPUTED_VALUE"""),"台灣")</f>
        <v>台灣</v>
      </c>
      <c r="S588" s="12" t="str">
        <f ca="1">IFERROR(__xludf.DUMMYFUNCTION("""COMPUTED_VALUE"""),"V")</f>
        <v>V</v>
      </c>
      <c r="T588" s="12" t="str">
        <f ca="1">IFERROR(__xludf.DUMMYFUNCTION("""COMPUTED_VALUE"""),"1級能效")</f>
        <v>1級能效</v>
      </c>
      <c r="U588" s="12" t="str">
        <f ca="1">IFERROR(__xludf.DUMMYFUNCTION("""COMPUTED_VALUE"""),"3年")</f>
        <v>3年</v>
      </c>
      <c r="V588" s="12" t="str">
        <f ca="1">IFERROR(__xludf.DUMMYFUNCTION("""COMPUTED_VALUE"""),"10年")</f>
        <v>10年</v>
      </c>
      <c r="W588" s="12"/>
      <c r="X588" s="12"/>
      <c r="Y588" s="12">
        <f ca="1">IFERROR(__xludf.DUMMYFUNCTION("""COMPUTED_VALUE"""),2.8)</f>
        <v>2.8</v>
      </c>
      <c r="Z588" s="14">
        <f ca="1">IFERROR(__xludf.DUMMYFUNCTION("""COMPUTED_VALUE"""),1600)</f>
        <v>1600</v>
      </c>
      <c r="AA588" s="15" t="str">
        <f ca="1">IFERROR(__xludf.DUMMYFUNCTION("""COMPUTED_VALUE"""),"*變頻1級能效*七大金級防鏽*急凍雙洗淨功能*PICO PURE科技除菌、防霉、脫臭*濾網升級HEPA、奈米光觸媒濾網*4D大方吹風向*我的最愛專利液晶無線遙控*靜音、省力、強力便利鍵*預約定時開、關機功能*台灣製造")</f>
        <v>*變頻1級能效*七大金級防鏽*急凍雙洗淨功能*PICO PURE科技除菌、防霉、脫臭*濾網升級HEPA、奈米光觸媒濾網*4D大方吹風向*我的最愛專利液晶無線遙控*靜音、省力、強力便利鍵*預約定時開、關機功能*台灣製造</v>
      </c>
    </row>
    <row r="589" spans="1:27" ht="19.5" customHeight="1">
      <c r="A589" s="12" t="str">
        <f ca="1">IFERROR(__xludf.DUMMYFUNCTION("""COMPUTED_VALUE"""),"空調")</f>
        <v>空調</v>
      </c>
      <c r="B589" s="12" t="str">
        <f ca="1">IFERROR(__xludf.DUMMYFUNCTION("""COMPUTED_VALUE"""),"聲寶")</f>
        <v>聲寶</v>
      </c>
      <c r="C589" s="12" t="str">
        <f ca="1">IFERROR(__xludf.DUMMYFUNCTION("""COMPUTED_VALUE"""),"聲寶")</f>
        <v>聲寶</v>
      </c>
      <c r="D589" s="12" t="str">
        <f ca="1">IFERROR(__xludf.DUMMYFUNCTION("""COMPUTED_VALUE"""),"聲寶 R32一對二變頻分離式冷暖空調 AU-PF521DC2+AM-PF28DC+AM-PF28DC")</f>
        <v>聲寶 R32一對二變頻分離式冷暖空調 AU-PF521DC2+AM-PF28DC+AM-PF28DC</v>
      </c>
      <c r="E589" s="12" t="str">
        <f ca="1">IFERROR(__xludf.DUMMYFUNCTION("""COMPUTED_VALUE"""),"AU-PF521DC2+AM-PF28DC+AM-PF28DC")</f>
        <v>AU-PF521DC2+AM-PF28DC+AM-PF28DC</v>
      </c>
      <c r="F589" s="12">
        <f ca="1">IFERROR(__xludf.DUMMYFUNCTION("""COMPUTED_VALUE"""),51001297)</f>
        <v>51001297</v>
      </c>
      <c r="G589" s="12" t="str">
        <f ca="1">IFERROR(__xludf.DUMMYFUNCTION("""COMPUTED_VALUE"""),"IGEM099I")</f>
        <v>IGEM099I</v>
      </c>
      <c r="H589" s="13">
        <f ca="1">IFERROR(__xludf.DUMMYFUNCTION("""COMPUTED_VALUE"""),55800)</f>
        <v>55800</v>
      </c>
      <c r="I589" s="18">
        <f ca="1">IFERROR(__xludf.DUMMYFUNCTION("""COMPUTED_VALUE"""),45200)</f>
        <v>45200</v>
      </c>
      <c r="J589" s="16">
        <f ca="1">IFERROR(__xludf.DUMMYFUNCTION("""COMPUTED_VALUE"""),45658)</f>
        <v>45658</v>
      </c>
      <c r="K589" s="12" t="str">
        <f ca="1">IFERROR(__xludf.DUMMYFUNCTION("""COMPUTED_VALUE"""),"永久降價")</f>
        <v>永久降價</v>
      </c>
      <c r="L589" s="12" t="str">
        <f ca="1">IFERROR(__xludf.DUMMYFUNCTION("""COMPUTED_VALUE"""),"上架中")</f>
        <v>上架中</v>
      </c>
      <c r="M589" s="12" t="str">
        <f ca="1">IFERROR(__xludf.DUMMYFUNCTION("""COMPUTED_VALUE"""),"2025/1/1調降、2024/4/1新機上架，5/1-12/31短促")</f>
        <v>2025/1/1調降、2024/4/1新機上架，5/1-12/31短促</v>
      </c>
      <c r="N589" s="12" t="str">
        <f ca="1">IFERROR(__xludf.DUMMYFUNCTION("""COMPUTED_VALUE"""),"一對多變頻冷暖")</f>
        <v>一對多變頻冷暖</v>
      </c>
      <c r="O589" s="12" t="str">
        <f ca="1">IFERROR(__xludf.DUMMYFUNCTION("""COMPUTED_VALUE"""),"白色")</f>
        <v>白色</v>
      </c>
      <c r="P589" s="12" t="str">
        <f ca="1">IFERROR(__xludf.DUMMYFUNCTION("""COMPUTED_VALUE"""),"4-6坪+4-6坪")</f>
        <v>4-6坪+4-6坪</v>
      </c>
      <c r="Q589" s="12" t="str">
        <f ca="1">IFERROR(__xludf.DUMMYFUNCTION("""COMPUTED_VALUE"""),"室外機:585*810*280
室內機:276*816*220")</f>
        <v>室外機:585*810*280
室內機:276*816*220</v>
      </c>
      <c r="R589" s="12" t="str">
        <f ca="1">IFERROR(__xludf.DUMMYFUNCTION("""COMPUTED_VALUE"""),"台灣")</f>
        <v>台灣</v>
      </c>
      <c r="S589" s="12" t="str">
        <f ca="1">IFERROR(__xludf.DUMMYFUNCTION("""COMPUTED_VALUE"""),"V")</f>
        <v>V</v>
      </c>
      <c r="T589" s="12" t="str">
        <f ca="1">IFERROR(__xludf.DUMMYFUNCTION("""COMPUTED_VALUE"""),"1級能效")</f>
        <v>1級能效</v>
      </c>
      <c r="U589" s="12" t="str">
        <f ca="1">IFERROR(__xludf.DUMMYFUNCTION("""COMPUTED_VALUE"""),"3年")</f>
        <v>3年</v>
      </c>
      <c r="V589" s="12" t="str">
        <f ca="1">IFERROR(__xludf.DUMMYFUNCTION("""COMPUTED_VALUE"""),"10年")</f>
        <v>10年</v>
      </c>
      <c r="W589" s="12"/>
      <c r="X589" s="12"/>
      <c r="Y589" s="12">
        <f ca="1">IFERROR(__xludf.DUMMYFUNCTION("""COMPUTED_VALUE"""),5.6)</f>
        <v>5.6</v>
      </c>
      <c r="Z589" s="14" t="str">
        <f ca="1">IFERROR(__xludf.DUMMYFUNCTION("""COMPUTED_VALUE"""),"2000")</f>
        <v>2000</v>
      </c>
      <c r="AA589" s="15" t="str">
        <f ca="1">IFERROR(__xludf.DUMMYFUNCTION("""COMPUTED_VALUE"""),"*R32環保冷媒全變頻 *藍波強化防鏽防沼氣設計*搭配壁掛1級能效*我的最愛液晶無線遙控*可搭配PF&amp;NF壁掛/
 NF吊隱內機*內機搭配匹配方式請參照變頻1對多匹配表*全系列台灣製造")</f>
        <v>*R32環保冷媒全變頻 *藍波強化防鏽防沼氣設計*搭配壁掛1級能效*我的最愛液晶無線遙控*可搭配PF&amp;NF壁掛/
 NF吊隱內機*內機搭配匹配方式請參照變頻1對多匹配表*全系列台灣製造</v>
      </c>
    </row>
    <row r="590" spans="1:27" ht="19.5" customHeight="1">
      <c r="A590" s="12" t="str">
        <f ca="1">IFERROR(__xludf.DUMMYFUNCTION("""COMPUTED_VALUE"""),"空調")</f>
        <v>空調</v>
      </c>
      <c r="B590" s="12" t="str">
        <f ca="1">IFERROR(__xludf.DUMMYFUNCTION("""COMPUTED_VALUE"""),"聲寶")</f>
        <v>聲寶</v>
      </c>
      <c r="C590" s="12" t="str">
        <f ca="1">IFERROR(__xludf.DUMMYFUNCTION("""COMPUTED_VALUE"""),"聲寶")</f>
        <v>聲寶</v>
      </c>
      <c r="D590" s="12" t="str">
        <f ca="1">IFERROR(__xludf.DUMMYFUNCTION("""COMPUTED_VALUE"""),"聲寶 R32一對二變頻分離式冷暖空調 AU-PF521DC2+AM-PF28DC+AM-PF36DC")</f>
        <v>聲寶 R32一對二變頻分離式冷暖空調 AU-PF521DC2+AM-PF28DC+AM-PF36DC</v>
      </c>
      <c r="E590" s="12" t="str">
        <f ca="1">IFERROR(__xludf.DUMMYFUNCTION("""COMPUTED_VALUE"""),"AU-PF521DC2+AM-PF28DC+AM-PF36DC")</f>
        <v>AU-PF521DC2+AM-PF28DC+AM-PF36DC</v>
      </c>
      <c r="F590" s="12">
        <f ca="1">IFERROR(__xludf.DUMMYFUNCTION("""COMPUTED_VALUE"""),51001298)</f>
        <v>51001298</v>
      </c>
      <c r="G590" s="12" t="str">
        <f ca="1">IFERROR(__xludf.DUMMYFUNCTION("""COMPUTED_VALUE"""),"IGEM099J")</f>
        <v>IGEM099J</v>
      </c>
      <c r="H590" s="13">
        <f ca="1">IFERROR(__xludf.DUMMYFUNCTION("""COMPUTED_VALUE"""),58800)</f>
        <v>58800</v>
      </c>
      <c r="I590" s="18">
        <f ca="1">IFERROR(__xludf.DUMMYFUNCTION("""COMPUTED_VALUE"""),49190)</f>
        <v>49190</v>
      </c>
      <c r="J590" s="16">
        <f ca="1">IFERROR(__xludf.DUMMYFUNCTION("""COMPUTED_VALUE"""),45658)</f>
        <v>45658</v>
      </c>
      <c r="K590" s="12" t="str">
        <f ca="1">IFERROR(__xludf.DUMMYFUNCTION("""COMPUTED_VALUE"""),"永久降價")</f>
        <v>永久降價</v>
      </c>
      <c r="L590" s="12" t="str">
        <f ca="1">IFERROR(__xludf.DUMMYFUNCTION("""COMPUTED_VALUE"""),"上架中")</f>
        <v>上架中</v>
      </c>
      <c r="M590" s="12" t="str">
        <f ca="1">IFERROR(__xludf.DUMMYFUNCTION("""COMPUTED_VALUE"""),"2025/1/1調降、2024/4/1新機上架，5/1-12/31短促")</f>
        <v>2025/1/1調降、2024/4/1新機上架，5/1-12/31短促</v>
      </c>
      <c r="N590" s="12" t="str">
        <f ca="1">IFERROR(__xludf.DUMMYFUNCTION("""COMPUTED_VALUE"""),"一對多變頻冷暖")</f>
        <v>一對多變頻冷暖</v>
      </c>
      <c r="O590" s="12" t="str">
        <f ca="1">IFERROR(__xludf.DUMMYFUNCTION("""COMPUTED_VALUE"""),"白色")</f>
        <v>白色</v>
      </c>
      <c r="P590" s="12" t="str">
        <f ca="1">IFERROR(__xludf.DUMMYFUNCTION("""COMPUTED_VALUE"""),"4-6坪+5-7坪")</f>
        <v>4-6坪+5-7坪</v>
      </c>
      <c r="Q590" s="12" t="str">
        <f ca="1">IFERROR(__xludf.DUMMYFUNCTION("""COMPUTED_VALUE"""),"室外機:585*810*280
室內機:276*816*220")</f>
        <v>室外機:585*810*280
室內機:276*816*220</v>
      </c>
      <c r="R590" s="12" t="str">
        <f ca="1">IFERROR(__xludf.DUMMYFUNCTION("""COMPUTED_VALUE"""),"台灣")</f>
        <v>台灣</v>
      </c>
      <c r="S590" s="12" t="str">
        <f ca="1">IFERROR(__xludf.DUMMYFUNCTION("""COMPUTED_VALUE"""),"V")</f>
        <v>V</v>
      </c>
      <c r="T590" s="12" t="str">
        <f ca="1">IFERROR(__xludf.DUMMYFUNCTION("""COMPUTED_VALUE"""),"1級能效")</f>
        <v>1級能效</v>
      </c>
      <c r="U590" s="12" t="str">
        <f ca="1">IFERROR(__xludf.DUMMYFUNCTION("""COMPUTED_VALUE"""),"3年")</f>
        <v>3年</v>
      </c>
      <c r="V590" s="12" t="str">
        <f ca="1">IFERROR(__xludf.DUMMYFUNCTION("""COMPUTED_VALUE"""),"10年")</f>
        <v>10年</v>
      </c>
      <c r="W590" s="12"/>
      <c r="X590" s="12"/>
      <c r="Y590" s="12">
        <f ca="1">IFERROR(__xludf.DUMMYFUNCTION("""COMPUTED_VALUE"""),5.6)</f>
        <v>5.6</v>
      </c>
      <c r="Z590" s="14" t="str">
        <f ca="1">IFERROR(__xludf.DUMMYFUNCTION("""COMPUTED_VALUE"""),"2000")</f>
        <v>2000</v>
      </c>
      <c r="AA590" s="15" t="str">
        <f ca="1">IFERROR(__xludf.DUMMYFUNCTION("""COMPUTED_VALUE"""),"*R32環保冷媒全變頻 *藍波強化防鏽防沼氣設計*搭配壁掛1級能效*我的最愛液晶無線遙控*可搭配PF&amp;NF壁掛/
 NF吊隱內機*內機搭配匹配方式請參照變頻1對多匹配表*全系列台灣製造")</f>
        <v>*R32環保冷媒全變頻 *藍波強化防鏽防沼氣設計*搭配壁掛1級能效*我的最愛液晶無線遙控*可搭配PF&amp;NF壁掛/
 NF吊隱內機*內機搭配匹配方式請參照變頻1對多匹配表*全系列台灣製造</v>
      </c>
    </row>
    <row r="591" spans="1:27" ht="19.5" customHeight="1">
      <c r="A591" s="12" t="str">
        <f ca="1">IFERROR(__xludf.DUMMYFUNCTION("""COMPUTED_VALUE"""),"空調")</f>
        <v>空調</v>
      </c>
      <c r="B591" s="12" t="str">
        <f ca="1">IFERROR(__xludf.DUMMYFUNCTION("""COMPUTED_VALUE"""),"聲寶")</f>
        <v>聲寶</v>
      </c>
      <c r="C591" s="12" t="str">
        <f ca="1">IFERROR(__xludf.DUMMYFUNCTION("""COMPUTED_VALUE"""),"聲寶")</f>
        <v>聲寶</v>
      </c>
      <c r="D591" s="12" t="str">
        <f ca="1">IFERROR(__xludf.DUMMYFUNCTION("""COMPUTED_VALUE"""),"聲寶 3-5坪R32一對一變頻分離式冷專空調 AM-NF22D1/AU-NF22D1")</f>
        <v>聲寶 3-5坪R32一對一變頻分離式冷專空調 AM-NF22D1/AU-NF22D1</v>
      </c>
      <c r="E591" s="12" t="str">
        <f ca="1">IFERROR(__xludf.DUMMYFUNCTION("""COMPUTED_VALUE"""),"AM-NF22D1/AU-NF22D1")</f>
        <v>AM-NF22D1/AU-NF22D1</v>
      </c>
      <c r="F591" s="12">
        <f ca="1">IFERROR(__xludf.DUMMYFUNCTION("""COMPUTED_VALUE"""),51001299)</f>
        <v>51001299</v>
      </c>
      <c r="G591" s="12" t="str">
        <f ca="1">IFERROR(__xludf.DUMMYFUNCTION("""COMPUTED_VALUE"""),"IGEM099K")</f>
        <v>IGEM099K</v>
      </c>
      <c r="H591" s="13">
        <f ca="1">IFERROR(__xludf.DUMMYFUNCTION("""COMPUTED_VALUE"""),22900)</f>
        <v>22900</v>
      </c>
      <c r="I591" s="18">
        <f ca="1">IFERROR(__xludf.DUMMYFUNCTION("""COMPUTED_VALUE"""),18500)</f>
        <v>18500</v>
      </c>
      <c r="J591" s="16">
        <f ca="1">IFERROR(__xludf.DUMMYFUNCTION("""COMPUTED_VALUE"""),45689)</f>
        <v>45689</v>
      </c>
      <c r="K591" s="12" t="str">
        <f ca="1">IFERROR(__xludf.DUMMYFUNCTION("""COMPUTED_VALUE"""),"短促")</f>
        <v>短促</v>
      </c>
      <c r="L591" s="12" t="str">
        <f ca="1">IFERROR(__xludf.DUMMYFUNCTION("""COMPUTED_VALUE"""),"上架中")</f>
        <v>上架中</v>
      </c>
      <c r="M591" s="12" t="str">
        <f ca="1">IFERROR(__xludf.DUMMYFUNCTION("""COMPUTED_VALUE"""),"2/1-3/31短促、2025/1/1調降、2024/4/1新機上架，5/1-12/31短促")</f>
        <v>2/1-3/31短促、2025/1/1調降、2024/4/1新機上架，5/1-12/31短促</v>
      </c>
      <c r="N591" s="12" t="str">
        <f ca="1">IFERROR(__xludf.DUMMYFUNCTION("""COMPUTED_VALUE"""),"一對一變頻冷專")</f>
        <v>一對一變頻冷專</v>
      </c>
      <c r="O591" s="12" t="str">
        <f ca="1">IFERROR(__xludf.DUMMYFUNCTION("""COMPUTED_VALUE"""),"白色")</f>
        <v>白色</v>
      </c>
      <c r="P591" s="12" t="str">
        <f ca="1">IFERROR(__xludf.DUMMYFUNCTION("""COMPUTED_VALUE"""),"3-5坪")</f>
        <v>3-5坪</v>
      </c>
      <c r="Q591" s="12" t="str">
        <f ca="1">IFERROR(__xludf.DUMMYFUNCTION("""COMPUTED_VALUE"""),"室外機:540*715*240
室內機:276*816*220")</f>
        <v>室外機:540*715*240
室內機:276*816*220</v>
      </c>
      <c r="R591" s="12" t="str">
        <f ca="1">IFERROR(__xludf.DUMMYFUNCTION("""COMPUTED_VALUE"""),"台灣")</f>
        <v>台灣</v>
      </c>
      <c r="S591" s="12" t="str">
        <f ca="1">IFERROR(__xludf.DUMMYFUNCTION("""COMPUTED_VALUE"""),"V/環保標章")</f>
        <v>V/環保標章</v>
      </c>
      <c r="T591" s="12" t="str">
        <f ca="1">IFERROR(__xludf.DUMMYFUNCTION("""COMPUTED_VALUE"""),"1級能效")</f>
        <v>1級能效</v>
      </c>
      <c r="U591" s="12" t="str">
        <f ca="1">IFERROR(__xludf.DUMMYFUNCTION("""COMPUTED_VALUE"""),"3年")</f>
        <v>3年</v>
      </c>
      <c r="V591" s="12" t="str">
        <f ca="1">IFERROR(__xludf.DUMMYFUNCTION("""COMPUTED_VALUE"""),"10年")</f>
        <v>10年</v>
      </c>
      <c r="W591" s="12"/>
      <c r="X591" s="12"/>
      <c r="Y591" s="12">
        <f ca="1">IFERROR(__xludf.DUMMYFUNCTION("""COMPUTED_VALUE"""),2.3)</f>
        <v>2.2999999999999998</v>
      </c>
      <c r="Z591" s="14">
        <f ca="1">IFERROR(__xludf.DUMMYFUNCTION("""COMPUTED_VALUE"""),1600)</f>
        <v>1600</v>
      </c>
      <c r="AA591" s="15" t="str">
        <f ca="1">IFERROR(__xludf.DUMMYFUNCTION("""COMPUTED_VALUE"""),"*R32環保冷媒全變頻 *全系列能源效率1級*可擴充Wifi遠端智慧控制*強化防鏽防沼氣設計*急凍洗淨(內機洗淨)*4D大方吹(四方電動擺葉)*奈米光觸媒+HEPA濾網*我的最愛液晶無線遙控*節能標章*環保標章*全系列台灣製造")</f>
        <v>*R32環保冷媒全變頻 *全系列能源效率1級*可擴充Wifi遠端智慧控制*強化防鏽防沼氣設計*急凍洗淨(內機洗淨)*4D大方吹(四方電動擺葉)*奈米光觸媒+HEPA濾網*我的最愛液晶無線遙控*節能標章*環保標章*全系列台灣製造</v>
      </c>
    </row>
    <row r="592" spans="1:27" ht="19.5" customHeight="1">
      <c r="A592" s="12" t="str">
        <f ca="1">IFERROR(__xludf.DUMMYFUNCTION("""COMPUTED_VALUE"""),"空調")</f>
        <v>空調</v>
      </c>
      <c r="B592" s="12" t="str">
        <f ca="1">IFERROR(__xludf.DUMMYFUNCTION("""COMPUTED_VALUE"""),"聲寶")</f>
        <v>聲寶</v>
      </c>
      <c r="C592" s="12" t="str">
        <f ca="1">IFERROR(__xludf.DUMMYFUNCTION("""COMPUTED_VALUE"""),"聲寶")</f>
        <v>聲寶</v>
      </c>
      <c r="D592" s="12" t="str">
        <f ca="1">IFERROR(__xludf.DUMMYFUNCTION("""COMPUTED_VALUE"""),"聲寶12-16坪R32一對一變頻分離式冷專空調 AM-NF86D1/AU-NF86D1")</f>
        <v>聲寶12-16坪R32一對一變頻分離式冷專空調 AM-NF86D1/AU-NF86D1</v>
      </c>
      <c r="E592" s="12" t="str">
        <f ca="1">IFERROR(__xludf.DUMMYFUNCTION("""COMPUTED_VALUE"""),"AM-NF86D1/AU-NF86D1")</f>
        <v>AM-NF86D1/AU-NF86D1</v>
      </c>
      <c r="F592" s="12">
        <f ca="1">IFERROR(__xludf.DUMMYFUNCTION("""COMPUTED_VALUE"""),51001300)</f>
        <v>51001300</v>
      </c>
      <c r="G592" s="12" t="str">
        <f ca="1">IFERROR(__xludf.DUMMYFUNCTION("""COMPUTED_VALUE"""),"IGEM099L")</f>
        <v>IGEM099L</v>
      </c>
      <c r="H592" s="13">
        <f ca="1">IFERROR(__xludf.DUMMYFUNCTION("""COMPUTED_VALUE"""),66400)</f>
        <v>66400</v>
      </c>
      <c r="I592" s="18">
        <f ca="1">IFERROR(__xludf.DUMMYFUNCTION("""COMPUTED_VALUE"""),55500)</f>
        <v>55500</v>
      </c>
      <c r="J592" s="16">
        <f ca="1">IFERROR(__xludf.DUMMYFUNCTION("""COMPUTED_VALUE"""),45658)</f>
        <v>45658</v>
      </c>
      <c r="K592" s="12" t="str">
        <f ca="1">IFERROR(__xludf.DUMMYFUNCTION("""COMPUTED_VALUE"""),"永久降價")</f>
        <v>永久降價</v>
      </c>
      <c r="L592" s="12" t="str">
        <f ca="1">IFERROR(__xludf.DUMMYFUNCTION("""COMPUTED_VALUE"""),"上架中")</f>
        <v>上架中</v>
      </c>
      <c r="M592" s="12" t="str">
        <f ca="1">IFERROR(__xludf.DUMMYFUNCTION("""COMPUTED_VALUE"""),"2025/1/1調降、2024/4/1新機上架，5/1-12/31短促")</f>
        <v>2025/1/1調降、2024/4/1新機上架，5/1-12/31短促</v>
      </c>
      <c r="N592" s="12" t="str">
        <f ca="1">IFERROR(__xludf.DUMMYFUNCTION("""COMPUTED_VALUE"""),"一對一變頻冷專")</f>
        <v>一對一變頻冷專</v>
      </c>
      <c r="O592" s="12" t="str">
        <f ca="1">IFERROR(__xludf.DUMMYFUNCTION("""COMPUTED_VALUE"""),"白色")</f>
        <v>白色</v>
      </c>
      <c r="P592" s="12" t="str">
        <f ca="1">IFERROR(__xludf.DUMMYFUNCTION("""COMPUTED_VALUE"""),"12-16坪")</f>
        <v>12-16坪</v>
      </c>
      <c r="Q592" s="12" t="str">
        <f ca="1">IFERROR(__xludf.DUMMYFUNCTION("""COMPUTED_VALUE"""),"室外機:750*900*340
室內機:360*1280*260")</f>
        <v>室外機:750*900*340
室內機:360*1280*260</v>
      </c>
      <c r="R592" s="12" t="str">
        <f ca="1">IFERROR(__xludf.DUMMYFUNCTION("""COMPUTED_VALUE"""),"台灣")</f>
        <v>台灣</v>
      </c>
      <c r="S592" s="12" t="str">
        <f ca="1">IFERROR(__xludf.DUMMYFUNCTION("""COMPUTED_VALUE"""),"V/環保標章")</f>
        <v>V/環保標章</v>
      </c>
      <c r="T592" s="12" t="str">
        <f ca="1">IFERROR(__xludf.DUMMYFUNCTION("""COMPUTED_VALUE"""),"1級能效")</f>
        <v>1級能效</v>
      </c>
      <c r="U592" s="12" t="str">
        <f ca="1">IFERROR(__xludf.DUMMYFUNCTION("""COMPUTED_VALUE"""),"3年")</f>
        <v>3年</v>
      </c>
      <c r="V592" s="12" t="str">
        <f ca="1">IFERROR(__xludf.DUMMYFUNCTION("""COMPUTED_VALUE"""),"10年")</f>
        <v>10年</v>
      </c>
      <c r="W592" s="12"/>
      <c r="X592" s="12"/>
      <c r="Y592" s="12">
        <f ca="1">IFERROR(__xludf.DUMMYFUNCTION("""COMPUTED_VALUE"""),8.6)</f>
        <v>8.6</v>
      </c>
      <c r="Z592" s="14" t="str">
        <f ca="1">IFERROR(__xludf.DUMMYFUNCTION("""COMPUTED_VALUE"""),"2000")</f>
        <v>2000</v>
      </c>
      <c r="AA592" s="15" t="str">
        <f ca="1">IFERROR(__xludf.DUMMYFUNCTION("""COMPUTED_VALUE"""),"*R32環保冷媒全變頻 *全系列能源效率1級*可擴充Wifi遠端智慧控制*強化防鏽防沼氣設計*急凍洗淨(內機洗淨)*4D大方吹(四方電動擺葉)*奈米光觸媒+HEPA濾網*我的最愛液晶無線遙控*節能標章*環保標章*全系列台灣製造")</f>
        <v>*R32環保冷媒全變頻 *全系列能源效率1級*可擴充Wifi遠端智慧控制*強化防鏽防沼氣設計*急凍洗淨(內機洗淨)*4D大方吹(四方電動擺葉)*奈米光觸媒+HEPA濾網*我的最愛液晶無線遙控*節能標章*環保標章*全系列台灣製造</v>
      </c>
    </row>
    <row r="593" spans="1:27" ht="19.5" customHeight="1">
      <c r="A593" s="12" t="str">
        <f ca="1">IFERROR(__xludf.DUMMYFUNCTION("""COMPUTED_VALUE"""),"空調")</f>
        <v>空調</v>
      </c>
      <c r="B593" s="12" t="str">
        <f ca="1">IFERROR(__xludf.DUMMYFUNCTION("""COMPUTED_VALUE"""),"聲寶")</f>
        <v>聲寶</v>
      </c>
      <c r="C593" s="12" t="str">
        <f ca="1">IFERROR(__xludf.DUMMYFUNCTION("""COMPUTED_VALUE"""),"聲寶")</f>
        <v>聲寶</v>
      </c>
      <c r="D593" s="12" t="str">
        <f ca="1">IFERROR(__xludf.DUMMYFUNCTION("""COMPUTED_VALUE"""),"聲寶4-6坪R32一對一變頻吊隱分離式冷暖空調 AU-NF28DC/CH-NF28DC")</f>
        <v>聲寶4-6坪R32一對一變頻吊隱分離式冷暖空調 AU-NF28DC/CH-NF28DC</v>
      </c>
      <c r="E593" s="12" t="str">
        <f ca="1">IFERROR(__xludf.DUMMYFUNCTION("""COMPUTED_VALUE"""),"AU-NF28DC/CH-NF28DC")</f>
        <v>AU-NF28DC/CH-NF28DC</v>
      </c>
      <c r="F593" s="12">
        <f ca="1">IFERROR(__xludf.DUMMYFUNCTION("""COMPUTED_VALUE"""),51001301)</f>
        <v>51001301</v>
      </c>
      <c r="G593" s="12" t="str">
        <f ca="1">IFERROR(__xludf.DUMMYFUNCTION("""COMPUTED_VALUE"""),"IGEM099M")</f>
        <v>IGEM099M</v>
      </c>
      <c r="H593" s="13">
        <f ca="1">IFERROR(__xludf.DUMMYFUNCTION("""COMPUTED_VALUE"""),26900)</f>
        <v>26900</v>
      </c>
      <c r="I593" s="18">
        <f ca="1">IFERROR(__xludf.DUMMYFUNCTION("""COMPUTED_VALUE"""),24000)</f>
        <v>24000</v>
      </c>
      <c r="J593" s="12"/>
      <c r="K593" s="12" t="str">
        <f ca="1">IFERROR(__xludf.DUMMYFUNCTION("""COMPUTED_VALUE"""),"新機上架")</f>
        <v>新機上架</v>
      </c>
      <c r="L593" s="12" t="str">
        <f ca="1">IFERROR(__xludf.DUMMYFUNCTION("""COMPUTED_VALUE"""),"專案")</f>
        <v>專案</v>
      </c>
      <c r="M593" s="12" t="str">
        <f ca="1">IFERROR(__xludf.DUMMYFUNCTION("""COMPUTED_VALUE"""),"2024/4/1新機上架")</f>
        <v>2024/4/1新機上架</v>
      </c>
      <c r="N593" s="12" t="str">
        <f ca="1">IFERROR(__xludf.DUMMYFUNCTION("""COMPUTED_VALUE"""),"一對一吊隱冷暖")</f>
        <v>一對一吊隱冷暖</v>
      </c>
      <c r="O593" s="12" t="str">
        <f ca="1">IFERROR(__xludf.DUMMYFUNCTION("""COMPUTED_VALUE"""),"白色")</f>
        <v>白色</v>
      </c>
      <c r="P593" s="12" t="str">
        <f ca="1">IFERROR(__xludf.DUMMYFUNCTION("""COMPUTED_VALUE"""),"4-6坪")</f>
        <v>4-6坪</v>
      </c>
      <c r="Q593" s="12" t="str">
        <f ca="1">IFERROR(__xludf.DUMMYFUNCTION("""COMPUTED_VALUE"""),"室外機:540*780*260
室內機:190*700*447")</f>
        <v>室外機:540*780*260
室內機:190*700*447</v>
      </c>
      <c r="R593" s="12" t="str">
        <f ca="1">IFERROR(__xludf.DUMMYFUNCTION("""COMPUTED_VALUE"""),"台灣")</f>
        <v>台灣</v>
      </c>
      <c r="S593" s="12" t="str">
        <f ca="1">IFERROR(__xludf.DUMMYFUNCTION("""COMPUTED_VALUE"""),"V")</f>
        <v>V</v>
      </c>
      <c r="T593" s="12" t="str">
        <f ca="1">IFERROR(__xludf.DUMMYFUNCTION("""COMPUTED_VALUE"""),"1級能效")</f>
        <v>1級能效</v>
      </c>
      <c r="U593" s="12" t="str">
        <f ca="1">IFERROR(__xludf.DUMMYFUNCTION("""COMPUTED_VALUE"""),"3年")</f>
        <v>3年</v>
      </c>
      <c r="V593" s="12" t="str">
        <f ca="1">IFERROR(__xludf.DUMMYFUNCTION("""COMPUTED_VALUE"""),"10年")</f>
        <v>10年</v>
      </c>
      <c r="W593" s="12"/>
      <c r="X593" s="12"/>
      <c r="Y593" s="12">
        <f ca="1">IFERROR(__xludf.DUMMYFUNCTION("""COMPUTED_VALUE"""),2.8)</f>
        <v>2.8</v>
      </c>
      <c r="Z593" s="14">
        <f ca="1">IFERROR(__xludf.DUMMYFUNCTION("""COMPUTED_VALUE"""),1600)</f>
        <v>1600</v>
      </c>
      <c r="AA593" s="15" t="str">
        <f ca="1">IFERROR(__xludf.DUMMYFUNCTION("""COMPUTED_VALUE"""),"*R32環保冷媒全變頻 *強化防鏽設計*我的最愛液晶無線遙控器*可擴充Wifi遠端智慧控制*可擴充TaiSEIA 101*智慧家庭物聯網通訊協定*可擴充Modbus通訊協定*全系列台灣製造")</f>
        <v>*R32環保冷媒全變頻 *強化防鏽設計*我的最愛液晶無線遙控器*可擴充Wifi遠端智慧控制*可擴充TaiSEIA 101*智慧家庭物聯網通訊協定*可擴充Modbus通訊協定*全系列台灣製造</v>
      </c>
    </row>
    <row r="594" spans="1:27" ht="19.5" customHeight="1">
      <c r="A594" s="12" t="str">
        <f ca="1">IFERROR(__xludf.DUMMYFUNCTION("""COMPUTED_VALUE"""),"空調")</f>
        <v>空調</v>
      </c>
      <c r="B594" s="12" t="str">
        <f ca="1">IFERROR(__xludf.DUMMYFUNCTION("""COMPUTED_VALUE"""),"聲寶")</f>
        <v>聲寶</v>
      </c>
      <c r="C594" s="12" t="str">
        <f ca="1">IFERROR(__xludf.DUMMYFUNCTION("""COMPUTED_VALUE"""),"聲寶")</f>
        <v>聲寶</v>
      </c>
      <c r="D594" s="12" t="str">
        <f ca="1">IFERROR(__xludf.DUMMYFUNCTION("""COMPUTED_VALUE"""),"聲寶5-7坪R32一對一變頻吊隱分離式冷暖空調 AU-NF36DC/CH-NF36DC")</f>
        <v>聲寶5-7坪R32一對一變頻吊隱分離式冷暖空調 AU-NF36DC/CH-NF36DC</v>
      </c>
      <c r="E594" s="12" t="str">
        <f ca="1">IFERROR(__xludf.DUMMYFUNCTION("""COMPUTED_VALUE"""),"AU-NF36DC/CH-NF36DC")</f>
        <v>AU-NF36DC/CH-NF36DC</v>
      </c>
      <c r="F594" s="12">
        <f ca="1">IFERROR(__xludf.DUMMYFUNCTION("""COMPUTED_VALUE"""),51001302)</f>
        <v>51001302</v>
      </c>
      <c r="G594" s="12" t="str">
        <f ca="1">IFERROR(__xludf.DUMMYFUNCTION("""COMPUTED_VALUE"""),"IGEM099N")</f>
        <v>IGEM099N</v>
      </c>
      <c r="H594" s="13">
        <f ca="1">IFERROR(__xludf.DUMMYFUNCTION("""COMPUTED_VALUE"""),34500)</f>
        <v>34500</v>
      </c>
      <c r="I594" s="18">
        <f ca="1">IFERROR(__xludf.DUMMYFUNCTION("""COMPUTED_VALUE"""),29900)</f>
        <v>29900</v>
      </c>
      <c r="J594" s="12"/>
      <c r="K594" s="12" t="str">
        <f ca="1">IFERROR(__xludf.DUMMYFUNCTION("""COMPUTED_VALUE"""),"新機上架")</f>
        <v>新機上架</v>
      </c>
      <c r="L594" s="12" t="str">
        <f ca="1">IFERROR(__xludf.DUMMYFUNCTION("""COMPUTED_VALUE"""),"專案")</f>
        <v>專案</v>
      </c>
      <c r="M594" s="12" t="str">
        <f ca="1">IFERROR(__xludf.DUMMYFUNCTION("""COMPUTED_VALUE"""),"2024/4/1新機上架")</f>
        <v>2024/4/1新機上架</v>
      </c>
      <c r="N594" s="12" t="str">
        <f ca="1">IFERROR(__xludf.DUMMYFUNCTION("""COMPUTED_VALUE"""),"一對一吊隱冷暖")</f>
        <v>一對一吊隱冷暖</v>
      </c>
      <c r="O594" s="12" t="str">
        <f ca="1">IFERROR(__xludf.DUMMYFUNCTION("""COMPUTED_VALUE"""),"白色")</f>
        <v>白色</v>
      </c>
      <c r="P594" s="12" t="str">
        <f ca="1">IFERROR(__xludf.DUMMYFUNCTION("""COMPUTED_VALUE"""),"5-7坪")</f>
        <v>5-7坪</v>
      </c>
      <c r="Q594" s="12" t="str">
        <f ca="1">IFERROR(__xludf.DUMMYFUNCTION("""COMPUTED_VALUE"""),"室外機:540*780*260
室內機:190*700*447")</f>
        <v>室外機:540*780*260
室內機:190*700*447</v>
      </c>
      <c r="R594" s="12" t="str">
        <f ca="1">IFERROR(__xludf.DUMMYFUNCTION("""COMPUTED_VALUE"""),"台灣")</f>
        <v>台灣</v>
      </c>
      <c r="S594" s="12" t="str">
        <f ca="1">IFERROR(__xludf.DUMMYFUNCTION("""COMPUTED_VALUE"""),"V")</f>
        <v>V</v>
      </c>
      <c r="T594" s="12" t="str">
        <f ca="1">IFERROR(__xludf.DUMMYFUNCTION("""COMPUTED_VALUE"""),"1級能效")</f>
        <v>1級能效</v>
      </c>
      <c r="U594" s="12" t="str">
        <f ca="1">IFERROR(__xludf.DUMMYFUNCTION("""COMPUTED_VALUE"""),"3年")</f>
        <v>3年</v>
      </c>
      <c r="V594" s="12" t="str">
        <f ca="1">IFERROR(__xludf.DUMMYFUNCTION("""COMPUTED_VALUE"""),"10年")</f>
        <v>10年</v>
      </c>
      <c r="W594" s="12"/>
      <c r="X594" s="12"/>
      <c r="Y594" s="12">
        <f ca="1">IFERROR(__xludf.DUMMYFUNCTION("""COMPUTED_VALUE"""),3.6)</f>
        <v>3.6</v>
      </c>
      <c r="Z594" s="14" t="str">
        <f ca="1">IFERROR(__xludf.DUMMYFUNCTION("""COMPUTED_VALUE"""),"2000")</f>
        <v>2000</v>
      </c>
      <c r="AA594" s="15" t="str">
        <f ca="1">IFERROR(__xludf.DUMMYFUNCTION("""COMPUTED_VALUE"""),"*R32環保冷媒全變頻*強化防鏽設計*我的最愛液晶無線遙控器*可擴充Wifi遠端智慧控制*可擴充TaiSEIA 101*智慧家庭物聯網通訊協定*可擴充Modbus通訊協定*全系列台灣製造")</f>
        <v>*R32環保冷媒全變頻*強化防鏽設計*我的最愛液晶無線遙控器*可擴充Wifi遠端智慧控制*可擴充TaiSEIA 101*智慧家庭物聯網通訊協定*可擴充Modbus通訊協定*全系列台灣製造</v>
      </c>
    </row>
    <row r="595" spans="1:27" ht="19.5" customHeight="1">
      <c r="A595" s="12" t="str">
        <f ca="1">IFERROR(__xludf.DUMMYFUNCTION("""COMPUTED_VALUE"""),"空調")</f>
        <v>空調</v>
      </c>
      <c r="B595" s="12" t="str">
        <f ca="1">IFERROR(__xludf.DUMMYFUNCTION("""COMPUTED_VALUE"""),"聲寶")</f>
        <v>聲寶</v>
      </c>
      <c r="C595" s="12" t="str">
        <f ca="1">IFERROR(__xludf.DUMMYFUNCTION("""COMPUTED_VALUE"""),"聲寶")</f>
        <v>聲寶</v>
      </c>
      <c r="D595" s="12" t="str">
        <f ca="1">IFERROR(__xludf.DUMMYFUNCTION("""COMPUTED_VALUE"""),"聲寶6-8坪R32一對一變頻吊隱分離式冷暖空調 AU-NF41DC/CH-NF41DC")</f>
        <v>聲寶6-8坪R32一對一變頻吊隱分離式冷暖空調 AU-NF41DC/CH-NF41DC</v>
      </c>
      <c r="E595" s="12" t="str">
        <f ca="1">IFERROR(__xludf.DUMMYFUNCTION("""COMPUTED_VALUE"""),"AU-NF41DC/CH-NF41DC")</f>
        <v>AU-NF41DC/CH-NF41DC</v>
      </c>
      <c r="F595" s="12">
        <f ca="1">IFERROR(__xludf.DUMMYFUNCTION("""COMPUTED_VALUE"""),51001303)</f>
        <v>51001303</v>
      </c>
      <c r="G595" s="12" t="str">
        <f ca="1">IFERROR(__xludf.DUMMYFUNCTION("""COMPUTED_VALUE"""),"IGEM099O")</f>
        <v>IGEM099O</v>
      </c>
      <c r="H595" s="13">
        <f ca="1">IFERROR(__xludf.DUMMYFUNCTION("""COMPUTED_VALUE"""),36900)</f>
        <v>36900</v>
      </c>
      <c r="I595" s="18">
        <f ca="1">IFERROR(__xludf.DUMMYFUNCTION("""COMPUTED_VALUE"""),32900)</f>
        <v>32900</v>
      </c>
      <c r="J595" s="12"/>
      <c r="K595" s="12" t="str">
        <f ca="1">IFERROR(__xludf.DUMMYFUNCTION("""COMPUTED_VALUE"""),"新機上架")</f>
        <v>新機上架</v>
      </c>
      <c r="L595" s="12" t="str">
        <f ca="1">IFERROR(__xludf.DUMMYFUNCTION("""COMPUTED_VALUE"""),"專案")</f>
        <v>專案</v>
      </c>
      <c r="M595" s="12" t="str">
        <f ca="1">IFERROR(__xludf.DUMMYFUNCTION("""COMPUTED_VALUE"""),"2024/4/1新機上架")</f>
        <v>2024/4/1新機上架</v>
      </c>
      <c r="N595" s="12" t="str">
        <f ca="1">IFERROR(__xludf.DUMMYFUNCTION("""COMPUTED_VALUE"""),"一對一吊隱冷暖")</f>
        <v>一對一吊隱冷暖</v>
      </c>
      <c r="O595" s="12" t="str">
        <f ca="1">IFERROR(__xludf.DUMMYFUNCTION("""COMPUTED_VALUE"""),"白色")</f>
        <v>白色</v>
      </c>
      <c r="P595" s="12" t="str">
        <f ca="1">IFERROR(__xludf.DUMMYFUNCTION("""COMPUTED_VALUE"""),"6-8坪")</f>
        <v>6-8坪</v>
      </c>
      <c r="Q595" s="12" t="str">
        <f ca="1">IFERROR(__xludf.DUMMYFUNCTION("""COMPUTED_VALUE"""),"室外機:585*810*280
室內機:190*910*447")</f>
        <v>室外機:585*810*280
室內機:190*910*447</v>
      </c>
      <c r="R595" s="12" t="str">
        <f ca="1">IFERROR(__xludf.DUMMYFUNCTION("""COMPUTED_VALUE"""),"台灣")</f>
        <v>台灣</v>
      </c>
      <c r="S595" s="12" t="str">
        <f ca="1">IFERROR(__xludf.DUMMYFUNCTION("""COMPUTED_VALUE"""),"V")</f>
        <v>V</v>
      </c>
      <c r="T595" s="12" t="str">
        <f ca="1">IFERROR(__xludf.DUMMYFUNCTION("""COMPUTED_VALUE"""),"1級能效")</f>
        <v>1級能效</v>
      </c>
      <c r="U595" s="12" t="str">
        <f ca="1">IFERROR(__xludf.DUMMYFUNCTION("""COMPUTED_VALUE"""),"3年")</f>
        <v>3年</v>
      </c>
      <c r="V595" s="12" t="str">
        <f ca="1">IFERROR(__xludf.DUMMYFUNCTION("""COMPUTED_VALUE"""),"10年")</f>
        <v>10年</v>
      </c>
      <c r="W595" s="12"/>
      <c r="X595" s="12"/>
      <c r="Y595" s="12">
        <f ca="1">IFERROR(__xludf.DUMMYFUNCTION("""COMPUTED_VALUE"""),4.1)</f>
        <v>4.0999999999999996</v>
      </c>
      <c r="Z595" s="14" t="str">
        <f ca="1">IFERROR(__xludf.DUMMYFUNCTION("""COMPUTED_VALUE"""),"2000")</f>
        <v>2000</v>
      </c>
      <c r="AA595" s="15" t="str">
        <f ca="1">IFERROR(__xludf.DUMMYFUNCTION("""COMPUTED_VALUE"""),"*R32環保冷媒全變頻 *強化防鏽設計*我的最愛液晶無線遙控器*可擴充Wifi遠端智慧控制*可擴充TaiSEIA 101*智慧家庭物聯網通訊協定*可擴充Modbus通訊協定*全系列台灣製造")</f>
        <v>*R32環保冷媒全變頻 *強化防鏽設計*我的最愛液晶無線遙控器*可擴充Wifi遠端智慧控制*可擴充TaiSEIA 101*智慧家庭物聯網通訊協定*可擴充Modbus通訊協定*全系列台灣製造</v>
      </c>
    </row>
    <row r="596" spans="1:27" ht="19.5" customHeight="1">
      <c r="A596" s="12" t="str">
        <f ca="1">IFERROR(__xludf.DUMMYFUNCTION("""COMPUTED_VALUE"""),"空調")</f>
        <v>空調</v>
      </c>
      <c r="B596" s="12" t="str">
        <f ca="1">IFERROR(__xludf.DUMMYFUNCTION("""COMPUTED_VALUE"""),"聲寶")</f>
        <v>聲寶</v>
      </c>
      <c r="C596" s="12" t="str">
        <f ca="1">IFERROR(__xludf.DUMMYFUNCTION("""COMPUTED_VALUE"""),"聲寶")</f>
        <v>聲寶</v>
      </c>
      <c r="D596" s="12" t="str">
        <f ca="1">IFERROR(__xludf.DUMMYFUNCTION("""COMPUTED_VALUE"""),"聲寶8-10坪R32一對一變頻吊隱分離式冷暖空調 AU-NF50DC/CH-NF50DC")</f>
        <v>聲寶8-10坪R32一對一變頻吊隱分離式冷暖空調 AU-NF50DC/CH-NF50DC</v>
      </c>
      <c r="E596" s="12" t="str">
        <f ca="1">IFERROR(__xludf.DUMMYFUNCTION("""COMPUTED_VALUE"""),"AU-NF50DC/CH-NF50DC")</f>
        <v>AU-NF50DC/CH-NF50DC</v>
      </c>
      <c r="F596" s="12">
        <f ca="1">IFERROR(__xludf.DUMMYFUNCTION("""COMPUTED_VALUE"""),51001304)</f>
        <v>51001304</v>
      </c>
      <c r="G596" s="12" t="str">
        <f ca="1">IFERROR(__xludf.DUMMYFUNCTION("""COMPUTED_VALUE"""),"IGEM099P")</f>
        <v>IGEM099P</v>
      </c>
      <c r="H596" s="13">
        <f ca="1">IFERROR(__xludf.DUMMYFUNCTION("""COMPUTED_VALUE"""),43900)</f>
        <v>43900</v>
      </c>
      <c r="I596" s="18">
        <f ca="1">IFERROR(__xludf.DUMMYFUNCTION("""COMPUTED_VALUE"""),39800)</f>
        <v>39800</v>
      </c>
      <c r="J596" s="12"/>
      <c r="K596" s="12" t="str">
        <f ca="1">IFERROR(__xludf.DUMMYFUNCTION("""COMPUTED_VALUE"""),"新機上架")</f>
        <v>新機上架</v>
      </c>
      <c r="L596" s="12" t="str">
        <f ca="1">IFERROR(__xludf.DUMMYFUNCTION("""COMPUTED_VALUE"""),"專案")</f>
        <v>專案</v>
      </c>
      <c r="M596" s="12" t="str">
        <f ca="1">IFERROR(__xludf.DUMMYFUNCTION("""COMPUTED_VALUE"""),"2024/4/1新機上架")</f>
        <v>2024/4/1新機上架</v>
      </c>
      <c r="N596" s="12" t="str">
        <f ca="1">IFERROR(__xludf.DUMMYFUNCTION("""COMPUTED_VALUE"""),"一對一吊隱冷暖")</f>
        <v>一對一吊隱冷暖</v>
      </c>
      <c r="O596" s="12" t="str">
        <f ca="1">IFERROR(__xludf.DUMMYFUNCTION("""COMPUTED_VALUE"""),"白色")</f>
        <v>白色</v>
      </c>
      <c r="P596" s="12" t="str">
        <f ca="1">IFERROR(__xludf.DUMMYFUNCTION("""COMPUTED_VALUE"""),"8-10坪")</f>
        <v>8-10坪</v>
      </c>
      <c r="Q596" s="12" t="str">
        <f ca="1">IFERROR(__xludf.DUMMYFUNCTION("""COMPUTED_VALUE"""),"室外機:585*810*280
室內機:190*910*447")</f>
        <v>室外機:585*810*280
室內機:190*910*447</v>
      </c>
      <c r="R596" s="12" t="str">
        <f ca="1">IFERROR(__xludf.DUMMYFUNCTION("""COMPUTED_VALUE"""),"台灣")</f>
        <v>台灣</v>
      </c>
      <c r="S596" s="12" t="str">
        <f ca="1">IFERROR(__xludf.DUMMYFUNCTION("""COMPUTED_VALUE"""),"V")</f>
        <v>V</v>
      </c>
      <c r="T596" s="12" t="str">
        <f ca="1">IFERROR(__xludf.DUMMYFUNCTION("""COMPUTED_VALUE"""),"1級能效")</f>
        <v>1級能效</v>
      </c>
      <c r="U596" s="12" t="str">
        <f ca="1">IFERROR(__xludf.DUMMYFUNCTION("""COMPUTED_VALUE"""),"3年")</f>
        <v>3年</v>
      </c>
      <c r="V596" s="12" t="str">
        <f ca="1">IFERROR(__xludf.DUMMYFUNCTION("""COMPUTED_VALUE"""),"10年")</f>
        <v>10年</v>
      </c>
      <c r="W596" s="12"/>
      <c r="X596" s="12"/>
      <c r="Y596" s="12">
        <f ca="1">IFERROR(__xludf.DUMMYFUNCTION("""COMPUTED_VALUE"""),5)</f>
        <v>5</v>
      </c>
      <c r="Z596" s="14" t="str">
        <f ca="1">IFERROR(__xludf.DUMMYFUNCTION("""COMPUTED_VALUE"""),"2000")</f>
        <v>2000</v>
      </c>
      <c r="AA596" s="15" t="str">
        <f ca="1">IFERROR(__xludf.DUMMYFUNCTION("""COMPUTED_VALUE"""),"*R32環保冷媒全變頻 *強化防鏽設計*我的最愛液晶無線遙控器*可擴充Wifi遠端智慧控制*可擴充TaiSEIA 101*智慧家庭物聯網通訊協定*可擴充Modbus通訊協定*全系列台灣製造")</f>
        <v>*R32環保冷媒全變頻 *強化防鏽設計*我的最愛液晶無線遙控器*可擴充Wifi遠端智慧控制*可擴充TaiSEIA 101*智慧家庭物聯網通訊協定*可擴充Modbus通訊協定*全系列台灣製造</v>
      </c>
    </row>
    <row r="597" spans="1:27" ht="19.5" customHeight="1">
      <c r="A597" s="12" t="str">
        <f ca="1">IFERROR(__xludf.DUMMYFUNCTION("""COMPUTED_VALUE"""),"空調")</f>
        <v>空調</v>
      </c>
      <c r="B597" s="12" t="str">
        <f ca="1">IFERROR(__xludf.DUMMYFUNCTION("""COMPUTED_VALUE"""),"聲寶")</f>
        <v>聲寶</v>
      </c>
      <c r="C597" s="12" t="str">
        <f ca="1">IFERROR(__xludf.DUMMYFUNCTION("""COMPUTED_VALUE"""),"聲寶")</f>
        <v>聲寶</v>
      </c>
      <c r="D597" s="12" t="str">
        <f ca="1">IFERROR(__xludf.DUMMYFUNCTION("""COMPUTED_VALUE"""),"聲寶11-15坪R32一對一變頻吊隱分離式冷暖空調 AU-NF72DC/CH-NF72DC")</f>
        <v>聲寶11-15坪R32一對一變頻吊隱分離式冷暖空調 AU-NF72DC/CH-NF72DC</v>
      </c>
      <c r="E597" s="12" t="str">
        <f ca="1">IFERROR(__xludf.DUMMYFUNCTION("""COMPUTED_VALUE"""),"AU-NF72DC/CH-NF72DC")</f>
        <v>AU-NF72DC/CH-NF72DC</v>
      </c>
      <c r="F597" s="12">
        <f ca="1">IFERROR(__xludf.DUMMYFUNCTION("""COMPUTED_VALUE"""),51001305)</f>
        <v>51001305</v>
      </c>
      <c r="G597" s="12" t="str">
        <f ca="1">IFERROR(__xludf.DUMMYFUNCTION("""COMPUTED_VALUE"""),"IGEM099Q")</f>
        <v>IGEM099Q</v>
      </c>
      <c r="H597" s="13">
        <f ca="1">IFERROR(__xludf.DUMMYFUNCTION("""COMPUTED_VALUE"""),55900)</f>
        <v>55900</v>
      </c>
      <c r="I597" s="18">
        <f ca="1">IFERROR(__xludf.DUMMYFUNCTION("""COMPUTED_VALUE"""),51995)</f>
        <v>51995</v>
      </c>
      <c r="J597" s="12"/>
      <c r="K597" s="12" t="str">
        <f ca="1">IFERROR(__xludf.DUMMYFUNCTION("""COMPUTED_VALUE"""),"新機上架")</f>
        <v>新機上架</v>
      </c>
      <c r="L597" s="12" t="str">
        <f ca="1">IFERROR(__xludf.DUMMYFUNCTION("""COMPUTED_VALUE"""),"專案")</f>
        <v>專案</v>
      </c>
      <c r="M597" s="12" t="str">
        <f ca="1">IFERROR(__xludf.DUMMYFUNCTION("""COMPUTED_VALUE"""),"2024/4/1新機上架")</f>
        <v>2024/4/1新機上架</v>
      </c>
      <c r="N597" s="12" t="str">
        <f ca="1">IFERROR(__xludf.DUMMYFUNCTION("""COMPUTED_VALUE"""),"一對一吊隱冷暖")</f>
        <v>一對一吊隱冷暖</v>
      </c>
      <c r="O597" s="12" t="str">
        <f ca="1">IFERROR(__xludf.DUMMYFUNCTION("""COMPUTED_VALUE"""),"白色")</f>
        <v>白色</v>
      </c>
      <c r="P597" s="12" t="str">
        <f ca="1">IFERROR(__xludf.DUMMYFUNCTION("""COMPUTED_VALUE"""),"11-15坪")</f>
        <v>11-15坪</v>
      </c>
      <c r="Q597" s="12" t="str">
        <f ca="1">IFERROR(__xludf.DUMMYFUNCTION("""COMPUTED_VALUE"""),"室外機:667*860*310
室內機:190*1180*447")</f>
        <v>室外機:667*860*310
室內機:190*1180*447</v>
      </c>
      <c r="R597" s="12" t="str">
        <f ca="1">IFERROR(__xludf.DUMMYFUNCTION("""COMPUTED_VALUE"""),"台灣")</f>
        <v>台灣</v>
      </c>
      <c r="S597" s="12" t="str">
        <f ca="1">IFERROR(__xludf.DUMMYFUNCTION("""COMPUTED_VALUE"""),"V")</f>
        <v>V</v>
      </c>
      <c r="T597" s="12" t="str">
        <f ca="1">IFERROR(__xludf.DUMMYFUNCTION("""COMPUTED_VALUE"""),"1級能效")</f>
        <v>1級能效</v>
      </c>
      <c r="U597" s="12" t="str">
        <f ca="1">IFERROR(__xludf.DUMMYFUNCTION("""COMPUTED_VALUE"""),"3年")</f>
        <v>3年</v>
      </c>
      <c r="V597" s="12" t="str">
        <f ca="1">IFERROR(__xludf.DUMMYFUNCTION("""COMPUTED_VALUE"""),"10年")</f>
        <v>10年</v>
      </c>
      <c r="W597" s="12"/>
      <c r="X597" s="12"/>
      <c r="Y597" s="12">
        <f ca="1">IFERROR(__xludf.DUMMYFUNCTION("""COMPUTED_VALUE"""),7.2)</f>
        <v>7.2</v>
      </c>
      <c r="Z597" s="14" t="str">
        <f ca="1">IFERROR(__xludf.DUMMYFUNCTION("""COMPUTED_VALUE"""),"2000")</f>
        <v>2000</v>
      </c>
      <c r="AA597" s="15" t="str">
        <f ca="1">IFERROR(__xludf.DUMMYFUNCTION("""COMPUTED_VALUE"""),"*R32環保冷媒全變頻 *強化防鏽設計*我的最愛液晶無線遙控器*可擴充Wifi遠端智慧控制*可擴充TaiSEIA 101*智慧家庭物聯網通訊協定*可擴充Modbus通訊協定*全系列台灣製造")</f>
        <v>*R32環保冷媒全變頻 *強化防鏽設計*我的最愛液晶無線遙控器*可擴充Wifi遠端智慧控制*可擴充TaiSEIA 101*智慧家庭物聯網通訊協定*可擴充Modbus通訊協定*全系列台灣製造</v>
      </c>
    </row>
    <row r="598" spans="1:27" ht="19.5" customHeight="1">
      <c r="A598" s="12" t="str">
        <f ca="1">IFERROR(__xludf.DUMMYFUNCTION("""COMPUTED_VALUE"""),"空調")</f>
        <v>空調</v>
      </c>
      <c r="B598" s="12" t="str">
        <f ca="1">IFERROR(__xludf.DUMMYFUNCTION("""COMPUTED_VALUE"""),"聲寶")</f>
        <v>聲寶</v>
      </c>
      <c r="C598" s="12" t="str">
        <f ca="1">IFERROR(__xludf.DUMMYFUNCTION("""COMPUTED_VALUE"""),"聲寶")</f>
        <v>聲寶</v>
      </c>
      <c r="D598" s="12" t="str">
        <f ca="1">IFERROR(__xludf.DUMMYFUNCTION("""COMPUTED_VALUE"""),"聲寶12-16坪R32一對一變頻吊隱分離式冷暖空調 AU-NF86DC1/CH-NF86DC1")</f>
        <v>聲寶12-16坪R32一對一變頻吊隱分離式冷暖空調 AU-NF86DC1/CH-NF86DC1</v>
      </c>
      <c r="E598" s="12" t="str">
        <f ca="1">IFERROR(__xludf.DUMMYFUNCTION("""COMPUTED_VALUE"""),"AU-NF86DC1/CH-NF86DC1")</f>
        <v>AU-NF86DC1/CH-NF86DC1</v>
      </c>
      <c r="F598" s="12">
        <f ca="1">IFERROR(__xludf.DUMMYFUNCTION("""COMPUTED_VALUE"""),51001306)</f>
        <v>51001306</v>
      </c>
      <c r="G598" s="12" t="str">
        <f ca="1">IFERROR(__xludf.DUMMYFUNCTION("""COMPUTED_VALUE"""),"IGEM099R")</f>
        <v>IGEM099R</v>
      </c>
      <c r="H598" s="13">
        <f ca="1">IFERROR(__xludf.DUMMYFUNCTION("""COMPUTED_VALUE"""),64900)</f>
        <v>64900</v>
      </c>
      <c r="I598" s="18">
        <f ca="1">IFERROR(__xludf.DUMMYFUNCTION("""COMPUTED_VALUE"""),59995)</f>
        <v>59995</v>
      </c>
      <c r="J598" s="12"/>
      <c r="K598" s="12" t="str">
        <f ca="1">IFERROR(__xludf.DUMMYFUNCTION("""COMPUTED_VALUE"""),"新機上架")</f>
        <v>新機上架</v>
      </c>
      <c r="L598" s="12" t="str">
        <f ca="1">IFERROR(__xludf.DUMMYFUNCTION("""COMPUTED_VALUE"""),"專案")</f>
        <v>專案</v>
      </c>
      <c r="M598" s="12" t="str">
        <f ca="1">IFERROR(__xludf.DUMMYFUNCTION("""COMPUTED_VALUE"""),"2024/4/1新機上架")</f>
        <v>2024/4/1新機上架</v>
      </c>
      <c r="N598" s="12" t="str">
        <f ca="1">IFERROR(__xludf.DUMMYFUNCTION("""COMPUTED_VALUE"""),"一對一吊隱冷暖")</f>
        <v>一對一吊隱冷暖</v>
      </c>
      <c r="O598" s="12" t="str">
        <f ca="1">IFERROR(__xludf.DUMMYFUNCTION("""COMPUTED_VALUE"""),"白色")</f>
        <v>白色</v>
      </c>
      <c r="P598" s="12" t="str">
        <f ca="1">IFERROR(__xludf.DUMMYFUNCTION("""COMPUTED_VALUE"""),"12-16坪")</f>
        <v>12-16坪</v>
      </c>
      <c r="Q598" s="12" t="str">
        <f ca="1">IFERROR(__xludf.DUMMYFUNCTION("""COMPUTED_VALUE"""),"室外機:750*900*340
室內機:190*1180*447")</f>
        <v>室外機:750*900*340
室內機:190*1180*447</v>
      </c>
      <c r="R598" s="12" t="str">
        <f ca="1">IFERROR(__xludf.DUMMYFUNCTION("""COMPUTED_VALUE"""),"台灣")</f>
        <v>台灣</v>
      </c>
      <c r="S598" s="12" t="str">
        <f ca="1">IFERROR(__xludf.DUMMYFUNCTION("""COMPUTED_VALUE"""),"V")</f>
        <v>V</v>
      </c>
      <c r="T598" s="12" t="str">
        <f ca="1">IFERROR(__xludf.DUMMYFUNCTION("""COMPUTED_VALUE"""),"1級能效")</f>
        <v>1級能效</v>
      </c>
      <c r="U598" s="12" t="str">
        <f ca="1">IFERROR(__xludf.DUMMYFUNCTION("""COMPUTED_VALUE"""),"3年")</f>
        <v>3年</v>
      </c>
      <c r="V598" s="12" t="str">
        <f ca="1">IFERROR(__xludf.DUMMYFUNCTION("""COMPUTED_VALUE"""),"10年")</f>
        <v>10年</v>
      </c>
      <c r="W598" s="12"/>
      <c r="X598" s="12"/>
      <c r="Y598" s="12">
        <f ca="1">IFERROR(__xludf.DUMMYFUNCTION("""COMPUTED_VALUE"""),8.6)</f>
        <v>8.6</v>
      </c>
      <c r="Z598" s="14" t="str">
        <f ca="1">IFERROR(__xludf.DUMMYFUNCTION("""COMPUTED_VALUE"""),"2000")</f>
        <v>2000</v>
      </c>
      <c r="AA598" s="15" t="str">
        <f ca="1">IFERROR(__xludf.DUMMYFUNCTION("""COMPUTED_VALUE"""),"*R32環保冷媒全變頻 *強化防鏽設計*我的最愛液晶無線遙控器*可擴充Wifi遠端智慧控制*可擴充TaiSEIA 101*智慧家庭物聯網通訊協定*可擴充Modbus通訊協定*全系列台灣製造")</f>
        <v>*R32環保冷媒全變頻 *強化防鏽設計*我的最愛液晶無線遙控器*可擴充Wifi遠端智慧控制*可擴充TaiSEIA 101*智慧家庭物聯網通訊協定*可擴充Modbus通訊協定*全系列台灣製造</v>
      </c>
    </row>
    <row r="599" spans="1:27" ht="19.5" customHeight="1">
      <c r="A599" s="12" t="str">
        <f ca="1">IFERROR(__xludf.DUMMYFUNCTION("""COMPUTED_VALUE"""),"空調")</f>
        <v>空調</v>
      </c>
      <c r="B599" s="12" t="str">
        <f ca="1">IFERROR(__xludf.DUMMYFUNCTION("""COMPUTED_VALUE"""),"聲寶")</f>
        <v>聲寶</v>
      </c>
      <c r="C599" s="12" t="str">
        <f ca="1">IFERROR(__xludf.DUMMYFUNCTION("""COMPUTED_VALUE"""),"聲寶")</f>
        <v>聲寶</v>
      </c>
      <c r="D599" s="12" t="str">
        <f ca="1">IFERROR(__xludf.DUMMYFUNCTION("""COMPUTED_VALUE"""),"聲寶17-23坪R32一對一變頻吊隱分離式冷暖空調 AU-NF110DC1/ACH-NF110DC1")</f>
        <v>聲寶17-23坪R32一對一變頻吊隱分離式冷暖空調 AU-NF110DC1/ACH-NF110DC1</v>
      </c>
      <c r="E599" s="12" t="str">
        <f ca="1">IFERROR(__xludf.DUMMYFUNCTION("""COMPUTED_VALUE"""),"AU-NF110DC1/CH-NF110DC1")</f>
        <v>AU-NF110DC1/CH-NF110DC1</v>
      </c>
      <c r="F599" s="12">
        <f ca="1">IFERROR(__xludf.DUMMYFUNCTION("""COMPUTED_VALUE"""),51001307)</f>
        <v>51001307</v>
      </c>
      <c r="G599" s="12" t="str">
        <f ca="1">IFERROR(__xludf.DUMMYFUNCTION("""COMPUTED_VALUE"""),"IGEM099S")</f>
        <v>IGEM099S</v>
      </c>
      <c r="H599" s="13">
        <f ca="1">IFERROR(__xludf.DUMMYFUNCTION("""COMPUTED_VALUE"""),80900)</f>
        <v>80900</v>
      </c>
      <c r="I599" s="18">
        <f ca="1">IFERROR(__xludf.DUMMYFUNCTION("""COMPUTED_VALUE"""),79995)</f>
        <v>79995</v>
      </c>
      <c r="J599" s="12"/>
      <c r="K599" s="12" t="str">
        <f ca="1">IFERROR(__xludf.DUMMYFUNCTION("""COMPUTED_VALUE"""),"新機上架")</f>
        <v>新機上架</v>
      </c>
      <c r="L599" s="12" t="str">
        <f ca="1">IFERROR(__xludf.DUMMYFUNCTION("""COMPUTED_VALUE"""),"專案")</f>
        <v>專案</v>
      </c>
      <c r="M599" s="12" t="str">
        <f ca="1">IFERROR(__xludf.DUMMYFUNCTION("""COMPUTED_VALUE"""),"2024/4/1新機上架")</f>
        <v>2024/4/1新機上架</v>
      </c>
      <c r="N599" s="12" t="str">
        <f ca="1">IFERROR(__xludf.DUMMYFUNCTION("""COMPUTED_VALUE"""),"一對一吊隱冷暖")</f>
        <v>一對一吊隱冷暖</v>
      </c>
      <c r="O599" s="12" t="str">
        <f ca="1">IFERROR(__xludf.DUMMYFUNCTION("""COMPUTED_VALUE"""),"白色")</f>
        <v>白色</v>
      </c>
      <c r="P599" s="12" t="str">
        <f ca="1">IFERROR(__xludf.DUMMYFUNCTION("""COMPUTED_VALUE"""),"17-23坪")</f>
        <v>17-23坪</v>
      </c>
      <c r="Q599" s="12" t="str">
        <f ca="1">IFERROR(__xludf.DUMMYFUNCTION("""COMPUTED_VALUE"""),"室外機:750*900*340
室內機:190*1180*447")</f>
        <v>室外機:750*900*340
室內機:190*1180*447</v>
      </c>
      <c r="R599" s="12" t="str">
        <f ca="1">IFERROR(__xludf.DUMMYFUNCTION("""COMPUTED_VALUE"""),"台灣")</f>
        <v>台灣</v>
      </c>
      <c r="S599" s="12" t="str">
        <f ca="1">IFERROR(__xludf.DUMMYFUNCTION("""COMPUTED_VALUE"""),"V")</f>
        <v>V</v>
      </c>
      <c r="T599" s="12" t="str">
        <f ca="1">IFERROR(__xludf.DUMMYFUNCTION("""COMPUTED_VALUE"""),"1級能效")</f>
        <v>1級能效</v>
      </c>
      <c r="U599" s="12" t="str">
        <f ca="1">IFERROR(__xludf.DUMMYFUNCTION("""COMPUTED_VALUE"""),"3年")</f>
        <v>3年</v>
      </c>
      <c r="V599" s="12" t="str">
        <f ca="1">IFERROR(__xludf.DUMMYFUNCTION("""COMPUTED_VALUE"""),"10年")</f>
        <v>10年</v>
      </c>
      <c r="W599" s="12"/>
      <c r="X599" s="12"/>
      <c r="Y599" s="12">
        <f ca="1">IFERROR(__xludf.DUMMYFUNCTION("""COMPUTED_VALUE"""),8.6)</f>
        <v>8.6</v>
      </c>
      <c r="Z599" s="14" t="str">
        <f ca="1">IFERROR(__xludf.DUMMYFUNCTION("""COMPUTED_VALUE"""),"2000")</f>
        <v>2000</v>
      </c>
      <c r="AA599" s="15" t="str">
        <f ca="1">IFERROR(__xludf.DUMMYFUNCTION("""COMPUTED_VALUE"""),"*R32環保冷媒全變頻 *強化防鏽設計*我的最愛液晶無線遙控器*可擴充Wifi遠端智慧控制*可擴充TaiSEIA 101*智慧家庭物聯網通訊協定*可擴充Modbus通訊協定*全系列台灣製造")</f>
        <v>*R32環保冷媒全變頻 *強化防鏽設計*我的最愛液晶無線遙控器*可擴充Wifi遠端智慧控制*可擴充TaiSEIA 101*智慧家庭物聯網通訊協定*可擴充Modbus通訊協定*全系列台灣製造</v>
      </c>
    </row>
    <row r="600" spans="1:27" ht="19.5" customHeight="1">
      <c r="A600" s="12" t="str">
        <f ca="1">IFERROR(__xludf.DUMMYFUNCTION("""COMPUTED_VALUE"""),"空調")</f>
        <v>空調</v>
      </c>
      <c r="B600" s="12" t="str">
        <f ca="1">IFERROR(__xludf.DUMMYFUNCTION("""COMPUTED_VALUE"""),"大同")</f>
        <v>大同</v>
      </c>
      <c r="C600" s="12" t="str">
        <f ca="1">IFERROR(__xludf.DUMMYFUNCTION("""COMPUTED_VALUE"""),"HITACHI")</f>
        <v>HITACHI</v>
      </c>
      <c r="D600" s="12" t="str">
        <f ca="1">IFERROR(__xludf.DUMMYFUNCTION("""COMPUTED_VALUE"""),"HITACHI變頻2-3坪冷暖雙吹式窗型RA-25NR")</f>
        <v>HITACHI變頻2-3坪冷暖雙吹式窗型RA-25NR</v>
      </c>
      <c r="E600" s="12" t="str">
        <f ca="1">IFERROR(__xludf.DUMMYFUNCTION("""COMPUTED_VALUE"""),"RA-25NR")</f>
        <v>RA-25NR</v>
      </c>
      <c r="F600" s="12">
        <f ca="1">IFERROR(__xludf.DUMMYFUNCTION("""COMPUTED_VALUE"""),51081360)</f>
        <v>51081360</v>
      </c>
      <c r="G600" s="12" t="str">
        <f ca="1">IFERROR(__xludf.DUMMYFUNCTION("""COMPUTED_VALUE"""),"IGEM0985")</f>
        <v>IGEM0985</v>
      </c>
      <c r="H600" s="13">
        <f ca="1">IFERROR(__xludf.DUMMYFUNCTION("""COMPUTED_VALUE"""),30390)</f>
        <v>30390</v>
      </c>
      <c r="I600" s="14">
        <f ca="1">IFERROR(__xludf.DUMMYFUNCTION("""COMPUTED_VALUE"""),29100)</f>
        <v>29100</v>
      </c>
      <c r="J600" s="16">
        <f ca="1">IFERROR(__xludf.DUMMYFUNCTION("""COMPUTED_VALUE"""),45658)</f>
        <v>45658</v>
      </c>
      <c r="K600" s="12" t="str">
        <f ca="1">IFERROR(__xludf.DUMMYFUNCTION("""COMPUTED_VALUE"""),"永久降價")</f>
        <v>永久降價</v>
      </c>
      <c r="L600" s="12" t="str">
        <f ca="1">IFERROR(__xludf.DUMMYFUNCTION("""COMPUTED_VALUE"""),"上架中")</f>
        <v>上架中</v>
      </c>
      <c r="M600" s="12" t="str">
        <f ca="1">IFERROR(__xludf.DUMMYFUNCTION("""COMPUTED_VALUE"""),"2025/1/1調降、2024/3/20新上架")</f>
        <v>2025/1/1調降、2024/3/20新上架</v>
      </c>
      <c r="N600" s="12" t="str">
        <f ca="1">IFERROR(__xludf.DUMMYFUNCTION("""COMPUTED_VALUE"""),"窗型變頻冷暖")</f>
        <v>窗型變頻冷暖</v>
      </c>
      <c r="O600" s="12" t="str">
        <f ca="1">IFERROR(__xludf.DUMMYFUNCTION("""COMPUTED_VALUE"""),"白")</f>
        <v>白</v>
      </c>
      <c r="P600" s="12" t="str">
        <f ca="1">IFERROR(__xludf.DUMMYFUNCTION("""COMPUTED_VALUE"""),"2-3坪")</f>
        <v>2-3坪</v>
      </c>
      <c r="Q600" s="23" t="str">
        <f ca="1">IFERROR(__xludf.DUMMYFUNCTION("""COMPUTED_VALUE"""),"室內機尺寸:425*600*775")</f>
        <v>室內機尺寸:425*600*775</v>
      </c>
      <c r="R600" s="12" t="str">
        <f ca="1">IFERROR(__xludf.DUMMYFUNCTION("""COMPUTED_VALUE"""),"台灣")</f>
        <v>台灣</v>
      </c>
      <c r="S600" s="12" t="str">
        <f ca="1">IFERROR(__xludf.DUMMYFUNCTION("""COMPUTED_VALUE"""),"
V")</f>
        <v xml:space="preserve">
V</v>
      </c>
      <c r="T600" s="12" t="str">
        <f ca="1">IFERROR(__xludf.DUMMYFUNCTION("""COMPUTED_VALUE"""),"1級能效")</f>
        <v>1級能效</v>
      </c>
      <c r="U600" s="12" t="str">
        <f ca="1">IFERROR(__xludf.DUMMYFUNCTION("""COMPUTED_VALUE"""),"主機保固7年")</f>
        <v>主機保固7年</v>
      </c>
      <c r="V600" s="12"/>
      <c r="W600"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0" s="12"/>
      <c r="Y600" s="12">
        <f ca="1">IFERROR(__xludf.DUMMYFUNCTION("""COMPUTED_VALUE"""),2.5)</f>
        <v>2.5</v>
      </c>
      <c r="Z600" s="14">
        <f ca="1">IFERROR(__xludf.DUMMYFUNCTION("""COMPUTED_VALUE"""),1600)</f>
        <v>1600</v>
      </c>
      <c r="AA600"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1" spans="1:27" ht="19.5" customHeight="1">
      <c r="A601" s="12" t="str">
        <f ca="1">IFERROR(__xludf.DUMMYFUNCTION("""COMPUTED_VALUE"""),"空調")</f>
        <v>空調</v>
      </c>
      <c r="B601" s="12" t="str">
        <f ca="1">IFERROR(__xludf.DUMMYFUNCTION("""COMPUTED_VALUE"""),"大同")</f>
        <v>大同</v>
      </c>
      <c r="C601" s="12" t="str">
        <f ca="1">IFERROR(__xludf.DUMMYFUNCTION("""COMPUTED_VALUE"""),"HITACHI")</f>
        <v>HITACHI</v>
      </c>
      <c r="D601" s="12" t="str">
        <f ca="1">IFERROR(__xludf.DUMMYFUNCTION("""COMPUTED_VALUE"""),"HITACHI變頻3-4坪冷暖雙吹式窗型RA-28NR")</f>
        <v>HITACHI變頻3-4坪冷暖雙吹式窗型RA-28NR</v>
      </c>
      <c r="E601" s="12" t="str">
        <f ca="1">IFERROR(__xludf.DUMMYFUNCTION("""COMPUTED_VALUE"""),"RA-28NR")</f>
        <v>RA-28NR</v>
      </c>
      <c r="F601" s="12">
        <f ca="1">IFERROR(__xludf.DUMMYFUNCTION("""COMPUTED_VALUE"""),51081361)</f>
        <v>51081361</v>
      </c>
      <c r="G601" s="12" t="str">
        <f ca="1">IFERROR(__xludf.DUMMYFUNCTION("""COMPUTED_VALUE"""),"IGEM0986")</f>
        <v>IGEM0986</v>
      </c>
      <c r="H601" s="13">
        <f ca="1">IFERROR(__xludf.DUMMYFUNCTION("""COMPUTED_VALUE"""),32990)</f>
        <v>32990</v>
      </c>
      <c r="I601" s="14">
        <f ca="1">IFERROR(__xludf.DUMMYFUNCTION("""COMPUTED_VALUE"""),31530)</f>
        <v>31530</v>
      </c>
      <c r="J601" s="16">
        <f ca="1">IFERROR(__xludf.DUMMYFUNCTION("""COMPUTED_VALUE"""),45658)</f>
        <v>45658</v>
      </c>
      <c r="K601" s="12" t="str">
        <f ca="1">IFERROR(__xludf.DUMMYFUNCTION("""COMPUTED_VALUE"""),"永久降價")</f>
        <v>永久降價</v>
      </c>
      <c r="L601" s="12" t="str">
        <f ca="1">IFERROR(__xludf.DUMMYFUNCTION("""COMPUTED_VALUE"""),"上架中")</f>
        <v>上架中</v>
      </c>
      <c r="M601" s="12" t="str">
        <f ca="1">IFERROR(__xludf.DUMMYFUNCTION("""COMPUTED_VALUE"""),"2025/1/1調降、2024/3/20新上架")</f>
        <v>2025/1/1調降、2024/3/20新上架</v>
      </c>
      <c r="N601" s="12" t="str">
        <f ca="1">IFERROR(__xludf.DUMMYFUNCTION("""COMPUTED_VALUE"""),"窗型變頻冷暖")</f>
        <v>窗型變頻冷暖</v>
      </c>
      <c r="O601" s="12" t="str">
        <f ca="1">IFERROR(__xludf.DUMMYFUNCTION("""COMPUTED_VALUE"""),"白")</f>
        <v>白</v>
      </c>
      <c r="P601" s="12" t="str">
        <f ca="1">IFERROR(__xludf.DUMMYFUNCTION("""COMPUTED_VALUE"""),"3-4坪")</f>
        <v>3-4坪</v>
      </c>
      <c r="Q601" s="23" t="str">
        <f ca="1">IFERROR(__xludf.DUMMYFUNCTION("""COMPUTED_VALUE"""),"室內機尺寸:425*600*775")</f>
        <v>室內機尺寸:425*600*775</v>
      </c>
      <c r="R601" s="12" t="str">
        <f ca="1">IFERROR(__xludf.DUMMYFUNCTION("""COMPUTED_VALUE"""),"台灣")</f>
        <v>台灣</v>
      </c>
      <c r="S601" s="12" t="str">
        <f ca="1">IFERROR(__xludf.DUMMYFUNCTION("""COMPUTED_VALUE"""),"
V")</f>
        <v xml:space="preserve">
V</v>
      </c>
      <c r="T601" s="12" t="str">
        <f ca="1">IFERROR(__xludf.DUMMYFUNCTION("""COMPUTED_VALUE"""),"1級能效")</f>
        <v>1級能效</v>
      </c>
      <c r="U601" s="12" t="str">
        <f ca="1">IFERROR(__xludf.DUMMYFUNCTION("""COMPUTED_VALUE"""),"主機保固7年")</f>
        <v>主機保固7年</v>
      </c>
      <c r="V601" s="12"/>
      <c r="W601"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1" s="12"/>
      <c r="Y601" s="12">
        <f ca="1">IFERROR(__xludf.DUMMYFUNCTION("""COMPUTED_VALUE"""),2.8)</f>
        <v>2.8</v>
      </c>
      <c r="Z601" s="14">
        <f ca="1">IFERROR(__xludf.DUMMYFUNCTION("""COMPUTED_VALUE"""),1600)</f>
        <v>1600</v>
      </c>
      <c r="AA601"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2" spans="1:27" ht="19.5" customHeight="1">
      <c r="A602" s="12" t="str">
        <f ca="1">IFERROR(__xludf.DUMMYFUNCTION("""COMPUTED_VALUE"""),"空調")</f>
        <v>空調</v>
      </c>
      <c r="B602" s="12" t="str">
        <f ca="1">IFERROR(__xludf.DUMMYFUNCTION("""COMPUTED_VALUE"""),"大同")</f>
        <v>大同</v>
      </c>
      <c r="C602" s="12" t="str">
        <f ca="1">IFERROR(__xludf.DUMMYFUNCTION("""COMPUTED_VALUE"""),"HITACHI")</f>
        <v>HITACHI</v>
      </c>
      <c r="D602" s="12" t="str">
        <f ca="1">IFERROR(__xludf.DUMMYFUNCTION("""COMPUTED_VALUE"""),"HITACHI變頻4-5坪冷暖雙吹式窗型RA-36NR")</f>
        <v>HITACHI變頻4-5坪冷暖雙吹式窗型RA-36NR</v>
      </c>
      <c r="E602" s="12" t="str">
        <f ca="1">IFERROR(__xludf.DUMMYFUNCTION("""COMPUTED_VALUE"""),"RA-36NR")</f>
        <v>RA-36NR</v>
      </c>
      <c r="F602" s="12">
        <f ca="1">IFERROR(__xludf.DUMMYFUNCTION("""COMPUTED_VALUE"""),51081362)</f>
        <v>51081362</v>
      </c>
      <c r="G602" s="12" t="str">
        <f ca="1">IFERROR(__xludf.DUMMYFUNCTION("""COMPUTED_VALUE"""),"IGEM0987")</f>
        <v>IGEM0987</v>
      </c>
      <c r="H602" s="13">
        <f ca="1">IFERROR(__xludf.DUMMYFUNCTION("""COMPUTED_VALUE"""),39000)</f>
        <v>39000</v>
      </c>
      <c r="I602" s="14">
        <f ca="1">IFERROR(__xludf.DUMMYFUNCTION("""COMPUTED_VALUE"""),37195)</f>
        <v>37195</v>
      </c>
      <c r="J602" s="16">
        <f ca="1">IFERROR(__xludf.DUMMYFUNCTION("""COMPUTED_VALUE"""),45658)</f>
        <v>45658</v>
      </c>
      <c r="K602" s="12" t="str">
        <f ca="1">IFERROR(__xludf.DUMMYFUNCTION("""COMPUTED_VALUE"""),"永久降價")</f>
        <v>永久降價</v>
      </c>
      <c r="L602" s="12" t="str">
        <f ca="1">IFERROR(__xludf.DUMMYFUNCTION("""COMPUTED_VALUE"""),"上架中")</f>
        <v>上架中</v>
      </c>
      <c r="M602" s="12" t="str">
        <f ca="1">IFERROR(__xludf.DUMMYFUNCTION("""COMPUTED_VALUE"""),"2025/1/1調降、2024/3/20新上架")</f>
        <v>2025/1/1調降、2024/3/20新上架</v>
      </c>
      <c r="N602" s="12" t="str">
        <f ca="1">IFERROR(__xludf.DUMMYFUNCTION("""COMPUTED_VALUE"""),"窗型變頻冷暖")</f>
        <v>窗型變頻冷暖</v>
      </c>
      <c r="O602" s="12" t="str">
        <f ca="1">IFERROR(__xludf.DUMMYFUNCTION("""COMPUTED_VALUE"""),"白")</f>
        <v>白</v>
      </c>
      <c r="P602" s="12" t="str">
        <f ca="1">IFERROR(__xludf.DUMMYFUNCTION("""COMPUTED_VALUE"""),"4-5坪")</f>
        <v>4-5坪</v>
      </c>
      <c r="Q602" s="23" t="str">
        <f ca="1">IFERROR(__xludf.DUMMYFUNCTION("""COMPUTED_VALUE"""),"室內機尺寸:425*600*775")</f>
        <v>室內機尺寸:425*600*775</v>
      </c>
      <c r="R602" s="12" t="str">
        <f ca="1">IFERROR(__xludf.DUMMYFUNCTION("""COMPUTED_VALUE"""),"台灣")</f>
        <v>台灣</v>
      </c>
      <c r="S602" s="12" t="str">
        <f ca="1">IFERROR(__xludf.DUMMYFUNCTION("""COMPUTED_VALUE"""),"
V")</f>
        <v xml:space="preserve">
V</v>
      </c>
      <c r="T602" s="12" t="str">
        <f ca="1">IFERROR(__xludf.DUMMYFUNCTION("""COMPUTED_VALUE"""),"1級能效")</f>
        <v>1級能效</v>
      </c>
      <c r="U602" s="12" t="str">
        <f ca="1">IFERROR(__xludf.DUMMYFUNCTION("""COMPUTED_VALUE"""),"主機保固7年")</f>
        <v>主機保固7年</v>
      </c>
      <c r="V602" s="12"/>
      <c r="W602"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2" s="12"/>
      <c r="Y602" s="12">
        <f ca="1">IFERROR(__xludf.DUMMYFUNCTION("""COMPUTED_VALUE"""),3.6)</f>
        <v>3.6</v>
      </c>
      <c r="Z602" s="14" t="str">
        <f ca="1">IFERROR(__xludf.DUMMYFUNCTION("""COMPUTED_VALUE"""),"2000")</f>
        <v>2000</v>
      </c>
      <c r="AA602"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3" spans="1:27" ht="19.5" customHeight="1">
      <c r="A603" s="12" t="str">
        <f ca="1">IFERROR(__xludf.DUMMYFUNCTION("""COMPUTED_VALUE"""),"空調")</f>
        <v>空調</v>
      </c>
      <c r="B603" s="12" t="str">
        <f ca="1">IFERROR(__xludf.DUMMYFUNCTION("""COMPUTED_VALUE"""),"大同")</f>
        <v>大同</v>
      </c>
      <c r="C603" s="12" t="str">
        <f ca="1">IFERROR(__xludf.DUMMYFUNCTION("""COMPUTED_VALUE"""),"HITACHI")</f>
        <v>HITACHI</v>
      </c>
      <c r="D603" s="12" t="str">
        <f ca="1">IFERROR(__xludf.DUMMYFUNCTION("""COMPUTED_VALUE"""),"HITACHI變頻5-7坪冷暖雙吹式窗型RA-40NR")</f>
        <v>HITACHI變頻5-7坪冷暖雙吹式窗型RA-40NR</v>
      </c>
      <c r="E603" s="12" t="str">
        <f ca="1">IFERROR(__xludf.DUMMYFUNCTION("""COMPUTED_VALUE"""),"RA-40NR")</f>
        <v>RA-40NR</v>
      </c>
      <c r="F603" s="12">
        <f ca="1">IFERROR(__xludf.DUMMYFUNCTION("""COMPUTED_VALUE"""),51081363)</f>
        <v>51081363</v>
      </c>
      <c r="G603" s="12" t="str">
        <f ca="1">IFERROR(__xludf.DUMMYFUNCTION("""COMPUTED_VALUE"""),"IGEM0988")</f>
        <v>IGEM0988</v>
      </c>
      <c r="H603" s="13">
        <f ca="1">IFERROR(__xludf.DUMMYFUNCTION("""COMPUTED_VALUE"""),44000)</f>
        <v>44000</v>
      </c>
      <c r="I603" s="14">
        <f ca="1">IFERROR(__xludf.DUMMYFUNCTION("""COMPUTED_VALUE"""),42000)</f>
        <v>42000</v>
      </c>
      <c r="J603" s="16">
        <f ca="1">IFERROR(__xludf.DUMMYFUNCTION("""COMPUTED_VALUE"""),45658)</f>
        <v>45658</v>
      </c>
      <c r="K603" s="12" t="str">
        <f ca="1">IFERROR(__xludf.DUMMYFUNCTION("""COMPUTED_VALUE"""),"永久降價")</f>
        <v>永久降價</v>
      </c>
      <c r="L603" s="12" t="str">
        <f ca="1">IFERROR(__xludf.DUMMYFUNCTION("""COMPUTED_VALUE"""),"上架中")</f>
        <v>上架中</v>
      </c>
      <c r="M603" s="12" t="str">
        <f ca="1">IFERROR(__xludf.DUMMYFUNCTION("""COMPUTED_VALUE"""),"2025/1/1調降、2024/3/20新上架")</f>
        <v>2025/1/1調降、2024/3/20新上架</v>
      </c>
      <c r="N603" s="12" t="str">
        <f ca="1">IFERROR(__xludf.DUMMYFUNCTION("""COMPUTED_VALUE"""),"窗型變頻冷暖")</f>
        <v>窗型變頻冷暖</v>
      </c>
      <c r="O603" s="12" t="str">
        <f ca="1">IFERROR(__xludf.DUMMYFUNCTION("""COMPUTED_VALUE"""),"白")</f>
        <v>白</v>
      </c>
      <c r="P603" s="12" t="str">
        <f ca="1">IFERROR(__xludf.DUMMYFUNCTION("""COMPUTED_VALUE"""),"5-7坪")</f>
        <v>5-7坪</v>
      </c>
      <c r="Q603" s="23" t="str">
        <f ca="1">IFERROR(__xludf.DUMMYFUNCTION("""COMPUTED_VALUE"""),"室內機尺寸:468*680*820")</f>
        <v>室內機尺寸:468*680*820</v>
      </c>
      <c r="R603" s="12" t="str">
        <f ca="1">IFERROR(__xludf.DUMMYFUNCTION("""COMPUTED_VALUE"""),"台灣")</f>
        <v>台灣</v>
      </c>
      <c r="S603" s="12" t="str">
        <f ca="1">IFERROR(__xludf.DUMMYFUNCTION("""COMPUTED_VALUE"""),"
V")</f>
        <v xml:space="preserve">
V</v>
      </c>
      <c r="T603" s="12" t="str">
        <f ca="1">IFERROR(__xludf.DUMMYFUNCTION("""COMPUTED_VALUE"""),"1級能效")</f>
        <v>1級能效</v>
      </c>
      <c r="U603" s="12" t="str">
        <f ca="1">IFERROR(__xludf.DUMMYFUNCTION("""COMPUTED_VALUE"""),"主機保固7年")</f>
        <v>主機保固7年</v>
      </c>
      <c r="V603" s="12"/>
      <c r="W603"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3" s="12"/>
      <c r="Y603" s="12">
        <f ca="1">IFERROR(__xludf.DUMMYFUNCTION("""COMPUTED_VALUE"""),4.1)</f>
        <v>4.0999999999999996</v>
      </c>
      <c r="Z603" s="14" t="str">
        <f ca="1">IFERROR(__xludf.DUMMYFUNCTION("""COMPUTED_VALUE"""),"2000")</f>
        <v>2000</v>
      </c>
      <c r="AA603"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4" spans="1:27" ht="19.5" customHeight="1">
      <c r="A604" s="12" t="str">
        <f ca="1">IFERROR(__xludf.DUMMYFUNCTION("""COMPUTED_VALUE"""),"空調")</f>
        <v>空調</v>
      </c>
      <c r="B604" s="12" t="str">
        <f ca="1">IFERROR(__xludf.DUMMYFUNCTION("""COMPUTED_VALUE"""),"大同")</f>
        <v>大同</v>
      </c>
      <c r="C604" s="12" t="str">
        <f ca="1">IFERROR(__xludf.DUMMYFUNCTION("""COMPUTED_VALUE"""),"HITACHI")</f>
        <v>HITACHI</v>
      </c>
      <c r="D604" s="12" t="str">
        <f ca="1">IFERROR(__xludf.DUMMYFUNCTION("""COMPUTED_VALUE"""),"HITACHI變頻7-9坪冷暖雙吹式窗型RA-50NR")</f>
        <v>HITACHI變頻7-9坪冷暖雙吹式窗型RA-50NR</v>
      </c>
      <c r="E604" s="12" t="str">
        <f ca="1">IFERROR(__xludf.DUMMYFUNCTION("""COMPUTED_VALUE"""),"RA-50NR")</f>
        <v>RA-50NR</v>
      </c>
      <c r="F604" s="12">
        <f ca="1">IFERROR(__xludf.DUMMYFUNCTION("""COMPUTED_VALUE"""),51081364)</f>
        <v>51081364</v>
      </c>
      <c r="G604" s="12" t="str">
        <f ca="1">IFERROR(__xludf.DUMMYFUNCTION("""COMPUTED_VALUE"""),"IGEM0989")</f>
        <v>IGEM0989</v>
      </c>
      <c r="H604" s="13">
        <f ca="1">IFERROR(__xludf.DUMMYFUNCTION("""COMPUTED_VALUE"""),48590)</f>
        <v>48590</v>
      </c>
      <c r="I604" s="14">
        <f ca="1">IFERROR(__xludf.DUMMYFUNCTION("""COMPUTED_VALUE"""),46360)</f>
        <v>46360</v>
      </c>
      <c r="J604" s="16">
        <f ca="1">IFERROR(__xludf.DUMMYFUNCTION("""COMPUTED_VALUE"""),45658)</f>
        <v>45658</v>
      </c>
      <c r="K604" s="12" t="str">
        <f ca="1">IFERROR(__xludf.DUMMYFUNCTION("""COMPUTED_VALUE"""),"永久降價")</f>
        <v>永久降價</v>
      </c>
      <c r="L604" s="12" t="str">
        <f ca="1">IFERROR(__xludf.DUMMYFUNCTION("""COMPUTED_VALUE"""),"上架中")</f>
        <v>上架中</v>
      </c>
      <c r="M604" s="12" t="str">
        <f ca="1">IFERROR(__xludf.DUMMYFUNCTION("""COMPUTED_VALUE"""),"2025/1/1調降、2024/3/20新上架")</f>
        <v>2025/1/1調降、2024/3/20新上架</v>
      </c>
      <c r="N604" s="12" t="str">
        <f ca="1">IFERROR(__xludf.DUMMYFUNCTION("""COMPUTED_VALUE"""),"窗型變頻冷暖")</f>
        <v>窗型變頻冷暖</v>
      </c>
      <c r="O604" s="12" t="str">
        <f ca="1">IFERROR(__xludf.DUMMYFUNCTION("""COMPUTED_VALUE"""),"白")</f>
        <v>白</v>
      </c>
      <c r="P604" s="12" t="str">
        <f ca="1">IFERROR(__xludf.DUMMYFUNCTION("""COMPUTED_VALUE"""),"7-9坪")</f>
        <v>7-9坪</v>
      </c>
      <c r="Q604" s="23" t="str">
        <f ca="1">IFERROR(__xludf.DUMMYFUNCTION("""COMPUTED_VALUE"""),"室內機尺寸:468*680*820")</f>
        <v>室內機尺寸:468*680*820</v>
      </c>
      <c r="R604" s="12" t="str">
        <f ca="1">IFERROR(__xludf.DUMMYFUNCTION("""COMPUTED_VALUE"""),"台灣")</f>
        <v>台灣</v>
      </c>
      <c r="S604" s="12" t="str">
        <f ca="1">IFERROR(__xludf.DUMMYFUNCTION("""COMPUTED_VALUE"""),"
V")</f>
        <v xml:space="preserve">
V</v>
      </c>
      <c r="T604" s="12" t="str">
        <f ca="1">IFERROR(__xludf.DUMMYFUNCTION("""COMPUTED_VALUE"""),"1級能效")</f>
        <v>1級能效</v>
      </c>
      <c r="U604" s="12" t="str">
        <f ca="1">IFERROR(__xludf.DUMMYFUNCTION("""COMPUTED_VALUE"""),"主機保固7年")</f>
        <v>主機保固7年</v>
      </c>
      <c r="V604" s="12"/>
      <c r="W604"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4" s="12"/>
      <c r="Y604" s="12">
        <f ca="1">IFERROR(__xludf.DUMMYFUNCTION("""COMPUTED_VALUE"""),5)</f>
        <v>5</v>
      </c>
      <c r="Z604" s="14" t="str">
        <f ca="1">IFERROR(__xludf.DUMMYFUNCTION("""COMPUTED_VALUE"""),"2000")</f>
        <v>2000</v>
      </c>
      <c r="AA604"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5" spans="1:27" ht="19.5" customHeight="1">
      <c r="A605" s="12" t="str">
        <f ca="1">IFERROR(__xludf.DUMMYFUNCTION("""COMPUTED_VALUE"""),"空調")</f>
        <v>空調</v>
      </c>
      <c r="B605" s="12" t="str">
        <f ca="1">IFERROR(__xludf.DUMMYFUNCTION("""COMPUTED_VALUE"""),"大同")</f>
        <v>大同</v>
      </c>
      <c r="C605" s="12" t="str">
        <f ca="1">IFERROR(__xludf.DUMMYFUNCTION("""COMPUTED_VALUE"""),"HITACHI")</f>
        <v>HITACHI</v>
      </c>
      <c r="D605" s="12" t="str">
        <f ca="1">IFERROR(__xludf.DUMMYFUNCTION("""COMPUTED_VALUE"""),"HITACHI變頻2-3坪冷專左吹式窗型RA-25QR")</f>
        <v>HITACHI變頻2-3坪冷專左吹式窗型RA-25QR</v>
      </c>
      <c r="E605" s="12" t="str">
        <f ca="1">IFERROR(__xludf.DUMMYFUNCTION("""COMPUTED_VALUE"""),"RA-25QR")</f>
        <v>RA-25QR</v>
      </c>
      <c r="F605" s="12">
        <f ca="1">IFERROR(__xludf.DUMMYFUNCTION("""COMPUTED_VALUE"""),51081365)</f>
        <v>51081365</v>
      </c>
      <c r="G605" s="12" t="str">
        <f ca="1">IFERROR(__xludf.DUMMYFUNCTION("""COMPUTED_VALUE"""),"IGEM098A")</f>
        <v>IGEM098A</v>
      </c>
      <c r="H605" s="13">
        <f ca="1">IFERROR(__xludf.DUMMYFUNCTION("""COMPUTED_VALUE"""),24890)</f>
        <v>24890</v>
      </c>
      <c r="I605" s="14">
        <f ca="1">IFERROR(__xludf.DUMMYFUNCTION("""COMPUTED_VALUE"""),23800)</f>
        <v>23800</v>
      </c>
      <c r="J605" s="16">
        <f ca="1">IFERROR(__xludf.DUMMYFUNCTION("""COMPUTED_VALUE"""),45658)</f>
        <v>45658</v>
      </c>
      <c r="K605" s="12" t="str">
        <f ca="1">IFERROR(__xludf.DUMMYFUNCTION("""COMPUTED_VALUE"""),"永久降價")</f>
        <v>永久降價</v>
      </c>
      <c r="L605" s="12" t="str">
        <f ca="1">IFERROR(__xludf.DUMMYFUNCTION("""COMPUTED_VALUE"""),"上架中")</f>
        <v>上架中</v>
      </c>
      <c r="M605" s="12" t="str">
        <f ca="1">IFERROR(__xludf.DUMMYFUNCTION("""COMPUTED_VALUE"""),"2025/1/1調降、2024/3/20新上架")</f>
        <v>2025/1/1調降、2024/3/20新上架</v>
      </c>
      <c r="N605" s="12" t="str">
        <f ca="1">IFERROR(__xludf.DUMMYFUNCTION("""COMPUTED_VALUE"""),"窗型變頻冷專")</f>
        <v>窗型變頻冷專</v>
      </c>
      <c r="O605" s="12" t="str">
        <f ca="1">IFERROR(__xludf.DUMMYFUNCTION("""COMPUTED_VALUE"""),"白")</f>
        <v>白</v>
      </c>
      <c r="P605" s="12" t="str">
        <f ca="1">IFERROR(__xludf.DUMMYFUNCTION("""COMPUTED_VALUE"""),"2-3坪")</f>
        <v>2-3坪</v>
      </c>
      <c r="Q605" s="23" t="str">
        <f ca="1">IFERROR(__xludf.DUMMYFUNCTION("""COMPUTED_VALUE"""),"室內機尺寸:400*600*775")</f>
        <v>室內機尺寸:400*600*775</v>
      </c>
      <c r="R605" s="12" t="str">
        <f ca="1">IFERROR(__xludf.DUMMYFUNCTION("""COMPUTED_VALUE"""),"台灣")</f>
        <v>台灣</v>
      </c>
      <c r="S605" s="12" t="str">
        <f ca="1">IFERROR(__xludf.DUMMYFUNCTION("""COMPUTED_VALUE"""),"
V")</f>
        <v xml:space="preserve">
V</v>
      </c>
      <c r="T605" s="12" t="str">
        <f ca="1">IFERROR(__xludf.DUMMYFUNCTION("""COMPUTED_VALUE"""),"1級能效")</f>
        <v>1級能效</v>
      </c>
      <c r="U605" s="12" t="str">
        <f ca="1">IFERROR(__xludf.DUMMYFUNCTION("""COMPUTED_VALUE"""),"主機保固7年")</f>
        <v>主機保固7年</v>
      </c>
      <c r="V605" s="12"/>
      <c r="W605"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5" s="12"/>
      <c r="Y605" s="12">
        <f ca="1">IFERROR(__xludf.DUMMYFUNCTION("""COMPUTED_VALUE"""),2.5)</f>
        <v>2.5</v>
      </c>
      <c r="Z605" s="14">
        <f ca="1">IFERROR(__xludf.DUMMYFUNCTION("""COMPUTED_VALUE"""),1600)</f>
        <v>1600</v>
      </c>
      <c r="AA605"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6" spans="1:27" ht="19.5" customHeight="1">
      <c r="A606" s="12" t="str">
        <f ca="1">IFERROR(__xludf.DUMMYFUNCTION("""COMPUTED_VALUE"""),"空調")</f>
        <v>空調</v>
      </c>
      <c r="B606" s="12" t="str">
        <f ca="1">IFERROR(__xludf.DUMMYFUNCTION("""COMPUTED_VALUE"""),"大同")</f>
        <v>大同</v>
      </c>
      <c r="C606" s="12" t="str">
        <f ca="1">IFERROR(__xludf.DUMMYFUNCTION("""COMPUTED_VALUE"""),"HITACHI")</f>
        <v>HITACHI</v>
      </c>
      <c r="D606" s="12" t="str">
        <f ca="1">IFERROR(__xludf.DUMMYFUNCTION("""COMPUTED_VALUE"""),"HITACHI變頻3-4坪冷專左吹式窗型RA-28QR")</f>
        <v>HITACHI變頻3-4坪冷專左吹式窗型RA-28QR</v>
      </c>
      <c r="E606" s="12" t="str">
        <f ca="1">IFERROR(__xludf.DUMMYFUNCTION("""COMPUTED_VALUE"""),"RA-28QR")</f>
        <v>RA-28QR</v>
      </c>
      <c r="F606" s="12">
        <f ca="1">IFERROR(__xludf.DUMMYFUNCTION("""COMPUTED_VALUE"""),51081366)</f>
        <v>51081366</v>
      </c>
      <c r="G606" s="12" t="str">
        <f ca="1">IFERROR(__xludf.DUMMYFUNCTION("""COMPUTED_VALUE"""),"IGEM098B")</f>
        <v>IGEM098B</v>
      </c>
      <c r="H606" s="13">
        <f ca="1">IFERROR(__xludf.DUMMYFUNCTION("""COMPUTED_VALUE"""),28190)</f>
        <v>28190</v>
      </c>
      <c r="I606" s="14">
        <f ca="1">IFERROR(__xludf.DUMMYFUNCTION("""COMPUTED_VALUE"""),27100)</f>
        <v>27100</v>
      </c>
      <c r="J606" s="16">
        <f ca="1">IFERROR(__xludf.DUMMYFUNCTION("""COMPUTED_VALUE"""),45658)</f>
        <v>45658</v>
      </c>
      <c r="K606" s="12" t="str">
        <f ca="1">IFERROR(__xludf.DUMMYFUNCTION("""COMPUTED_VALUE"""),"永久降價")</f>
        <v>永久降價</v>
      </c>
      <c r="L606" s="12" t="str">
        <f ca="1">IFERROR(__xludf.DUMMYFUNCTION("""COMPUTED_VALUE"""),"上架中")</f>
        <v>上架中</v>
      </c>
      <c r="M606" s="12" t="str">
        <f ca="1">IFERROR(__xludf.DUMMYFUNCTION("""COMPUTED_VALUE"""),"2025/1/1調降、2024/3/20新上架")</f>
        <v>2025/1/1調降、2024/3/20新上架</v>
      </c>
      <c r="N606" s="12" t="str">
        <f ca="1">IFERROR(__xludf.DUMMYFUNCTION("""COMPUTED_VALUE"""),"窗型變頻冷專")</f>
        <v>窗型變頻冷專</v>
      </c>
      <c r="O606" s="12" t="str">
        <f ca="1">IFERROR(__xludf.DUMMYFUNCTION("""COMPUTED_VALUE"""),"白")</f>
        <v>白</v>
      </c>
      <c r="P606" s="12" t="str">
        <f ca="1">IFERROR(__xludf.DUMMYFUNCTION("""COMPUTED_VALUE"""),"3-4坪")</f>
        <v>3-4坪</v>
      </c>
      <c r="Q606" s="23" t="str">
        <f ca="1">IFERROR(__xludf.DUMMYFUNCTION("""COMPUTED_VALUE"""),"室內機尺寸:400*600*775")</f>
        <v>室內機尺寸:400*600*775</v>
      </c>
      <c r="R606" s="12" t="str">
        <f ca="1">IFERROR(__xludf.DUMMYFUNCTION("""COMPUTED_VALUE"""),"台灣")</f>
        <v>台灣</v>
      </c>
      <c r="S606" s="12" t="str">
        <f ca="1">IFERROR(__xludf.DUMMYFUNCTION("""COMPUTED_VALUE"""),"
V")</f>
        <v xml:space="preserve">
V</v>
      </c>
      <c r="T606" s="12" t="str">
        <f ca="1">IFERROR(__xludf.DUMMYFUNCTION("""COMPUTED_VALUE"""),"1級能效")</f>
        <v>1級能效</v>
      </c>
      <c r="U606" s="12" t="str">
        <f ca="1">IFERROR(__xludf.DUMMYFUNCTION("""COMPUTED_VALUE"""),"主機保固7年")</f>
        <v>主機保固7年</v>
      </c>
      <c r="V606" s="12"/>
      <c r="W606"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6" s="12"/>
      <c r="Y606" s="12">
        <f ca="1">IFERROR(__xludf.DUMMYFUNCTION("""COMPUTED_VALUE"""),2.8)</f>
        <v>2.8</v>
      </c>
      <c r="Z606" s="14">
        <f ca="1">IFERROR(__xludf.DUMMYFUNCTION("""COMPUTED_VALUE"""),1600)</f>
        <v>1600</v>
      </c>
      <c r="AA606"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7" spans="1:27" ht="19.5" customHeight="1">
      <c r="A607" s="12" t="str">
        <f ca="1">IFERROR(__xludf.DUMMYFUNCTION("""COMPUTED_VALUE"""),"空調")</f>
        <v>空調</v>
      </c>
      <c r="B607" s="12" t="str">
        <f ca="1">IFERROR(__xludf.DUMMYFUNCTION("""COMPUTED_VALUE"""),"大同")</f>
        <v>大同</v>
      </c>
      <c r="C607" s="12" t="str">
        <f ca="1">IFERROR(__xludf.DUMMYFUNCTION("""COMPUTED_VALUE"""),"HITACHI")</f>
        <v>HITACHI</v>
      </c>
      <c r="D607" s="12" t="str">
        <f ca="1">IFERROR(__xludf.DUMMYFUNCTION("""COMPUTED_VALUE"""),"HITACHI變頻4-5坪冷專左吹式窗型RA-36QR")</f>
        <v>HITACHI變頻4-5坪冷專左吹式窗型RA-36QR</v>
      </c>
      <c r="E607" s="12" t="str">
        <f ca="1">IFERROR(__xludf.DUMMYFUNCTION("""COMPUTED_VALUE"""),"RA-36QR")</f>
        <v>RA-36QR</v>
      </c>
      <c r="F607" s="12">
        <f ca="1">IFERROR(__xludf.DUMMYFUNCTION("""COMPUTED_VALUE"""),51081367)</f>
        <v>51081367</v>
      </c>
      <c r="G607" s="12" t="str">
        <f ca="1">IFERROR(__xludf.DUMMYFUNCTION("""COMPUTED_VALUE"""),"IGEM098C")</f>
        <v>IGEM098C</v>
      </c>
      <c r="H607" s="13">
        <f ca="1">IFERROR(__xludf.DUMMYFUNCTION("""COMPUTED_VALUE"""),33900)</f>
        <v>33900</v>
      </c>
      <c r="I607" s="14">
        <f ca="1">IFERROR(__xludf.DUMMYFUNCTION("""COMPUTED_VALUE"""),32210)</f>
        <v>32210</v>
      </c>
      <c r="J607" s="16">
        <f ca="1">IFERROR(__xludf.DUMMYFUNCTION("""COMPUTED_VALUE"""),45658)</f>
        <v>45658</v>
      </c>
      <c r="K607" s="12" t="str">
        <f ca="1">IFERROR(__xludf.DUMMYFUNCTION("""COMPUTED_VALUE"""),"永久降價")</f>
        <v>永久降價</v>
      </c>
      <c r="L607" s="12" t="str">
        <f ca="1">IFERROR(__xludf.DUMMYFUNCTION("""COMPUTED_VALUE"""),"上架中")</f>
        <v>上架中</v>
      </c>
      <c r="M607" s="12" t="str">
        <f ca="1">IFERROR(__xludf.DUMMYFUNCTION("""COMPUTED_VALUE"""),"2025/1/1調降、2024/3/20新上架")</f>
        <v>2025/1/1調降、2024/3/20新上架</v>
      </c>
      <c r="N607" s="12" t="str">
        <f ca="1">IFERROR(__xludf.DUMMYFUNCTION("""COMPUTED_VALUE"""),"窗型變頻冷專")</f>
        <v>窗型變頻冷專</v>
      </c>
      <c r="O607" s="12" t="str">
        <f ca="1">IFERROR(__xludf.DUMMYFUNCTION("""COMPUTED_VALUE"""),"白")</f>
        <v>白</v>
      </c>
      <c r="P607" s="12" t="str">
        <f ca="1">IFERROR(__xludf.DUMMYFUNCTION("""COMPUTED_VALUE"""),"4-5坪")</f>
        <v>4-5坪</v>
      </c>
      <c r="Q607" s="23" t="str">
        <f ca="1">IFERROR(__xludf.DUMMYFUNCTION("""COMPUTED_VALUE"""),"室內機尺寸:400*600*775")</f>
        <v>室內機尺寸:400*600*775</v>
      </c>
      <c r="R607" s="12" t="str">
        <f ca="1">IFERROR(__xludf.DUMMYFUNCTION("""COMPUTED_VALUE"""),"台灣")</f>
        <v>台灣</v>
      </c>
      <c r="S607" s="12" t="str">
        <f ca="1">IFERROR(__xludf.DUMMYFUNCTION("""COMPUTED_VALUE"""),"
V")</f>
        <v xml:space="preserve">
V</v>
      </c>
      <c r="T607" s="12" t="str">
        <f ca="1">IFERROR(__xludf.DUMMYFUNCTION("""COMPUTED_VALUE"""),"1級能效")</f>
        <v>1級能效</v>
      </c>
      <c r="U607" s="12" t="str">
        <f ca="1">IFERROR(__xludf.DUMMYFUNCTION("""COMPUTED_VALUE"""),"主機保固7年")</f>
        <v>主機保固7年</v>
      </c>
      <c r="V607" s="12"/>
      <c r="W607"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7" s="12"/>
      <c r="Y607" s="12">
        <f ca="1">IFERROR(__xludf.DUMMYFUNCTION("""COMPUTED_VALUE"""),3.6)</f>
        <v>3.6</v>
      </c>
      <c r="Z607" s="14" t="str">
        <f ca="1">IFERROR(__xludf.DUMMYFUNCTION("""COMPUTED_VALUE"""),"2000")</f>
        <v>2000</v>
      </c>
      <c r="AA607"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8" spans="1:27" ht="19.5" customHeight="1">
      <c r="A608" s="12" t="str">
        <f ca="1">IFERROR(__xludf.DUMMYFUNCTION("""COMPUTED_VALUE"""),"空調")</f>
        <v>空調</v>
      </c>
      <c r="B608" s="12" t="str">
        <f ca="1">IFERROR(__xludf.DUMMYFUNCTION("""COMPUTED_VALUE"""),"大同")</f>
        <v>大同</v>
      </c>
      <c r="C608" s="12" t="str">
        <f ca="1">IFERROR(__xludf.DUMMYFUNCTION("""COMPUTED_VALUE"""),"HITACHI")</f>
        <v>HITACHI</v>
      </c>
      <c r="D608" s="12" t="str">
        <f ca="1">IFERROR(__xludf.DUMMYFUNCTION("""COMPUTED_VALUE"""),"HITACHI變頻5-7坪冷專雙吹式窗型RA-40QR")</f>
        <v>HITACHI變頻5-7坪冷專雙吹式窗型RA-40QR</v>
      </c>
      <c r="E608" s="12" t="str">
        <f ca="1">IFERROR(__xludf.DUMMYFUNCTION("""COMPUTED_VALUE"""),"RA-40QR")</f>
        <v>RA-40QR</v>
      </c>
      <c r="F608" s="12">
        <f ca="1">IFERROR(__xludf.DUMMYFUNCTION("""COMPUTED_VALUE"""),51081368)</f>
        <v>51081368</v>
      </c>
      <c r="G608" s="12" t="str">
        <f ca="1">IFERROR(__xludf.DUMMYFUNCTION("""COMPUTED_VALUE"""),"IGEM098D")</f>
        <v>IGEM098D</v>
      </c>
      <c r="H608" s="13">
        <f ca="1">IFERROR(__xludf.DUMMYFUNCTION("""COMPUTED_VALUE"""),38800)</f>
        <v>38800</v>
      </c>
      <c r="I608" s="14">
        <f ca="1">IFERROR(__xludf.DUMMYFUNCTION("""COMPUTED_VALUE"""),37260)</f>
        <v>37260</v>
      </c>
      <c r="J608" s="16">
        <f ca="1">IFERROR(__xludf.DUMMYFUNCTION("""COMPUTED_VALUE"""),45658)</f>
        <v>45658</v>
      </c>
      <c r="K608" s="12" t="str">
        <f ca="1">IFERROR(__xludf.DUMMYFUNCTION("""COMPUTED_VALUE"""),"永久降價")</f>
        <v>永久降價</v>
      </c>
      <c r="L608" s="12" t="str">
        <f ca="1">IFERROR(__xludf.DUMMYFUNCTION("""COMPUTED_VALUE"""),"上架中")</f>
        <v>上架中</v>
      </c>
      <c r="M608" s="12" t="str">
        <f ca="1">IFERROR(__xludf.DUMMYFUNCTION("""COMPUTED_VALUE"""),"2025/1/1調降、2024/3/20新上架")</f>
        <v>2025/1/1調降、2024/3/20新上架</v>
      </c>
      <c r="N608" s="12" t="str">
        <f ca="1">IFERROR(__xludf.DUMMYFUNCTION("""COMPUTED_VALUE"""),"窗型變頻冷專")</f>
        <v>窗型變頻冷專</v>
      </c>
      <c r="O608" s="12" t="str">
        <f ca="1">IFERROR(__xludf.DUMMYFUNCTION("""COMPUTED_VALUE"""),"白")</f>
        <v>白</v>
      </c>
      <c r="P608" s="12" t="str">
        <f ca="1">IFERROR(__xludf.DUMMYFUNCTION("""COMPUTED_VALUE"""),"5-7坪")</f>
        <v>5-7坪</v>
      </c>
      <c r="Q608" s="23" t="str">
        <f ca="1">IFERROR(__xludf.DUMMYFUNCTION("""COMPUTED_VALUE"""),"室內機尺寸:468*680*820")</f>
        <v>室內機尺寸:468*680*820</v>
      </c>
      <c r="R608" s="12" t="str">
        <f ca="1">IFERROR(__xludf.DUMMYFUNCTION("""COMPUTED_VALUE"""),"台灣")</f>
        <v>台灣</v>
      </c>
      <c r="S608" s="12" t="str">
        <f ca="1">IFERROR(__xludf.DUMMYFUNCTION("""COMPUTED_VALUE"""),"
V")</f>
        <v xml:space="preserve">
V</v>
      </c>
      <c r="T608" s="12" t="str">
        <f ca="1">IFERROR(__xludf.DUMMYFUNCTION("""COMPUTED_VALUE"""),"1級能效")</f>
        <v>1級能效</v>
      </c>
      <c r="U608" s="12" t="str">
        <f ca="1">IFERROR(__xludf.DUMMYFUNCTION("""COMPUTED_VALUE"""),"主機保固7年")</f>
        <v>主機保固7年</v>
      </c>
      <c r="V608" s="12"/>
      <c r="W608"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8" s="12"/>
      <c r="Y608" s="12">
        <f ca="1">IFERROR(__xludf.DUMMYFUNCTION("""COMPUTED_VALUE"""),4.1)</f>
        <v>4.0999999999999996</v>
      </c>
      <c r="Z608" s="14" t="str">
        <f ca="1">IFERROR(__xludf.DUMMYFUNCTION("""COMPUTED_VALUE"""),"2000")</f>
        <v>2000</v>
      </c>
      <c r="AA608"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09" spans="1:27" ht="19.5" customHeight="1">
      <c r="A609" s="12" t="str">
        <f ca="1">IFERROR(__xludf.DUMMYFUNCTION("""COMPUTED_VALUE"""),"空調")</f>
        <v>空調</v>
      </c>
      <c r="B609" s="12" t="str">
        <f ca="1">IFERROR(__xludf.DUMMYFUNCTION("""COMPUTED_VALUE"""),"大同")</f>
        <v>大同</v>
      </c>
      <c r="C609" s="12" t="str">
        <f ca="1">IFERROR(__xludf.DUMMYFUNCTION("""COMPUTED_VALUE"""),"HITACHI")</f>
        <v>HITACHI</v>
      </c>
      <c r="D609" s="12" t="str">
        <f ca="1">IFERROR(__xludf.DUMMYFUNCTION("""COMPUTED_VALUE"""),"HITACHI變頻7-9坪冷專雙吹式窗型RA-50QR")</f>
        <v>HITACHI變頻7-9坪冷專雙吹式窗型RA-50QR</v>
      </c>
      <c r="E609" s="12" t="str">
        <f ca="1">IFERROR(__xludf.DUMMYFUNCTION("""COMPUTED_VALUE"""),"RA-50QR")</f>
        <v>RA-50QR</v>
      </c>
      <c r="F609" s="12">
        <f ca="1">IFERROR(__xludf.DUMMYFUNCTION("""COMPUTED_VALUE"""),51081369)</f>
        <v>51081369</v>
      </c>
      <c r="G609" s="12" t="str">
        <f ca="1">IFERROR(__xludf.DUMMYFUNCTION("""COMPUTED_VALUE"""),"IGEM098E")</f>
        <v>IGEM098E</v>
      </c>
      <c r="H609" s="13">
        <f ca="1">IFERROR(__xludf.DUMMYFUNCTION("""COMPUTED_VALUE"""),42990)</f>
        <v>42990</v>
      </c>
      <c r="I609" s="14">
        <f ca="1">IFERROR(__xludf.DUMMYFUNCTION("""COMPUTED_VALUE"""),41010)</f>
        <v>41010</v>
      </c>
      <c r="J609" s="16">
        <f ca="1">IFERROR(__xludf.DUMMYFUNCTION("""COMPUTED_VALUE"""),45658)</f>
        <v>45658</v>
      </c>
      <c r="K609" s="12" t="str">
        <f ca="1">IFERROR(__xludf.DUMMYFUNCTION("""COMPUTED_VALUE"""),"永久降價")</f>
        <v>永久降價</v>
      </c>
      <c r="L609" s="12" t="str">
        <f ca="1">IFERROR(__xludf.DUMMYFUNCTION("""COMPUTED_VALUE"""),"上架中")</f>
        <v>上架中</v>
      </c>
      <c r="M609" s="12" t="str">
        <f ca="1">IFERROR(__xludf.DUMMYFUNCTION("""COMPUTED_VALUE"""),"2025/1/1調降、2024/3/20新上架")</f>
        <v>2025/1/1調降、2024/3/20新上架</v>
      </c>
      <c r="N609" s="12" t="str">
        <f ca="1">IFERROR(__xludf.DUMMYFUNCTION("""COMPUTED_VALUE"""),"窗型變頻冷專")</f>
        <v>窗型變頻冷專</v>
      </c>
      <c r="O609" s="12" t="str">
        <f ca="1">IFERROR(__xludf.DUMMYFUNCTION("""COMPUTED_VALUE"""),"白")</f>
        <v>白</v>
      </c>
      <c r="P609" s="12" t="str">
        <f ca="1">IFERROR(__xludf.DUMMYFUNCTION("""COMPUTED_VALUE"""),"7-9坪")</f>
        <v>7-9坪</v>
      </c>
      <c r="Q609" s="23" t="str">
        <f ca="1">IFERROR(__xludf.DUMMYFUNCTION("""COMPUTED_VALUE"""),"室內機尺寸:468*680*820")</f>
        <v>室內機尺寸:468*680*820</v>
      </c>
      <c r="R609" s="12" t="str">
        <f ca="1">IFERROR(__xludf.DUMMYFUNCTION("""COMPUTED_VALUE"""),"台灣")</f>
        <v>台灣</v>
      </c>
      <c r="S609" s="12" t="str">
        <f ca="1">IFERROR(__xludf.DUMMYFUNCTION("""COMPUTED_VALUE"""),"
V")</f>
        <v xml:space="preserve">
V</v>
      </c>
      <c r="T609" s="12" t="str">
        <f ca="1">IFERROR(__xludf.DUMMYFUNCTION("""COMPUTED_VALUE"""),"1級能效")</f>
        <v>1級能效</v>
      </c>
      <c r="U609" s="12" t="str">
        <f ca="1">IFERROR(__xludf.DUMMYFUNCTION("""COMPUTED_VALUE"""),"主機保固7年")</f>
        <v>主機保固7年</v>
      </c>
      <c r="V609" s="12"/>
      <c r="W609"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09" s="12"/>
      <c r="Y609" s="12">
        <f ca="1">IFERROR(__xludf.DUMMYFUNCTION("""COMPUTED_VALUE"""),5)</f>
        <v>5</v>
      </c>
      <c r="Z609" s="14" t="str">
        <f ca="1">IFERROR(__xludf.DUMMYFUNCTION("""COMPUTED_VALUE"""),"2000")</f>
        <v>2000</v>
      </c>
      <c r="AA609" s="15" t="str">
        <f ca="1">IFERROR(__xludf.DUMMYFUNCTION("""COMPUTED_VALUE"""),"*日本製壓縮機*凍結洗淨*防霉(5段)*高分子光觸媒濾網*銀離子&amp;負離子清淨濾網*新舒眠、室內溫度顯示*節電運轉、無線遙控")</f>
        <v>*日本製壓縮機*凍結洗淨*防霉(5段)*高分子光觸媒濾網*銀離子&amp;負離子清淨濾網*新舒眠、室內溫度顯示*節電運轉、無線遙控</v>
      </c>
    </row>
    <row r="610" spans="1:27" ht="19.5" customHeight="1">
      <c r="A610" s="12" t="str">
        <f ca="1">IFERROR(__xludf.DUMMYFUNCTION("""COMPUTED_VALUE"""),"空調")</f>
        <v>空調</v>
      </c>
      <c r="B610" s="12" t="str">
        <f ca="1">IFERROR(__xludf.DUMMYFUNCTION("""COMPUTED_VALUE"""),"大同")</f>
        <v>大同</v>
      </c>
      <c r="C610" s="12" t="str">
        <f ca="1">IFERROR(__xludf.DUMMYFUNCTION("""COMPUTED_VALUE"""),"HITACHI")</f>
        <v>HITACHI</v>
      </c>
      <c r="D610" s="12" t="str">
        <f ca="1">IFERROR(__xludf.DUMMYFUNCTION("""COMPUTED_VALUE"""),"HITACHI 3-5坪一對一變頻頂級系列冷暖空調_RAS-22NJP1/RAC-22NP")</f>
        <v>HITACHI 3-5坪一對一變頻頂級系列冷暖空調_RAS-22NJP1/RAC-22NP</v>
      </c>
      <c r="E610" s="12" t="str">
        <f ca="1">IFERROR(__xludf.DUMMYFUNCTION("""COMPUTED_VALUE"""),"RAS-22NJP1/RAC-22NP")</f>
        <v>RAS-22NJP1/RAC-22NP</v>
      </c>
      <c r="F610" s="12">
        <f ca="1">IFERROR(__xludf.DUMMYFUNCTION("""COMPUTED_VALUE"""),51081436)</f>
        <v>51081436</v>
      </c>
      <c r="G610" s="12" t="str">
        <f ca="1">IFERROR(__xludf.DUMMYFUNCTION("""COMPUTED_VALUE"""),"IGEM119F")</f>
        <v>IGEM119F</v>
      </c>
      <c r="H610" s="13">
        <f ca="1">IFERROR(__xludf.DUMMYFUNCTION("""COMPUTED_VALUE"""),34990)</f>
        <v>34990</v>
      </c>
      <c r="I610" s="14">
        <f ca="1">IFERROR(__xludf.DUMMYFUNCTION("""COMPUTED_VALUE"""),33750)</f>
        <v>33750</v>
      </c>
      <c r="J610" s="16">
        <f ca="1">IFERROR(__xludf.DUMMYFUNCTION("""COMPUTED_VALUE"""),45679)</f>
        <v>45679</v>
      </c>
      <c r="K610" s="12" t="str">
        <f ca="1">IFERROR(__xludf.DUMMYFUNCTION("""COMPUTED_VALUE"""),"新機上架")</f>
        <v>新機上架</v>
      </c>
      <c r="L610" s="12" t="str">
        <f ca="1">IFERROR(__xludf.DUMMYFUNCTION("""COMPUTED_VALUE"""),"上架中")</f>
        <v>上架中</v>
      </c>
      <c r="M610" s="12" t="str">
        <f ca="1">IFERROR(__xludf.DUMMYFUNCTION("""COMPUTED_VALUE"""),"2025/1/22上架")</f>
        <v>2025/1/22上架</v>
      </c>
      <c r="N610" s="12" t="str">
        <f ca="1">IFERROR(__xludf.DUMMYFUNCTION("""COMPUTED_VALUE"""),"一對一變頻冷暖")</f>
        <v>一對一變頻冷暖</v>
      </c>
      <c r="O610" s="12" t="str">
        <f ca="1">IFERROR(__xludf.DUMMYFUNCTION("""COMPUTED_VALUE"""),"白")</f>
        <v>白</v>
      </c>
      <c r="P610" s="12" t="str">
        <f ca="1">IFERROR(__xludf.DUMMYFUNCTION("""COMPUTED_VALUE"""),"3-5坪")</f>
        <v>3-5坪</v>
      </c>
      <c r="Q610" s="23" t="str">
        <f ca="1">IFERROR(__xludf.DUMMYFUNCTION("""COMPUTED_VALUE"""),"室外機:高600×寬730(最大825)x深290mm
室內機:高315x寬840x深270mm")</f>
        <v>室外機:高600×寬730(最大825)x深290mm
室內機:高315x寬840x深270mm</v>
      </c>
      <c r="R610" s="12" t="str">
        <f ca="1">IFERROR(__xludf.DUMMYFUNCTION("""COMPUTED_VALUE"""),"台灣")</f>
        <v>台灣</v>
      </c>
      <c r="S610" s="12" t="str">
        <f ca="1">IFERROR(__xludf.DUMMYFUNCTION("""COMPUTED_VALUE"""),"
V")</f>
        <v xml:space="preserve">
V</v>
      </c>
      <c r="T610" s="12" t="str">
        <f ca="1">IFERROR(__xludf.DUMMYFUNCTION("""COMPUTED_VALUE"""),"1級能效")</f>
        <v>1級能效</v>
      </c>
      <c r="U610" s="12" t="str">
        <f ca="1">IFERROR(__xludf.DUMMYFUNCTION("""COMPUTED_VALUE"""),"7年")</f>
        <v>7年</v>
      </c>
      <c r="V610" s="12" t="str">
        <f ca="1">IFERROR(__xludf.DUMMYFUNCTION("""COMPUTED_VALUE"""),"7年")</f>
        <v>7年</v>
      </c>
      <c r="W610"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10" s="12"/>
      <c r="Y610" s="12">
        <f ca="1">IFERROR(__xludf.DUMMYFUNCTION("""COMPUTED_VALUE"""),2.2)</f>
        <v>2.2000000000000002</v>
      </c>
      <c r="Z610" s="14">
        <f ca="1">IFERROR(__xludf.DUMMYFUNCTION("""COMPUTED_VALUE"""),1600)</f>
        <v>1600</v>
      </c>
      <c r="AA610" s="15" t="str">
        <f ca="1">IFERROR(__xludf.DUMMYFUNCTION("""COMPUTED_VALUE"""),"*日本同步變頻科技:【日本製壓縮機】、【日本制御技術】、【全直流變頻】*凍結洗淨2.0 : 高性能CPU 一級省電 、創新節電科技*PM0.1去除率99.9% :機體防霉II 五段自選、3D立體氣流")</f>
        <v>*日本同步變頻科技:【日本製壓縮機】、【日本制御技術】、【全直流變頻】*凍結洗淨2.0 : 高性能CPU 一級省電 、創新節電科技*PM0.1去除率99.9% :機體防霉II 五段自選、3D立體氣流</v>
      </c>
    </row>
    <row r="611" spans="1:27" ht="19.5" customHeight="1">
      <c r="A611" s="12" t="str">
        <f ca="1">IFERROR(__xludf.DUMMYFUNCTION("""COMPUTED_VALUE"""),"空調")</f>
        <v>空調</v>
      </c>
      <c r="B611" s="12" t="str">
        <f ca="1">IFERROR(__xludf.DUMMYFUNCTION("""COMPUTED_VALUE"""),"大同")</f>
        <v>大同</v>
      </c>
      <c r="C611" s="12" t="str">
        <f ca="1">IFERROR(__xludf.DUMMYFUNCTION("""COMPUTED_VALUE"""),"HITACHI")</f>
        <v>HITACHI</v>
      </c>
      <c r="D611" s="12" t="str">
        <f ca="1">IFERROR(__xludf.DUMMYFUNCTION("""COMPUTED_VALUE"""),"HITACHI 4-6坪一對一變頻頂級系列冷暖空調_RAS-28NJP1/RAC-28NP")</f>
        <v>HITACHI 4-6坪一對一變頻頂級系列冷暖空調_RAS-28NJP1/RAC-28NP</v>
      </c>
      <c r="E611" s="12" t="str">
        <f ca="1">IFERROR(__xludf.DUMMYFUNCTION("""COMPUTED_VALUE"""),"RAS-28NJP1/RAC-28NP")</f>
        <v>RAS-28NJP1/RAC-28NP</v>
      </c>
      <c r="F611" s="12">
        <f ca="1">IFERROR(__xludf.DUMMYFUNCTION("""COMPUTED_VALUE"""),51081437)</f>
        <v>51081437</v>
      </c>
      <c r="G611" s="12" t="str">
        <f ca="1">IFERROR(__xludf.DUMMYFUNCTION("""COMPUTED_VALUE"""),"IGEM119G")</f>
        <v>IGEM119G</v>
      </c>
      <c r="H611" s="13">
        <f ca="1">IFERROR(__xludf.DUMMYFUNCTION("""COMPUTED_VALUE"""),39590)</f>
        <v>39590</v>
      </c>
      <c r="I611" s="14">
        <f ca="1">IFERROR(__xludf.DUMMYFUNCTION("""COMPUTED_VALUE"""),38200)</f>
        <v>38200</v>
      </c>
      <c r="J611" s="16">
        <f ca="1">IFERROR(__xludf.DUMMYFUNCTION("""COMPUTED_VALUE"""),45679)</f>
        <v>45679</v>
      </c>
      <c r="K611" s="12" t="str">
        <f ca="1">IFERROR(__xludf.DUMMYFUNCTION("""COMPUTED_VALUE"""),"新機上架")</f>
        <v>新機上架</v>
      </c>
      <c r="L611" s="12" t="str">
        <f ca="1">IFERROR(__xludf.DUMMYFUNCTION("""COMPUTED_VALUE"""),"上架中")</f>
        <v>上架中</v>
      </c>
      <c r="M611" s="12" t="str">
        <f ca="1">IFERROR(__xludf.DUMMYFUNCTION("""COMPUTED_VALUE"""),"2025/1/22上架")</f>
        <v>2025/1/22上架</v>
      </c>
      <c r="N611" s="12" t="str">
        <f ca="1">IFERROR(__xludf.DUMMYFUNCTION("""COMPUTED_VALUE"""),"一對一變頻冷暖")</f>
        <v>一對一變頻冷暖</v>
      </c>
      <c r="O611" s="12" t="str">
        <f ca="1">IFERROR(__xludf.DUMMYFUNCTION("""COMPUTED_VALUE"""),"白")</f>
        <v>白</v>
      </c>
      <c r="P611" s="12" t="str">
        <f ca="1">IFERROR(__xludf.DUMMYFUNCTION("""COMPUTED_VALUE"""),"4-6坪")</f>
        <v>4-6坪</v>
      </c>
      <c r="Q611" s="23" t="str">
        <f ca="1">IFERROR(__xludf.DUMMYFUNCTION("""COMPUTED_VALUE"""),"室外機:高600x寬730(最大825)x深290mm
室內機:高315×寬840x深270mm")</f>
        <v>室外機:高600x寬730(最大825)x深290mm
室內機:高315×寬840x深270mm</v>
      </c>
      <c r="R611" s="12" t="str">
        <f ca="1">IFERROR(__xludf.DUMMYFUNCTION("""COMPUTED_VALUE"""),"台灣")</f>
        <v>台灣</v>
      </c>
      <c r="S611" s="12" t="str">
        <f ca="1">IFERROR(__xludf.DUMMYFUNCTION("""COMPUTED_VALUE"""),"
V")</f>
        <v xml:space="preserve">
V</v>
      </c>
      <c r="T611" s="12" t="str">
        <f ca="1">IFERROR(__xludf.DUMMYFUNCTION("""COMPUTED_VALUE"""),"1級能效")</f>
        <v>1級能效</v>
      </c>
      <c r="U611" s="12" t="str">
        <f ca="1">IFERROR(__xludf.DUMMYFUNCTION("""COMPUTED_VALUE"""),"7年")</f>
        <v>7年</v>
      </c>
      <c r="V611" s="12" t="str">
        <f ca="1">IFERROR(__xludf.DUMMYFUNCTION("""COMPUTED_VALUE"""),"7年")</f>
        <v>7年</v>
      </c>
      <c r="W611"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11" s="12"/>
      <c r="Y611" s="12">
        <f ca="1">IFERROR(__xludf.DUMMYFUNCTION("""COMPUTED_VALUE"""),2.8)</f>
        <v>2.8</v>
      </c>
      <c r="Z611" s="14">
        <f ca="1">IFERROR(__xludf.DUMMYFUNCTION("""COMPUTED_VALUE"""),1600)</f>
        <v>1600</v>
      </c>
      <c r="AA611" s="15" t="str">
        <f ca="1">IFERROR(__xludf.DUMMYFUNCTION("""COMPUTED_VALUE"""),"*日本同步變頻科技:【日本製壓縮機】、【日本制御技術】、【全直流變頻】*凍結洗淨2.0 : 高性能CPU 一級省電 、創新節電科技*PM0.1去除率99.9% :機體防霉II 五段自選、3D立體氣流")</f>
        <v>*日本同步變頻科技:【日本製壓縮機】、【日本制御技術】、【全直流變頻】*凍結洗淨2.0 : 高性能CPU 一級省電 、創新節電科技*PM0.1去除率99.9% :機體防霉II 五段自選、3D立體氣流</v>
      </c>
    </row>
    <row r="612" spans="1:27" ht="19.5" customHeight="1">
      <c r="A612" s="12" t="str">
        <f ca="1">IFERROR(__xludf.DUMMYFUNCTION("""COMPUTED_VALUE"""),"空調")</f>
        <v>空調</v>
      </c>
      <c r="B612" s="12" t="str">
        <f ca="1">IFERROR(__xludf.DUMMYFUNCTION("""COMPUTED_VALUE"""),"大同")</f>
        <v>大同</v>
      </c>
      <c r="C612" s="12" t="str">
        <f ca="1">IFERROR(__xludf.DUMMYFUNCTION("""COMPUTED_VALUE"""),"HITACHI")</f>
        <v>HITACHI</v>
      </c>
      <c r="D612" s="12" t="str">
        <f ca="1">IFERROR(__xludf.DUMMYFUNCTION("""COMPUTED_VALUE"""),"HITACHI 5-7坪一對一變頻頂級系列冷暖空調_RAS-36NJP1/RAC-36NP")</f>
        <v>HITACHI 5-7坪一對一變頻頂級系列冷暖空調_RAS-36NJP1/RAC-36NP</v>
      </c>
      <c r="E612" s="12" t="str">
        <f ca="1">IFERROR(__xludf.DUMMYFUNCTION("""COMPUTED_VALUE"""),"RAS-36NJP1/RAC-36NP")</f>
        <v>RAS-36NJP1/RAC-36NP</v>
      </c>
      <c r="F612" s="12">
        <f ca="1">IFERROR(__xludf.DUMMYFUNCTION("""COMPUTED_VALUE"""),51081438)</f>
        <v>51081438</v>
      </c>
      <c r="G612" s="12" t="str">
        <f ca="1">IFERROR(__xludf.DUMMYFUNCTION("""COMPUTED_VALUE"""),"IGEM119H")</f>
        <v>IGEM119H</v>
      </c>
      <c r="H612" s="13">
        <f ca="1">IFERROR(__xludf.DUMMYFUNCTION("""COMPUTED_VALUE"""),48300)</f>
        <v>48300</v>
      </c>
      <c r="I612" s="14">
        <f ca="1">IFERROR(__xludf.DUMMYFUNCTION("""COMPUTED_VALUE"""),46300)</f>
        <v>46300</v>
      </c>
      <c r="J612" s="16">
        <f ca="1">IFERROR(__xludf.DUMMYFUNCTION("""COMPUTED_VALUE"""),45679)</f>
        <v>45679</v>
      </c>
      <c r="K612" s="12" t="str">
        <f ca="1">IFERROR(__xludf.DUMMYFUNCTION("""COMPUTED_VALUE"""),"新機上架")</f>
        <v>新機上架</v>
      </c>
      <c r="L612" s="12" t="str">
        <f ca="1">IFERROR(__xludf.DUMMYFUNCTION("""COMPUTED_VALUE"""),"上架中")</f>
        <v>上架中</v>
      </c>
      <c r="M612" s="12" t="str">
        <f ca="1">IFERROR(__xludf.DUMMYFUNCTION("""COMPUTED_VALUE"""),"2025/1/22上架")</f>
        <v>2025/1/22上架</v>
      </c>
      <c r="N612" s="12" t="str">
        <f ca="1">IFERROR(__xludf.DUMMYFUNCTION("""COMPUTED_VALUE"""),"一對一變頻冷暖")</f>
        <v>一對一變頻冷暖</v>
      </c>
      <c r="O612" s="12" t="str">
        <f ca="1">IFERROR(__xludf.DUMMYFUNCTION("""COMPUTED_VALUE"""),"白")</f>
        <v>白</v>
      </c>
      <c r="P612" s="12" t="str">
        <f ca="1">IFERROR(__xludf.DUMMYFUNCTION("""COMPUTED_VALUE"""),"5-7坪")</f>
        <v>5-7坪</v>
      </c>
      <c r="Q612" s="23" t="str">
        <f ca="1">IFERROR(__xludf.DUMMYFUNCTION("""COMPUTED_VALUE"""),"室外機:高685×寬810(最大906)x深300mm
室內機:高315×寬940×深270 mm")</f>
        <v>室外機:高685×寬810(最大906)x深300mm
室內機:高315×寬940×深270 mm</v>
      </c>
      <c r="R612" s="12" t="str">
        <f ca="1">IFERROR(__xludf.DUMMYFUNCTION("""COMPUTED_VALUE"""),"台灣")</f>
        <v>台灣</v>
      </c>
      <c r="S612" s="12" t="str">
        <f ca="1">IFERROR(__xludf.DUMMYFUNCTION("""COMPUTED_VALUE"""),"
V")</f>
        <v xml:space="preserve">
V</v>
      </c>
      <c r="T612" s="12" t="str">
        <f ca="1">IFERROR(__xludf.DUMMYFUNCTION("""COMPUTED_VALUE"""),"1級能效")</f>
        <v>1級能效</v>
      </c>
      <c r="U612" s="12" t="str">
        <f ca="1">IFERROR(__xludf.DUMMYFUNCTION("""COMPUTED_VALUE"""),"7年")</f>
        <v>7年</v>
      </c>
      <c r="V612" s="12" t="str">
        <f ca="1">IFERROR(__xludf.DUMMYFUNCTION("""COMPUTED_VALUE"""),"7年")</f>
        <v>7年</v>
      </c>
      <c r="W612" s="12" t="str">
        <f ca="1">IFERROR(__xludf.DUMMYFUNCTION("""COMPUTED_VALUE"""),"(2/1-4/30)隨貨送好禮5選1:日立微波爐、哈根諾克電扇、飛利浦電鬍刀、日象電鍋、飛利浦黑晶爐")</f>
        <v>(2/1-4/30)隨貨送好禮5選1:日立微波爐、哈根諾克電扇、飛利浦電鬍刀、日象電鍋、飛利浦黑晶爐</v>
      </c>
      <c r="X612" s="12"/>
      <c r="Y612" s="12">
        <f ca="1">IFERROR(__xludf.DUMMYFUNCTION("""COMPUTED_VALUE"""),3.6)</f>
        <v>3.6</v>
      </c>
      <c r="Z612" s="14" t="str">
        <f ca="1">IFERROR(__xludf.DUMMYFUNCTION("""COMPUTED_VALUE"""),"2000")</f>
        <v>2000</v>
      </c>
      <c r="AA612" s="15" t="str">
        <f ca="1">IFERROR(__xludf.DUMMYFUNCTION("""COMPUTED_VALUE"""),"*日本同步變頻科技:【日本製壓縮機】、【日本制御技術】、【全直流變頻】*凍結洗淨2.0 : 高性能CPU 一級省電 、創新節電科技*PM0.1去除率99.9% :機體防霉II 五段自選、3D立體氣流")</f>
        <v>*日本同步變頻科技:【日本製壓縮機】、【日本制御技術】、【全直流變頻】*凍結洗淨2.0 : 高性能CPU 一級省電 、創新節電科技*PM0.1去除率99.9% :機體防霉II 五段自選、3D立體氣流</v>
      </c>
    </row>
    <row r="613" spans="1:27" ht="19.5" customHeight="1">
      <c r="A613" s="12" t="str">
        <f ca="1">IFERROR(__xludf.DUMMYFUNCTION("""COMPUTED_VALUE"""),"空調")</f>
        <v>空調</v>
      </c>
      <c r="B613" s="12" t="str">
        <f ca="1">IFERROR(__xludf.DUMMYFUNCTION("""COMPUTED_VALUE"""),"大同")</f>
        <v>大同</v>
      </c>
      <c r="C613" s="12" t="str">
        <f ca="1">IFERROR(__xludf.DUMMYFUNCTION("""COMPUTED_VALUE"""),"HITACHI")</f>
        <v>HITACHI</v>
      </c>
      <c r="D613" s="12" t="str">
        <f ca="1">IFERROR(__xludf.DUMMYFUNCTION("""COMPUTED_VALUE"""),"HITACHI 13-15坪一對一變頻頂級系列冷暖空調_RAS-71NJP1/RAC-71NP")</f>
        <v>HITACHI 13-15坪一對一變頻頂級系列冷暖空調_RAS-71NJP1/RAC-71NP</v>
      </c>
      <c r="E613" s="12" t="str">
        <f ca="1">IFERROR(__xludf.DUMMYFUNCTION("""COMPUTED_VALUE"""),"RAS-71NJP1/RAC-71NP")</f>
        <v>RAS-71NJP1/RAC-71NP</v>
      </c>
      <c r="F613" s="12">
        <f ca="1">IFERROR(__xludf.DUMMYFUNCTION("""COMPUTED_VALUE"""),51081439)</f>
        <v>51081439</v>
      </c>
      <c r="G613" s="12" t="str">
        <f ca="1">IFERROR(__xludf.DUMMYFUNCTION("""COMPUTED_VALUE"""),"IGEM119I")</f>
        <v>IGEM119I</v>
      </c>
      <c r="H613" s="13">
        <f ca="1">IFERROR(__xludf.DUMMYFUNCTION("""COMPUTED_VALUE"""),75350)</f>
        <v>75350</v>
      </c>
      <c r="I613" s="14">
        <f ca="1">IFERROR(__xludf.DUMMYFUNCTION("""COMPUTED_VALUE"""),71900)</f>
        <v>71900</v>
      </c>
      <c r="J613" s="16">
        <f ca="1">IFERROR(__xludf.DUMMYFUNCTION("""COMPUTED_VALUE"""),45679)</f>
        <v>45679</v>
      </c>
      <c r="K613" s="12" t="str">
        <f ca="1">IFERROR(__xludf.DUMMYFUNCTION("""COMPUTED_VALUE"""),"新機上架")</f>
        <v>新機上架</v>
      </c>
      <c r="L613" s="12" t="str">
        <f ca="1">IFERROR(__xludf.DUMMYFUNCTION("""COMPUTED_VALUE"""),"專案")</f>
        <v>專案</v>
      </c>
      <c r="M613" s="12" t="str">
        <f ca="1">IFERROR(__xludf.DUMMYFUNCTION("""COMPUTED_VALUE"""),"（不送點數卡/商品卡）2025/1/22上架")</f>
        <v>（不送點數卡/商品卡）2025/1/22上架</v>
      </c>
      <c r="N613" s="12" t="str">
        <f ca="1">IFERROR(__xludf.DUMMYFUNCTION("""COMPUTED_VALUE"""),"一對一變頻冷暖")</f>
        <v>一對一變頻冷暖</v>
      </c>
      <c r="O613" s="12" t="str">
        <f ca="1">IFERROR(__xludf.DUMMYFUNCTION("""COMPUTED_VALUE"""),"白")</f>
        <v>白</v>
      </c>
      <c r="P613" s="12" t="str">
        <f ca="1">IFERROR(__xludf.DUMMYFUNCTION("""COMPUTED_VALUE"""),"13-15坪")</f>
        <v>13-15坪</v>
      </c>
      <c r="Q613" s="23" t="str">
        <f ca="1">IFERROR(__xludf.DUMMYFUNCTION("""COMPUTED_VALUE"""),"室外機:高790×880(最大954)x深315 mm
室內機:高315×寬1110x寬1110mm")</f>
        <v>室外機:高790×880(最大954)x深315 mm
室內機:高315×寬1110x寬1110mm</v>
      </c>
      <c r="R613" s="12" t="str">
        <f ca="1">IFERROR(__xludf.DUMMYFUNCTION("""COMPUTED_VALUE"""),"台灣")</f>
        <v>台灣</v>
      </c>
      <c r="S613" s="12" t="str">
        <f ca="1">IFERROR(__xludf.DUMMYFUNCTION("""COMPUTED_VALUE"""),"
V")</f>
        <v xml:space="preserve">
V</v>
      </c>
      <c r="T613" s="12" t="str">
        <f ca="1">IFERROR(__xludf.DUMMYFUNCTION("""COMPUTED_VALUE"""),"1級能效")</f>
        <v>1級能效</v>
      </c>
      <c r="U613" s="12" t="str">
        <f ca="1">IFERROR(__xludf.DUMMYFUNCTION("""COMPUTED_VALUE"""),"7年")</f>
        <v>7年</v>
      </c>
      <c r="V613" s="12" t="str">
        <f ca="1">IFERROR(__xludf.DUMMYFUNCTION("""COMPUTED_VALUE"""),"7年")</f>
        <v>7年</v>
      </c>
      <c r="W613" s="12" t="str">
        <f ca="1">IFERROR(__xludf.DUMMYFUNCTION("""COMPUTED_VALUE"""),"(2/1-4/30)隨貨送分離式好禮7選1:日立微波爐、虎牌熱水瓶（限6.3kw（含）以上）、日立無線吸塵器（限6.3kw（含）以上）、哈根諾克電扇、飛利浦電鬍刀、日象電鍋、飛利浦黑晶爐")</f>
        <v>(2/1-4/30)隨貨送分離式好禮7選1:日立微波爐、虎牌熱水瓶（限6.3kw（含）以上）、日立無線吸塵器（限6.3kw（含）以上）、哈根諾克電扇、飛利浦電鬍刀、日象電鍋、飛利浦黑晶爐</v>
      </c>
      <c r="X613" s="12"/>
      <c r="Y613" s="12">
        <f ca="1">IFERROR(__xludf.DUMMYFUNCTION("""COMPUTED_VALUE"""),6.3)</f>
        <v>6.3</v>
      </c>
      <c r="Z613" s="14" t="str">
        <f ca="1">IFERROR(__xludf.DUMMYFUNCTION("""COMPUTED_VALUE"""),"2000")</f>
        <v>2000</v>
      </c>
      <c r="AA613" s="15" t="str">
        <f ca="1">IFERROR(__xludf.DUMMYFUNCTION("""COMPUTED_VALUE"""),"*日本同步變頻科技:【日本製壓縮機】、【日本制御技術】、【全直流變頻】*凍結洗淨2.0 : 高性能CPU 一級省電 、創新節電科技*PM0.1去除率99.9% :機體防霉II 五段自選、3D立體氣流")</f>
        <v>*日本同步變頻科技:【日本製壓縮機】、【日本制御技術】、【全直流變頻】*凍結洗淨2.0 : 高性能CPU 一級省電 、創新節電科技*PM0.1去除率99.9% :機體防霉II 五段自選、3D立體氣流</v>
      </c>
    </row>
    <row r="614" spans="1:27" ht="19.5" customHeight="1">
      <c r="A614" s="12" t="str">
        <f ca="1">IFERROR(__xludf.DUMMYFUNCTION("""COMPUTED_VALUE"""),"空調")</f>
        <v>空調</v>
      </c>
      <c r="B614" s="12" t="str">
        <f ca="1">IFERROR(__xludf.DUMMYFUNCTION("""COMPUTED_VALUE"""),"安悅")</f>
        <v>安悅</v>
      </c>
      <c r="C614" s="12" t="str">
        <f ca="1">IFERROR(__xludf.DUMMYFUNCTION("""COMPUTED_VALUE"""),"東元")</f>
        <v>東元</v>
      </c>
      <c r="D614" s="12" t="str">
        <f ca="1">IFERROR(__xludf.DUMMYFUNCTION("""COMPUTED_VALUE"""),"東元3-4坪R32一對一變頻冷暖空調MS22IH-ZRS2/MA22IH-ZRS2")</f>
        <v>東元3-4坪R32一對一變頻冷暖空調MS22IH-ZRS2/MA22IH-ZRS2</v>
      </c>
      <c r="E614" s="12" t="str">
        <f ca="1">IFERROR(__xludf.DUMMYFUNCTION("""COMPUTED_VALUE"""),"MS22IH-ZRS2/MA22IH-ZRS2")</f>
        <v>MS22IH-ZRS2/MA22IH-ZRS2</v>
      </c>
      <c r="F614" s="12">
        <f ca="1">IFERROR(__xludf.DUMMYFUNCTION("""COMPUTED_VALUE"""),51082260)</f>
        <v>51082260</v>
      </c>
      <c r="G614" s="12" t="str">
        <f ca="1">IFERROR(__xludf.DUMMYFUNCTION("""COMPUTED_VALUE"""),"IGEM080I")</f>
        <v>IGEM080I</v>
      </c>
      <c r="H614" s="13">
        <f ca="1">IFERROR(__xludf.DUMMYFUNCTION("""COMPUTED_VALUE"""),22900)</f>
        <v>22900</v>
      </c>
      <c r="I614" s="14">
        <f ca="1">IFERROR(__xludf.DUMMYFUNCTION("""COMPUTED_VALUE"""),17500)</f>
        <v>17500</v>
      </c>
      <c r="J614" s="16">
        <f ca="1">IFERROR(__xludf.DUMMYFUNCTION("""COMPUTED_VALUE"""),45666)</f>
        <v>45666</v>
      </c>
      <c r="K614" s="12" t="str">
        <f ca="1">IFERROR(__xludf.DUMMYFUNCTION("""COMPUTED_VALUE"""),"短促")</f>
        <v>短促</v>
      </c>
      <c r="L614" s="12" t="str">
        <f ca="1">IFERROR(__xludf.DUMMYFUNCTION("""COMPUTED_VALUE"""),"上架中")</f>
        <v>上架中</v>
      </c>
      <c r="M614" s="12" t="str">
        <f ca="1">IFERROR(__xludf.DUMMYFUNCTION("""COMPUTED_VALUE"""),"2025/1/9-2/28短促、11/2回價、2024/4/1-8/31短促現折、8/1-10/31短促現折1700元、2023/5/1回價、2023/4/1新機上市")</f>
        <v>2025/1/9-2/28短促、11/2回價、2024/4/1-8/31短促現折、8/1-10/31短促現折1700元、2023/5/1回價、2023/4/1新機上市</v>
      </c>
      <c r="N614" s="12" t="str">
        <f ca="1">IFERROR(__xludf.DUMMYFUNCTION("""COMPUTED_VALUE"""),"一對一變頻冷暖")</f>
        <v>一對一變頻冷暖</v>
      </c>
      <c r="O614" s="12" t="str">
        <f ca="1">IFERROR(__xludf.DUMMYFUNCTION("""COMPUTED_VALUE"""),"白")</f>
        <v>白</v>
      </c>
      <c r="P614" s="12" t="str">
        <f ca="1">IFERROR(__xludf.DUMMYFUNCTION("""COMPUTED_VALUE"""),"3-4坪")</f>
        <v>3-4坪</v>
      </c>
      <c r="Q614" s="12" t="str">
        <f ca="1">IFERROR(__xludf.DUMMYFUNCTION("""COMPUTED_VALUE"""),"室外機:555*785*300mm 室內機:292*792*201mm")</f>
        <v>室外機:555*785*300mm 室內機:292*792*201mm</v>
      </c>
      <c r="R614" s="12" t="str">
        <f ca="1">IFERROR(__xludf.DUMMYFUNCTION("""COMPUTED_VALUE"""),"台灣")</f>
        <v>台灣</v>
      </c>
      <c r="S614" s="12" t="str">
        <f ca="1">IFERROR(__xludf.DUMMYFUNCTION("""COMPUTED_VALUE"""),"V")</f>
        <v>V</v>
      </c>
      <c r="T614" s="12" t="str">
        <f ca="1">IFERROR(__xludf.DUMMYFUNCTION("""COMPUTED_VALUE"""),"1級能效")</f>
        <v>1級能效</v>
      </c>
      <c r="U614" s="22" t="str">
        <f ca="1">IFERROR(__xludf.DUMMYFUNCTION("""COMPUTED_VALUE"""),"7年(須上網登錄)")</f>
        <v>7年(須上網登錄)</v>
      </c>
      <c r="V614" s="12" t="str">
        <f ca="1">IFERROR(__xludf.DUMMYFUNCTION("""COMPUTED_VALUE"""),"10年(須上網登錄)")</f>
        <v>10年(須上網登錄)</v>
      </c>
      <c r="W614" s="12"/>
      <c r="X614" s="12" t="str">
        <f ca="1">IFERROR(__xludf.DUMMYFUNCTION("""COMPUTED_VALUE"""),"(1/9-2/28)中華獨家每台現折1900元")</f>
        <v>(1/9-2/28)中華獨家每台現折1900元</v>
      </c>
      <c r="Y614" s="12">
        <f ca="1">IFERROR(__xludf.DUMMYFUNCTION("""COMPUTED_VALUE"""),2.4)</f>
        <v>2.4</v>
      </c>
      <c r="Z614" s="14">
        <f ca="1">IFERROR(__xludf.DUMMYFUNCTION("""COMPUTED_VALUE"""),1600)</f>
        <v>1600</v>
      </c>
      <c r="AA614" s="15" t="str">
        <f ca="1">IFERROR(__xludf.DUMMYFUNCTION("""COMPUTED_VALUE"""),"*內外機燦金防鏽*關機自動防霉*基板防潮*基板防蟲")</f>
        <v>*內外機燦金防鏽*關機自動防霉*基板防潮*基板防蟲</v>
      </c>
    </row>
    <row r="615" spans="1:27" ht="19.5" customHeight="1">
      <c r="A615" s="12" t="str">
        <f ca="1">IFERROR(__xludf.DUMMYFUNCTION("""COMPUTED_VALUE"""),"空調")</f>
        <v>空調</v>
      </c>
      <c r="B615" s="12" t="str">
        <f ca="1">IFERROR(__xludf.DUMMYFUNCTION("""COMPUTED_VALUE"""),"安悅")</f>
        <v>安悅</v>
      </c>
      <c r="C615" s="12" t="str">
        <f ca="1">IFERROR(__xludf.DUMMYFUNCTION("""COMPUTED_VALUE"""),"東元")</f>
        <v>東元</v>
      </c>
      <c r="D615" s="12" t="str">
        <f ca="1">IFERROR(__xludf.DUMMYFUNCTION("""COMPUTED_VALUE"""),"東元5-6坪R32一對一變頻冷暖空調MA28IH-ZRS2/MS28IH-ZRS2")</f>
        <v>東元5-6坪R32一對一變頻冷暖空調MA28IH-ZRS2/MS28IH-ZRS2</v>
      </c>
      <c r="E615" s="12" t="str">
        <f ca="1">IFERROR(__xludf.DUMMYFUNCTION("""COMPUTED_VALUE"""),"MA28IH-ZRS2/MS28IH-ZRS2")</f>
        <v>MA28IH-ZRS2/MS28IH-ZRS2</v>
      </c>
      <c r="F615" s="12">
        <f ca="1">IFERROR(__xludf.DUMMYFUNCTION("""COMPUTED_VALUE"""),51082261)</f>
        <v>51082261</v>
      </c>
      <c r="G615" s="12" t="str">
        <f ca="1">IFERROR(__xludf.DUMMYFUNCTION("""COMPUTED_VALUE"""),"IGEM080J")</f>
        <v>IGEM080J</v>
      </c>
      <c r="H615" s="13">
        <f ca="1">IFERROR(__xludf.DUMMYFUNCTION("""COMPUTED_VALUE"""),27490)</f>
        <v>27490</v>
      </c>
      <c r="I615" s="14">
        <f ca="1">IFERROR(__xludf.DUMMYFUNCTION("""COMPUTED_VALUE"""),19799)</f>
        <v>19799</v>
      </c>
      <c r="J615" s="16">
        <f ca="1">IFERROR(__xludf.DUMMYFUNCTION("""COMPUTED_VALUE"""),45666)</f>
        <v>45666</v>
      </c>
      <c r="K615" s="12" t="str">
        <f ca="1">IFERROR(__xludf.DUMMYFUNCTION("""COMPUTED_VALUE"""),"短促")</f>
        <v>短促</v>
      </c>
      <c r="L615" s="12" t="str">
        <f ca="1">IFERROR(__xludf.DUMMYFUNCTION("""COMPUTED_VALUE"""),"上架中")</f>
        <v>上架中</v>
      </c>
      <c r="M615" s="12" t="str">
        <f ca="1">IFERROR(__xludf.DUMMYFUNCTION("""COMPUTED_VALUE"""),"2025/1/9-2/28短促、11/2回價、2024/4/1-8/31短促現折、8/1-10/31短促現折1991元、2023/5/1回價、2023/4/1新機上市")</f>
        <v>2025/1/9-2/28短促、11/2回價、2024/4/1-8/31短促現折、8/1-10/31短促現折1991元、2023/5/1回價、2023/4/1新機上市</v>
      </c>
      <c r="N615" s="12" t="str">
        <f ca="1">IFERROR(__xludf.DUMMYFUNCTION("""COMPUTED_VALUE"""),"一對一變頻冷暖")</f>
        <v>一對一變頻冷暖</v>
      </c>
      <c r="O615" s="12" t="str">
        <f ca="1">IFERROR(__xludf.DUMMYFUNCTION("""COMPUTED_VALUE"""),"白")</f>
        <v>白</v>
      </c>
      <c r="P615" s="12" t="str">
        <f ca="1">IFERROR(__xludf.DUMMYFUNCTION("""COMPUTED_VALUE"""),"5-6坪")</f>
        <v>5-6坪</v>
      </c>
      <c r="Q615" s="12" t="str">
        <f ca="1">IFERROR(__xludf.DUMMYFUNCTION("""COMPUTED_VALUE"""),"室外機:555*785*300mm 室內機:292*792*201mm")</f>
        <v>室外機:555*785*300mm 室內機:292*792*201mm</v>
      </c>
      <c r="R615" s="12" t="str">
        <f ca="1">IFERROR(__xludf.DUMMYFUNCTION("""COMPUTED_VALUE"""),"台灣")</f>
        <v>台灣</v>
      </c>
      <c r="S615" s="12" t="str">
        <f ca="1">IFERROR(__xludf.DUMMYFUNCTION("""COMPUTED_VALUE"""),"V")</f>
        <v>V</v>
      </c>
      <c r="T615" s="12" t="str">
        <f ca="1">IFERROR(__xludf.DUMMYFUNCTION("""COMPUTED_VALUE"""),"1級能效")</f>
        <v>1級能效</v>
      </c>
      <c r="U615" s="22" t="str">
        <f ca="1">IFERROR(__xludf.DUMMYFUNCTION("""COMPUTED_VALUE"""),"7年(須上網登錄)")</f>
        <v>7年(須上網登錄)</v>
      </c>
      <c r="V615" s="12" t="str">
        <f ca="1">IFERROR(__xludf.DUMMYFUNCTION("""COMPUTED_VALUE"""),"10年(須上網登錄)")</f>
        <v>10年(須上網登錄)</v>
      </c>
      <c r="W615" s="12"/>
      <c r="X615" s="12" t="str">
        <f ca="1">IFERROR(__xludf.DUMMYFUNCTION("""COMPUTED_VALUE"""),"(1/9-2/28)中華獨家每台現折2191元")</f>
        <v>(1/9-2/28)中華獨家每台現折2191元</v>
      </c>
      <c r="Y615" s="12">
        <f ca="1">IFERROR(__xludf.DUMMYFUNCTION("""COMPUTED_VALUE"""),2.9)</f>
        <v>2.9</v>
      </c>
      <c r="Z615" s="14">
        <f ca="1">IFERROR(__xludf.DUMMYFUNCTION("""COMPUTED_VALUE"""),1600)</f>
        <v>1600</v>
      </c>
      <c r="AA615" s="15" t="str">
        <f ca="1">IFERROR(__xludf.DUMMYFUNCTION("""COMPUTED_VALUE"""),"*內外機燦金防鏽*關機自動防霉*基板防潮*基板防蟲")</f>
        <v>*內外機燦金防鏽*關機自動防霉*基板防潮*基板防蟲</v>
      </c>
    </row>
    <row r="616" spans="1:27" ht="19.5" customHeight="1">
      <c r="A616" s="12" t="str">
        <f ca="1">IFERROR(__xludf.DUMMYFUNCTION("""COMPUTED_VALUE"""),"空調")</f>
        <v>空調</v>
      </c>
      <c r="B616" s="12" t="str">
        <f ca="1">IFERROR(__xludf.DUMMYFUNCTION("""COMPUTED_VALUE"""),"安悅")</f>
        <v>安悅</v>
      </c>
      <c r="C616" s="12" t="str">
        <f ca="1">IFERROR(__xludf.DUMMYFUNCTION("""COMPUTED_VALUE"""),"東元")</f>
        <v>東元</v>
      </c>
      <c r="D616" s="12" t="str">
        <f ca="1">IFERROR(__xludf.DUMMYFUNCTION("""COMPUTED_VALUE"""),"東元6-7坪R32一對一變頻冷暖空調MA36IH-ZRS2/MS36IH-ZRS2")</f>
        <v>東元6-7坪R32一對一變頻冷暖空調MA36IH-ZRS2/MS36IH-ZRS2</v>
      </c>
      <c r="E616" s="12" t="str">
        <f ca="1">IFERROR(__xludf.DUMMYFUNCTION("""COMPUTED_VALUE"""),"MA36IH-ZRS2/MS36IH-ZRS2")</f>
        <v>MA36IH-ZRS2/MS36IH-ZRS2</v>
      </c>
      <c r="F616" s="12">
        <f ca="1">IFERROR(__xludf.DUMMYFUNCTION("""COMPUTED_VALUE"""),51082262)</f>
        <v>51082262</v>
      </c>
      <c r="G616" s="12" t="str">
        <f ca="1">IFERROR(__xludf.DUMMYFUNCTION("""COMPUTED_VALUE"""),"IGEM080K")</f>
        <v>IGEM080K</v>
      </c>
      <c r="H616" s="13">
        <f ca="1">IFERROR(__xludf.DUMMYFUNCTION("""COMPUTED_VALUE"""),34900)</f>
        <v>34900</v>
      </c>
      <c r="I616" s="14">
        <f ca="1">IFERROR(__xludf.DUMMYFUNCTION("""COMPUTED_VALUE"""),25600)</f>
        <v>25600</v>
      </c>
      <c r="J616" s="16">
        <f ca="1">IFERROR(__xludf.DUMMYFUNCTION("""COMPUTED_VALUE"""),45666)</f>
        <v>45666</v>
      </c>
      <c r="K616" s="12" t="str">
        <f ca="1">IFERROR(__xludf.DUMMYFUNCTION("""COMPUTED_VALUE"""),"短促")</f>
        <v>短促</v>
      </c>
      <c r="L616" s="12" t="str">
        <f ca="1">IFERROR(__xludf.DUMMYFUNCTION("""COMPUTED_VALUE"""),"上架中")</f>
        <v>上架中</v>
      </c>
      <c r="M616" s="12" t="str">
        <f ca="1">IFERROR(__xludf.DUMMYFUNCTION("""COMPUTED_VALUE"""),"2025/1/9-2/28短促、11/2回價、2024/4/1-8/31短促現折、8/1-10/31短促現折2100元、2023/5/1回價、2023/4/1新機上市")</f>
        <v>2025/1/9-2/28短促、11/2回價、2024/4/1-8/31短促現折、8/1-10/31短促現折2100元、2023/5/1回價、2023/4/1新機上市</v>
      </c>
      <c r="N616" s="12" t="str">
        <f ca="1">IFERROR(__xludf.DUMMYFUNCTION("""COMPUTED_VALUE"""),"一對一變頻冷暖")</f>
        <v>一對一變頻冷暖</v>
      </c>
      <c r="O616" s="12" t="str">
        <f ca="1">IFERROR(__xludf.DUMMYFUNCTION("""COMPUTED_VALUE"""),"白")</f>
        <v>白</v>
      </c>
      <c r="P616" s="12" t="str">
        <f ca="1">IFERROR(__xludf.DUMMYFUNCTION("""COMPUTED_VALUE"""),"6-7坪")</f>
        <v>6-7坪</v>
      </c>
      <c r="Q616" s="12" t="str">
        <f ca="1">IFERROR(__xludf.DUMMYFUNCTION("""COMPUTED_VALUE"""),"室外機:555*785*300mm 室內機:294*881*194mm")</f>
        <v>室外機:555*785*300mm 室內機:294*881*194mm</v>
      </c>
      <c r="R616" s="12" t="str">
        <f ca="1">IFERROR(__xludf.DUMMYFUNCTION("""COMPUTED_VALUE"""),"台灣")</f>
        <v>台灣</v>
      </c>
      <c r="S616" s="12" t="str">
        <f ca="1">IFERROR(__xludf.DUMMYFUNCTION("""COMPUTED_VALUE"""),"V")</f>
        <v>V</v>
      </c>
      <c r="T616" s="12" t="str">
        <f ca="1">IFERROR(__xludf.DUMMYFUNCTION("""COMPUTED_VALUE"""),"1級能效")</f>
        <v>1級能效</v>
      </c>
      <c r="U616" s="22" t="str">
        <f ca="1">IFERROR(__xludf.DUMMYFUNCTION("""COMPUTED_VALUE"""),"7年(須上網登錄)")</f>
        <v>7年(須上網登錄)</v>
      </c>
      <c r="V616" s="12" t="str">
        <f ca="1">IFERROR(__xludf.DUMMYFUNCTION("""COMPUTED_VALUE"""),"10年(須上網登錄)")</f>
        <v>10年(須上網登錄)</v>
      </c>
      <c r="W616" s="12"/>
      <c r="X616" s="12" t="str">
        <f ca="1">IFERROR(__xludf.DUMMYFUNCTION("""COMPUTED_VALUE"""),"(1/9-2/28)中華獨家每台現折2500元")</f>
        <v>(1/9-2/28)中華獨家每台現折2500元</v>
      </c>
      <c r="Y616" s="12">
        <f ca="1">IFERROR(__xludf.DUMMYFUNCTION("""COMPUTED_VALUE"""),3.6)</f>
        <v>3.6</v>
      </c>
      <c r="Z616" s="14" t="str">
        <f ca="1">IFERROR(__xludf.DUMMYFUNCTION("""COMPUTED_VALUE"""),"2000")</f>
        <v>2000</v>
      </c>
      <c r="AA616" s="15" t="str">
        <f ca="1">IFERROR(__xludf.DUMMYFUNCTION("""COMPUTED_VALUE"""),"*內外機燦金防鏽*關機自動防霉*基板防潮*基板防蟲")</f>
        <v>*內外機燦金防鏽*關機自動防霉*基板防潮*基板防蟲</v>
      </c>
    </row>
    <row r="617" spans="1:27" ht="19.5" customHeight="1">
      <c r="A617" s="12" t="str">
        <f ca="1">IFERROR(__xludf.DUMMYFUNCTION("""COMPUTED_VALUE"""),"空調")</f>
        <v>空調</v>
      </c>
      <c r="B617" s="12" t="str">
        <f ca="1">IFERROR(__xludf.DUMMYFUNCTION("""COMPUTED_VALUE"""),"安悅")</f>
        <v>安悅</v>
      </c>
      <c r="C617" s="12" t="str">
        <f ca="1">IFERROR(__xludf.DUMMYFUNCTION("""COMPUTED_VALUE"""),"東元")</f>
        <v>東元</v>
      </c>
      <c r="D617" s="12" t="str">
        <f ca="1">IFERROR(__xludf.DUMMYFUNCTION("""COMPUTED_VALUE"""),"東元7-9坪R32一對一變頻冷暖空調MS40IH-ZRS2/MA40IH-ZRS2")</f>
        <v>東元7-9坪R32一對一變頻冷暖空調MS40IH-ZRS2/MA40IH-ZRS2</v>
      </c>
      <c r="E617" s="12" t="str">
        <f ca="1">IFERROR(__xludf.DUMMYFUNCTION("""COMPUTED_VALUE"""),"MA40IH-ZRS2/MS40IH-ZRS2")</f>
        <v>MA40IH-ZRS2/MS40IH-ZRS2</v>
      </c>
      <c r="F617" s="12">
        <f ca="1">IFERROR(__xludf.DUMMYFUNCTION("""COMPUTED_VALUE"""),51082263)</f>
        <v>51082263</v>
      </c>
      <c r="G617" s="12" t="str">
        <f ca="1">IFERROR(__xludf.DUMMYFUNCTION("""COMPUTED_VALUE"""),"IGEM080L")</f>
        <v>IGEM080L</v>
      </c>
      <c r="H617" s="13">
        <f ca="1">IFERROR(__xludf.DUMMYFUNCTION("""COMPUTED_VALUE"""),37300)</f>
        <v>37300</v>
      </c>
      <c r="I617" s="14">
        <f ca="1">IFERROR(__xludf.DUMMYFUNCTION("""COMPUTED_VALUE"""),27600)</f>
        <v>27600</v>
      </c>
      <c r="J617" s="16">
        <f ca="1">IFERROR(__xludf.DUMMYFUNCTION("""COMPUTED_VALUE"""),45666)</f>
        <v>45666</v>
      </c>
      <c r="K617" s="12" t="str">
        <f ca="1">IFERROR(__xludf.DUMMYFUNCTION("""COMPUTED_VALUE"""),"短促")</f>
        <v>短促</v>
      </c>
      <c r="L617" s="12" t="str">
        <f ca="1">IFERROR(__xludf.DUMMYFUNCTION("""COMPUTED_VALUE"""),"上架中")</f>
        <v>上架中</v>
      </c>
      <c r="M617" s="12" t="str">
        <f ca="1">IFERROR(__xludf.DUMMYFUNCTION("""COMPUTED_VALUE"""),"2025/1/9-2/28短促、11/2回價、2024/4/1-8/31短促現折、8/1-10/31短促現折2200元、2023/5/1回價、2023/4/1新機上市")</f>
        <v>2025/1/9-2/28短促、11/2回價、2024/4/1-8/31短促現折、8/1-10/31短促現折2200元、2023/5/1回價、2023/4/1新機上市</v>
      </c>
      <c r="N617" s="12" t="str">
        <f ca="1">IFERROR(__xludf.DUMMYFUNCTION("""COMPUTED_VALUE"""),"一對一變頻冷暖")</f>
        <v>一對一變頻冷暖</v>
      </c>
      <c r="O617" s="12" t="str">
        <f ca="1">IFERROR(__xludf.DUMMYFUNCTION("""COMPUTED_VALUE"""),"白")</f>
        <v>白</v>
      </c>
      <c r="P617" s="12" t="str">
        <f ca="1">IFERROR(__xludf.DUMMYFUNCTION("""COMPUTED_VALUE"""),"7-9坪")</f>
        <v>7-9坪</v>
      </c>
      <c r="Q617" s="12" t="str">
        <f ca="1">IFERROR(__xludf.DUMMYFUNCTION("""COMPUTED_VALUE"""),"室外機:555*785*300mm 室內機:294*881*194mm")</f>
        <v>室外機:555*785*300mm 室內機:294*881*194mm</v>
      </c>
      <c r="R617" s="12" t="str">
        <f ca="1">IFERROR(__xludf.DUMMYFUNCTION("""COMPUTED_VALUE"""),"台灣")</f>
        <v>台灣</v>
      </c>
      <c r="S617" s="12" t="str">
        <f ca="1">IFERROR(__xludf.DUMMYFUNCTION("""COMPUTED_VALUE"""),"V")</f>
        <v>V</v>
      </c>
      <c r="T617" s="12" t="str">
        <f ca="1">IFERROR(__xludf.DUMMYFUNCTION("""COMPUTED_VALUE"""),"1級能效")</f>
        <v>1級能效</v>
      </c>
      <c r="U617" s="22" t="str">
        <f ca="1">IFERROR(__xludf.DUMMYFUNCTION("""COMPUTED_VALUE"""),"7年(須上網登錄)")</f>
        <v>7年(須上網登錄)</v>
      </c>
      <c r="V617" s="12" t="str">
        <f ca="1">IFERROR(__xludf.DUMMYFUNCTION("""COMPUTED_VALUE"""),"10年(須上網登錄)")</f>
        <v>10年(須上網登錄)</v>
      </c>
      <c r="W617" s="12"/>
      <c r="X617" s="12" t="str">
        <f ca="1">IFERROR(__xludf.DUMMYFUNCTION("""COMPUTED_VALUE"""),"(1/9-2/28)中華獨家每台現折2600元")</f>
        <v>(1/9-2/28)中華獨家每台現折2600元</v>
      </c>
      <c r="Y617" s="12">
        <f ca="1">IFERROR(__xludf.DUMMYFUNCTION("""COMPUTED_VALUE"""),4.1)</f>
        <v>4.0999999999999996</v>
      </c>
      <c r="Z617" s="14" t="str">
        <f ca="1">IFERROR(__xludf.DUMMYFUNCTION("""COMPUTED_VALUE"""),"2000")</f>
        <v>2000</v>
      </c>
      <c r="AA617" s="15" t="str">
        <f ca="1">IFERROR(__xludf.DUMMYFUNCTION("""COMPUTED_VALUE"""),"*內外機燦金防鏽*關機自動防霉*基板防潮*基板防蟲")</f>
        <v>*內外機燦金防鏽*關機自動防霉*基板防潮*基板防蟲</v>
      </c>
    </row>
    <row r="618" spans="1:27" ht="19.5" customHeight="1">
      <c r="A618" s="12" t="str">
        <f ca="1">IFERROR(__xludf.DUMMYFUNCTION("""COMPUTED_VALUE"""),"空調")</f>
        <v>空調</v>
      </c>
      <c r="B618" s="12" t="str">
        <f ca="1">IFERROR(__xludf.DUMMYFUNCTION("""COMPUTED_VALUE"""),"安悅")</f>
        <v>安悅</v>
      </c>
      <c r="C618" s="12" t="str">
        <f ca="1">IFERROR(__xludf.DUMMYFUNCTION("""COMPUTED_VALUE"""),"東元")</f>
        <v>東元</v>
      </c>
      <c r="D618" s="12" t="str">
        <f ca="1">IFERROR(__xludf.DUMMYFUNCTION("""COMPUTED_VALUE"""),"東元8-10坪R32一對一變頻冷暖空調MS50IH-ZRS2/MA50IH-ZRS2")</f>
        <v>東元8-10坪R32一對一變頻冷暖空調MS50IH-ZRS2/MA50IH-ZRS2</v>
      </c>
      <c r="E618" s="12" t="str">
        <f ca="1">IFERROR(__xludf.DUMMYFUNCTION("""COMPUTED_VALUE"""),"MA50IH-ZRS2/MS50IH-ZRS2")</f>
        <v>MA50IH-ZRS2/MS50IH-ZRS2</v>
      </c>
      <c r="F618" s="12">
        <f ca="1">IFERROR(__xludf.DUMMYFUNCTION("""COMPUTED_VALUE"""),51082264)</f>
        <v>51082264</v>
      </c>
      <c r="G618" s="12" t="str">
        <f ca="1">IFERROR(__xludf.DUMMYFUNCTION("""COMPUTED_VALUE"""),"IGEM080M")</f>
        <v>IGEM080M</v>
      </c>
      <c r="H618" s="13">
        <f ca="1">IFERROR(__xludf.DUMMYFUNCTION("""COMPUTED_VALUE"""),42900)</f>
        <v>42900</v>
      </c>
      <c r="I618" s="14">
        <f ca="1">IFERROR(__xludf.DUMMYFUNCTION("""COMPUTED_VALUE"""),31050)</f>
        <v>31050</v>
      </c>
      <c r="J618" s="16">
        <f ca="1">IFERROR(__xludf.DUMMYFUNCTION("""COMPUTED_VALUE"""),45666)</f>
        <v>45666</v>
      </c>
      <c r="K618" s="12" t="str">
        <f ca="1">IFERROR(__xludf.DUMMYFUNCTION("""COMPUTED_VALUE"""),"短促")</f>
        <v>短促</v>
      </c>
      <c r="L618" s="12" t="str">
        <f ca="1">IFERROR(__xludf.DUMMYFUNCTION("""COMPUTED_VALUE"""),"上架中")</f>
        <v>上架中</v>
      </c>
      <c r="M618" s="12" t="str">
        <f ca="1">IFERROR(__xludf.DUMMYFUNCTION("""COMPUTED_VALUE"""),"2025/1/9-2/28短促、11/2回價、2024/4/1-8/31短促現折、8/1-10/31短促現折2300元、2023/5/1回價、2023/4/1新機上市")</f>
        <v>2025/1/9-2/28短促、11/2回價、2024/4/1-8/31短促現折、8/1-10/31短促現折2300元、2023/5/1回價、2023/4/1新機上市</v>
      </c>
      <c r="N618" s="12" t="str">
        <f ca="1">IFERROR(__xludf.DUMMYFUNCTION("""COMPUTED_VALUE"""),"一對一變頻冷暖")</f>
        <v>一對一變頻冷暖</v>
      </c>
      <c r="O618" s="12" t="str">
        <f ca="1">IFERROR(__xludf.DUMMYFUNCTION("""COMPUTED_VALUE"""),"白")</f>
        <v>白</v>
      </c>
      <c r="P618" s="12" t="str">
        <f ca="1">IFERROR(__xludf.DUMMYFUNCTION("""COMPUTED_VALUE"""),"8-10坪")</f>
        <v>8-10坪</v>
      </c>
      <c r="Q618" s="12" t="str">
        <f ca="1">IFERROR(__xludf.DUMMYFUNCTION("""COMPUTED_VALUE"""),"室外機:555*785*300mm 室內機:316*997*227mm")</f>
        <v>室外機:555*785*300mm 室內機:316*997*227mm</v>
      </c>
      <c r="R618" s="12" t="str">
        <f ca="1">IFERROR(__xludf.DUMMYFUNCTION("""COMPUTED_VALUE"""),"台灣")</f>
        <v>台灣</v>
      </c>
      <c r="S618" s="12" t="str">
        <f ca="1">IFERROR(__xludf.DUMMYFUNCTION("""COMPUTED_VALUE"""),"V")</f>
        <v>V</v>
      </c>
      <c r="T618" s="12" t="str">
        <f ca="1">IFERROR(__xludf.DUMMYFUNCTION("""COMPUTED_VALUE"""),"1級能效")</f>
        <v>1級能效</v>
      </c>
      <c r="U618" s="22" t="str">
        <f ca="1">IFERROR(__xludf.DUMMYFUNCTION("""COMPUTED_VALUE"""),"7年(須上網登錄)")</f>
        <v>7年(須上網登錄)</v>
      </c>
      <c r="V618" s="12" t="str">
        <f ca="1">IFERROR(__xludf.DUMMYFUNCTION("""COMPUTED_VALUE"""),"10年(須上網登錄)")</f>
        <v>10年(須上網登錄)</v>
      </c>
      <c r="W618" s="12"/>
      <c r="X618" s="12" t="str">
        <f ca="1">IFERROR(__xludf.DUMMYFUNCTION("""COMPUTED_VALUE"""),"(1/9-2/28)中華獨家每台現折2900元")</f>
        <v>(1/9-2/28)中華獨家每台現折2900元</v>
      </c>
      <c r="Y618" s="12">
        <f ca="1">IFERROR(__xludf.DUMMYFUNCTION("""COMPUTED_VALUE"""),5.2)</f>
        <v>5.2</v>
      </c>
      <c r="Z618" s="14" t="str">
        <f ca="1">IFERROR(__xludf.DUMMYFUNCTION("""COMPUTED_VALUE"""),"2000")</f>
        <v>2000</v>
      </c>
      <c r="AA618" s="15" t="str">
        <f ca="1">IFERROR(__xludf.DUMMYFUNCTION("""COMPUTED_VALUE"""),"*內外機燦金防鏽*關機自動防霉*基板防潮*基板防蟲")</f>
        <v>*內外機燦金防鏽*關機自動防霉*基板防潮*基板防蟲</v>
      </c>
    </row>
    <row r="619" spans="1:27" ht="19.5" customHeight="1">
      <c r="A619" s="12" t="str">
        <f ca="1">IFERROR(__xludf.DUMMYFUNCTION("""COMPUTED_VALUE"""),"空調")</f>
        <v>空調</v>
      </c>
      <c r="B619" s="12" t="str">
        <f ca="1">IFERROR(__xludf.DUMMYFUNCTION("""COMPUTED_VALUE"""),"安悅")</f>
        <v>安悅</v>
      </c>
      <c r="C619" s="12" t="str">
        <f ca="1">IFERROR(__xludf.DUMMYFUNCTION("""COMPUTED_VALUE"""),"東元")</f>
        <v>東元</v>
      </c>
      <c r="D619" s="12" t="str">
        <f ca="1">IFERROR(__xludf.DUMMYFUNCTION("""COMPUTED_VALUE"""),"東元11-13坪R32一對一變頻冷暖空調MS63IH-ZRS2/MA63IH-ZRS2")</f>
        <v>東元11-13坪R32一對一變頻冷暖空調MS63IH-ZRS2/MA63IH-ZRS2</v>
      </c>
      <c r="E619" s="12" t="str">
        <f ca="1">IFERROR(__xludf.DUMMYFUNCTION("""COMPUTED_VALUE"""),"MA63IH-ZRS2/MS63IH-ZRS2")</f>
        <v>MA63IH-ZRS2/MS63IH-ZRS2</v>
      </c>
      <c r="F619" s="12">
        <f ca="1">IFERROR(__xludf.DUMMYFUNCTION("""COMPUTED_VALUE"""),51082266)</f>
        <v>51082266</v>
      </c>
      <c r="G619" s="12" t="str">
        <f ca="1">IFERROR(__xludf.DUMMYFUNCTION("""COMPUTED_VALUE"""),"IGEM081B")</f>
        <v>IGEM081B</v>
      </c>
      <c r="H619" s="13">
        <f ca="1">IFERROR(__xludf.DUMMYFUNCTION("""COMPUTED_VALUE"""),50900)</f>
        <v>50900</v>
      </c>
      <c r="I619" s="14">
        <f ca="1">IFERROR(__xludf.DUMMYFUNCTION("""COMPUTED_VALUE"""),38400)</f>
        <v>38400</v>
      </c>
      <c r="J619" s="16">
        <f ca="1">IFERROR(__xludf.DUMMYFUNCTION("""COMPUTED_VALUE"""),45666)</f>
        <v>45666</v>
      </c>
      <c r="K619" s="12" t="str">
        <f ca="1">IFERROR(__xludf.DUMMYFUNCTION("""COMPUTED_VALUE"""),"短促")</f>
        <v>短促</v>
      </c>
      <c r="L619" s="12" t="str">
        <f ca="1">IFERROR(__xludf.DUMMYFUNCTION("""COMPUTED_VALUE"""),"上架中")</f>
        <v>上架中</v>
      </c>
      <c r="M619" s="12" t="str">
        <f ca="1">IFERROR(__xludf.DUMMYFUNCTION("""COMPUTED_VALUE"""),"2025/1/9-2/28短促、11/2回價、2024/4/1-8/31短促現折、8/1-10/31短促現折1990元、2023/5/1回價、2023/4/19新機上架")</f>
        <v>2025/1/9-2/28短促、11/2回價、2024/4/1-8/31短促現折、8/1-10/31短促現折1990元、2023/5/1回價、2023/4/19新機上架</v>
      </c>
      <c r="N619" s="12" t="str">
        <f ca="1">IFERROR(__xludf.DUMMYFUNCTION("""COMPUTED_VALUE"""),"一對一變頻冷暖")</f>
        <v>一對一變頻冷暖</v>
      </c>
      <c r="O619" s="12" t="str">
        <f ca="1">IFERROR(__xludf.DUMMYFUNCTION("""COMPUTED_VALUE"""),"白")</f>
        <v>白</v>
      </c>
      <c r="P619" s="12" t="str">
        <f ca="1">IFERROR(__xludf.DUMMYFUNCTION("""COMPUTED_VALUE"""),"11-13坪")</f>
        <v>11-13坪</v>
      </c>
      <c r="Q619" s="12" t="str">
        <f ca="1">IFERROR(__xludf.DUMMYFUNCTION("""COMPUTED_VALUE"""),"室外機:700*900*350mm 室內機:330*1132*232mm")</f>
        <v>室外機:700*900*350mm 室內機:330*1132*232mm</v>
      </c>
      <c r="R619" s="12" t="str">
        <f ca="1">IFERROR(__xludf.DUMMYFUNCTION("""COMPUTED_VALUE"""),"台灣")</f>
        <v>台灣</v>
      </c>
      <c r="S619" s="12" t="str">
        <f ca="1">IFERROR(__xludf.DUMMYFUNCTION("""COMPUTED_VALUE"""),"V")</f>
        <v>V</v>
      </c>
      <c r="T619" s="12" t="str">
        <f ca="1">IFERROR(__xludf.DUMMYFUNCTION("""COMPUTED_VALUE"""),"1級能效")</f>
        <v>1級能效</v>
      </c>
      <c r="U619" s="22" t="str">
        <f ca="1">IFERROR(__xludf.DUMMYFUNCTION("""COMPUTED_VALUE"""),"7年(須上網登錄)")</f>
        <v>7年(須上網登錄)</v>
      </c>
      <c r="V619" s="12" t="str">
        <f ca="1">IFERROR(__xludf.DUMMYFUNCTION("""COMPUTED_VALUE"""),"10年(須上網登錄)")</f>
        <v>10年(須上網登錄)</v>
      </c>
      <c r="W619" s="12"/>
      <c r="X619" s="12" t="str">
        <f ca="1">IFERROR(__xludf.DUMMYFUNCTION("""COMPUTED_VALUE"""),"(1/9-2/28)中華獨家每台現折2590元")</f>
        <v>(1/9-2/28)中華獨家每台現折2590元</v>
      </c>
      <c r="Y619" s="12">
        <f ca="1">IFERROR(__xludf.DUMMYFUNCTION("""COMPUTED_VALUE"""),6.3)</f>
        <v>6.3</v>
      </c>
      <c r="Z619" s="14" t="str">
        <f ca="1">IFERROR(__xludf.DUMMYFUNCTION("""COMPUTED_VALUE"""),"2000")</f>
        <v>2000</v>
      </c>
      <c r="AA619" s="15" t="str">
        <f ca="1">IFERROR(__xludf.DUMMYFUNCTION("""COMPUTED_VALUE"""),"*內外機燦金防鏽*關機自動防霉*基板防潮*基板防蟲")</f>
        <v>*內外機燦金防鏽*關機自動防霉*基板防潮*基板防蟲</v>
      </c>
    </row>
    <row r="620" spans="1:27" ht="19.5" customHeight="1">
      <c r="A620" s="12" t="str">
        <f ca="1">IFERROR(__xludf.DUMMYFUNCTION("""COMPUTED_VALUE"""),"空調")</f>
        <v>空調</v>
      </c>
      <c r="B620" s="12" t="str">
        <f ca="1">IFERROR(__xludf.DUMMYFUNCTION("""COMPUTED_VALUE"""),"安悅")</f>
        <v>安悅</v>
      </c>
      <c r="C620" s="12" t="str">
        <f ca="1">IFERROR(__xludf.DUMMYFUNCTION("""COMPUTED_VALUE"""),"東元")</f>
        <v>東元</v>
      </c>
      <c r="D620" s="12" t="str">
        <f ca="1">IFERROR(__xludf.DUMMYFUNCTION("""COMPUTED_VALUE"""),"東元13-15坪R32一對一變頻冷暖空調MS72IH-ZRS2/MA72IH-ZRS2")</f>
        <v>東元13-15坪R32一對一變頻冷暖空調MS72IH-ZRS2/MA72IH-ZRS2</v>
      </c>
      <c r="E620" s="12" t="str">
        <f ca="1">IFERROR(__xludf.DUMMYFUNCTION("""COMPUTED_VALUE"""),"MA72IH-ZRS2/MS72IH-ZRS2")</f>
        <v>MA72IH-ZRS2/MS72IH-ZRS2</v>
      </c>
      <c r="F620" s="12">
        <f ca="1">IFERROR(__xludf.DUMMYFUNCTION("""COMPUTED_VALUE"""),51082267)</f>
        <v>51082267</v>
      </c>
      <c r="G620" s="12" t="str">
        <f ca="1">IFERROR(__xludf.DUMMYFUNCTION("""COMPUTED_VALUE"""),"IGEM081C")</f>
        <v>IGEM081C</v>
      </c>
      <c r="H620" s="13">
        <f ca="1">IFERROR(__xludf.DUMMYFUNCTION("""COMPUTED_VALUE"""),55900)</f>
        <v>55900</v>
      </c>
      <c r="I620" s="14">
        <f ca="1">IFERROR(__xludf.DUMMYFUNCTION("""COMPUTED_VALUE"""),42200)</f>
        <v>42200</v>
      </c>
      <c r="J620" s="16">
        <f ca="1">IFERROR(__xludf.DUMMYFUNCTION("""COMPUTED_VALUE"""),45666)</f>
        <v>45666</v>
      </c>
      <c r="K620" s="12" t="str">
        <f ca="1">IFERROR(__xludf.DUMMYFUNCTION("""COMPUTED_VALUE"""),"短促")</f>
        <v>短促</v>
      </c>
      <c r="L620" s="12" t="str">
        <f ca="1">IFERROR(__xludf.DUMMYFUNCTION("""COMPUTED_VALUE"""),"上架中")</f>
        <v>上架中</v>
      </c>
      <c r="M620" s="12" t="str">
        <f ca="1">IFERROR(__xludf.DUMMYFUNCTION("""COMPUTED_VALUE"""),"2025/1/9-2/28短促、11/2回價、2024/4/1-8/31短促現折、8/1-10/31短促現折1700元、2023/5/1回價、2023/4/19新機上架")</f>
        <v>2025/1/9-2/28短促、11/2回價、2024/4/1-8/31短促現折、8/1-10/31短促現折1700元、2023/5/1回價、2023/4/19新機上架</v>
      </c>
      <c r="N620" s="12" t="str">
        <f ca="1">IFERROR(__xludf.DUMMYFUNCTION("""COMPUTED_VALUE"""),"一對一變頻冷暖")</f>
        <v>一對一變頻冷暖</v>
      </c>
      <c r="O620" s="12" t="str">
        <f ca="1">IFERROR(__xludf.DUMMYFUNCTION("""COMPUTED_VALUE"""),"白")</f>
        <v>白</v>
      </c>
      <c r="P620" s="12" t="str">
        <f ca="1">IFERROR(__xludf.DUMMYFUNCTION("""COMPUTED_VALUE"""),"13-15坪")</f>
        <v>13-15坪</v>
      </c>
      <c r="Q620" s="12" t="str">
        <f ca="1">IFERROR(__xludf.DUMMYFUNCTION("""COMPUTED_VALUE"""),"室外機:700*900*350mm 室內機:330*1132*232mm")</f>
        <v>室外機:700*900*350mm 室內機:330*1132*232mm</v>
      </c>
      <c r="R620" s="12" t="str">
        <f ca="1">IFERROR(__xludf.DUMMYFUNCTION("""COMPUTED_VALUE"""),"台灣")</f>
        <v>台灣</v>
      </c>
      <c r="S620" s="12" t="str">
        <f ca="1">IFERROR(__xludf.DUMMYFUNCTION("""COMPUTED_VALUE"""),"V")</f>
        <v>V</v>
      </c>
      <c r="T620" s="12" t="str">
        <f ca="1">IFERROR(__xludf.DUMMYFUNCTION("""COMPUTED_VALUE"""),"1級能效")</f>
        <v>1級能效</v>
      </c>
      <c r="U620" s="22" t="str">
        <f ca="1">IFERROR(__xludf.DUMMYFUNCTION("""COMPUTED_VALUE"""),"7年(須上網登錄)")</f>
        <v>7年(須上網登錄)</v>
      </c>
      <c r="V620" s="12" t="str">
        <f ca="1">IFERROR(__xludf.DUMMYFUNCTION("""COMPUTED_VALUE"""),"10年(須上網登錄)")</f>
        <v>10年(須上網登錄)</v>
      </c>
      <c r="W620" s="12"/>
      <c r="X620" s="12" t="str">
        <f ca="1">IFERROR(__xludf.DUMMYFUNCTION("""COMPUTED_VALUE"""),"(1/9-2/28)中華獨家每台現折2500元")</f>
        <v>(1/9-2/28)中華獨家每台現折2500元</v>
      </c>
      <c r="Y620" s="12">
        <f ca="1">IFERROR(__xludf.DUMMYFUNCTION("""COMPUTED_VALUE"""),7.3)</f>
        <v>7.3</v>
      </c>
      <c r="Z620" s="14" t="str">
        <f ca="1">IFERROR(__xludf.DUMMYFUNCTION("""COMPUTED_VALUE"""),"2000")</f>
        <v>2000</v>
      </c>
      <c r="AA620" s="15" t="str">
        <f ca="1">IFERROR(__xludf.DUMMYFUNCTION("""COMPUTED_VALUE"""),"*內外機燦金防鏽*關機自動防霉*基板防潮*基板防蟲")</f>
        <v>*內外機燦金防鏽*關機自動防霉*基板防潮*基板防蟲</v>
      </c>
    </row>
    <row r="621" spans="1:27" ht="19.5" customHeight="1">
      <c r="A621" s="12" t="str">
        <f ca="1">IFERROR(__xludf.DUMMYFUNCTION("""COMPUTED_VALUE"""),"空調")</f>
        <v>空調</v>
      </c>
      <c r="B621" s="12" t="str">
        <f ca="1">IFERROR(__xludf.DUMMYFUNCTION("""COMPUTED_VALUE"""),"安悅")</f>
        <v>安悅</v>
      </c>
      <c r="C621" s="12" t="str">
        <f ca="1">IFERROR(__xludf.DUMMYFUNCTION("""COMPUTED_VALUE"""),"東元")</f>
        <v>東元</v>
      </c>
      <c r="D621" s="12" t="str">
        <f ca="1">IFERROR(__xludf.DUMMYFUNCTION("""COMPUTED_VALUE"""),"東元15-17坪R32一對一變頻冷暖空調MS80IH-ZRS2/MA80IH-ZRS2")</f>
        <v>東元15-17坪R32一對一變頻冷暖空調MS80IH-ZRS2/MA80IH-ZRS2</v>
      </c>
      <c r="E621" s="12" t="str">
        <f ca="1">IFERROR(__xludf.DUMMYFUNCTION("""COMPUTED_VALUE"""),"MA80IH-ZRS2/MS80IH-ZRS2")</f>
        <v>MA80IH-ZRS2/MS80IH-ZRS2</v>
      </c>
      <c r="F621" s="12">
        <f ca="1">IFERROR(__xludf.DUMMYFUNCTION("""COMPUTED_VALUE"""),51082268)</f>
        <v>51082268</v>
      </c>
      <c r="G621" s="12" t="str">
        <f ca="1">IFERROR(__xludf.DUMMYFUNCTION("""COMPUTED_VALUE"""),"IGEM081D")</f>
        <v>IGEM081D</v>
      </c>
      <c r="H621" s="13">
        <f ca="1">IFERROR(__xludf.DUMMYFUNCTION("""COMPUTED_VALUE"""),67900)</f>
        <v>67900</v>
      </c>
      <c r="I621" s="14">
        <f ca="1">IFERROR(__xludf.DUMMYFUNCTION("""COMPUTED_VALUE"""),49800)</f>
        <v>49800</v>
      </c>
      <c r="J621" s="16">
        <f ca="1">IFERROR(__xludf.DUMMYFUNCTION("""COMPUTED_VALUE"""),45666)</f>
        <v>45666</v>
      </c>
      <c r="K621" s="12" t="str">
        <f ca="1">IFERROR(__xludf.DUMMYFUNCTION("""COMPUTED_VALUE"""),"短促")</f>
        <v>短促</v>
      </c>
      <c r="L621" s="12" t="str">
        <f ca="1">IFERROR(__xludf.DUMMYFUNCTION("""COMPUTED_VALUE"""),"上架中")</f>
        <v>上架中</v>
      </c>
      <c r="M621" s="12" t="str">
        <f ca="1">IFERROR(__xludf.DUMMYFUNCTION("""COMPUTED_VALUE"""),"2025/1/9-2/28短促、11/2回價、2024/4/1-8/31短促現折且7/24再降、8/1-10/31短促現折2000元、2023/5/1回價、2023/4/19新機上架")</f>
        <v>2025/1/9-2/28短促、11/2回價、2024/4/1-8/31短促現折且7/24再降、8/1-10/31短促現折2000元、2023/5/1回價、2023/4/19新機上架</v>
      </c>
      <c r="N621" s="12" t="str">
        <f ca="1">IFERROR(__xludf.DUMMYFUNCTION("""COMPUTED_VALUE"""),"一對一變頻冷暖")</f>
        <v>一對一變頻冷暖</v>
      </c>
      <c r="O621" s="12" t="str">
        <f ca="1">IFERROR(__xludf.DUMMYFUNCTION("""COMPUTED_VALUE"""),"白")</f>
        <v>白</v>
      </c>
      <c r="P621" s="12" t="str">
        <f ca="1">IFERROR(__xludf.DUMMYFUNCTION("""COMPUTED_VALUE"""),"15-17坪")</f>
        <v>15-17坪</v>
      </c>
      <c r="Q621" s="12" t="str">
        <f ca="1">IFERROR(__xludf.DUMMYFUNCTION("""COMPUTED_VALUE"""),"室外機:700*900*350mm 室內機:330*1132*232mm")</f>
        <v>室外機:700*900*350mm 室內機:330*1132*232mm</v>
      </c>
      <c r="R621" s="12" t="str">
        <f ca="1">IFERROR(__xludf.DUMMYFUNCTION("""COMPUTED_VALUE"""),"台灣")</f>
        <v>台灣</v>
      </c>
      <c r="S621" s="12" t="str">
        <f ca="1">IFERROR(__xludf.DUMMYFUNCTION("""COMPUTED_VALUE"""),"V")</f>
        <v>V</v>
      </c>
      <c r="T621" s="12" t="str">
        <f ca="1">IFERROR(__xludf.DUMMYFUNCTION("""COMPUTED_VALUE"""),"1級能效")</f>
        <v>1級能效</v>
      </c>
      <c r="U621" s="22" t="str">
        <f ca="1">IFERROR(__xludf.DUMMYFUNCTION("""COMPUTED_VALUE"""),"7年(須上網登錄)")</f>
        <v>7年(須上網登錄)</v>
      </c>
      <c r="V621" s="12" t="str">
        <f ca="1">IFERROR(__xludf.DUMMYFUNCTION("""COMPUTED_VALUE"""),"10年(須上網登錄)")</f>
        <v>10年(須上網登錄)</v>
      </c>
      <c r="W621" s="12"/>
      <c r="X621" s="12" t="str">
        <f ca="1">IFERROR(__xludf.DUMMYFUNCTION("""COMPUTED_VALUE"""),"(1/9-2/28)中華獨家每台現折3000元")</f>
        <v>(1/9-2/28)中華獨家每台現折3000元</v>
      </c>
      <c r="Y621" s="12">
        <f ca="1">IFERROR(__xludf.DUMMYFUNCTION("""COMPUTED_VALUE"""),8)</f>
        <v>8</v>
      </c>
      <c r="Z621" s="14" t="str">
        <f ca="1">IFERROR(__xludf.DUMMYFUNCTION("""COMPUTED_VALUE"""),"2000")</f>
        <v>2000</v>
      </c>
      <c r="AA621" s="15" t="str">
        <f ca="1">IFERROR(__xludf.DUMMYFUNCTION("""COMPUTED_VALUE"""),"*內外機燦金防鏽*關機自動防霉*基板防潮*基板防蟲")</f>
        <v>*內外機燦金防鏽*關機自動防霉*基板防潮*基板防蟲</v>
      </c>
    </row>
    <row r="622" spans="1:27" ht="19.5" customHeight="1">
      <c r="A622" s="12" t="str">
        <f ca="1">IFERROR(__xludf.DUMMYFUNCTION("""COMPUTED_VALUE"""),"空調")</f>
        <v>空調</v>
      </c>
      <c r="B622" s="12" t="str">
        <f ca="1">IFERROR(__xludf.DUMMYFUNCTION("""COMPUTED_VALUE"""),"安悅")</f>
        <v>安悅</v>
      </c>
      <c r="C622" s="12" t="str">
        <f ca="1">IFERROR(__xludf.DUMMYFUNCTION("""COMPUTED_VALUE"""),"東元")</f>
        <v>東元</v>
      </c>
      <c r="D622" s="12" t="str">
        <f ca="1">IFERROR(__xludf.DUMMYFUNCTION("""COMPUTED_VALUE"""),"東元6-7坪R32精品系列一對一變頻冷暖空調MS/MA36IH-GA2")</f>
        <v>東元6-7坪R32精品系列一對一變頻冷暖空調MS/MA36IH-GA2</v>
      </c>
      <c r="E622" s="12" t="str">
        <f ca="1">IFERROR(__xludf.DUMMYFUNCTION("""COMPUTED_VALUE"""),"MS/MA36IH-GA2")</f>
        <v>MS/MA36IH-GA2</v>
      </c>
      <c r="F622" s="12">
        <f ca="1">IFERROR(__xludf.DUMMYFUNCTION("""COMPUTED_VALUE"""),51082275)</f>
        <v>51082275</v>
      </c>
      <c r="G622" s="12" t="str">
        <f ca="1">IFERROR(__xludf.DUMMYFUNCTION("""COMPUTED_VALUE"""),"IGEM084C")</f>
        <v>IGEM084C</v>
      </c>
      <c r="H622" s="13">
        <f ca="1">IFERROR(__xludf.DUMMYFUNCTION("""COMPUTED_VALUE"""),37900)</f>
        <v>37900</v>
      </c>
      <c r="I622" s="14">
        <f ca="1">IFERROR(__xludf.DUMMYFUNCTION("""COMPUTED_VALUE"""),28640)</f>
        <v>28640</v>
      </c>
      <c r="J622" s="16">
        <f ca="1">IFERROR(__xludf.DUMMYFUNCTION("""COMPUTED_VALUE"""),45658)</f>
        <v>45658</v>
      </c>
      <c r="K622" s="12" t="str">
        <f ca="1">IFERROR(__xludf.DUMMYFUNCTION("""COMPUTED_VALUE"""),"永久降價")</f>
        <v>永久降價</v>
      </c>
      <c r="L622" s="12" t="str">
        <f ca="1">IFERROR(__xludf.DUMMYFUNCTION("""COMPUTED_VALUE"""),"上架中")</f>
        <v>上架中</v>
      </c>
      <c r="M622" s="12" t="str">
        <f ca="1">IFERROR(__xludf.DUMMYFUNCTION("""COMPUTED_VALUE"""),"2025/1/1調降、2024/7/1-7/31短促、8/1-9/30短促、2023/6/1新機上架")</f>
        <v>2025/1/1調降、2024/7/1-7/31短促、8/1-9/30短促、2023/6/1新機上架</v>
      </c>
      <c r="N622" s="12" t="str">
        <f ca="1">IFERROR(__xludf.DUMMYFUNCTION("""COMPUTED_VALUE"""),"一對一變頻冷暖")</f>
        <v>一對一變頻冷暖</v>
      </c>
      <c r="O622" s="12" t="str">
        <f ca="1">IFERROR(__xludf.DUMMYFUNCTION("""COMPUTED_VALUE"""),"白")</f>
        <v>白</v>
      </c>
      <c r="P622" s="12" t="str">
        <f ca="1">IFERROR(__xludf.DUMMYFUNCTION("""COMPUTED_VALUE"""),"6-7坪")</f>
        <v>6-7坪</v>
      </c>
      <c r="Q622" s="12" t="str">
        <f ca="1">IFERROR(__xludf.DUMMYFUNCTION("""COMPUTED_VALUE"""),"室外機:555*785*300mm 室內機:294*881*194mm")</f>
        <v>室外機:555*785*300mm 室內機:294*881*194mm</v>
      </c>
      <c r="R622" s="12" t="str">
        <f ca="1">IFERROR(__xludf.DUMMYFUNCTION("""COMPUTED_VALUE"""),"台灣")</f>
        <v>台灣</v>
      </c>
      <c r="S622" s="12" t="str">
        <f ca="1">IFERROR(__xludf.DUMMYFUNCTION("""COMPUTED_VALUE"""),"V")</f>
        <v>V</v>
      </c>
      <c r="T622" s="12" t="str">
        <f ca="1">IFERROR(__xludf.DUMMYFUNCTION("""COMPUTED_VALUE"""),"1級能效")</f>
        <v>1級能效</v>
      </c>
      <c r="U622" s="22" t="str">
        <f ca="1">IFERROR(__xludf.DUMMYFUNCTION("""COMPUTED_VALUE"""),"7年(須上網登錄)")</f>
        <v>7年(須上網登錄)</v>
      </c>
      <c r="V622" s="12" t="str">
        <f ca="1">IFERROR(__xludf.DUMMYFUNCTION("""COMPUTED_VALUE"""),"10年(須上網登錄)")</f>
        <v>10年(須上網登錄)</v>
      </c>
      <c r="W622" s="12"/>
      <c r="X622" s="12"/>
      <c r="Y622" s="12">
        <f ca="1">IFERROR(__xludf.DUMMYFUNCTION("""COMPUTED_VALUE"""),3.6)</f>
        <v>3.6</v>
      </c>
      <c r="Z622" s="14" t="str">
        <f ca="1">IFERROR(__xludf.DUMMYFUNCTION("""COMPUTED_VALUE"""),"2000")</f>
        <v>2000</v>
      </c>
      <c r="AA622"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23" spans="1:27" ht="19.5" customHeight="1">
      <c r="A623" s="12" t="str">
        <f ca="1">IFERROR(__xludf.DUMMYFUNCTION("""COMPUTED_VALUE"""),"空調")</f>
        <v>空調</v>
      </c>
      <c r="B623" s="12" t="str">
        <f ca="1">IFERROR(__xludf.DUMMYFUNCTION("""COMPUTED_VALUE"""),"安悅")</f>
        <v>安悅</v>
      </c>
      <c r="C623" s="12" t="str">
        <f ca="1">IFERROR(__xludf.DUMMYFUNCTION("""COMPUTED_VALUE"""),"東元")</f>
        <v>東元</v>
      </c>
      <c r="D623" s="12" t="str">
        <f ca="1">IFERROR(__xludf.DUMMYFUNCTION("""COMPUTED_VALUE"""),"東元7-9坪R32精品系列一對一變頻冷暖空調MS/MA40IH-GA2")</f>
        <v>東元7-9坪R32精品系列一對一變頻冷暖空調MS/MA40IH-GA2</v>
      </c>
      <c r="E623" s="12" t="str">
        <f ca="1">IFERROR(__xludf.DUMMYFUNCTION("""COMPUTED_VALUE"""),"MS/MA40IH-GA2")</f>
        <v>MS/MA40IH-GA2</v>
      </c>
      <c r="F623" s="12">
        <f ca="1">IFERROR(__xludf.DUMMYFUNCTION("""COMPUTED_VALUE"""),51082276)</f>
        <v>51082276</v>
      </c>
      <c r="G623" s="12" t="str">
        <f ca="1">IFERROR(__xludf.DUMMYFUNCTION("""COMPUTED_VALUE"""),"IGEM084D")</f>
        <v>IGEM084D</v>
      </c>
      <c r="H623" s="13">
        <f ca="1">IFERROR(__xludf.DUMMYFUNCTION("""COMPUTED_VALUE"""),38900)</f>
        <v>38900</v>
      </c>
      <c r="I623" s="14">
        <f ca="1">IFERROR(__xludf.DUMMYFUNCTION("""COMPUTED_VALUE"""),29865)</f>
        <v>29865</v>
      </c>
      <c r="J623" s="16">
        <f ca="1">IFERROR(__xludf.DUMMYFUNCTION("""COMPUTED_VALUE"""),45693)</f>
        <v>45693</v>
      </c>
      <c r="K623" s="12" t="str">
        <f ca="1">IFERROR(__xludf.DUMMYFUNCTION("""COMPUTED_VALUE"""),"到貨")</f>
        <v>到貨</v>
      </c>
      <c r="L623" s="12" t="str">
        <f ca="1">IFERROR(__xludf.DUMMYFUNCTION("""COMPUTED_VALUE"""),"專案")</f>
        <v>專案</v>
      </c>
      <c r="M623" s="12" t="str">
        <f ca="1">IFERROR(__xludf.DUMMYFUNCTION("""COMPUTED_VALUE"""),"（2025/2/4尚餘個位數，請先去電詢問貨況）2024/7/31停產、2024/7/1-7/31短促、8/1-9/30短促、2023/6/1新機上架")</f>
        <v>（2025/2/4尚餘個位數，請先去電詢問貨況）2024/7/31停產、2024/7/1-7/31短促、8/1-9/30短促、2023/6/1新機上架</v>
      </c>
      <c r="N623" s="12" t="str">
        <f ca="1">IFERROR(__xludf.DUMMYFUNCTION("""COMPUTED_VALUE"""),"一對一變頻冷暖")</f>
        <v>一對一變頻冷暖</v>
      </c>
      <c r="O623" s="12" t="str">
        <f ca="1">IFERROR(__xludf.DUMMYFUNCTION("""COMPUTED_VALUE"""),"白")</f>
        <v>白</v>
      </c>
      <c r="P623" s="12" t="str">
        <f ca="1">IFERROR(__xludf.DUMMYFUNCTION("""COMPUTED_VALUE"""),"7-9坪")</f>
        <v>7-9坪</v>
      </c>
      <c r="Q623" s="12" t="str">
        <f ca="1">IFERROR(__xludf.DUMMYFUNCTION("""COMPUTED_VALUE"""),"室外機:555*785*300mm 室內機:294*881*194mm")</f>
        <v>室外機:555*785*300mm 室內機:294*881*194mm</v>
      </c>
      <c r="R623" s="12" t="str">
        <f ca="1">IFERROR(__xludf.DUMMYFUNCTION("""COMPUTED_VALUE"""),"台灣")</f>
        <v>台灣</v>
      </c>
      <c r="S623" s="12" t="str">
        <f ca="1">IFERROR(__xludf.DUMMYFUNCTION("""COMPUTED_VALUE"""),"V")</f>
        <v>V</v>
      </c>
      <c r="T623" s="12" t="str">
        <f ca="1">IFERROR(__xludf.DUMMYFUNCTION("""COMPUTED_VALUE"""),"1級能效")</f>
        <v>1級能效</v>
      </c>
      <c r="U623" s="22" t="str">
        <f ca="1">IFERROR(__xludf.DUMMYFUNCTION("""COMPUTED_VALUE"""),"7年(須上網登錄)")</f>
        <v>7年(須上網登錄)</v>
      </c>
      <c r="V623" s="12" t="str">
        <f ca="1">IFERROR(__xludf.DUMMYFUNCTION("""COMPUTED_VALUE"""),"10年(須上網登錄)")</f>
        <v>10年(須上網登錄)</v>
      </c>
      <c r="W623" s="12"/>
      <c r="X623" s="12"/>
      <c r="Y623" s="12">
        <f ca="1">IFERROR(__xludf.DUMMYFUNCTION("""COMPUTED_VALUE"""),4.1)</f>
        <v>4.0999999999999996</v>
      </c>
      <c r="Z623" s="14" t="str">
        <f ca="1">IFERROR(__xludf.DUMMYFUNCTION("""COMPUTED_VALUE"""),"2000")</f>
        <v>2000</v>
      </c>
      <c r="AA623"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24" spans="1:27" ht="19.5" customHeight="1">
      <c r="A624" s="12" t="str">
        <f ca="1">IFERROR(__xludf.DUMMYFUNCTION("""COMPUTED_VALUE"""),"空調")</f>
        <v>空調</v>
      </c>
      <c r="B624" s="12" t="str">
        <f ca="1">IFERROR(__xludf.DUMMYFUNCTION("""COMPUTED_VALUE"""),"安悅")</f>
        <v>安悅</v>
      </c>
      <c r="C624" s="12" t="str">
        <f ca="1">IFERROR(__xludf.DUMMYFUNCTION("""COMPUTED_VALUE"""),"東元")</f>
        <v>東元</v>
      </c>
      <c r="D624" s="12" t="str">
        <f ca="1">IFERROR(__xludf.DUMMYFUNCTION("""COMPUTED_VALUE"""),"東元8-10坪R32精品系列一對一變頻冷暖空調MS/MA50IH-GA2")</f>
        <v>東元8-10坪R32精品系列一對一變頻冷暖空調MS/MA50IH-GA2</v>
      </c>
      <c r="E624" s="12" t="str">
        <f ca="1">IFERROR(__xludf.DUMMYFUNCTION("""COMPUTED_VALUE"""),"MS/MA50IH-GA2")</f>
        <v>MS/MA50IH-GA2</v>
      </c>
      <c r="F624" s="12">
        <f ca="1">IFERROR(__xludf.DUMMYFUNCTION("""COMPUTED_VALUE"""),51082277)</f>
        <v>51082277</v>
      </c>
      <c r="G624" s="12" t="str">
        <f ca="1">IFERROR(__xludf.DUMMYFUNCTION("""COMPUTED_VALUE"""),"IGEM084E")</f>
        <v>IGEM084E</v>
      </c>
      <c r="H624" s="13">
        <f ca="1">IFERROR(__xludf.DUMMYFUNCTION("""COMPUTED_VALUE"""),46900)</f>
        <v>46900</v>
      </c>
      <c r="I624" s="14">
        <f ca="1">IFERROR(__xludf.DUMMYFUNCTION("""COMPUTED_VALUE"""),34560)</f>
        <v>34560</v>
      </c>
      <c r="J624" s="16">
        <f ca="1">IFERROR(__xludf.DUMMYFUNCTION("""COMPUTED_VALUE"""),45658)</f>
        <v>45658</v>
      </c>
      <c r="K624" s="12" t="str">
        <f ca="1">IFERROR(__xludf.DUMMYFUNCTION("""COMPUTED_VALUE"""),"永久降價")</f>
        <v>永久降價</v>
      </c>
      <c r="L624" s="12" t="str">
        <f ca="1">IFERROR(__xludf.DUMMYFUNCTION("""COMPUTED_VALUE"""),"上架中")</f>
        <v>上架中</v>
      </c>
      <c r="M624" s="12" t="str">
        <f ca="1">IFERROR(__xludf.DUMMYFUNCTION("""COMPUTED_VALUE"""),"2025/1/1調降2024/7/1-7/31短促、2024/6/21恢復供貨、2/23缺貨")</f>
        <v>2025/1/1調降2024/7/1-7/31短促、2024/6/21恢復供貨、2/23缺貨</v>
      </c>
      <c r="N624" s="12" t="str">
        <f ca="1">IFERROR(__xludf.DUMMYFUNCTION("""COMPUTED_VALUE"""),"一對一變頻冷暖")</f>
        <v>一對一變頻冷暖</v>
      </c>
      <c r="O624" s="12" t="str">
        <f ca="1">IFERROR(__xludf.DUMMYFUNCTION("""COMPUTED_VALUE"""),"白")</f>
        <v>白</v>
      </c>
      <c r="P624" s="12" t="str">
        <f ca="1">IFERROR(__xludf.DUMMYFUNCTION("""COMPUTED_VALUE"""),"8-10坪")</f>
        <v>8-10坪</v>
      </c>
      <c r="Q624" s="12" t="str">
        <f ca="1">IFERROR(__xludf.DUMMYFUNCTION("""COMPUTED_VALUE"""),"室外機:555*785*300mm 室內機:316*997*227mm")</f>
        <v>室外機:555*785*300mm 室內機:316*997*227mm</v>
      </c>
      <c r="R624" s="12" t="str">
        <f ca="1">IFERROR(__xludf.DUMMYFUNCTION("""COMPUTED_VALUE"""),"台灣")</f>
        <v>台灣</v>
      </c>
      <c r="S624" s="12" t="str">
        <f ca="1">IFERROR(__xludf.DUMMYFUNCTION("""COMPUTED_VALUE"""),"V")</f>
        <v>V</v>
      </c>
      <c r="T624" s="12" t="str">
        <f ca="1">IFERROR(__xludf.DUMMYFUNCTION("""COMPUTED_VALUE"""),"1級能效")</f>
        <v>1級能效</v>
      </c>
      <c r="U624" s="22" t="str">
        <f ca="1">IFERROR(__xludf.DUMMYFUNCTION("""COMPUTED_VALUE"""),"7年(須上網登錄)")</f>
        <v>7年(須上網登錄)</v>
      </c>
      <c r="V624" s="12" t="str">
        <f ca="1">IFERROR(__xludf.DUMMYFUNCTION("""COMPUTED_VALUE"""),"10年(須上網登錄)")</f>
        <v>10年(須上網登錄)</v>
      </c>
      <c r="W624" s="12"/>
      <c r="X624" s="12"/>
      <c r="Y624" s="12">
        <f ca="1">IFERROR(__xludf.DUMMYFUNCTION("""COMPUTED_VALUE"""),5.2)</f>
        <v>5.2</v>
      </c>
      <c r="Z624" s="14" t="str">
        <f ca="1">IFERROR(__xludf.DUMMYFUNCTION("""COMPUTED_VALUE"""),"2000")</f>
        <v>2000</v>
      </c>
      <c r="AA624"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25" spans="1:27" ht="19.5" customHeight="1">
      <c r="A625" s="12" t="str">
        <f ca="1">IFERROR(__xludf.DUMMYFUNCTION("""COMPUTED_VALUE"""),"空調")</f>
        <v>空調</v>
      </c>
      <c r="B625" s="12" t="str">
        <f ca="1">IFERROR(__xludf.DUMMYFUNCTION("""COMPUTED_VALUE"""),"安悅")</f>
        <v>安悅</v>
      </c>
      <c r="C625" s="12" t="str">
        <f ca="1">IFERROR(__xludf.DUMMYFUNCTION("""COMPUTED_VALUE"""),"東元")</f>
        <v>東元</v>
      </c>
      <c r="D625" s="12" t="str">
        <f ca="1">IFERROR(__xludf.DUMMYFUNCTION("""COMPUTED_VALUE"""),"東元5-6坪變頻窗型冷專MW36ICR-HR")</f>
        <v>東元5-6坪變頻窗型冷專MW36ICR-HR</v>
      </c>
      <c r="E625" s="12" t="str">
        <f ca="1">IFERROR(__xludf.DUMMYFUNCTION("""COMPUTED_VALUE"""),"MW36ICR-HR")</f>
        <v>MW36ICR-HR</v>
      </c>
      <c r="F625" s="12">
        <f ca="1">IFERROR(__xludf.DUMMYFUNCTION("""COMPUTED_VALUE"""),51082166)</f>
        <v>51082166</v>
      </c>
      <c r="G625" s="12" t="str">
        <f ca="1">IFERROR(__xludf.DUMMYFUNCTION("""COMPUTED_VALUE"""),"IGEM01XK")</f>
        <v>IGEM01XK</v>
      </c>
      <c r="H625" s="12">
        <f ca="1">IFERROR(__xludf.DUMMYFUNCTION("""COMPUTED_VALUE"""),33900)</f>
        <v>33900</v>
      </c>
      <c r="I625" s="14">
        <f ca="1">IFERROR(__xludf.DUMMYFUNCTION("""COMPUTED_VALUE"""),26180)</f>
        <v>26180</v>
      </c>
      <c r="J625" s="16">
        <f ca="1">IFERROR(__xludf.DUMMYFUNCTION("""COMPUTED_VALUE"""),45664)</f>
        <v>45664</v>
      </c>
      <c r="K625" s="12" t="str">
        <f ca="1">IFERROR(__xludf.DUMMYFUNCTION("""COMPUTED_VALUE"""),"永久降價")</f>
        <v>永久降價</v>
      </c>
      <c r="L625" s="12" t="str">
        <f ca="1">IFERROR(__xludf.DUMMYFUNCTION("""COMPUTED_VALUE"""),"上架中")</f>
        <v>上架中</v>
      </c>
      <c r="M625" s="12" t="str">
        <f ca="1">IFERROR(__xludf.DUMMYFUNCTION("""COMPUTED_VALUE"""),"2025/1/7調降、7/31少量到貨，2023/5/30缺貨，預6/20到貨;2023/1/1回價，6/7到貨，6/2缺貨、2020/8/17上架")</f>
        <v>2025/1/7調降、7/31少量到貨，2023/5/30缺貨，預6/20到貨;2023/1/1回價，6/7到貨，6/2缺貨、2020/8/17上架</v>
      </c>
      <c r="N625" s="12" t="str">
        <f ca="1">IFERROR(__xludf.DUMMYFUNCTION("""COMPUTED_VALUE"""),"窗型變頻冷專")</f>
        <v>窗型變頻冷專</v>
      </c>
      <c r="O625" s="12" t="str">
        <f ca="1">IFERROR(__xludf.DUMMYFUNCTION("""COMPUTED_VALUE"""),"白色")</f>
        <v>白色</v>
      </c>
      <c r="P625" s="12" t="str">
        <f ca="1">IFERROR(__xludf.DUMMYFUNCTION("""COMPUTED_VALUE"""),"5-6坪")</f>
        <v>5-6坪</v>
      </c>
      <c r="Q625" s="23" t="str">
        <f ca="1">IFERROR(__xludf.DUMMYFUNCTION("""COMPUTED_VALUE"""),"428*660*700mm")</f>
        <v>428*660*700mm</v>
      </c>
      <c r="R625" s="12" t="str">
        <f ca="1">IFERROR(__xludf.DUMMYFUNCTION("""COMPUTED_VALUE"""),"台灣")</f>
        <v>台灣</v>
      </c>
      <c r="S625" s="12" t="str">
        <f ca="1">IFERROR(__xludf.DUMMYFUNCTION("""COMPUTED_VALUE"""),"V")</f>
        <v>V</v>
      </c>
      <c r="T625" s="12" t="str">
        <f ca="1">IFERROR(__xludf.DUMMYFUNCTION("""COMPUTED_VALUE"""),"1級能效")</f>
        <v>1級能效</v>
      </c>
      <c r="U625" s="22" t="str">
        <f ca="1">IFERROR(__xludf.DUMMYFUNCTION("""COMPUTED_VALUE"""),"7年")</f>
        <v>7年</v>
      </c>
      <c r="V625" s="12" t="str">
        <f ca="1">IFERROR(__xludf.DUMMYFUNCTION("""COMPUTED_VALUE"""),"10年")</f>
        <v>10年</v>
      </c>
      <c r="W625" s="12"/>
      <c r="X625" s="12"/>
      <c r="Y625" s="12">
        <f ca="1">IFERROR(__xludf.DUMMYFUNCTION("""COMPUTED_VALUE"""),3.6)</f>
        <v>3.6</v>
      </c>
      <c r="Z625" s="14" t="str">
        <f ca="1">IFERROR(__xludf.DUMMYFUNCTION("""COMPUTED_VALUE"""),"2000")</f>
        <v>2000</v>
      </c>
      <c r="AA625" s="15" t="str">
        <f ca="1">IFERROR(__xludf.DUMMYFUNCTION("""COMPUTED_VALUE"""),"*靜音除濕*換氣裝置*健康舒眠*LCD無線+面板觸控*清淨濾網*藍波防鏽*預約關機*室內溫度顯示")</f>
        <v>*靜音除濕*換氣裝置*健康舒眠*LCD無線+面板觸控*清淨濾網*藍波防鏽*預約關機*室內溫度顯示</v>
      </c>
    </row>
    <row r="626" spans="1:27" ht="19.5" customHeight="1">
      <c r="A626" s="12" t="str">
        <f ca="1">IFERROR(__xludf.DUMMYFUNCTION("""COMPUTED_VALUE"""),"空調")</f>
        <v>空調</v>
      </c>
      <c r="B626" s="12" t="str">
        <f ca="1">IFERROR(__xludf.DUMMYFUNCTION("""COMPUTED_VALUE"""),"安悅")</f>
        <v>安悅</v>
      </c>
      <c r="C626" s="12" t="str">
        <f ca="1">IFERROR(__xludf.DUMMYFUNCTION("""COMPUTED_VALUE"""),"東元")</f>
        <v>東元</v>
      </c>
      <c r="D626" s="12" t="str">
        <f ca="1">IFERROR(__xludf.DUMMYFUNCTION("""COMPUTED_VALUE"""),"東元6-8坪變頻窗型冷專MW40ICR-HR")</f>
        <v>東元6-8坪變頻窗型冷專MW40ICR-HR</v>
      </c>
      <c r="E626" s="12" t="str">
        <f ca="1">IFERROR(__xludf.DUMMYFUNCTION("""COMPUTED_VALUE"""),"MW40ICR-HR")</f>
        <v>MW40ICR-HR</v>
      </c>
      <c r="F626" s="12">
        <f ca="1">IFERROR(__xludf.DUMMYFUNCTION("""COMPUTED_VALUE"""),51082167)</f>
        <v>51082167</v>
      </c>
      <c r="G626" s="12" t="str">
        <f ca="1">IFERROR(__xludf.DUMMYFUNCTION("""COMPUTED_VALUE"""),"IGEM01XL")</f>
        <v>IGEM01XL</v>
      </c>
      <c r="H626" s="12">
        <f ca="1">IFERROR(__xludf.DUMMYFUNCTION("""COMPUTED_VALUE"""),38900)</f>
        <v>38900</v>
      </c>
      <c r="I626" s="14">
        <f ca="1">IFERROR(__xludf.DUMMYFUNCTION("""COMPUTED_VALUE"""),29500)</f>
        <v>29500</v>
      </c>
      <c r="J626" s="16">
        <f ca="1">IFERROR(__xludf.DUMMYFUNCTION("""COMPUTED_VALUE"""),45664)</f>
        <v>45664</v>
      </c>
      <c r="K626" s="12" t="str">
        <f ca="1">IFERROR(__xludf.DUMMYFUNCTION("""COMPUTED_VALUE"""),"永久降價")</f>
        <v>永久降價</v>
      </c>
      <c r="L626" s="12" t="str">
        <f ca="1">IFERROR(__xludf.DUMMYFUNCTION("""COMPUTED_VALUE"""),"上架中")</f>
        <v>上架中</v>
      </c>
      <c r="M626" s="12" t="str">
        <f ca="1">IFERROR(__xludf.DUMMYFUNCTION("""COMPUTED_VALUE"""),"2025/1/7調降、2021/7/2到貨，6/29缺貨，2020/8/17上架")</f>
        <v>2025/1/7調降、2021/7/2到貨，6/29缺貨，2020/8/17上架</v>
      </c>
      <c r="N626" s="12" t="str">
        <f ca="1">IFERROR(__xludf.DUMMYFUNCTION("""COMPUTED_VALUE"""),"窗型變頻冷專")</f>
        <v>窗型變頻冷專</v>
      </c>
      <c r="O626" s="12" t="str">
        <f ca="1">IFERROR(__xludf.DUMMYFUNCTION("""COMPUTED_VALUE"""),"白色")</f>
        <v>白色</v>
      </c>
      <c r="P626" s="12" t="str">
        <f ca="1">IFERROR(__xludf.DUMMYFUNCTION("""COMPUTED_VALUE"""),"6-8坪")</f>
        <v>6-8坪</v>
      </c>
      <c r="Q626" s="23" t="str">
        <f ca="1">IFERROR(__xludf.DUMMYFUNCTION("""COMPUTED_VALUE"""),"428*660*700mm")</f>
        <v>428*660*700mm</v>
      </c>
      <c r="R626" s="12" t="str">
        <f ca="1">IFERROR(__xludf.DUMMYFUNCTION("""COMPUTED_VALUE"""),"台灣")</f>
        <v>台灣</v>
      </c>
      <c r="S626" s="12" t="str">
        <f ca="1">IFERROR(__xludf.DUMMYFUNCTION("""COMPUTED_VALUE"""),"V")</f>
        <v>V</v>
      </c>
      <c r="T626" s="12" t="str">
        <f ca="1">IFERROR(__xludf.DUMMYFUNCTION("""COMPUTED_VALUE"""),"1級能效")</f>
        <v>1級能效</v>
      </c>
      <c r="U626" s="22" t="str">
        <f ca="1">IFERROR(__xludf.DUMMYFUNCTION("""COMPUTED_VALUE"""),"7年")</f>
        <v>7年</v>
      </c>
      <c r="V626" s="12" t="str">
        <f ca="1">IFERROR(__xludf.DUMMYFUNCTION("""COMPUTED_VALUE"""),"10年")</f>
        <v>10年</v>
      </c>
      <c r="W626" s="12"/>
      <c r="X626" s="12"/>
      <c r="Y626" s="12">
        <f ca="1">IFERROR(__xludf.DUMMYFUNCTION("""COMPUTED_VALUE"""),4.4)</f>
        <v>4.4000000000000004</v>
      </c>
      <c r="Z626" s="14" t="str">
        <f ca="1">IFERROR(__xludf.DUMMYFUNCTION("""COMPUTED_VALUE"""),"2000")</f>
        <v>2000</v>
      </c>
      <c r="AA626" s="15" t="str">
        <f ca="1">IFERROR(__xludf.DUMMYFUNCTION("""COMPUTED_VALUE"""),"*靜音除濕*換氣裝置*健康舒眠*LCD無線+面板觸控*清淨濾網*藍波防鏽*預約關機*室內溫度顯示")</f>
        <v>*靜音除濕*換氣裝置*健康舒眠*LCD無線+面板觸控*清淨濾網*藍波防鏽*預約關機*室內溫度顯示</v>
      </c>
    </row>
    <row r="627" spans="1:27" ht="19.5" customHeight="1">
      <c r="A627" s="12" t="str">
        <f ca="1">IFERROR(__xludf.DUMMYFUNCTION("""COMPUTED_VALUE"""),"空調")</f>
        <v>空調</v>
      </c>
      <c r="B627" s="12" t="str">
        <f ca="1">IFERROR(__xludf.DUMMYFUNCTION("""COMPUTED_VALUE"""),"安悅")</f>
        <v>安悅</v>
      </c>
      <c r="C627" s="12" t="str">
        <f ca="1">IFERROR(__xludf.DUMMYFUNCTION("""COMPUTED_VALUE"""),"東元")</f>
        <v>東元</v>
      </c>
      <c r="D627" s="12" t="str">
        <f ca="1">IFERROR(__xludf.DUMMYFUNCTION("""COMPUTED_VALUE"""),"東元7-9坪變頻窗型冷專MW50ICR-HR")</f>
        <v>東元7-9坪變頻窗型冷專MW50ICR-HR</v>
      </c>
      <c r="E627" s="12" t="str">
        <f ca="1">IFERROR(__xludf.DUMMYFUNCTION("""COMPUTED_VALUE"""),"MW50ICR-HR")</f>
        <v>MW50ICR-HR</v>
      </c>
      <c r="F627" s="12">
        <f ca="1">IFERROR(__xludf.DUMMYFUNCTION("""COMPUTED_VALUE"""),51082168)</f>
        <v>51082168</v>
      </c>
      <c r="G627" s="12" t="str">
        <f ca="1">IFERROR(__xludf.DUMMYFUNCTION("""COMPUTED_VALUE"""),"IGEM01XM")</f>
        <v>IGEM01XM</v>
      </c>
      <c r="H627" s="12">
        <f ca="1">IFERROR(__xludf.DUMMYFUNCTION("""COMPUTED_VALUE"""),40900)</f>
        <v>40900</v>
      </c>
      <c r="I627" s="14">
        <f ca="1">IFERROR(__xludf.DUMMYFUNCTION("""COMPUTED_VALUE"""),34300)</f>
        <v>34300</v>
      </c>
      <c r="J627" s="16">
        <f ca="1">IFERROR(__xludf.DUMMYFUNCTION("""COMPUTED_VALUE"""),45664)</f>
        <v>45664</v>
      </c>
      <c r="K627" s="12" t="str">
        <f ca="1">IFERROR(__xludf.DUMMYFUNCTION("""COMPUTED_VALUE"""),"永久降價")</f>
        <v>永久降價</v>
      </c>
      <c r="L627" s="12" t="str">
        <f ca="1">IFERROR(__xludf.DUMMYFUNCTION("""COMPUTED_VALUE"""),"上架中")</f>
        <v>上架中</v>
      </c>
      <c r="M627" s="12" t="str">
        <f ca="1">IFERROR(__xludf.DUMMYFUNCTION("""COMPUTED_VALUE"""),"2025/1/7調降、2023/1/1回價，6/10降價，2022/1/3到貨，2021/9/6缺貨，2020/8/17上架")</f>
        <v>2025/1/7調降、2023/1/1回價，6/10降價，2022/1/3到貨，2021/9/6缺貨，2020/8/17上架</v>
      </c>
      <c r="N627" s="12" t="str">
        <f ca="1">IFERROR(__xludf.DUMMYFUNCTION("""COMPUTED_VALUE"""),"窗型變頻冷專")</f>
        <v>窗型變頻冷專</v>
      </c>
      <c r="O627" s="12" t="str">
        <f ca="1">IFERROR(__xludf.DUMMYFUNCTION("""COMPUTED_VALUE"""),"白色")</f>
        <v>白色</v>
      </c>
      <c r="P627" s="12" t="str">
        <f ca="1">IFERROR(__xludf.DUMMYFUNCTION("""COMPUTED_VALUE"""),"7-9坪")</f>
        <v>7-9坪</v>
      </c>
      <c r="Q627" s="23" t="str">
        <f ca="1">IFERROR(__xludf.DUMMYFUNCTION("""COMPUTED_VALUE"""),"428*660*800mm")</f>
        <v>428*660*800mm</v>
      </c>
      <c r="R627" s="12" t="str">
        <f ca="1">IFERROR(__xludf.DUMMYFUNCTION("""COMPUTED_VALUE"""),"台灣")</f>
        <v>台灣</v>
      </c>
      <c r="S627" s="12" t="str">
        <f ca="1">IFERROR(__xludf.DUMMYFUNCTION("""COMPUTED_VALUE"""),"V")</f>
        <v>V</v>
      </c>
      <c r="T627" s="12" t="str">
        <f ca="1">IFERROR(__xludf.DUMMYFUNCTION("""COMPUTED_VALUE"""),"1級能效")</f>
        <v>1級能效</v>
      </c>
      <c r="U627" s="22" t="str">
        <f ca="1">IFERROR(__xludf.DUMMYFUNCTION("""COMPUTED_VALUE"""),"7年")</f>
        <v>7年</v>
      </c>
      <c r="V627" s="12" t="str">
        <f ca="1">IFERROR(__xludf.DUMMYFUNCTION("""COMPUTED_VALUE"""),"10年")</f>
        <v>10年</v>
      </c>
      <c r="W627" s="12"/>
      <c r="X627" s="12"/>
      <c r="Y627" s="12">
        <f ca="1">IFERROR(__xludf.DUMMYFUNCTION("""COMPUTED_VALUE"""),5)</f>
        <v>5</v>
      </c>
      <c r="Z627" s="14" t="str">
        <f ca="1">IFERROR(__xludf.DUMMYFUNCTION("""COMPUTED_VALUE"""),"2000")</f>
        <v>2000</v>
      </c>
      <c r="AA627" s="15" t="str">
        <f ca="1">IFERROR(__xludf.DUMMYFUNCTION("""COMPUTED_VALUE"""),"*靜音除濕*換氣裝置*健康舒眠*LCD無線+面板觸控*清淨濾網*藍波防鏽*預約關機*室內溫度顯示")</f>
        <v>*靜音除濕*換氣裝置*健康舒眠*LCD無線+面板觸控*清淨濾網*藍波防鏽*預約關機*室內溫度顯示</v>
      </c>
    </row>
    <row r="628" spans="1:27" ht="19.5" customHeight="1">
      <c r="A628" s="12" t="str">
        <f ca="1">IFERROR(__xludf.DUMMYFUNCTION("""COMPUTED_VALUE"""),"空調")</f>
        <v>空調</v>
      </c>
      <c r="B628" s="12" t="str">
        <f ca="1">IFERROR(__xludf.DUMMYFUNCTION("""COMPUTED_VALUE"""),"安悅")</f>
        <v>安悅</v>
      </c>
      <c r="C628" s="12" t="str">
        <f ca="1">IFERROR(__xludf.DUMMYFUNCTION("""COMPUTED_VALUE"""),"東元")</f>
        <v>東元</v>
      </c>
      <c r="D628" s="12" t="str">
        <f ca="1">IFERROR(__xludf.DUMMYFUNCTION("""COMPUTED_VALUE"""),"東元9-11坪變頻窗型冷專MW63ICR-HR")</f>
        <v>東元9-11坪變頻窗型冷專MW63ICR-HR</v>
      </c>
      <c r="E628" s="12" t="str">
        <f ca="1">IFERROR(__xludf.DUMMYFUNCTION("""COMPUTED_VALUE"""),"MW63ICR-HR")</f>
        <v>MW63ICR-HR</v>
      </c>
      <c r="F628" s="12">
        <f ca="1">IFERROR(__xludf.DUMMYFUNCTION("""COMPUTED_VALUE"""),51082169)</f>
        <v>51082169</v>
      </c>
      <c r="G628" s="12" t="str">
        <f ca="1">IFERROR(__xludf.DUMMYFUNCTION("""COMPUTED_VALUE"""),"IGEM01XN")</f>
        <v>IGEM01XN</v>
      </c>
      <c r="H628" s="12">
        <f ca="1">IFERROR(__xludf.DUMMYFUNCTION("""COMPUTED_VALUE"""),53900)</f>
        <v>53900</v>
      </c>
      <c r="I628" s="14">
        <f ca="1">IFERROR(__xludf.DUMMYFUNCTION("""COMPUTED_VALUE"""),38400)</f>
        <v>38400</v>
      </c>
      <c r="J628" s="16">
        <f ca="1">IFERROR(__xludf.DUMMYFUNCTION("""COMPUTED_VALUE"""),45664)</f>
        <v>45664</v>
      </c>
      <c r="K628" s="12" t="str">
        <f ca="1">IFERROR(__xludf.DUMMYFUNCTION("""COMPUTED_VALUE"""),"永久降價")</f>
        <v>永久降價</v>
      </c>
      <c r="L628" s="12" t="str">
        <f ca="1">IFERROR(__xludf.DUMMYFUNCTION("""COMPUTED_VALUE"""),"上架中")</f>
        <v>上架中</v>
      </c>
      <c r="M628" s="12" t="str">
        <f ca="1">IFERROR(__xludf.DUMMYFUNCTION("""COMPUTED_VALUE"""),"2025/1/7調降、2022/7/11缺貨，6/24到貨，1/7缺貨，2022/1/3到貨，2021/9/6缺貨，2021/1/5重新上架，9/11缺貨下架，8/17上架")</f>
        <v>2025/1/7調降、2022/7/11缺貨，6/24到貨，1/7缺貨，2022/1/3到貨，2021/9/6缺貨，2021/1/5重新上架，9/11缺貨下架，8/17上架</v>
      </c>
      <c r="N628" s="12" t="str">
        <f ca="1">IFERROR(__xludf.DUMMYFUNCTION("""COMPUTED_VALUE"""),"窗型變頻冷專")</f>
        <v>窗型變頻冷專</v>
      </c>
      <c r="O628" s="12" t="str">
        <f ca="1">IFERROR(__xludf.DUMMYFUNCTION("""COMPUTED_VALUE"""),"白色")</f>
        <v>白色</v>
      </c>
      <c r="P628" s="12" t="str">
        <f ca="1">IFERROR(__xludf.DUMMYFUNCTION("""COMPUTED_VALUE"""),"9-11坪")</f>
        <v>9-11坪</v>
      </c>
      <c r="Q628" s="23" t="str">
        <f ca="1">IFERROR(__xludf.DUMMYFUNCTION("""COMPUTED_VALUE"""),"428*660*800mm")</f>
        <v>428*660*800mm</v>
      </c>
      <c r="R628" s="12" t="str">
        <f ca="1">IFERROR(__xludf.DUMMYFUNCTION("""COMPUTED_VALUE"""),"台灣")</f>
        <v>台灣</v>
      </c>
      <c r="S628" s="12" t="str">
        <f ca="1">IFERROR(__xludf.DUMMYFUNCTION("""COMPUTED_VALUE"""),"V")</f>
        <v>V</v>
      </c>
      <c r="T628" s="12" t="str">
        <f ca="1">IFERROR(__xludf.DUMMYFUNCTION("""COMPUTED_VALUE"""),"1級能效")</f>
        <v>1級能效</v>
      </c>
      <c r="U628" s="22" t="str">
        <f ca="1">IFERROR(__xludf.DUMMYFUNCTION("""COMPUTED_VALUE"""),"7年")</f>
        <v>7年</v>
      </c>
      <c r="V628" s="12" t="str">
        <f ca="1">IFERROR(__xludf.DUMMYFUNCTION("""COMPUTED_VALUE"""),"10年")</f>
        <v>10年</v>
      </c>
      <c r="W628" s="12"/>
      <c r="X628" s="12"/>
      <c r="Y628" s="12">
        <f ca="1">IFERROR(__xludf.DUMMYFUNCTION("""COMPUTED_VALUE"""),6.3)</f>
        <v>6.3</v>
      </c>
      <c r="Z628" s="14" t="str">
        <f ca="1">IFERROR(__xludf.DUMMYFUNCTION("""COMPUTED_VALUE"""),"2000")</f>
        <v>2000</v>
      </c>
      <c r="AA628" s="15" t="str">
        <f ca="1">IFERROR(__xludf.DUMMYFUNCTION("""COMPUTED_VALUE"""),"*靜音除濕*換氣裝置*健康舒眠*LCD無線+面板觸控*清淨濾網*藍波防鏽*預約關機*室內溫度顯示")</f>
        <v>*靜音除濕*換氣裝置*健康舒眠*LCD無線+面板觸控*清淨濾網*藍波防鏽*預約關機*室內溫度顯示</v>
      </c>
    </row>
    <row r="629" spans="1:27" ht="19.5" customHeight="1">
      <c r="A629" s="12" t="str">
        <f ca="1">IFERROR(__xludf.DUMMYFUNCTION("""COMPUTED_VALUE"""),"空調")</f>
        <v>空調</v>
      </c>
      <c r="B629" s="12" t="str">
        <f ca="1">IFERROR(__xludf.DUMMYFUNCTION("""COMPUTED_VALUE"""),"安悅")</f>
        <v>安悅</v>
      </c>
      <c r="C629" s="12" t="str">
        <f ca="1">IFERROR(__xludf.DUMMYFUNCTION("""COMPUTED_VALUE"""),"東元")</f>
        <v>東元</v>
      </c>
      <c r="D629" s="12" t="str">
        <f ca="1">IFERROR(__xludf.DUMMYFUNCTION("""COMPUTED_VALUE"""),"東元11-13坪變頻窗型冷專MW72ICR-HR")</f>
        <v>東元11-13坪變頻窗型冷專MW72ICR-HR</v>
      </c>
      <c r="E629" s="12" t="str">
        <f ca="1">IFERROR(__xludf.DUMMYFUNCTION("""COMPUTED_VALUE"""),"MW72ICR-HR")</f>
        <v>MW72ICR-HR</v>
      </c>
      <c r="F629" s="12">
        <f ca="1">IFERROR(__xludf.DUMMYFUNCTION("""COMPUTED_VALUE"""),51082170)</f>
        <v>51082170</v>
      </c>
      <c r="G629" s="12" t="str">
        <f ca="1">IFERROR(__xludf.DUMMYFUNCTION("""COMPUTED_VALUE"""),"IGEM01XO")</f>
        <v>IGEM01XO</v>
      </c>
      <c r="H629" s="12">
        <f ca="1">IFERROR(__xludf.DUMMYFUNCTION("""COMPUTED_VALUE"""),60900)</f>
        <v>60900</v>
      </c>
      <c r="I629" s="14">
        <f ca="1">IFERROR(__xludf.DUMMYFUNCTION("""COMPUTED_VALUE"""),40600)</f>
        <v>40600</v>
      </c>
      <c r="J629" s="16">
        <f ca="1">IFERROR(__xludf.DUMMYFUNCTION("""COMPUTED_VALUE"""),45664)</f>
        <v>45664</v>
      </c>
      <c r="K629" s="12" t="str">
        <f ca="1">IFERROR(__xludf.DUMMYFUNCTION("""COMPUTED_VALUE"""),"永久降價")</f>
        <v>永久降價</v>
      </c>
      <c r="L629" s="12" t="str">
        <f ca="1">IFERROR(__xludf.DUMMYFUNCTION("""COMPUTED_VALUE"""),"上架中")</f>
        <v>上架中</v>
      </c>
      <c r="M629" s="12" t="str">
        <f ca="1">IFERROR(__xludf.DUMMYFUNCTION("""COMPUTED_VALUE"""),"2025/1/7調降、2022/8/5缺貨，2021/9/6缺貨，2020/8/17上架")</f>
        <v>2025/1/7調降、2022/8/5缺貨，2021/9/6缺貨，2020/8/17上架</v>
      </c>
      <c r="N629" s="12" t="str">
        <f ca="1">IFERROR(__xludf.DUMMYFUNCTION("""COMPUTED_VALUE"""),"窗型變頻冷專")</f>
        <v>窗型變頻冷專</v>
      </c>
      <c r="O629" s="12" t="str">
        <f ca="1">IFERROR(__xludf.DUMMYFUNCTION("""COMPUTED_VALUE"""),"白色")</f>
        <v>白色</v>
      </c>
      <c r="P629" s="12" t="str">
        <f ca="1">IFERROR(__xludf.DUMMYFUNCTION("""COMPUTED_VALUE"""),"11-13坪")</f>
        <v>11-13坪</v>
      </c>
      <c r="Q629" s="23" t="str">
        <f ca="1">IFERROR(__xludf.DUMMYFUNCTION("""COMPUTED_VALUE"""),"428*660*800mm")</f>
        <v>428*660*800mm</v>
      </c>
      <c r="R629" s="12" t="str">
        <f ca="1">IFERROR(__xludf.DUMMYFUNCTION("""COMPUTED_VALUE"""),"台灣")</f>
        <v>台灣</v>
      </c>
      <c r="S629" s="12" t="str">
        <f ca="1">IFERROR(__xludf.DUMMYFUNCTION("""COMPUTED_VALUE"""),"V")</f>
        <v>V</v>
      </c>
      <c r="T629" s="12" t="str">
        <f ca="1">IFERROR(__xludf.DUMMYFUNCTION("""COMPUTED_VALUE"""),"1級能效")</f>
        <v>1級能效</v>
      </c>
      <c r="U629" s="22" t="str">
        <f ca="1">IFERROR(__xludf.DUMMYFUNCTION("""COMPUTED_VALUE"""),"7年")</f>
        <v>7年</v>
      </c>
      <c r="V629" s="12" t="str">
        <f ca="1">IFERROR(__xludf.DUMMYFUNCTION("""COMPUTED_VALUE"""),"10年")</f>
        <v>10年</v>
      </c>
      <c r="W629" s="12"/>
      <c r="X629" s="12"/>
      <c r="Y629" s="12">
        <f ca="1">IFERROR(__xludf.DUMMYFUNCTION("""COMPUTED_VALUE"""),7.2)</f>
        <v>7.2</v>
      </c>
      <c r="Z629" s="14" t="str">
        <f ca="1">IFERROR(__xludf.DUMMYFUNCTION("""COMPUTED_VALUE"""),"2000")</f>
        <v>2000</v>
      </c>
      <c r="AA629" s="15" t="str">
        <f ca="1">IFERROR(__xludf.DUMMYFUNCTION("""COMPUTED_VALUE"""),"*靜音除濕*換氣裝置*健康舒眠*LCD無線+面板觸控*清淨濾網*藍波防鏽*預約關機*室內溫度顯示")</f>
        <v>*靜音除濕*換氣裝置*健康舒眠*LCD無線+面板觸控*清淨濾網*藍波防鏽*預約關機*室內溫度顯示</v>
      </c>
    </row>
    <row r="630" spans="1:27" ht="19.5" customHeight="1">
      <c r="A630" s="12" t="str">
        <f ca="1">IFERROR(__xludf.DUMMYFUNCTION("""COMPUTED_VALUE"""),"空調")</f>
        <v>空調</v>
      </c>
      <c r="B630" s="12" t="str">
        <f ca="1">IFERROR(__xludf.DUMMYFUNCTION("""COMPUTED_VALUE"""),"安悅")</f>
        <v>安悅</v>
      </c>
      <c r="C630" s="12" t="str">
        <f ca="1">IFERROR(__xludf.DUMMYFUNCTION("""COMPUTED_VALUE"""),"東元")</f>
        <v>東元</v>
      </c>
      <c r="D630" s="12" t="str">
        <f ca="1">IFERROR(__xludf.DUMMYFUNCTION("""COMPUTED_VALUE"""),"東元4-5坪R32精品系列一對一變頻冷暖空調MS/MA22IH-GA2")</f>
        <v>東元4-5坪R32精品系列一對一變頻冷暖空調MS/MA22IH-GA2</v>
      </c>
      <c r="E630" s="12" t="str">
        <f ca="1">IFERROR(__xludf.DUMMYFUNCTION("""COMPUTED_VALUE"""),"MS/MA22IH-GA2")</f>
        <v>MS/MA22IH-GA2</v>
      </c>
      <c r="F630" s="12">
        <f ca="1">IFERROR(__xludf.DUMMYFUNCTION("""COMPUTED_VALUE"""),51082257)</f>
        <v>51082257</v>
      </c>
      <c r="G630" s="12" t="str">
        <f ca="1">IFERROR(__xludf.DUMMYFUNCTION("""COMPUTED_VALUE"""),"IGEM0767")</f>
        <v>IGEM0767</v>
      </c>
      <c r="H630" s="13">
        <f ca="1">IFERROR(__xludf.DUMMYFUNCTION("""COMPUTED_VALUE"""),23900)</f>
        <v>23900</v>
      </c>
      <c r="I630" s="14">
        <f ca="1">IFERROR(__xludf.DUMMYFUNCTION("""COMPUTED_VALUE"""),18400)</f>
        <v>18400</v>
      </c>
      <c r="J630" s="16">
        <f ca="1">IFERROR(__xludf.DUMMYFUNCTION("""COMPUTED_VALUE"""),45658)</f>
        <v>45658</v>
      </c>
      <c r="K630" s="12" t="str">
        <f ca="1">IFERROR(__xludf.DUMMYFUNCTION("""COMPUTED_VALUE"""),"永久降價")</f>
        <v>永久降價</v>
      </c>
      <c r="L630" s="12" t="str">
        <f ca="1">IFERROR(__xludf.DUMMYFUNCTION("""COMPUTED_VALUE"""),"上架中")</f>
        <v>上架中</v>
      </c>
      <c r="M630" s="12" t="str">
        <f ca="1">IFERROR(__xludf.DUMMYFUNCTION("""COMPUTED_VALUE"""),"2025/1/1調降、2024/7/1-7/31短促、8/1-9/30短促、2023/3/1新機上架")</f>
        <v>2025/1/1調降、2024/7/1-7/31短促、8/1-9/30短促、2023/3/1新機上架</v>
      </c>
      <c r="N630" s="12" t="str">
        <f ca="1">IFERROR(__xludf.DUMMYFUNCTION("""COMPUTED_VALUE"""),"一對一變頻冷暖")</f>
        <v>一對一變頻冷暖</v>
      </c>
      <c r="O630" s="12" t="str">
        <f ca="1">IFERROR(__xludf.DUMMYFUNCTION("""COMPUTED_VALUE"""),"白")</f>
        <v>白</v>
      </c>
      <c r="P630" s="12" t="str">
        <f ca="1">IFERROR(__xludf.DUMMYFUNCTION("""COMPUTED_VALUE"""),"適用4坪-5坪")</f>
        <v>適用4坪-5坪</v>
      </c>
      <c r="Q630" s="23" t="str">
        <f ca="1">IFERROR(__xludf.DUMMYFUNCTION("""COMPUTED_VALUE"""),"室外機:555*785*300mm
室內機:292*792*201mm")</f>
        <v>室外機:555*785*300mm
室內機:292*792*201mm</v>
      </c>
      <c r="R630" s="12" t="str">
        <f ca="1">IFERROR(__xludf.DUMMYFUNCTION("""COMPUTED_VALUE"""),"台灣")</f>
        <v>台灣</v>
      </c>
      <c r="S630" s="12" t="str">
        <f ca="1">IFERROR(__xludf.DUMMYFUNCTION("""COMPUTED_VALUE"""),"V")</f>
        <v>V</v>
      </c>
      <c r="T630" s="12" t="str">
        <f ca="1">IFERROR(__xludf.DUMMYFUNCTION("""COMPUTED_VALUE"""),"1級能效")</f>
        <v>1級能效</v>
      </c>
      <c r="U630" s="12" t="str">
        <f ca="1">IFERROR(__xludf.DUMMYFUNCTION("""COMPUTED_VALUE"""),"上網登錄享7年")</f>
        <v>上網登錄享7年</v>
      </c>
      <c r="V630" s="12" t="str">
        <f ca="1">IFERROR(__xludf.DUMMYFUNCTION("""COMPUTED_VALUE"""),"上網登錄享10年")</f>
        <v>上網登錄享10年</v>
      </c>
      <c r="W630" s="12"/>
      <c r="X630" s="12"/>
      <c r="Y630" s="12">
        <f ca="1">IFERROR(__xludf.DUMMYFUNCTION("""COMPUTED_VALUE"""),2.4)</f>
        <v>2.4</v>
      </c>
      <c r="Z630" s="14">
        <f ca="1">IFERROR(__xludf.DUMMYFUNCTION("""COMPUTED_VALUE"""),1600)</f>
        <v>1600</v>
      </c>
      <c r="AA630"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31" spans="1:27" ht="19.5" customHeight="1">
      <c r="A631" s="12" t="str">
        <f ca="1">IFERROR(__xludf.DUMMYFUNCTION("""COMPUTED_VALUE"""),"空調")</f>
        <v>空調</v>
      </c>
      <c r="B631" s="12" t="str">
        <f ca="1">IFERROR(__xludf.DUMMYFUNCTION("""COMPUTED_VALUE"""),"安悅")</f>
        <v>安悅</v>
      </c>
      <c r="C631" s="12" t="str">
        <f ca="1">IFERROR(__xludf.DUMMYFUNCTION("""COMPUTED_VALUE"""),"東元")</f>
        <v>東元</v>
      </c>
      <c r="D631" s="12" t="str">
        <f ca="1">IFERROR(__xludf.DUMMYFUNCTION("""COMPUTED_VALUE"""),"東元5-6坪R32精品系列一對一變頻冷暖空調MS/MA28IH-GA2")</f>
        <v>東元5-6坪R32精品系列一對一變頻冷暖空調MS/MA28IH-GA2</v>
      </c>
      <c r="E631" s="12" t="str">
        <f ca="1">IFERROR(__xludf.DUMMYFUNCTION("""COMPUTED_VALUE"""),"MS/MA28IH-GA2")</f>
        <v>MS/MA28IH-GA2</v>
      </c>
      <c r="F631" s="12">
        <f ca="1">IFERROR(__xludf.DUMMYFUNCTION("""COMPUTED_VALUE"""),51082258)</f>
        <v>51082258</v>
      </c>
      <c r="G631" s="12" t="str">
        <f ca="1">IFERROR(__xludf.DUMMYFUNCTION("""COMPUTED_VALUE"""),"IGEM0768")</f>
        <v>IGEM0768</v>
      </c>
      <c r="H631" s="13">
        <f ca="1">IFERROR(__xludf.DUMMYFUNCTION("""COMPUTED_VALUE"""),29900)</f>
        <v>29900</v>
      </c>
      <c r="I631" s="14">
        <f ca="1">IFERROR(__xludf.DUMMYFUNCTION("""COMPUTED_VALUE"""),21760)</f>
        <v>21760</v>
      </c>
      <c r="J631" s="16">
        <f ca="1">IFERROR(__xludf.DUMMYFUNCTION("""COMPUTED_VALUE"""),45658)</f>
        <v>45658</v>
      </c>
      <c r="K631" s="12" t="str">
        <f ca="1">IFERROR(__xludf.DUMMYFUNCTION("""COMPUTED_VALUE"""),"永久降價")</f>
        <v>永久降價</v>
      </c>
      <c r="L631" s="12" t="str">
        <f ca="1">IFERROR(__xludf.DUMMYFUNCTION("""COMPUTED_VALUE"""),"上架中")</f>
        <v>上架中</v>
      </c>
      <c r="M631" s="12" t="str">
        <f ca="1">IFERROR(__xludf.DUMMYFUNCTION("""COMPUTED_VALUE"""),"(1/9止剩3台，需先問貨Ｃ；Ｓ)2025/1/1調降、2024/7/1-7/31短促、8/1-9/30短促、2023/3/1新機上架")</f>
        <v>(1/9止剩3台，需先問貨Ｃ；Ｓ)2025/1/1調降、2024/7/1-7/31短促、8/1-9/30短促、2023/3/1新機上架</v>
      </c>
      <c r="N631" s="12" t="str">
        <f ca="1">IFERROR(__xludf.DUMMYFUNCTION("""COMPUTED_VALUE"""),"一對一變頻冷暖")</f>
        <v>一對一變頻冷暖</v>
      </c>
      <c r="O631" s="12" t="str">
        <f ca="1">IFERROR(__xludf.DUMMYFUNCTION("""COMPUTED_VALUE"""),"白")</f>
        <v>白</v>
      </c>
      <c r="P631" s="12" t="str">
        <f ca="1">IFERROR(__xludf.DUMMYFUNCTION("""COMPUTED_VALUE"""),"適用5坪-6坪")</f>
        <v>適用5坪-6坪</v>
      </c>
      <c r="Q631" s="23" t="str">
        <f ca="1">IFERROR(__xludf.DUMMYFUNCTION("""COMPUTED_VALUE"""),"室外機:555*785*300mm
室內機:292*792*201mm")</f>
        <v>室外機:555*785*300mm
室內機:292*792*201mm</v>
      </c>
      <c r="R631" s="12" t="str">
        <f ca="1">IFERROR(__xludf.DUMMYFUNCTION("""COMPUTED_VALUE"""),"台灣")</f>
        <v>台灣</v>
      </c>
      <c r="S631" s="12" t="str">
        <f ca="1">IFERROR(__xludf.DUMMYFUNCTION("""COMPUTED_VALUE"""),"V")</f>
        <v>V</v>
      </c>
      <c r="T631" s="12" t="str">
        <f ca="1">IFERROR(__xludf.DUMMYFUNCTION("""COMPUTED_VALUE"""),"1級能效")</f>
        <v>1級能效</v>
      </c>
      <c r="U631" s="12" t="str">
        <f ca="1">IFERROR(__xludf.DUMMYFUNCTION("""COMPUTED_VALUE"""),"上網登錄享7年")</f>
        <v>上網登錄享7年</v>
      </c>
      <c r="V631" s="12" t="str">
        <f ca="1">IFERROR(__xludf.DUMMYFUNCTION("""COMPUTED_VALUE"""),"上網登錄享10年")</f>
        <v>上網登錄享10年</v>
      </c>
      <c r="W631" s="12"/>
      <c r="X631" s="12"/>
      <c r="Y631" s="12">
        <f ca="1">IFERROR(__xludf.DUMMYFUNCTION("""COMPUTED_VALUE"""),2.9)</f>
        <v>2.9</v>
      </c>
      <c r="Z631" s="14">
        <f ca="1">IFERROR(__xludf.DUMMYFUNCTION("""COMPUTED_VALUE"""),1600)</f>
        <v>1600</v>
      </c>
      <c r="AA631"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32" spans="1:27" ht="19.5" customHeight="1">
      <c r="A632" s="12" t="str">
        <f ca="1">IFERROR(__xludf.DUMMYFUNCTION("""COMPUTED_VALUE"""),"空調")</f>
        <v>空調</v>
      </c>
      <c r="B632" s="12" t="str">
        <f ca="1">IFERROR(__xludf.DUMMYFUNCTION("""COMPUTED_VALUE"""),"安悅")</f>
        <v>安悅</v>
      </c>
      <c r="C632" s="12" t="str">
        <f ca="1">IFERROR(__xludf.DUMMYFUNCTION("""COMPUTED_VALUE"""),"東元")</f>
        <v>東元</v>
      </c>
      <c r="D632" s="12" t="str">
        <f ca="1">IFERROR(__xludf.DUMMYFUNCTION("""COMPUTED_VALUE"""),"東元11-13坪R32精品系列一對一變頻冷暖空調MS/MA63IH-GA2")</f>
        <v>東元11-13坪R32精品系列一對一變頻冷暖空調MS/MA63IH-GA2</v>
      </c>
      <c r="E632" s="12" t="str">
        <f ca="1">IFERROR(__xludf.DUMMYFUNCTION("""COMPUTED_VALUE"""),"MS/MA63IH-GA2")</f>
        <v>MS/MA63IH-GA2</v>
      </c>
      <c r="F632" s="12">
        <f ca="1">IFERROR(__xludf.DUMMYFUNCTION("""COMPUTED_VALUE"""),51082259)</f>
        <v>51082259</v>
      </c>
      <c r="G632" s="12" t="str">
        <f ca="1">IFERROR(__xludf.DUMMYFUNCTION("""COMPUTED_VALUE"""),"IGEM0769")</f>
        <v>IGEM0769</v>
      </c>
      <c r="H632" s="13">
        <f ca="1">IFERROR(__xludf.DUMMYFUNCTION("""COMPUTED_VALUE"""),54900)</f>
        <v>54900</v>
      </c>
      <c r="I632" s="14">
        <f ca="1">IFERROR(__xludf.DUMMYFUNCTION("""COMPUTED_VALUE"""),41490)</f>
        <v>41490</v>
      </c>
      <c r="J632" s="16">
        <f ca="1">IFERROR(__xludf.DUMMYFUNCTION("""COMPUTED_VALUE"""),45658)</f>
        <v>45658</v>
      </c>
      <c r="K632" s="12" t="str">
        <f ca="1">IFERROR(__xludf.DUMMYFUNCTION("""COMPUTED_VALUE"""),"永久降價")</f>
        <v>永久降價</v>
      </c>
      <c r="L632" s="12" t="str">
        <f ca="1">IFERROR(__xludf.DUMMYFUNCTION("""COMPUTED_VALUE"""),"上架中")</f>
        <v>上架中</v>
      </c>
      <c r="M632" s="12" t="str">
        <f ca="1">IFERROR(__xludf.DUMMYFUNCTION("""COMPUTED_VALUE"""),"2025/1/1調降、2024/7/1-7/31短促、2024/6/20恢復供貨、2/23缺貨")</f>
        <v>2025/1/1調降、2024/7/1-7/31短促、2024/6/20恢復供貨、2/23缺貨</v>
      </c>
      <c r="N632" s="12" t="str">
        <f ca="1">IFERROR(__xludf.DUMMYFUNCTION("""COMPUTED_VALUE"""),"一對一變頻冷暖")</f>
        <v>一對一變頻冷暖</v>
      </c>
      <c r="O632" s="12" t="str">
        <f ca="1">IFERROR(__xludf.DUMMYFUNCTION("""COMPUTED_VALUE"""),"白")</f>
        <v>白</v>
      </c>
      <c r="P632" s="12" t="str">
        <f ca="1">IFERROR(__xludf.DUMMYFUNCTION("""COMPUTED_VALUE"""),"適用11坪-13坪")</f>
        <v>適用11坪-13坪</v>
      </c>
      <c r="Q632" s="23" t="str">
        <f ca="1">IFERROR(__xludf.DUMMYFUNCTION("""COMPUTED_VALUE"""),"室外機:700*900*350mm
室內機:330*1132*232mm")</f>
        <v>室外機:700*900*350mm
室內機:330*1132*232mm</v>
      </c>
      <c r="R632" s="12" t="str">
        <f ca="1">IFERROR(__xludf.DUMMYFUNCTION("""COMPUTED_VALUE"""),"台灣")</f>
        <v>台灣</v>
      </c>
      <c r="S632" s="12" t="str">
        <f ca="1">IFERROR(__xludf.DUMMYFUNCTION("""COMPUTED_VALUE"""),"V")</f>
        <v>V</v>
      </c>
      <c r="T632" s="12" t="str">
        <f ca="1">IFERROR(__xludf.DUMMYFUNCTION("""COMPUTED_VALUE"""),"1級能效")</f>
        <v>1級能效</v>
      </c>
      <c r="U632" s="12" t="str">
        <f ca="1">IFERROR(__xludf.DUMMYFUNCTION("""COMPUTED_VALUE"""),"上網登錄享7年")</f>
        <v>上網登錄享7年</v>
      </c>
      <c r="V632" s="12" t="str">
        <f ca="1">IFERROR(__xludf.DUMMYFUNCTION("""COMPUTED_VALUE"""),"上網登錄享10年")</f>
        <v>上網登錄享10年</v>
      </c>
      <c r="W632" s="12"/>
      <c r="X632" s="12"/>
      <c r="Y632" s="12">
        <f ca="1">IFERROR(__xludf.DUMMYFUNCTION("""COMPUTED_VALUE"""),6.3)</f>
        <v>6.3</v>
      </c>
      <c r="Z632" s="14" t="str">
        <f ca="1">IFERROR(__xludf.DUMMYFUNCTION("""COMPUTED_VALUE"""),"2000")</f>
        <v>2000</v>
      </c>
      <c r="AA632"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33" spans="1:27" ht="19.5" customHeight="1">
      <c r="A633" s="12" t="str">
        <f ca="1">IFERROR(__xludf.DUMMYFUNCTION("""COMPUTED_VALUE"""),"空調")</f>
        <v>空調</v>
      </c>
      <c r="B633" s="12" t="str">
        <f ca="1">IFERROR(__xludf.DUMMYFUNCTION("""COMPUTED_VALUE"""),"安悅")</f>
        <v>安悅</v>
      </c>
      <c r="C633" s="12" t="str">
        <f ca="1">IFERROR(__xludf.DUMMYFUNCTION("""COMPUTED_VALUE"""),"東元")</f>
        <v>東元</v>
      </c>
      <c r="D633" s="12" t="str">
        <f ca="1">IFERROR(__xludf.DUMMYFUNCTION("""COMPUTED_VALUE"""),"東元13-15坪R32精品系列一對一變頻冷暖空調MS/MA72IH-GA2")</f>
        <v>東元13-15坪R32精品系列一對一變頻冷暖空調MS/MA72IH-GA2</v>
      </c>
      <c r="E633" s="12" t="str">
        <f ca="1">IFERROR(__xludf.DUMMYFUNCTION("""COMPUTED_VALUE"""),"MS/MA72IH-GA2")</f>
        <v>MS/MA72IH-GA2</v>
      </c>
      <c r="F633" s="12">
        <f ca="1">IFERROR(__xludf.DUMMYFUNCTION("""COMPUTED_VALUE"""),51082294)</f>
        <v>51082294</v>
      </c>
      <c r="G633" s="12" t="str">
        <f ca="1">IFERROR(__xludf.DUMMYFUNCTION("""COMPUTED_VALUE"""),"IGEM087C")</f>
        <v>IGEM087C</v>
      </c>
      <c r="H633" s="13">
        <f ca="1">IFERROR(__xludf.DUMMYFUNCTION("""COMPUTED_VALUE"""),59900)</f>
        <v>59900</v>
      </c>
      <c r="I633" s="14">
        <f ca="1">IFERROR(__xludf.DUMMYFUNCTION("""COMPUTED_VALUE"""),46000)</f>
        <v>46000</v>
      </c>
      <c r="J633" s="16">
        <f ca="1">IFERROR(__xludf.DUMMYFUNCTION("""COMPUTED_VALUE"""),45658)</f>
        <v>45658</v>
      </c>
      <c r="K633" s="12" t="str">
        <f ca="1">IFERROR(__xludf.DUMMYFUNCTION("""COMPUTED_VALUE"""),"永久降價")</f>
        <v>永久降價</v>
      </c>
      <c r="L633" s="12" t="str">
        <f ca="1">IFERROR(__xludf.DUMMYFUNCTION("""COMPUTED_VALUE"""),"上架中")</f>
        <v>上架中</v>
      </c>
      <c r="M633" s="12" t="str">
        <f ca="1">IFERROR(__xludf.DUMMYFUNCTION("""COMPUTED_VALUE"""),"2025/1/1調降、7/1-7/31短促、2024/6/20恢復供貨，2/23缺貨")</f>
        <v>2025/1/1調降、7/1-7/31短促、2024/6/20恢復供貨，2/23缺貨</v>
      </c>
      <c r="N633" s="12" t="str">
        <f ca="1">IFERROR(__xludf.DUMMYFUNCTION("""COMPUTED_VALUE"""),"一對一變頻冷暖")</f>
        <v>一對一變頻冷暖</v>
      </c>
      <c r="O633" s="12" t="str">
        <f ca="1">IFERROR(__xludf.DUMMYFUNCTION("""COMPUTED_VALUE"""),"白")</f>
        <v>白</v>
      </c>
      <c r="P633" s="12" t="str">
        <f ca="1">IFERROR(__xludf.DUMMYFUNCTION("""COMPUTED_VALUE"""),"適用13坪-15坪")</f>
        <v>適用13坪-15坪</v>
      </c>
      <c r="Q633" s="23" t="str">
        <f ca="1">IFERROR(__xludf.DUMMYFUNCTION("""COMPUTED_VALUE"""),"室外機:700*900*350mm
室內機:330*1132*232mm")</f>
        <v>室外機:700*900*350mm
室內機:330*1132*232mm</v>
      </c>
      <c r="R633" s="12" t="str">
        <f ca="1">IFERROR(__xludf.DUMMYFUNCTION("""COMPUTED_VALUE"""),"台灣")</f>
        <v>台灣</v>
      </c>
      <c r="S633" s="12" t="str">
        <f ca="1">IFERROR(__xludf.DUMMYFUNCTION("""COMPUTED_VALUE"""),"V")</f>
        <v>V</v>
      </c>
      <c r="T633" s="12" t="str">
        <f ca="1">IFERROR(__xludf.DUMMYFUNCTION("""COMPUTED_VALUE"""),"1級能效")</f>
        <v>1級能效</v>
      </c>
      <c r="U633" s="12" t="str">
        <f ca="1">IFERROR(__xludf.DUMMYFUNCTION("""COMPUTED_VALUE"""),"上網登錄享7年")</f>
        <v>上網登錄享7年</v>
      </c>
      <c r="V633" s="12" t="str">
        <f ca="1">IFERROR(__xludf.DUMMYFUNCTION("""COMPUTED_VALUE"""),"上網登錄享10年")</f>
        <v>上網登錄享10年</v>
      </c>
      <c r="W633" s="12"/>
      <c r="X633" s="12"/>
      <c r="Y633" s="12">
        <f ca="1">IFERROR(__xludf.DUMMYFUNCTION("""COMPUTED_VALUE"""),7.3)</f>
        <v>7.3</v>
      </c>
      <c r="Z633" s="14" t="str">
        <f ca="1">IFERROR(__xludf.DUMMYFUNCTION("""COMPUTED_VALUE"""),"2000")</f>
        <v>2000</v>
      </c>
      <c r="AA633"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34" spans="1:27" ht="19.5" customHeight="1">
      <c r="A634" s="12" t="str">
        <f ca="1">IFERROR(__xludf.DUMMYFUNCTION("""COMPUTED_VALUE"""),"空調")</f>
        <v>空調</v>
      </c>
      <c r="B634" s="12" t="str">
        <f ca="1">IFERROR(__xludf.DUMMYFUNCTION("""COMPUTED_VALUE"""),"安悅")</f>
        <v>安悅</v>
      </c>
      <c r="C634" s="12" t="str">
        <f ca="1">IFERROR(__xludf.DUMMYFUNCTION("""COMPUTED_VALUE"""),"東元")</f>
        <v>東元</v>
      </c>
      <c r="D634" s="12" t="str">
        <f ca="1">IFERROR(__xludf.DUMMYFUNCTION("""COMPUTED_VALUE"""),"東元15-17坪R32精品系列一對一變頻冷暖空調MS/MA80IH-GA2")</f>
        <v>東元15-17坪R32精品系列一對一變頻冷暖空調MS/MA80IH-GA2</v>
      </c>
      <c r="E634" s="12" t="str">
        <f ca="1">IFERROR(__xludf.DUMMYFUNCTION("""COMPUTED_VALUE"""),"MS/MA80IH-GA2")</f>
        <v>MS/MA80IH-GA2</v>
      </c>
      <c r="F634" s="12">
        <f ca="1">IFERROR(__xludf.DUMMYFUNCTION("""COMPUTED_VALUE"""),51082295)</f>
        <v>51082295</v>
      </c>
      <c r="G634" s="12" t="str">
        <f ca="1">IFERROR(__xludf.DUMMYFUNCTION("""COMPUTED_VALUE"""),"IGEM087D")</f>
        <v>IGEM087D</v>
      </c>
      <c r="H634" s="13">
        <f ca="1">IFERROR(__xludf.DUMMYFUNCTION("""COMPUTED_VALUE"""),72900)</f>
        <v>72900</v>
      </c>
      <c r="I634" s="14">
        <f ca="1">IFERROR(__xludf.DUMMYFUNCTION("""COMPUTED_VALUE"""),56570)</f>
        <v>56570</v>
      </c>
      <c r="J634" s="16">
        <f ca="1">IFERROR(__xludf.DUMMYFUNCTION("""COMPUTED_VALUE"""),45658)</f>
        <v>45658</v>
      </c>
      <c r="K634" s="12" t="str">
        <f ca="1">IFERROR(__xludf.DUMMYFUNCTION("""COMPUTED_VALUE"""),"永久降價")</f>
        <v>永久降價</v>
      </c>
      <c r="L634" s="12" t="str">
        <f ca="1">IFERROR(__xludf.DUMMYFUNCTION("""COMPUTED_VALUE"""),"上架中")</f>
        <v>上架中</v>
      </c>
      <c r="M634" s="12" t="str">
        <f ca="1">IFERROR(__xludf.DUMMYFUNCTION("""COMPUTED_VALUE"""),"2025/1/1調降、7/1-7/31短促、2024/6/20恢復供貨，2/23缺貨")</f>
        <v>2025/1/1調降、7/1-7/31短促、2024/6/20恢復供貨，2/23缺貨</v>
      </c>
      <c r="N634" s="12" t="str">
        <f ca="1">IFERROR(__xludf.DUMMYFUNCTION("""COMPUTED_VALUE"""),"一對一變頻冷暖")</f>
        <v>一對一變頻冷暖</v>
      </c>
      <c r="O634" s="12" t="str">
        <f ca="1">IFERROR(__xludf.DUMMYFUNCTION("""COMPUTED_VALUE"""),"白")</f>
        <v>白</v>
      </c>
      <c r="P634" s="12" t="str">
        <f ca="1">IFERROR(__xludf.DUMMYFUNCTION("""COMPUTED_VALUE"""),"適用15坪-17坪")</f>
        <v>適用15坪-17坪</v>
      </c>
      <c r="Q634" s="23" t="str">
        <f ca="1">IFERROR(__xludf.DUMMYFUNCTION("""COMPUTED_VALUE"""),"室外機:700*900*350mm
室內機:330*1132*232mm")</f>
        <v>室外機:700*900*350mm
室內機:330*1132*232mm</v>
      </c>
      <c r="R634" s="12" t="str">
        <f ca="1">IFERROR(__xludf.DUMMYFUNCTION("""COMPUTED_VALUE"""),"台灣")</f>
        <v>台灣</v>
      </c>
      <c r="S634" s="12" t="str">
        <f ca="1">IFERROR(__xludf.DUMMYFUNCTION("""COMPUTED_VALUE"""),"V")</f>
        <v>V</v>
      </c>
      <c r="T634" s="12" t="str">
        <f ca="1">IFERROR(__xludf.DUMMYFUNCTION("""COMPUTED_VALUE"""),"1級能效")</f>
        <v>1級能效</v>
      </c>
      <c r="U634" s="12" t="str">
        <f ca="1">IFERROR(__xludf.DUMMYFUNCTION("""COMPUTED_VALUE"""),"上網登錄享7年")</f>
        <v>上網登錄享7年</v>
      </c>
      <c r="V634" s="12" t="str">
        <f ca="1">IFERROR(__xludf.DUMMYFUNCTION("""COMPUTED_VALUE"""),"上網登錄享10年")</f>
        <v>上網登錄享10年</v>
      </c>
      <c r="W634" s="12"/>
      <c r="X634" s="12"/>
      <c r="Y634" s="12">
        <f ca="1">IFERROR(__xludf.DUMMYFUNCTION("""COMPUTED_VALUE"""),8)</f>
        <v>8</v>
      </c>
      <c r="Z634" s="14" t="str">
        <f ca="1">IFERROR(__xludf.DUMMYFUNCTION("""COMPUTED_VALUE"""),"2000")</f>
        <v>2000</v>
      </c>
      <c r="AA634" s="15" t="str">
        <f ca="1">IFERROR(__xludf.DUMMYFUNCTION("""COMPUTED_VALUE"""),"*自，清，淨*活性碳，銀離子濾網*內外機燦金防鏽*關機自動防霉*基板防潮、防蟲*雲端wifi(需另外加購雲端模組)")</f>
        <v>*自，清，淨*活性碳，銀離子濾網*內外機燦金防鏽*關機自動防霉*基板防潮、防蟲*雲端wifi(需另外加購雲端模組)</v>
      </c>
    </row>
    <row r="635" spans="1:27" ht="19.5" customHeight="1">
      <c r="A635" s="12" t="str">
        <f ca="1">IFERROR(__xludf.DUMMYFUNCTION("""COMPUTED_VALUE"""),"空調")</f>
        <v>空調</v>
      </c>
      <c r="B635" s="12" t="str">
        <f ca="1">IFERROR(__xludf.DUMMYFUNCTION("""COMPUTED_VALUE"""),"安悅")</f>
        <v>安悅</v>
      </c>
      <c r="C635" s="12" t="str">
        <f ca="1">IFERROR(__xludf.DUMMYFUNCTION("""COMPUTED_VALUE"""),"東元")</f>
        <v>東元</v>
      </c>
      <c r="D635" s="12" t="str">
        <f ca="1">IFERROR(__xludf.DUMMYFUNCTION("""COMPUTED_VALUE"""),"東元4-5坪R32變頻冷暖右吹窗型冷氣MW22IHR-HR")</f>
        <v>東元4-5坪R32變頻冷暖右吹窗型冷氣MW22IHR-HR</v>
      </c>
      <c r="E635" s="12" t="str">
        <f ca="1">IFERROR(__xludf.DUMMYFUNCTION("""COMPUTED_VALUE"""),"MW22IHR-HR")</f>
        <v>MW22IHR-HR</v>
      </c>
      <c r="F635" s="12">
        <f ca="1">IFERROR(__xludf.DUMMYFUNCTION("""COMPUTED_VALUE"""),51082224)</f>
        <v>51082224</v>
      </c>
      <c r="G635" s="12" t="str">
        <f ca="1">IFERROR(__xludf.DUMMYFUNCTION("""COMPUTED_VALUE"""),"IGEM063A")</f>
        <v>IGEM063A</v>
      </c>
      <c r="H635" s="12">
        <f ca="1">IFERROR(__xludf.DUMMYFUNCTION("""COMPUTED_VALUE"""),24400)</f>
        <v>24400</v>
      </c>
      <c r="I635" s="14">
        <f ca="1">IFERROR(__xludf.DUMMYFUNCTION("""COMPUTED_VALUE"""),22890)</f>
        <v>22890</v>
      </c>
      <c r="J635" s="16">
        <f ca="1">IFERROR(__xludf.DUMMYFUNCTION("""COMPUTED_VALUE"""),45664)</f>
        <v>45664</v>
      </c>
      <c r="K635" s="12" t="str">
        <f ca="1">IFERROR(__xludf.DUMMYFUNCTION("""COMPUTED_VALUE"""),"永久降價")</f>
        <v>永久降價</v>
      </c>
      <c r="L635" s="12" t="str">
        <f ca="1">IFERROR(__xludf.DUMMYFUNCTION("""COMPUTED_VALUE"""),"上架中")</f>
        <v>上架中</v>
      </c>
      <c r="M635" s="12" t="str">
        <f ca="1">IFERROR(__xludf.DUMMYFUNCTION("""COMPUTED_VALUE"""),"2025/1/7調降售價、7/31少量到貨，2023/4/13缺貨。專案商品受理請洽市售商品科")</f>
        <v>2025/1/7調降售價、7/31少量到貨，2023/4/13缺貨。專案商品受理請洽市售商品科</v>
      </c>
      <c r="N635" s="12" t="str">
        <f ca="1">IFERROR(__xludf.DUMMYFUNCTION("""COMPUTED_VALUE"""),"窗型變頻冷暖")</f>
        <v>窗型變頻冷暖</v>
      </c>
      <c r="O635" s="12" t="str">
        <f ca="1">IFERROR(__xludf.DUMMYFUNCTION("""COMPUTED_VALUE"""),"白")</f>
        <v>白</v>
      </c>
      <c r="P635" s="12" t="str">
        <f ca="1">IFERROR(__xludf.DUMMYFUNCTION("""COMPUTED_VALUE"""),"4-5坪")</f>
        <v>4-5坪</v>
      </c>
      <c r="Q635" s="23" t="str">
        <f ca="1">IFERROR(__xludf.DUMMYFUNCTION("""COMPUTED_VALUE"""),"375*560*708(mm)")</f>
        <v>375*560*708(mm)</v>
      </c>
      <c r="R635" s="12" t="str">
        <f ca="1">IFERROR(__xludf.DUMMYFUNCTION("""COMPUTED_VALUE"""),"台灣")</f>
        <v>台灣</v>
      </c>
      <c r="S635" s="12" t="str">
        <f ca="1">IFERROR(__xludf.DUMMYFUNCTION("""COMPUTED_VALUE"""),"V")</f>
        <v>V</v>
      </c>
      <c r="T635" s="12" t="str">
        <f ca="1">IFERROR(__xludf.DUMMYFUNCTION("""COMPUTED_VALUE"""),"1級能效")</f>
        <v>1級能效</v>
      </c>
      <c r="U635" s="12" t="str">
        <f ca="1">IFERROR(__xludf.DUMMYFUNCTION("""COMPUTED_VALUE"""),"7年")</f>
        <v>7年</v>
      </c>
      <c r="V635" s="12" t="str">
        <f ca="1">IFERROR(__xludf.DUMMYFUNCTION("""COMPUTED_VALUE"""),"10年")</f>
        <v>10年</v>
      </c>
      <c r="W635" s="12"/>
      <c r="X635" s="12"/>
      <c r="Y635" s="12">
        <f ca="1">IFERROR(__xludf.DUMMYFUNCTION("""COMPUTED_VALUE"""),2.4)</f>
        <v>2.4</v>
      </c>
      <c r="Z635" s="14">
        <f ca="1">IFERROR(__xludf.DUMMYFUNCTION("""COMPUTED_VALUE"""),1600)</f>
        <v>1600</v>
      </c>
      <c r="AA635" s="15" t="str">
        <f ca="1">IFERROR(__xludf.DUMMYFUNCTION("""COMPUTED_VALUE"""),"*靜音除濕*換氣裝置*健康舒眠*藍波防繡*LCD無線+板觸控*清淨濾網*預約關機")</f>
        <v>*靜音除濕*換氣裝置*健康舒眠*藍波防繡*LCD無線+板觸控*清淨濾網*預約關機</v>
      </c>
    </row>
    <row r="636" spans="1:27" ht="19.5" customHeight="1">
      <c r="A636" s="12" t="str">
        <f ca="1">IFERROR(__xludf.DUMMYFUNCTION("""COMPUTED_VALUE"""),"空調")</f>
        <v>空調</v>
      </c>
      <c r="B636" s="12" t="str">
        <f ca="1">IFERROR(__xludf.DUMMYFUNCTION("""COMPUTED_VALUE"""),"安悅")</f>
        <v>安悅</v>
      </c>
      <c r="C636" s="12" t="str">
        <f ca="1">IFERROR(__xludf.DUMMYFUNCTION("""COMPUTED_VALUE"""),"東元")</f>
        <v>東元</v>
      </c>
      <c r="D636" s="12" t="str">
        <f ca="1">IFERROR(__xludf.DUMMYFUNCTION("""COMPUTED_VALUE"""),"東元4-6坪變頻窗型冷暖MW28IHR-HR")</f>
        <v>東元4-6坪變頻窗型冷暖MW28IHR-HR</v>
      </c>
      <c r="E636" s="12" t="str">
        <f ca="1">IFERROR(__xludf.DUMMYFUNCTION("""COMPUTED_VALUE"""),"MW28IHR-HR")</f>
        <v>MW28IHR-HR</v>
      </c>
      <c r="F636" s="12">
        <f ca="1">IFERROR(__xludf.DUMMYFUNCTION("""COMPUTED_VALUE"""),51082272)</f>
        <v>51082272</v>
      </c>
      <c r="G636" s="12" t="str">
        <f ca="1">IFERROR(__xludf.DUMMYFUNCTION("""COMPUTED_VALUE"""),"IGEM0837")</f>
        <v>IGEM0837</v>
      </c>
      <c r="H636" s="13">
        <f ca="1">IFERROR(__xludf.DUMMYFUNCTION("""COMPUTED_VALUE"""),30000)</f>
        <v>30000</v>
      </c>
      <c r="I636" s="14">
        <f ca="1">IFERROR(__xludf.DUMMYFUNCTION("""COMPUTED_VALUE"""),24600)</f>
        <v>24600</v>
      </c>
      <c r="J636" s="16">
        <f ca="1">IFERROR(__xludf.DUMMYFUNCTION("""COMPUTED_VALUE"""),45664)</f>
        <v>45664</v>
      </c>
      <c r="K636" s="12" t="str">
        <f ca="1">IFERROR(__xludf.DUMMYFUNCTION("""COMPUTED_VALUE"""),"永久降價")</f>
        <v>永久降價</v>
      </c>
      <c r="L636" s="12" t="str">
        <f ca="1">IFERROR(__xludf.DUMMYFUNCTION("""COMPUTED_VALUE"""),"上架中")</f>
        <v>上架中</v>
      </c>
      <c r="M636" s="12" t="str">
        <f ca="1">IFERROR(__xludf.DUMMYFUNCTION("""COMPUTED_VALUE"""),"2025/1/7調降售價、7/31少量到貨，5/16缺貨")</f>
        <v>2025/1/7調降售價、7/31少量到貨，5/16缺貨</v>
      </c>
      <c r="N636" s="12" t="str">
        <f ca="1">IFERROR(__xludf.DUMMYFUNCTION("""COMPUTED_VALUE"""),"窗型變頻冷暖")</f>
        <v>窗型變頻冷暖</v>
      </c>
      <c r="O636" s="12" t="str">
        <f ca="1">IFERROR(__xludf.DUMMYFUNCTION("""COMPUTED_VALUE"""),"白")</f>
        <v>白</v>
      </c>
      <c r="P636" s="12" t="str">
        <f ca="1">IFERROR(__xludf.DUMMYFUNCTION("""COMPUTED_VALUE"""),"4-6坪")</f>
        <v>4-6坪</v>
      </c>
      <c r="Q636" s="23" t="str">
        <f ca="1">IFERROR(__xludf.DUMMYFUNCTION("""COMPUTED_VALUE"""),"400*585*708mm")</f>
        <v>400*585*708mm</v>
      </c>
      <c r="R636" s="12" t="str">
        <f ca="1">IFERROR(__xludf.DUMMYFUNCTION("""COMPUTED_VALUE"""),"台灣")</f>
        <v>台灣</v>
      </c>
      <c r="S636" s="12" t="str">
        <f ca="1">IFERROR(__xludf.DUMMYFUNCTION("""COMPUTED_VALUE"""),"V")</f>
        <v>V</v>
      </c>
      <c r="T636" s="12" t="str">
        <f ca="1">IFERROR(__xludf.DUMMYFUNCTION("""COMPUTED_VALUE"""),"1級能效")</f>
        <v>1級能效</v>
      </c>
      <c r="U636" s="12" t="str">
        <f ca="1">IFERROR(__xludf.DUMMYFUNCTION("""COMPUTED_VALUE"""),"7年")</f>
        <v>7年</v>
      </c>
      <c r="V636" s="12" t="str">
        <f ca="1">IFERROR(__xludf.DUMMYFUNCTION("""COMPUTED_VALUE"""),"10年")</f>
        <v>10年</v>
      </c>
      <c r="W636" s="12"/>
      <c r="X636" s="12"/>
      <c r="Y636" s="12">
        <f ca="1">IFERROR(__xludf.DUMMYFUNCTION("""COMPUTED_VALUE"""),2.9)</f>
        <v>2.9</v>
      </c>
      <c r="Z636" s="14">
        <f ca="1">IFERROR(__xludf.DUMMYFUNCTION("""COMPUTED_VALUE"""),1600)</f>
        <v>1600</v>
      </c>
      <c r="AA636" s="15" t="str">
        <f ca="1">IFERROR(__xludf.DUMMYFUNCTION("""COMPUTED_VALUE"""),"*藍波防鏽*靜音除濕*LCD無線*預約關機*清淨濾網*健康舒眠")</f>
        <v>*藍波防鏽*靜音除濕*LCD無線*預約關機*清淨濾網*健康舒眠</v>
      </c>
    </row>
    <row r="637" spans="1:27" ht="19.5" customHeight="1">
      <c r="A637" s="12" t="str">
        <f ca="1">IFERROR(__xludf.DUMMYFUNCTION("""COMPUTED_VALUE"""),"空調")</f>
        <v>空調</v>
      </c>
      <c r="B637" s="12" t="str">
        <f ca="1">IFERROR(__xludf.DUMMYFUNCTION("""COMPUTED_VALUE"""),"安悅")</f>
        <v>安悅</v>
      </c>
      <c r="C637" s="12" t="str">
        <f ca="1">IFERROR(__xludf.DUMMYFUNCTION("""COMPUTED_VALUE"""),"東元")</f>
        <v>東元</v>
      </c>
      <c r="D637" s="12" t="str">
        <f ca="1">IFERROR(__xludf.DUMMYFUNCTION("""COMPUTED_VALUE"""),"東元22-24坪R410a一對一變頻分離式冷專空調MS140IE/MA140IC")</f>
        <v>東元22-24坪R410a一對一變頻分離式冷專空調MS140IE/MA140IC</v>
      </c>
      <c r="E637" s="12" t="str">
        <f ca="1">IFERROR(__xludf.DUMMYFUNCTION("""COMPUTED_VALUE"""),"MS140IE/MA140IC")</f>
        <v>MS140IE/MA140IC</v>
      </c>
      <c r="F637" s="12">
        <f ca="1">IFERROR(__xludf.DUMMYFUNCTION("""COMPUTED_VALUE"""),51082219)</f>
        <v>51082219</v>
      </c>
      <c r="G637" s="12" t="str">
        <f ca="1">IFERROR(__xludf.DUMMYFUNCTION("""COMPUTED_VALUE"""),"IGEM0496")</f>
        <v>IGEM0496</v>
      </c>
      <c r="H637" s="12"/>
      <c r="I637" s="14">
        <f ca="1">IFERROR(__xludf.DUMMYFUNCTION("""COMPUTED_VALUE"""),106000)</f>
        <v>106000</v>
      </c>
      <c r="J637" s="12"/>
      <c r="K637" s="12"/>
      <c r="L637" s="12" t="str">
        <f ca="1">IFERROR(__xludf.DUMMYFUNCTION("""COMPUTED_VALUE"""),"專案")</f>
        <v>專案</v>
      </c>
      <c r="M637" s="12" t="str">
        <f ca="1">IFERROR(__xludf.DUMMYFUNCTION("""COMPUTED_VALUE"""),"特殊規格專案商品，需洽廠商貨況")</f>
        <v>特殊規格專案商品，需洽廠商貨況</v>
      </c>
      <c r="N637" s="12" t="str">
        <f ca="1">IFERROR(__xludf.DUMMYFUNCTION("""COMPUTED_VALUE"""),"一對一變頻冷專")</f>
        <v>一對一變頻冷專</v>
      </c>
      <c r="O637" s="12" t="str">
        <f ca="1">IFERROR(__xludf.DUMMYFUNCTION("""COMPUTED_VALUE"""),"白")</f>
        <v>白</v>
      </c>
      <c r="P637" s="12" t="str">
        <f ca="1">IFERROR(__xludf.DUMMYFUNCTION("""COMPUTED_VALUE"""),"適用22坪-24坪")</f>
        <v>適用22坪-24坪</v>
      </c>
      <c r="Q637" s="23" t="str">
        <f ca="1">IFERROR(__xludf.DUMMYFUNCTION("""COMPUTED_VALUE"""),"室外機:900*950*350mm 室內機:350*1460*285mm")</f>
        <v>室外機:900*950*350mm 室內機:350*1460*285mm</v>
      </c>
      <c r="R637" s="12" t="str">
        <f ca="1">IFERROR(__xludf.DUMMYFUNCTION("""COMPUTED_VALUE"""),"台灣")</f>
        <v>台灣</v>
      </c>
      <c r="S637" s="12" t="str">
        <f ca="1">IFERROR(__xludf.DUMMYFUNCTION("""COMPUTED_VALUE"""),"V")</f>
        <v>V</v>
      </c>
      <c r="T637" s="12" t="str">
        <f ca="1">IFERROR(__xludf.DUMMYFUNCTION("""COMPUTED_VALUE"""),"1級能效")</f>
        <v>1級能效</v>
      </c>
      <c r="U637" s="12" t="str">
        <f ca="1">IFERROR(__xludf.DUMMYFUNCTION("""COMPUTED_VALUE"""),"7年")</f>
        <v>7年</v>
      </c>
      <c r="V637" s="12" t="str">
        <f ca="1">IFERROR(__xludf.DUMMYFUNCTION("""COMPUTED_VALUE"""),"10年")</f>
        <v>10年</v>
      </c>
      <c r="W637" s="12"/>
      <c r="X637" s="12"/>
      <c r="Y637" s="12">
        <f ca="1">IFERROR(__xludf.DUMMYFUNCTION("""COMPUTED_VALUE"""),14)</f>
        <v>14</v>
      </c>
      <c r="Z637" s="14" t="str">
        <f ca="1">IFERROR(__xludf.DUMMYFUNCTION("""COMPUTED_VALUE"""),"2000")</f>
        <v>2000</v>
      </c>
      <c r="AA637" s="15" t="str">
        <f ca="1">IFERROR(__xludf.DUMMYFUNCTION("""COMPUTED_VALUE"""),"*藍波防鏽*關機防霉*室內溫度顯示*R410a環保新冷媒*基板防潮防蟲")</f>
        <v>*藍波防鏽*關機防霉*室內溫度顯示*R410a環保新冷媒*基板防潮防蟲</v>
      </c>
    </row>
    <row r="638" spans="1:27" ht="19.5" customHeight="1">
      <c r="A638" s="12" t="str">
        <f ca="1">IFERROR(__xludf.DUMMYFUNCTION("""COMPUTED_VALUE"""),"空調")</f>
        <v>空調</v>
      </c>
      <c r="B638" s="12" t="str">
        <f ca="1">IFERROR(__xludf.DUMMYFUNCTION("""COMPUTED_VALUE"""),"安悅")</f>
        <v>安悅</v>
      </c>
      <c r="C638" s="12" t="str">
        <f ca="1">IFERROR(__xludf.DUMMYFUNCTION("""COMPUTED_VALUE"""),"東元")</f>
        <v>東元</v>
      </c>
      <c r="D638" s="12" t="str">
        <f ca="1">IFERROR(__xludf.DUMMYFUNCTION("""COMPUTED_VALUE"""),"東元22-24坪R410a一對一變頻吊隱式冷暖空調MA140IH/ME140IE")</f>
        <v>東元22-24坪R410a一對一變頻吊隱式冷暖空調MA140IH/ME140IE</v>
      </c>
      <c r="E638" s="12" t="str">
        <f ca="1">IFERROR(__xludf.DUMMYFUNCTION("""COMPUTED_VALUE"""),"MA140IH/ME140IE")</f>
        <v>MA140IH/ME140IE</v>
      </c>
      <c r="F638" s="12">
        <f ca="1">IFERROR(__xludf.DUMMYFUNCTION("""COMPUTED_VALUE"""),51082220)</f>
        <v>51082220</v>
      </c>
      <c r="G638" s="12" t="str">
        <f ca="1">IFERROR(__xludf.DUMMYFUNCTION("""COMPUTED_VALUE"""),"IGEM0497")</f>
        <v>IGEM0497</v>
      </c>
      <c r="H638" s="12"/>
      <c r="I638" s="14">
        <f ca="1">IFERROR(__xludf.DUMMYFUNCTION("""COMPUTED_VALUE"""),114000)</f>
        <v>114000</v>
      </c>
      <c r="J638" s="16">
        <f ca="1">IFERROR(__xludf.DUMMYFUNCTION("""COMPUTED_VALUE"""),44927)</f>
        <v>44927</v>
      </c>
      <c r="K638" s="12" t="str">
        <f ca="1">IFERROR(__xludf.DUMMYFUNCTION("""COMPUTED_VALUE"""),"到貨")</f>
        <v>到貨</v>
      </c>
      <c r="L638" s="12" t="str">
        <f ca="1">IFERROR(__xludf.DUMMYFUNCTION("""COMPUTED_VALUE"""),"專案")</f>
        <v>專案</v>
      </c>
      <c r="M638" s="12" t="str">
        <f ca="1">IFERROR(__xludf.DUMMYFUNCTION("""COMPUTED_VALUE"""),"特殊規格專案商品，需洽廠商貨況")</f>
        <v>特殊規格專案商品，需洽廠商貨況</v>
      </c>
      <c r="N638" s="12" t="str">
        <f ca="1">IFERROR(__xludf.DUMMYFUNCTION("""COMPUTED_VALUE"""),"一對一吊隱冷暖")</f>
        <v>一對一吊隱冷暖</v>
      </c>
      <c r="O638" s="12" t="str">
        <f ca="1">IFERROR(__xludf.DUMMYFUNCTION("""COMPUTED_VALUE"""),"白")</f>
        <v>白</v>
      </c>
      <c r="P638" s="12" t="str">
        <f ca="1">IFERROR(__xludf.DUMMYFUNCTION("""COMPUTED_VALUE"""),"適用22坪-24坪")</f>
        <v>適用22坪-24坪</v>
      </c>
      <c r="Q638" s="23" t="str">
        <f ca="1">IFERROR(__xludf.DUMMYFUNCTION("""COMPUTED_VALUE"""),"室外機:900*950*350mm 室內機:252*1900*489mm")</f>
        <v>室外機:900*950*350mm 室內機:252*1900*489mm</v>
      </c>
      <c r="R638" s="12" t="str">
        <f ca="1">IFERROR(__xludf.DUMMYFUNCTION("""COMPUTED_VALUE"""),"台灣")</f>
        <v>台灣</v>
      </c>
      <c r="S638" s="12"/>
      <c r="T638" s="12"/>
      <c r="U638" s="12" t="str">
        <f ca="1">IFERROR(__xludf.DUMMYFUNCTION("""COMPUTED_VALUE"""),"7年")</f>
        <v>7年</v>
      </c>
      <c r="V638" s="12" t="str">
        <f ca="1">IFERROR(__xludf.DUMMYFUNCTION("""COMPUTED_VALUE"""),"10年")</f>
        <v>10年</v>
      </c>
      <c r="W638" s="12"/>
      <c r="X638" s="12"/>
      <c r="Y638" s="12">
        <f ca="1">IFERROR(__xludf.DUMMYFUNCTION("""COMPUTED_VALUE"""),14)</f>
        <v>14</v>
      </c>
      <c r="Z638" s="14" t="str">
        <f ca="1">IFERROR(__xludf.DUMMYFUNCTION("""COMPUTED_VALUE"""),"2000")</f>
        <v>2000</v>
      </c>
      <c r="AA638" s="15" t="str">
        <f ca="1">IFERROR(__xludf.DUMMYFUNCTION("""COMPUTED_VALUE"""),"*藍波防鏽*關機防霉*室內溫度顯示*R410a環保新冷媒*基板防潮防蟲")</f>
        <v>*藍波防鏽*關機防霉*室內溫度顯示*R410a環保新冷媒*基板防潮防蟲</v>
      </c>
    </row>
    <row r="639" spans="1:27" ht="19.5" customHeight="1">
      <c r="A639" s="12" t="str">
        <f ca="1">IFERROR(__xludf.DUMMYFUNCTION("""COMPUTED_VALUE"""),"空調")</f>
        <v>空調</v>
      </c>
      <c r="B639" s="12" t="str">
        <f ca="1">IFERROR(__xludf.DUMMYFUNCTION("""COMPUTED_VALUE"""),"大同")</f>
        <v>大同</v>
      </c>
      <c r="C639" s="12" t="str">
        <f ca="1">IFERROR(__xludf.DUMMYFUNCTION("""COMPUTED_VALUE"""),"大同")</f>
        <v>大同</v>
      </c>
      <c r="D639" s="12" t="str">
        <f ca="1">IFERROR(__xludf.DUMMYFUNCTION("""COMPUTED_VALUE"""),"大同4~6坪一級能效變頻冷暖分離式空調 R-28DHSA/FT-28DHSA")</f>
        <v>大同4~6坪一級能效變頻冷暖分離式空調 R-28DHSA/FT-28DHSA</v>
      </c>
      <c r="E639" s="12" t="str">
        <f ca="1">IFERROR(__xludf.DUMMYFUNCTION("""COMPUTED_VALUE"""),"R-28DHSA/FT-28DHSA")</f>
        <v>R-28DHSA/FT-28DHSA</v>
      </c>
      <c r="F639" s="12">
        <f ca="1">IFERROR(__xludf.DUMMYFUNCTION("""COMPUTED_VALUE"""),51081388)</f>
        <v>51081388</v>
      </c>
      <c r="G639" s="12" t="str">
        <f ca="1">IFERROR(__xludf.DUMMYFUNCTION("""COMPUTED_VALUE"""),"IGEM104B")</f>
        <v>IGEM104B</v>
      </c>
      <c r="H639" s="13">
        <f ca="1">IFERROR(__xludf.DUMMYFUNCTION("""COMPUTED_VALUE"""),27900)</f>
        <v>27900</v>
      </c>
      <c r="I639" s="14">
        <f ca="1">IFERROR(__xludf.DUMMYFUNCTION("""COMPUTED_VALUE"""),22100)</f>
        <v>22100</v>
      </c>
      <c r="J639" s="16">
        <f ca="1">IFERROR(__xludf.DUMMYFUNCTION("""COMPUTED_VALUE"""),45646)</f>
        <v>45646</v>
      </c>
      <c r="K639" s="12" t="str">
        <f ca="1">IFERROR(__xludf.DUMMYFUNCTION("""COMPUTED_VALUE"""),"永久降價")</f>
        <v>永久降價</v>
      </c>
      <c r="L639" s="12" t="str">
        <f ca="1">IFERROR(__xludf.DUMMYFUNCTION("""COMPUTED_VALUE"""),"上架中")</f>
        <v>上架中</v>
      </c>
      <c r="M639" s="12" t="str">
        <f ca="1">IFERROR(__xludf.DUMMYFUNCTION("""COMPUTED_VALUE"""),"12/20調降、2024/7/5新機上架同時短促")</f>
        <v>12/20調降、2024/7/5新機上架同時短促</v>
      </c>
      <c r="N639" s="12" t="str">
        <f ca="1">IFERROR(__xludf.DUMMYFUNCTION("""COMPUTED_VALUE"""),"一對一變頻冷暖")</f>
        <v>一對一變頻冷暖</v>
      </c>
      <c r="O639" s="12" t="str">
        <f ca="1">IFERROR(__xludf.DUMMYFUNCTION("""COMPUTED_VALUE"""),"白")</f>
        <v>白</v>
      </c>
      <c r="P639" s="12" t="str">
        <f ca="1">IFERROR(__xludf.DUMMYFUNCTION("""COMPUTED_VALUE"""),"4-6坪")</f>
        <v>4-6坪</v>
      </c>
      <c r="Q639" s="23" t="str">
        <f ca="1">IFERROR(__xludf.DUMMYFUNCTION("""COMPUTED_VALUE"""),"室外機:545x880x316mm
室內機:270x850x208mm")</f>
        <v>室外機:545x880x316mm
室內機:270x850x208mm</v>
      </c>
      <c r="R639" s="12" t="str">
        <f ca="1">IFERROR(__xludf.DUMMYFUNCTION("""COMPUTED_VALUE"""),"中國")</f>
        <v>中國</v>
      </c>
      <c r="S639" s="22" t="str">
        <f ca="1">IFERROR(__xludf.DUMMYFUNCTION("""COMPUTED_VALUE"""),"V")</f>
        <v>V</v>
      </c>
      <c r="T639" s="13" t="str">
        <f ca="1">IFERROR(__xludf.DUMMYFUNCTION("""COMPUTED_VALUE"""),"1級能效")</f>
        <v>1級能效</v>
      </c>
      <c r="U639" s="22" t="str">
        <f ca="1">IFERROR(__xludf.DUMMYFUNCTION("""COMPUTED_VALUE"""),"主機保固7年")</f>
        <v>主機保固7年</v>
      </c>
      <c r="V639" s="12"/>
      <c r="W639" s="12"/>
      <c r="X639" s="12"/>
      <c r="Y639" s="12">
        <f ca="1">IFERROR(__xludf.DUMMYFUNCTION("""COMPUTED_VALUE"""),2.8)</f>
        <v>2.8</v>
      </c>
      <c r="Z639" s="14">
        <f ca="1">IFERROR(__xludf.DUMMYFUNCTION("""COMPUTED_VALUE"""),1600)</f>
        <v>1600</v>
      </c>
      <c r="AA639" s="15" t="str">
        <f ca="1">IFERROR(__xludf.DUMMYFUNCTION("""COMPUTED_VALUE"""),"*風速微電腦控制*上下左右擺葉韻律風*靜音睡眠功能，強力速冷功能")</f>
        <v>*風速微電腦控制*上下左右擺葉韻律風*靜音睡眠功能，強力速冷功能</v>
      </c>
    </row>
    <row r="640" spans="1:27" ht="19.5" customHeight="1">
      <c r="A640" s="12" t="str">
        <f ca="1">IFERROR(__xludf.DUMMYFUNCTION("""COMPUTED_VALUE"""),"空調")</f>
        <v>空調</v>
      </c>
      <c r="B640" s="12" t="str">
        <f ca="1">IFERROR(__xludf.DUMMYFUNCTION("""COMPUTED_VALUE"""),"大同")</f>
        <v>大同</v>
      </c>
      <c r="C640" s="12" t="str">
        <f ca="1">IFERROR(__xludf.DUMMYFUNCTION("""COMPUTED_VALUE"""),"大同")</f>
        <v>大同</v>
      </c>
      <c r="D640" s="12" t="str">
        <f ca="1">IFERROR(__xludf.DUMMYFUNCTION("""COMPUTED_VALUE"""),"大同5~7坪一級能效變頻冷暖分離式空調 R-36DHSA/FT-36DHSA")</f>
        <v>大同5~7坪一級能效變頻冷暖分離式空調 R-36DHSA/FT-36DHSA</v>
      </c>
      <c r="E640" s="12" t="str">
        <f ca="1">IFERROR(__xludf.DUMMYFUNCTION("""COMPUTED_VALUE"""),"R-36DHSA/FT-36DHSA")</f>
        <v>R-36DHSA/FT-36DHSA</v>
      </c>
      <c r="F640" s="12">
        <f ca="1">IFERROR(__xludf.DUMMYFUNCTION("""COMPUTED_VALUE"""),51081389)</f>
        <v>51081389</v>
      </c>
      <c r="G640" s="12" t="str">
        <f ca="1">IFERROR(__xludf.DUMMYFUNCTION("""COMPUTED_VALUE"""),"IGEM104C")</f>
        <v>IGEM104C</v>
      </c>
      <c r="H640" s="13">
        <f ca="1">IFERROR(__xludf.DUMMYFUNCTION("""COMPUTED_VALUE"""),32900)</f>
        <v>32900</v>
      </c>
      <c r="I640" s="14">
        <f ca="1">IFERROR(__xludf.DUMMYFUNCTION("""COMPUTED_VALUE"""),26100)</f>
        <v>26100</v>
      </c>
      <c r="J640" s="16">
        <f ca="1">IFERROR(__xludf.DUMMYFUNCTION("""COMPUTED_VALUE"""),45646)</f>
        <v>45646</v>
      </c>
      <c r="K640" s="12" t="str">
        <f ca="1">IFERROR(__xludf.DUMMYFUNCTION("""COMPUTED_VALUE"""),"永久降價")</f>
        <v>永久降價</v>
      </c>
      <c r="L640" s="12" t="str">
        <f ca="1">IFERROR(__xludf.DUMMYFUNCTION("""COMPUTED_VALUE"""),"上架中")</f>
        <v>上架中</v>
      </c>
      <c r="M640" s="12" t="str">
        <f ca="1">IFERROR(__xludf.DUMMYFUNCTION("""COMPUTED_VALUE"""),"12/20調降、2024/7/5新機上架同時短促")</f>
        <v>12/20調降、2024/7/5新機上架同時短促</v>
      </c>
      <c r="N640" s="12" t="str">
        <f ca="1">IFERROR(__xludf.DUMMYFUNCTION("""COMPUTED_VALUE"""),"一對一變頻冷暖")</f>
        <v>一對一變頻冷暖</v>
      </c>
      <c r="O640" s="12" t="str">
        <f ca="1">IFERROR(__xludf.DUMMYFUNCTION("""COMPUTED_VALUE"""),"白")</f>
        <v>白</v>
      </c>
      <c r="P640" s="12" t="str">
        <f ca="1">IFERROR(__xludf.DUMMYFUNCTION("""COMPUTED_VALUE"""),"5-7坪")</f>
        <v>5-7坪</v>
      </c>
      <c r="Q640" s="23" t="str">
        <f ca="1">IFERROR(__xludf.DUMMYFUNCTION("""COMPUTED_VALUE"""),"室外機:545x880x316mm
室內機:270x850x208mm")</f>
        <v>室外機:545x880x316mm
室內機:270x850x208mm</v>
      </c>
      <c r="R640" s="12" t="str">
        <f ca="1">IFERROR(__xludf.DUMMYFUNCTION("""COMPUTED_VALUE"""),"中國")</f>
        <v>中國</v>
      </c>
      <c r="S640" s="22" t="str">
        <f ca="1">IFERROR(__xludf.DUMMYFUNCTION("""COMPUTED_VALUE"""),"V")</f>
        <v>V</v>
      </c>
      <c r="T640" s="13" t="str">
        <f ca="1">IFERROR(__xludf.DUMMYFUNCTION("""COMPUTED_VALUE"""),"1級能效")</f>
        <v>1級能效</v>
      </c>
      <c r="U640" s="22" t="str">
        <f ca="1">IFERROR(__xludf.DUMMYFUNCTION("""COMPUTED_VALUE"""),"主機保固7年")</f>
        <v>主機保固7年</v>
      </c>
      <c r="V640" s="12"/>
      <c r="W640" s="12"/>
      <c r="X640" s="12"/>
      <c r="Y640" s="12">
        <f ca="1">IFERROR(__xludf.DUMMYFUNCTION("""COMPUTED_VALUE"""),3.6)</f>
        <v>3.6</v>
      </c>
      <c r="Z640" s="14" t="str">
        <f ca="1">IFERROR(__xludf.DUMMYFUNCTION("""COMPUTED_VALUE"""),"2000")</f>
        <v>2000</v>
      </c>
      <c r="AA640" s="15" t="str">
        <f ca="1">IFERROR(__xludf.DUMMYFUNCTION("""COMPUTED_VALUE"""),"*風速微電腦控制*上下左右擺葉韻律風*靜音睡眠功能，強力速冷功能")</f>
        <v>*風速微電腦控制*上下左右擺葉韻律風*靜音睡眠功能，強力速冷功能</v>
      </c>
    </row>
    <row r="641" spans="1:27" ht="19.5" customHeight="1">
      <c r="A641" s="12" t="str">
        <f ca="1">IFERROR(__xludf.DUMMYFUNCTION("""COMPUTED_VALUE"""),"空調")</f>
        <v>空調</v>
      </c>
      <c r="B641" s="12" t="str">
        <f ca="1">IFERROR(__xludf.DUMMYFUNCTION("""COMPUTED_VALUE"""),"大同")</f>
        <v>大同</v>
      </c>
      <c r="C641" s="12" t="str">
        <f ca="1">IFERROR(__xludf.DUMMYFUNCTION("""COMPUTED_VALUE"""),"大同")</f>
        <v>大同</v>
      </c>
      <c r="D641" s="12" t="str">
        <f ca="1">IFERROR(__xludf.DUMMYFUNCTION("""COMPUTED_VALUE"""),"大同6~8坪一級能效變頻冷暖分離式空調 R-42DHSA/FT-42DHSA")</f>
        <v>大同6~8坪一級能效變頻冷暖分離式空調 R-42DHSA/FT-42DHSA</v>
      </c>
      <c r="E641" s="12" t="str">
        <f ca="1">IFERROR(__xludf.DUMMYFUNCTION("""COMPUTED_VALUE"""),"R-42DHSA/FT-42DHSA")</f>
        <v>R-42DHSA/FT-42DHSA</v>
      </c>
      <c r="F641" s="12">
        <f ca="1">IFERROR(__xludf.DUMMYFUNCTION("""COMPUTED_VALUE"""),51081390)</f>
        <v>51081390</v>
      </c>
      <c r="G641" s="12" t="str">
        <f ca="1">IFERROR(__xludf.DUMMYFUNCTION("""COMPUTED_VALUE"""),"IGEM104D")</f>
        <v>IGEM104D</v>
      </c>
      <c r="H641" s="13">
        <f ca="1">IFERROR(__xludf.DUMMYFUNCTION("""COMPUTED_VALUE"""),34900)</f>
        <v>34900</v>
      </c>
      <c r="I641" s="14">
        <f ca="1">IFERROR(__xludf.DUMMYFUNCTION("""COMPUTED_VALUE"""),28400)</f>
        <v>28400</v>
      </c>
      <c r="J641" s="16">
        <f ca="1">IFERROR(__xludf.DUMMYFUNCTION("""COMPUTED_VALUE"""),45646)</f>
        <v>45646</v>
      </c>
      <c r="K641" s="12" t="str">
        <f ca="1">IFERROR(__xludf.DUMMYFUNCTION("""COMPUTED_VALUE"""),"永久降價")</f>
        <v>永久降價</v>
      </c>
      <c r="L641" s="12" t="str">
        <f ca="1">IFERROR(__xludf.DUMMYFUNCTION("""COMPUTED_VALUE"""),"上架中")</f>
        <v>上架中</v>
      </c>
      <c r="M641" s="12" t="str">
        <f ca="1">IFERROR(__xludf.DUMMYFUNCTION("""COMPUTED_VALUE"""),"12/20調降、2024/7/5新機上架同時短促")</f>
        <v>12/20調降、2024/7/5新機上架同時短促</v>
      </c>
      <c r="N641" s="12" t="str">
        <f ca="1">IFERROR(__xludf.DUMMYFUNCTION("""COMPUTED_VALUE"""),"一對一變頻冷暖")</f>
        <v>一對一變頻冷暖</v>
      </c>
      <c r="O641" s="12" t="str">
        <f ca="1">IFERROR(__xludf.DUMMYFUNCTION("""COMPUTED_VALUE"""),"白")</f>
        <v>白</v>
      </c>
      <c r="P641" s="12" t="str">
        <f ca="1">IFERROR(__xludf.DUMMYFUNCTION("""COMPUTED_VALUE"""),"6-8坪")</f>
        <v>6-8坪</v>
      </c>
      <c r="Q641" s="23" t="str">
        <f ca="1">IFERROR(__xludf.DUMMYFUNCTION("""COMPUTED_VALUE"""),"室外機:590x910x338mm
室內機:315x960x230mm")</f>
        <v>室外機:590x910x338mm
室內機:315x960x230mm</v>
      </c>
      <c r="R641" s="12" t="str">
        <f ca="1">IFERROR(__xludf.DUMMYFUNCTION("""COMPUTED_VALUE"""),"中國")</f>
        <v>中國</v>
      </c>
      <c r="S641" s="22" t="str">
        <f ca="1">IFERROR(__xludf.DUMMYFUNCTION("""COMPUTED_VALUE"""),"V")</f>
        <v>V</v>
      </c>
      <c r="T641" s="13" t="str">
        <f ca="1">IFERROR(__xludf.DUMMYFUNCTION("""COMPUTED_VALUE"""),"1級能效")</f>
        <v>1級能效</v>
      </c>
      <c r="U641" s="22" t="str">
        <f ca="1">IFERROR(__xludf.DUMMYFUNCTION("""COMPUTED_VALUE"""),"主機保固7年")</f>
        <v>主機保固7年</v>
      </c>
      <c r="V641" s="12"/>
      <c r="W641" s="12"/>
      <c r="X641" s="12"/>
      <c r="Y641" s="12">
        <f ca="1">IFERROR(__xludf.DUMMYFUNCTION("""COMPUTED_VALUE"""),4.1)</f>
        <v>4.0999999999999996</v>
      </c>
      <c r="Z641" s="14" t="str">
        <f ca="1">IFERROR(__xludf.DUMMYFUNCTION("""COMPUTED_VALUE"""),"2000")</f>
        <v>2000</v>
      </c>
      <c r="AA641" s="15" t="str">
        <f ca="1">IFERROR(__xludf.DUMMYFUNCTION("""COMPUTED_VALUE"""),"*風速微電腦控制*上下左右擺葉韻律風*靜音睡眠功能，強力速冷功能")</f>
        <v>*風速微電腦控制*上下左右擺葉韻律風*靜音睡眠功能，強力速冷功能</v>
      </c>
    </row>
    <row r="642" spans="1:27" ht="19.5" customHeight="1">
      <c r="A642" s="12" t="str">
        <f ca="1">IFERROR(__xludf.DUMMYFUNCTION("""COMPUTED_VALUE"""),"空調")</f>
        <v>空調</v>
      </c>
      <c r="B642" s="12" t="str">
        <f ca="1">IFERROR(__xludf.DUMMYFUNCTION("""COMPUTED_VALUE"""),"大同")</f>
        <v>大同</v>
      </c>
      <c r="C642" s="12" t="str">
        <f ca="1">IFERROR(__xludf.DUMMYFUNCTION("""COMPUTED_VALUE"""),"大同")</f>
        <v>大同</v>
      </c>
      <c r="D642" s="12" t="str">
        <f ca="1">IFERROR(__xludf.DUMMYFUNCTION("""COMPUTED_VALUE"""),"大同9~11坪一級能效變頻冷暖分離式空調 R-50DHSA/FT-50DHSA")</f>
        <v>大同9~11坪一級能效變頻冷暖分離式空調 R-50DHSA/FT-50DHSA</v>
      </c>
      <c r="E642" s="12" t="str">
        <f ca="1">IFERROR(__xludf.DUMMYFUNCTION("""COMPUTED_VALUE"""),"R-50DHSA/FT-50DHSA")</f>
        <v>R-50DHSA/FT-50DHSA</v>
      </c>
      <c r="F642" s="12">
        <f ca="1">IFERROR(__xludf.DUMMYFUNCTION("""COMPUTED_VALUE"""),51081391)</f>
        <v>51081391</v>
      </c>
      <c r="G642" s="12" t="str">
        <f ca="1">IFERROR(__xludf.DUMMYFUNCTION("""COMPUTED_VALUE"""),"IGEM104E")</f>
        <v>IGEM104E</v>
      </c>
      <c r="H642" s="13">
        <f ca="1">IFERROR(__xludf.DUMMYFUNCTION("""COMPUTED_VALUE"""),41900)</f>
        <v>41900</v>
      </c>
      <c r="I642" s="14">
        <f ca="1">IFERROR(__xludf.DUMMYFUNCTION("""COMPUTED_VALUE"""),33400)</f>
        <v>33400</v>
      </c>
      <c r="J642" s="16">
        <f ca="1">IFERROR(__xludf.DUMMYFUNCTION("""COMPUTED_VALUE"""),45646)</f>
        <v>45646</v>
      </c>
      <c r="K642" s="12" t="str">
        <f ca="1">IFERROR(__xludf.DUMMYFUNCTION("""COMPUTED_VALUE"""),"永久降價")</f>
        <v>永久降價</v>
      </c>
      <c r="L642" s="12" t="str">
        <f ca="1">IFERROR(__xludf.DUMMYFUNCTION("""COMPUTED_VALUE"""),"上架中")</f>
        <v>上架中</v>
      </c>
      <c r="M642" s="12" t="str">
        <f ca="1">IFERROR(__xludf.DUMMYFUNCTION("""COMPUTED_VALUE"""),"12/20調降、2024/7/5新機上架同時短促")</f>
        <v>12/20調降、2024/7/5新機上架同時短促</v>
      </c>
      <c r="N642" s="12" t="str">
        <f ca="1">IFERROR(__xludf.DUMMYFUNCTION("""COMPUTED_VALUE"""),"一對一變頻冷暖")</f>
        <v>一對一變頻冷暖</v>
      </c>
      <c r="O642" s="12" t="str">
        <f ca="1">IFERROR(__xludf.DUMMYFUNCTION("""COMPUTED_VALUE"""),"白")</f>
        <v>白</v>
      </c>
      <c r="P642" s="12" t="str">
        <f ca="1">IFERROR(__xludf.DUMMYFUNCTION("""COMPUTED_VALUE"""),"9-11坪")</f>
        <v>9-11坪</v>
      </c>
      <c r="Q642" s="23" t="str">
        <f ca="1">IFERROR(__xludf.DUMMYFUNCTION("""COMPUTED_VALUE"""),"室外機:590x910x338mm
室內機:315x960x230mm")</f>
        <v>室外機:590x910x338mm
室內機:315x960x230mm</v>
      </c>
      <c r="R642" s="12" t="str">
        <f ca="1">IFERROR(__xludf.DUMMYFUNCTION("""COMPUTED_VALUE"""),"中國")</f>
        <v>中國</v>
      </c>
      <c r="S642" s="22" t="str">
        <f ca="1">IFERROR(__xludf.DUMMYFUNCTION("""COMPUTED_VALUE"""),"V")</f>
        <v>V</v>
      </c>
      <c r="T642" s="13" t="str">
        <f ca="1">IFERROR(__xludf.DUMMYFUNCTION("""COMPUTED_VALUE"""),"1級能效")</f>
        <v>1級能效</v>
      </c>
      <c r="U642" s="22" t="str">
        <f ca="1">IFERROR(__xludf.DUMMYFUNCTION("""COMPUTED_VALUE"""),"主機保固7年")</f>
        <v>主機保固7年</v>
      </c>
      <c r="V642" s="12"/>
      <c r="W642" s="12"/>
      <c r="X642" s="12"/>
      <c r="Y642" s="12">
        <f ca="1">IFERROR(__xludf.DUMMYFUNCTION("""COMPUTED_VALUE"""),5)</f>
        <v>5</v>
      </c>
      <c r="Z642" s="14" t="str">
        <f ca="1">IFERROR(__xludf.DUMMYFUNCTION("""COMPUTED_VALUE"""),"2000")</f>
        <v>2000</v>
      </c>
      <c r="AA642" s="15" t="str">
        <f ca="1">IFERROR(__xludf.DUMMYFUNCTION("""COMPUTED_VALUE"""),"*風速微電腦控制*上下左右擺葉韻律風*靜音睡眠功能，強力速冷功能")</f>
        <v>*風速微電腦控制*上下左右擺葉韻律風*靜音睡眠功能，強力速冷功能</v>
      </c>
    </row>
    <row r="643" spans="1:27" ht="19.5" customHeight="1">
      <c r="A643" s="12" t="str">
        <f ca="1">IFERROR(__xludf.DUMMYFUNCTION("""COMPUTED_VALUE"""),"空調")</f>
        <v>空調</v>
      </c>
      <c r="B643" s="12" t="str">
        <f ca="1">IFERROR(__xludf.DUMMYFUNCTION("""COMPUTED_VALUE"""),"大同")</f>
        <v>大同</v>
      </c>
      <c r="C643" s="12" t="str">
        <f ca="1">IFERROR(__xludf.DUMMYFUNCTION("""COMPUTED_VALUE"""),"大同")</f>
        <v>大同</v>
      </c>
      <c r="D643" s="12" t="str">
        <f ca="1">IFERROR(__xludf.DUMMYFUNCTION("""COMPUTED_VALUE"""),"大同10~13坪一級能效變頻冷暖分離式空調 R-63DHSA/FT-63DHSA")</f>
        <v>大同10~13坪一級能效變頻冷暖分離式空調 R-63DHSA/FT-63DHSA</v>
      </c>
      <c r="E643" s="12" t="str">
        <f ca="1">IFERROR(__xludf.DUMMYFUNCTION("""COMPUTED_VALUE"""),"R-63DHSA/FT-63DHSA")</f>
        <v>R-63DHSA/FT-63DHSA</v>
      </c>
      <c r="F643" s="12">
        <f ca="1">IFERROR(__xludf.DUMMYFUNCTION("""COMPUTED_VALUE"""),51081392)</f>
        <v>51081392</v>
      </c>
      <c r="G643" s="12" t="str">
        <f ca="1">IFERROR(__xludf.DUMMYFUNCTION("""COMPUTED_VALUE"""),"IGEM104F")</f>
        <v>IGEM104F</v>
      </c>
      <c r="H643" s="13">
        <f ca="1">IFERROR(__xludf.DUMMYFUNCTION("""COMPUTED_VALUE"""),50900)</f>
        <v>50900</v>
      </c>
      <c r="I643" s="14">
        <f ca="1">IFERROR(__xludf.DUMMYFUNCTION("""COMPUTED_VALUE"""),42200)</f>
        <v>42200</v>
      </c>
      <c r="J643" s="16">
        <f ca="1">IFERROR(__xludf.DUMMYFUNCTION("""COMPUTED_VALUE"""),45646)</f>
        <v>45646</v>
      </c>
      <c r="K643" s="12" t="str">
        <f ca="1">IFERROR(__xludf.DUMMYFUNCTION("""COMPUTED_VALUE"""),"永久降價")</f>
        <v>永久降價</v>
      </c>
      <c r="L643" s="12" t="str">
        <f ca="1">IFERROR(__xludf.DUMMYFUNCTION("""COMPUTED_VALUE"""),"上架中")</f>
        <v>上架中</v>
      </c>
      <c r="M643" s="12" t="str">
        <f ca="1">IFERROR(__xludf.DUMMYFUNCTION("""COMPUTED_VALUE"""),"12/20調降、2024/7/5新機上架同時短促")</f>
        <v>12/20調降、2024/7/5新機上架同時短促</v>
      </c>
      <c r="N643" s="12" t="str">
        <f ca="1">IFERROR(__xludf.DUMMYFUNCTION("""COMPUTED_VALUE"""),"一對一變頻冷暖")</f>
        <v>一對一變頻冷暖</v>
      </c>
      <c r="O643" s="12" t="str">
        <f ca="1">IFERROR(__xludf.DUMMYFUNCTION("""COMPUTED_VALUE"""),"白")</f>
        <v>白</v>
      </c>
      <c r="P643" s="12" t="str">
        <f ca="1">IFERROR(__xludf.DUMMYFUNCTION("""COMPUTED_VALUE"""),"10-13坪")</f>
        <v>10-13坪</v>
      </c>
      <c r="Q643" s="23" t="str">
        <f ca="1">IFERROR(__xludf.DUMMYFUNCTION("""COMPUTED_VALUE"""),"室外機:670x970x370mm
室內機:315x1131x230mm")</f>
        <v>室外機:670x970x370mm
室內機:315x1131x230mm</v>
      </c>
      <c r="R643" s="12" t="str">
        <f ca="1">IFERROR(__xludf.DUMMYFUNCTION("""COMPUTED_VALUE"""),"中國")</f>
        <v>中國</v>
      </c>
      <c r="S643" s="22" t="str">
        <f ca="1">IFERROR(__xludf.DUMMYFUNCTION("""COMPUTED_VALUE"""),"V")</f>
        <v>V</v>
      </c>
      <c r="T643" s="13" t="str">
        <f ca="1">IFERROR(__xludf.DUMMYFUNCTION("""COMPUTED_VALUE"""),"1級能效")</f>
        <v>1級能效</v>
      </c>
      <c r="U643" s="22" t="str">
        <f ca="1">IFERROR(__xludf.DUMMYFUNCTION("""COMPUTED_VALUE"""),"主機保固7年")</f>
        <v>主機保固7年</v>
      </c>
      <c r="V643" s="12"/>
      <c r="W643" s="12"/>
      <c r="X643" s="12"/>
      <c r="Y643" s="12">
        <f ca="1">IFERROR(__xludf.DUMMYFUNCTION("""COMPUTED_VALUE"""),6.3)</f>
        <v>6.3</v>
      </c>
      <c r="Z643" s="14" t="str">
        <f ca="1">IFERROR(__xludf.DUMMYFUNCTION("""COMPUTED_VALUE"""),"2000")</f>
        <v>2000</v>
      </c>
      <c r="AA643" s="15" t="str">
        <f ca="1">IFERROR(__xludf.DUMMYFUNCTION("""COMPUTED_VALUE"""),"*風速微電腦控制*上下左右擺葉韻律風*靜音睡眠功能，強力速冷功能")</f>
        <v>*風速微電腦控制*上下左右擺葉韻律風*靜音睡眠功能，強力速冷功能</v>
      </c>
    </row>
    <row r="644" spans="1:27" ht="19.5" customHeight="1">
      <c r="A644" s="12" t="str">
        <f ca="1">IFERROR(__xludf.DUMMYFUNCTION("""COMPUTED_VALUE"""),"空調")</f>
        <v>空調</v>
      </c>
      <c r="B644" s="12" t="str">
        <f ca="1">IFERROR(__xludf.DUMMYFUNCTION("""COMPUTED_VALUE"""),"大同")</f>
        <v>大同</v>
      </c>
      <c r="C644" s="12" t="str">
        <f ca="1">IFERROR(__xludf.DUMMYFUNCTION("""COMPUTED_VALUE"""),"大同")</f>
        <v>大同</v>
      </c>
      <c r="D644" s="12" t="str">
        <f ca="1">IFERROR(__xludf.DUMMYFUNCTION("""COMPUTED_VALUE"""),"大同11~15坪一級能效變頻冷暖分離式空調 R-73DHSA/FT-73DHSA")</f>
        <v>大同11~15坪一級能效變頻冷暖分離式空調 R-73DHSA/FT-73DHSA</v>
      </c>
      <c r="E644" s="12" t="str">
        <f ca="1">IFERROR(__xludf.DUMMYFUNCTION("""COMPUTED_VALUE"""),"R-73DHSA/FT-73DHSA")</f>
        <v>R-73DHSA/FT-73DHSA</v>
      </c>
      <c r="F644" s="12">
        <f ca="1">IFERROR(__xludf.DUMMYFUNCTION("""COMPUTED_VALUE"""),51081393)</f>
        <v>51081393</v>
      </c>
      <c r="G644" s="12" t="str">
        <f ca="1">IFERROR(__xludf.DUMMYFUNCTION("""COMPUTED_VALUE"""),"IGEM104G")</f>
        <v>IGEM104G</v>
      </c>
      <c r="H644" s="13">
        <f ca="1">IFERROR(__xludf.DUMMYFUNCTION("""COMPUTED_VALUE"""),55900)</f>
        <v>55900</v>
      </c>
      <c r="I644" s="14">
        <f ca="1">IFERROR(__xludf.DUMMYFUNCTION("""COMPUTED_VALUE"""),46695)</f>
        <v>46695</v>
      </c>
      <c r="J644" s="16">
        <f ca="1">IFERROR(__xludf.DUMMYFUNCTION("""COMPUTED_VALUE"""),45646)</f>
        <v>45646</v>
      </c>
      <c r="K644" s="12" t="str">
        <f ca="1">IFERROR(__xludf.DUMMYFUNCTION("""COMPUTED_VALUE"""),"永久降價")</f>
        <v>永久降價</v>
      </c>
      <c r="L644" s="12" t="str">
        <f ca="1">IFERROR(__xludf.DUMMYFUNCTION("""COMPUTED_VALUE"""),"上架中")</f>
        <v>上架中</v>
      </c>
      <c r="M644" s="12" t="str">
        <f ca="1">IFERROR(__xludf.DUMMYFUNCTION("""COMPUTED_VALUE"""),"12/20調降、2024/7/5新機上架同時短促")</f>
        <v>12/20調降、2024/7/5新機上架同時短促</v>
      </c>
      <c r="N644" s="12" t="str">
        <f ca="1">IFERROR(__xludf.DUMMYFUNCTION("""COMPUTED_VALUE"""),"一對一變頻冷暖")</f>
        <v>一對一變頻冷暖</v>
      </c>
      <c r="O644" s="12" t="str">
        <f ca="1">IFERROR(__xludf.DUMMYFUNCTION("""COMPUTED_VALUE"""),"白")</f>
        <v>白</v>
      </c>
      <c r="P644" s="12" t="str">
        <f ca="1">IFERROR(__xludf.DUMMYFUNCTION("""COMPUTED_VALUE"""),"11-15坪")</f>
        <v>11-15坪</v>
      </c>
      <c r="Q644" s="23" t="str">
        <f ca="1">IFERROR(__xludf.DUMMYFUNCTION("""COMPUTED_VALUE"""),"室外機:670x970x370mm
室內機:315x1131x230mm")</f>
        <v>室外機:670x970x370mm
室內機:315x1131x230mm</v>
      </c>
      <c r="R644" s="12" t="str">
        <f ca="1">IFERROR(__xludf.DUMMYFUNCTION("""COMPUTED_VALUE"""),"中國")</f>
        <v>中國</v>
      </c>
      <c r="S644" s="22" t="str">
        <f ca="1">IFERROR(__xludf.DUMMYFUNCTION("""COMPUTED_VALUE"""),"V")</f>
        <v>V</v>
      </c>
      <c r="T644" s="13" t="str">
        <f ca="1">IFERROR(__xludf.DUMMYFUNCTION("""COMPUTED_VALUE"""),"1級能效")</f>
        <v>1級能效</v>
      </c>
      <c r="U644" s="22" t="str">
        <f ca="1">IFERROR(__xludf.DUMMYFUNCTION("""COMPUTED_VALUE"""),"主機保固7年")</f>
        <v>主機保固7年</v>
      </c>
      <c r="V644" s="12"/>
      <c r="W644" s="12"/>
      <c r="X644" s="12"/>
      <c r="Y644" s="12">
        <f ca="1">IFERROR(__xludf.DUMMYFUNCTION("""COMPUTED_VALUE"""),7.2)</f>
        <v>7.2</v>
      </c>
      <c r="Z644" s="14" t="str">
        <f ca="1">IFERROR(__xludf.DUMMYFUNCTION("""COMPUTED_VALUE"""),"2000")</f>
        <v>2000</v>
      </c>
      <c r="AA644" s="15" t="str">
        <f ca="1">IFERROR(__xludf.DUMMYFUNCTION("""COMPUTED_VALUE"""),"*風速微電腦控制*上下左右擺葉韻律風*靜音睡眠功能，強力速冷功能")</f>
        <v>*風速微電腦控制*上下左右擺葉韻律風*靜音睡眠功能，強力速冷功能</v>
      </c>
    </row>
    <row r="645" spans="1:27" ht="19.5" customHeight="1">
      <c r="A645" s="12" t="str">
        <f ca="1">IFERROR(__xludf.DUMMYFUNCTION("""COMPUTED_VALUE"""),"空調")</f>
        <v>空調</v>
      </c>
      <c r="B645" s="12" t="str">
        <f ca="1">IFERROR(__xludf.DUMMYFUNCTION("""COMPUTED_VALUE"""),"大同")</f>
        <v>大同</v>
      </c>
      <c r="C645" s="12" t="str">
        <f ca="1">IFERROR(__xludf.DUMMYFUNCTION("""COMPUTED_VALUE"""),"大同")</f>
        <v>大同</v>
      </c>
      <c r="D645" s="12" t="str">
        <f ca="1">IFERROR(__xludf.DUMMYFUNCTION("""COMPUTED_VALUE"""),"大同12~16坪一級能效變頻冷暖分離式空調 R-80DHSA/FT-80DHSA")</f>
        <v>大同12~16坪一級能效變頻冷暖分離式空調 R-80DHSA/FT-80DHSA</v>
      </c>
      <c r="E645" s="12" t="str">
        <f ca="1">IFERROR(__xludf.DUMMYFUNCTION("""COMPUTED_VALUE"""),"R-80DHSA/FT-80DHSA")</f>
        <v>R-80DHSA/FT-80DHSA</v>
      </c>
      <c r="F645" s="12">
        <f ca="1">IFERROR(__xludf.DUMMYFUNCTION("""COMPUTED_VALUE"""),51081394)</f>
        <v>51081394</v>
      </c>
      <c r="G645" s="12" t="str">
        <f ca="1">IFERROR(__xludf.DUMMYFUNCTION("""COMPUTED_VALUE"""),"IGEM104H")</f>
        <v>IGEM104H</v>
      </c>
      <c r="H645" s="13">
        <f ca="1">IFERROR(__xludf.DUMMYFUNCTION("""COMPUTED_VALUE"""),62900)</f>
        <v>62900</v>
      </c>
      <c r="I645" s="14">
        <f ca="1">IFERROR(__xludf.DUMMYFUNCTION("""COMPUTED_VALUE"""),53000)</f>
        <v>53000</v>
      </c>
      <c r="J645" s="16">
        <f ca="1">IFERROR(__xludf.DUMMYFUNCTION("""COMPUTED_VALUE"""),45646)</f>
        <v>45646</v>
      </c>
      <c r="K645" s="12" t="str">
        <f ca="1">IFERROR(__xludf.DUMMYFUNCTION("""COMPUTED_VALUE"""),"永久降價")</f>
        <v>永久降價</v>
      </c>
      <c r="L645" s="12" t="str">
        <f ca="1">IFERROR(__xludf.DUMMYFUNCTION("""COMPUTED_VALUE"""),"上架中")</f>
        <v>上架中</v>
      </c>
      <c r="M645" s="12" t="str">
        <f ca="1">IFERROR(__xludf.DUMMYFUNCTION("""COMPUTED_VALUE"""),"12/20調降、2024/7/5新機上架同時短促")</f>
        <v>12/20調降、2024/7/5新機上架同時短促</v>
      </c>
      <c r="N645" s="12" t="str">
        <f ca="1">IFERROR(__xludf.DUMMYFUNCTION("""COMPUTED_VALUE"""),"一對一變頻冷暖")</f>
        <v>一對一變頻冷暖</v>
      </c>
      <c r="O645" s="12" t="str">
        <f ca="1">IFERROR(__xludf.DUMMYFUNCTION("""COMPUTED_VALUE"""),"白")</f>
        <v>白</v>
      </c>
      <c r="P645" s="12" t="str">
        <f ca="1">IFERROR(__xludf.DUMMYFUNCTION("""COMPUTED_VALUE"""),"12-16坪")</f>
        <v>12-16坪</v>
      </c>
      <c r="Q645" s="23" t="str">
        <f ca="1">IFERROR(__xludf.DUMMYFUNCTION("""COMPUTED_VALUE"""),"室外機:758x1012x398mm
室內機:360x1280x260mm")</f>
        <v>室外機:758x1012x398mm
室內機:360x1280x260mm</v>
      </c>
      <c r="R645" s="12" t="str">
        <f ca="1">IFERROR(__xludf.DUMMYFUNCTION("""COMPUTED_VALUE"""),"中國")</f>
        <v>中國</v>
      </c>
      <c r="S645" s="22" t="str">
        <f ca="1">IFERROR(__xludf.DUMMYFUNCTION("""COMPUTED_VALUE"""),"V")</f>
        <v>V</v>
      </c>
      <c r="T645" s="13" t="str">
        <f ca="1">IFERROR(__xludf.DUMMYFUNCTION("""COMPUTED_VALUE"""),"1級能效")</f>
        <v>1級能效</v>
      </c>
      <c r="U645" s="22" t="str">
        <f ca="1">IFERROR(__xludf.DUMMYFUNCTION("""COMPUTED_VALUE"""),"主機保固7年")</f>
        <v>主機保固7年</v>
      </c>
      <c r="V645" s="12"/>
      <c r="W645" s="12"/>
      <c r="X645" s="12"/>
      <c r="Y645" s="12">
        <f ca="1">IFERROR(__xludf.DUMMYFUNCTION("""COMPUTED_VALUE"""),8)</f>
        <v>8</v>
      </c>
      <c r="Z645" s="14" t="str">
        <f ca="1">IFERROR(__xludf.DUMMYFUNCTION("""COMPUTED_VALUE"""),"2000")</f>
        <v>2000</v>
      </c>
      <c r="AA645" s="15" t="str">
        <f ca="1">IFERROR(__xludf.DUMMYFUNCTION("""COMPUTED_VALUE"""),"*風速微電腦控制*上下左右擺葉韻律風*靜音睡眠功能，強力速冷功能")</f>
        <v>*風速微電腦控制*上下左右擺葉韻律風*靜音睡眠功能，強力速冷功能</v>
      </c>
    </row>
    <row r="646" spans="1:27" ht="19.5" customHeight="1">
      <c r="A646" s="12" t="str">
        <f ca="1">IFERROR(__xludf.DUMMYFUNCTION("""COMPUTED_VALUE"""),"空調")</f>
        <v>空調</v>
      </c>
      <c r="B646" s="12" t="str">
        <f ca="1">IFERROR(__xludf.DUMMYFUNCTION("""COMPUTED_VALUE"""),"大同")</f>
        <v>大同</v>
      </c>
      <c r="C646" s="12" t="str">
        <f ca="1">IFERROR(__xludf.DUMMYFUNCTION("""COMPUTED_VALUE"""),"大同")</f>
        <v>大同</v>
      </c>
      <c r="D646" s="12" t="str">
        <f ca="1">IFERROR(__xludf.DUMMYFUNCTION("""COMPUTED_VALUE"""),"大同13~18坪一級能效變頻冷暖分離式空調 R-90DHSA/FT-90DHSA")</f>
        <v>大同13~18坪一級能效變頻冷暖分離式空調 R-90DHSA/FT-90DHSA</v>
      </c>
      <c r="E646" s="12" t="str">
        <f ca="1">IFERROR(__xludf.DUMMYFUNCTION("""COMPUTED_VALUE"""),"R-90DHSA/FT-90DHSA")</f>
        <v>R-90DHSA/FT-90DHSA</v>
      </c>
      <c r="F646" s="12">
        <f ca="1">IFERROR(__xludf.DUMMYFUNCTION("""COMPUTED_VALUE"""),51081395)</f>
        <v>51081395</v>
      </c>
      <c r="G646" s="12" t="str">
        <f ca="1">IFERROR(__xludf.DUMMYFUNCTION("""COMPUTED_VALUE"""),"IGEM104I")</f>
        <v>IGEM104I</v>
      </c>
      <c r="H646" s="13">
        <f ca="1">IFERROR(__xludf.DUMMYFUNCTION("""COMPUTED_VALUE"""),65900)</f>
        <v>65900</v>
      </c>
      <c r="I646" s="14">
        <f ca="1">IFERROR(__xludf.DUMMYFUNCTION("""COMPUTED_VALUE"""),55800)</f>
        <v>55800</v>
      </c>
      <c r="J646" s="16">
        <f ca="1">IFERROR(__xludf.DUMMYFUNCTION("""COMPUTED_VALUE"""),45646)</f>
        <v>45646</v>
      </c>
      <c r="K646" s="12" t="str">
        <f ca="1">IFERROR(__xludf.DUMMYFUNCTION("""COMPUTED_VALUE"""),"永久降價")</f>
        <v>永久降價</v>
      </c>
      <c r="L646" s="12" t="str">
        <f ca="1">IFERROR(__xludf.DUMMYFUNCTION("""COMPUTED_VALUE"""),"上架中")</f>
        <v>上架中</v>
      </c>
      <c r="M646" s="12" t="str">
        <f ca="1">IFERROR(__xludf.DUMMYFUNCTION("""COMPUTED_VALUE"""),"12/20調降、2024/7/5新機上架同時短促")</f>
        <v>12/20調降、2024/7/5新機上架同時短促</v>
      </c>
      <c r="N646" s="12" t="str">
        <f ca="1">IFERROR(__xludf.DUMMYFUNCTION("""COMPUTED_VALUE"""),"一對一變頻冷暖")</f>
        <v>一對一變頻冷暖</v>
      </c>
      <c r="O646" s="12" t="str">
        <f ca="1">IFERROR(__xludf.DUMMYFUNCTION("""COMPUTED_VALUE"""),"白")</f>
        <v>白</v>
      </c>
      <c r="P646" s="12" t="str">
        <f ca="1">IFERROR(__xludf.DUMMYFUNCTION("""COMPUTED_VALUE"""),"13-18坪")</f>
        <v>13-18坪</v>
      </c>
      <c r="Q646" s="23" t="str">
        <f ca="1">IFERROR(__xludf.DUMMYFUNCTION("""COMPUTED_VALUE"""),"室外機:758x1012x398mm
室內機:360x1280x260mm")</f>
        <v>室外機:758x1012x398mm
室內機:360x1280x260mm</v>
      </c>
      <c r="R646" s="12" t="str">
        <f ca="1">IFERROR(__xludf.DUMMYFUNCTION("""COMPUTED_VALUE"""),"中國")</f>
        <v>中國</v>
      </c>
      <c r="S646" s="22" t="str">
        <f ca="1">IFERROR(__xludf.DUMMYFUNCTION("""COMPUTED_VALUE"""),"V")</f>
        <v>V</v>
      </c>
      <c r="T646" s="13" t="str">
        <f ca="1">IFERROR(__xludf.DUMMYFUNCTION("""COMPUTED_VALUE"""),"1級能效")</f>
        <v>1級能效</v>
      </c>
      <c r="U646" s="22" t="str">
        <f ca="1">IFERROR(__xludf.DUMMYFUNCTION("""COMPUTED_VALUE"""),"主機保固7年")</f>
        <v>主機保固7年</v>
      </c>
      <c r="V646" s="12"/>
      <c r="W646" s="12"/>
      <c r="X646" s="12"/>
      <c r="Y646" s="12">
        <f ca="1">IFERROR(__xludf.DUMMYFUNCTION("""COMPUTED_VALUE"""),9)</f>
        <v>9</v>
      </c>
      <c r="Z646" s="14" t="str">
        <f ca="1">IFERROR(__xludf.DUMMYFUNCTION("""COMPUTED_VALUE"""),"2000")</f>
        <v>2000</v>
      </c>
      <c r="AA646" s="15" t="str">
        <f ca="1">IFERROR(__xludf.DUMMYFUNCTION("""COMPUTED_VALUE"""),"*風速微電腦控制*上下左右擺葉韻律風*靜音睡眠功能，強力速冷功能")</f>
        <v>*風速微電腦控制*上下左右擺葉韻律風*靜音睡眠功能，強力速冷功能</v>
      </c>
    </row>
    <row r="647" spans="1:27" ht="19.5" customHeight="1">
      <c r="A647" s="12" t="str">
        <f ca="1">IFERROR(__xludf.DUMMYFUNCTION("""COMPUTED_VALUE"""),"空調")</f>
        <v>空調</v>
      </c>
      <c r="B647" s="12" t="str">
        <f ca="1">IFERROR(__xludf.DUMMYFUNCTION("""COMPUTED_VALUE"""),"大同")</f>
        <v>大同</v>
      </c>
      <c r="C647" s="12" t="str">
        <f ca="1">IFERROR(__xludf.DUMMYFUNCTION("""COMPUTED_VALUE"""),"大同")</f>
        <v>大同</v>
      </c>
      <c r="D647" s="12" t="str">
        <f ca="1">IFERROR(__xludf.DUMMYFUNCTION("""COMPUTED_VALUE"""),"大同19坪一級能效變頻冷暖分離式空調 R-110DHSA/FT-110DHSA")</f>
        <v>大同19坪一級能效變頻冷暖分離式空調 R-110DHSA/FT-110DHSA</v>
      </c>
      <c r="E647" s="12" t="str">
        <f ca="1">IFERROR(__xludf.DUMMYFUNCTION("""COMPUTED_VALUE"""),"R-110DHSA/FT-110DHSA")</f>
        <v>R-110DHSA/FT-110DHSA</v>
      </c>
      <c r="F647" s="12">
        <f ca="1">IFERROR(__xludf.DUMMYFUNCTION("""COMPUTED_VALUE"""),51081396)</f>
        <v>51081396</v>
      </c>
      <c r="G647" s="12" t="str">
        <f ca="1">IFERROR(__xludf.DUMMYFUNCTION("""COMPUTED_VALUE"""),"IGEM104J")</f>
        <v>IGEM104J</v>
      </c>
      <c r="H647" s="13">
        <f ca="1">IFERROR(__xludf.DUMMYFUNCTION("""COMPUTED_VALUE"""),77900)</f>
        <v>77900</v>
      </c>
      <c r="I647" s="14">
        <f ca="1">IFERROR(__xludf.DUMMYFUNCTION("""COMPUTED_VALUE"""),65300)</f>
        <v>65300</v>
      </c>
      <c r="J647" s="16">
        <f ca="1">IFERROR(__xludf.DUMMYFUNCTION("""COMPUTED_VALUE"""),45646)</f>
        <v>45646</v>
      </c>
      <c r="K647" s="12" t="str">
        <f ca="1">IFERROR(__xludf.DUMMYFUNCTION("""COMPUTED_VALUE"""),"永久降價")</f>
        <v>永久降價</v>
      </c>
      <c r="L647" s="12" t="str">
        <f ca="1">IFERROR(__xludf.DUMMYFUNCTION("""COMPUTED_VALUE"""),"上架中")</f>
        <v>上架中</v>
      </c>
      <c r="M647" s="12" t="str">
        <f ca="1">IFERROR(__xludf.DUMMYFUNCTION("""COMPUTED_VALUE"""),"12/20調降、2024/7/5新機上架同時短促")</f>
        <v>12/20調降、2024/7/5新機上架同時短促</v>
      </c>
      <c r="N647" s="12" t="str">
        <f ca="1">IFERROR(__xludf.DUMMYFUNCTION("""COMPUTED_VALUE"""),"一對一變頻冷暖")</f>
        <v>一對一變頻冷暖</v>
      </c>
      <c r="O647" s="12" t="str">
        <f ca="1">IFERROR(__xludf.DUMMYFUNCTION("""COMPUTED_VALUE"""),"白")</f>
        <v>白</v>
      </c>
      <c r="P647" s="12" t="str">
        <f ca="1">IFERROR(__xludf.DUMMYFUNCTION("""COMPUTED_VALUE"""),"19坪")</f>
        <v>19坪</v>
      </c>
      <c r="Q647" s="23" t="str">
        <f ca="1">IFERROR(__xludf.DUMMYFUNCTION("""COMPUTED_VALUE"""),"室外機:758x1012x398mm
室內機:378x1380x294mm")</f>
        <v>室外機:758x1012x398mm
室內機:378x1380x294mm</v>
      </c>
      <c r="R647" s="12" t="str">
        <f ca="1">IFERROR(__xludf.DUMMYFUNCTION("""COMPUTED_VALUE"""),"中國")</f>
        <v>中國</v>
      </c>
      <c r="S647" s="22" t="str">
        <f ca="1">IFERROR(__xludf.DUMMYFUNCTION("""COMPUTED_VALUE"""),"V")</f>
        <v>V</v>
      </c>
      <c r="T647" s="13" t="str">
        <f ca="1">IFERROR(__xludf.DUMMYFUNCTION("""COMPUTED_VALUE"""),"1級能效")</f>
        <v>1級能效</v>
      </c>
      <c r="U647" s="22" t="str">
        <f ca="1">IFERROR(__xludf.DUMMYFUNCTION("""COMPUTED_VALUE"""),"主機保固7年")</f>
        <v>主機保固7年</v>
      </c>
      <c r="V647" s="12"/>
      <c r="W647" s="12"/>
      <c r="X647" s="12"/>
      <c r="Y647" s="12">
        <f ca="1">IFERROR(__xludf.DUMMYFUNCTION("""COMPUTED_VALUE"""),11)</f>
        <v>11</v>
      </c>
      <c r="Z647" s="14" t="str">
        <f ca="1">IFERROR(__xludf.DUMMYFUNCTION("""COMPUTED_VALUE"""),"2000")</f>
        <v>2000</v>
      </c>
      <c r="AA647" s="15" t="str">
        <f ca="1">IFERROR(__xludf.DUMMYFUNCTION("""COMPUTED_VALUE"""),"*風速微電腦控制*上下左右擺葉韻律風*靜音睡眠功能，強力速冷功能")</f>
        <v>*風速微電腦控制*上下左右擺葉韻律風*靜音睡眠功能，強力速冷功能</v>
      </c>
    </row>
    <row r="648" spans="1:27" ht="19.5" customHeight="1">
      <c r="A648" s="12" t="str">
        <f ca="1">IFERROR(__xludf.DUMMYFUNCTION("""COMPUTED_VALUE"""),"空調")</f>
        <v>空調</v>
      </c>
      <c r="B648" s="12" t="str">
        <f ca="1">IFERROR(__xludf.DUMMYFUNCTION("""COMPUTED_VALUE"""),"大同")</f>
        <v>大同</v>
      </c>
      <c r="C648" s="12" t="str">
        <f ca="1">IFERROR(__xludf.DUMMYFUNCTION("""COMPUTED_VALUE"""),"大同")</f>
        <v>大同</v>
      </c>
      <c r="D648" s="12" t="str">
        <f ca="1">IFERROR(__xludf.DUMMYFUNCTION("""COMPUTED_VALUE"""),"大同3~5坪一級能效變頻恆溫右吹冷專窗型冷氣TW-24DCLA")</f>
        <v>大同3~5坪一級能效變頻恆溫右吹冷專窗型冷氣TW-24DCLA</v>
      </c>
      <c r="E648" s="12" t="str">
        <f ca="1">IFERROR(__xludf.DUMMYFUNCTION("""COMPUTED_VALUE"""),"TW-24DCLA")</f>
        <v>TW-24DCLA</v>
      </c>
      <c r="F648" s="12">
        <f ca="1">IFERROR(__xludf.DUMMYFUNCTION("""COMPUTED_VALUE"""),51081397)</f>
        <v>51081397</v>
      </c>
      <c r="G648" s="12" t="str">
        <f ca="1">IFERROR(__xludf.DUMMYFUNCTION("""COMPUTED_VALUE"""),"IGEM104K")</f>
        <v>IGEM104K</v>
      </c>
      <c r="H648" s="13">
        <f ca="1">IFERROR(__xludf.DUMMYFUNCTION("""COMPUTED_VALUE"""),24900)</f>
        <v>24900</v>
      </c>
      <c r="I648" s="14">
        <f ca="1">IFERROR(__xludf.DUMMYFUNCTION("""COMPUTED_VALUE"""),21100)</f>
        <v>21100</v>
      </c>
      <c r="J648" s="16">
        <f ca="1">IFERROR(__xludf.DUMMYFUNCTION("""COMPUTED_VALUE"""),45646)</f>
        <v>45646</v>
      </c>
      <c r="K648" s="12" t="str">
        <f ca="1">IFERROR(__xludf.DUMMYFUNCTION("""COMPUTED_VALUE"""),"永久降價")</f>
        <v>永久降價</v>
      </c>
      <c r="L648" s="12" t="str">
        <f ca="1">IFERROR(__xludf.DUMMYFUNCTION("""COMPUTED_VALUE"""),"上架中")</f>
        <v>上架中</v>
      </c>
      <c r="M648" s="12" t="str">
        <f ca="1">IFERROR(__xludf.DUMMYFUNCTION("""COMPUTED_VALUE"""),"12/20調降、2024/7/5新機上架同時短促")</f>
        <v>12/20調降、2024/7/5新機上架同時短促</v>
      </c>
      <c r="N648" s="12" t="str">
        <f ca="1">IFERROR(__xludf.DUMMYFUNCTION("""COMPUTED_VALUE"""),"窗型變頻冷專")</f>
        <v>窗型變頻冷專</v>
      </c>
      <c r="O648" s="12" t="str">
        <f ca="1">IFERROR(__xludf.DUMMYFUNCTION("""COMPUTED_VALUE"""),"白")</f>
        <v>白</v>
      </c>
      <c r="P648" s="12" t="str">
        <f ca="1">IFERROR(__xludf.DUMMYFUNCTION("""COMPUTED_VALUE"""),"3-5坪")</f>
        <v>3-5坪</v>
      </c>
      <c r="Q648" s="23" t="str">
        <f ca="1">IFERROR(__xludf.DUMMYFUNCTION("""COMPUTED_VALUE"""),"室外機:350x450x640mm")</f>
        <v>室外機:350x450x640mm</v>
      </c>
      <c r="R648" s="12" t="str">
        <f ca="1">IFERROR(__xludf.DUMMYFUNCTION("""COMPUTED_VALUE"""),"中國")</f>
        <v>中國</v>
      </c>
      <c r="S648" s="22" t="str">
        <f ca="1">IFERROR(__xludf.DUMMYFUNCTION("""COMPUTED_VALUE"""),"V")</f>
        <v>V</v>
      </c>
      <c r="T648" s="13" t="str">
        <f ca="1">IFERROR(__xludf.DUMMYFUNCTION("""COMPUTED_VALUE"""),"1級能效")</f>
        <v>1級能效</v>
      </c>
      <c r="U648" s="22" t="str">
        <f ca="1">IFERROR(__xludf.DUMMYFUNCTION("""COMPUTED_VALUE"""),"主機保固7年")</f>
        <v>主機保固7年</v>
      </c>
      <c r="V648" s="22" t="str">
        <f ca="1">IFERROR(__xludf.DUMMYFUNCTION("""COMPUTED_VALUE"""),"壓縮機10年保固(需上網登錄)")</f>
        <v>壓縮機10年保固(需上網登錄)</v>
      </c>
      <c r="W648" s="12"/>
      <c r="X648" s="12"/>
      <c r="Y648" s="12">
        <f ca="1">IFERROR(__xludf.DUMMYFUNCTION("""COMPUTED_VALUE"""),2.4)</f>
        <v>2.4</v>
      </c>
      <c r="Z648" s="14">
        <f ca="1">IFERROR(__xludf.DUMMYFUNCTION("""COMPUTED_VALUE"""),1600)</f>
        <v>1600</v>
      </c>
      <c r="AA648" s="15" t="str">
        <f ca="1">IFERROR(__xludf.DUMMYFUNCTION("""COMPUTED_VALUE"""),"*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f>
        <v>*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v>
      </c>
    </row>
    <row r="649" spans="1:27" ht="19.5" customHeight="1">
      <c r="A649" s="12" t="str">
        <f ca="1">IFERROR(__xludf.DUMMYFUNCTION("""COMPUTED_VALUE"""),"空調")</f>
        <v>空調</v>
      </c>
      <c r="B649" s="12" t="str">
        <f ca="1">IFERROR(__xludf.DUMMYFUNCTION("""COMPUTED_VALUE"""),"大同")</f>
        <v>大同</v>
      </c>
      <c r="C649" s="12" t="str">
        <f ca="1">IFERROR(__xludf.DUMMYFUNCTION("""COMPUTED_VALUE"""),"大同")</f>
        <v>大同</v>
      </c>
      <c r="D649" s="12" t="str">
        <f ca="1">IFERROR(__xludf.DUMMYFUNCTION("""COMPUTED_VALUE"""),"大同4~6坪一級能效變頻恆溫右吹冷專窗型冷氣 TW-28DCLA")</f>
        <v>大同4~6坪一級能效變頻恆溫右吹冷專窗型冷氣 TW-28DCLA</v>
      </c>
      <c r="E649" s="12" t="str">
        <f ca="1">IFERROR(__xludf.DUMMYFUNCTION("""COMPUTED_VALUE"""),"TW-28DCLA")</f>
        <v>TW-28DCLA</v>
      </c>
      <c r="F649" s="12">
        <f ca="1">IFERROR(__xludf.DUMMYFUNCTION("""COMPUTED_VALUE"""),51081398)</f>
        <v>51081398</v>
      </c>
      <c r="G649" s="12" t="str">
        <f ca="1">IFERROR(__xludf.DUMMYFUNCTION("""COMPUTED_VALUE"""),"IGEM104L")</f>
        <v>IGEM104L</v>
      </c>
      <c r="H649" s="13">
        <f ca="1">IFERROR(__xludf.DUMMYFUNCTION("""COMPUTED_VALUE"""),26900)</f>
        <v>26900</v>
      </c>
      <c r="I649" s="14">
        <f ca="1">IFERROR(__xludf.DUMMYFUNCTION("""COMPUTED_VALUE"""),23100)</f>
        <v>23100</v>
      </c>
      <c r="J649" s="16">
        <f ca="1">IFERROR(__xludf.DUMMYFUNCTION("""COMPUTED_VALUE"""),45646)</f>
        <v>45646</v>
      </c>
      <c r="K649" s="12" t="str">
        <f ca="1">IFERROR(__xludf.DUMMYFUNCTION("""COMPUTED_VALUE"""),"永久降價")</f>
        <v>永久降價</v>
      </c>
      <c r="L649" s="12" t="str">
        <f ca="1">IFERROR(__xludf.DUMMYFUNCTION("""COMPUTED_VALUE"""),"上架中")</f>
        <v>上架中</v>
      </c>
      <c r="M649" s="12" t="str">
        <f ca="1">IFERROR(__xludf.DUMMYFUNCTION("""COMPUTED_VALUE"""),"12/20調降、2024/7/5新機上架同時短促")</f>
        <v>12/20調降、2024/7/5新機上架同時短促</v>
      </c>
      <c r="N649" s="12" t="str">
        <f ca="1">IFERROR(__xludf.DUMMYFUNCTION("""COMPUTED_VALUE"""),"窗型變頻冷專")</f>
        <v>窗型變頻冷專</v>
      </c>
      <c r="O649" s="12" t="str">
        <f ca="1">IFERROR(__xludf.DUMMYFUNCTION("""COMPUTED_VALUE"""),"白")</f>
        <v>白</v>
      </c>
      <c r="P649" s="12" t="str">
        <f ca="1">IFERROR(__xludf.DUMMYFUNCTION("""COMPUTED_VALUE"""),"4-6坪")</f>
        <v>4-6坪</v>
      </c>
      <c r="Q649" s="23" t="str">
        <f ca="1">IFERROR(__xludf.DUMMYFUNCTION("""COMPUTED_VALUE"""),"室外機:350x450x640mm")</f>
        <v>室外機:350x450x640mm</v>
      </c>
      <c r="R649" s="12" t="str">
        <f ca="1">IFERROR(__xludf.DUMMYFUNCTION("""COMPUTED_VALUE"""),"中國")</f>
        <v>中國</v>
      </c>
      <c r="S649" s="22" t="str">
        <f ca="1">IFERROR(__xludf.DUMMYFUNCTION("""COMPUTED_VALUE"""),"V")</f>
        <v>V</v>
      </c>
      <c r="T649" s="13" t="str">
        <f ca="1">IFERROR(__xludf.DUMMYFUNCTION("""COMPUTED_VALUE"""),"1級能效")</f>
        <v>1級能效</v>
      </c>
      <c r="U649" s="22" t="str">
        <f ca="1">IFERROR(__xludf.DUMMYFUNCTION("""COMPUTED_VALUE"""),"主機保固7年")</f>
        <v>主機保固7年</v>
      </c>
      <c r="V649" s="22" t="str">
        <f ca="1">IFERROR(__xludf.DUMMYFUNCTION("""COMPUTED_VALUE"""),"壓縮機10年保固(需上網登錄)")</f>
        <v>壓縮機10年保固(需上網登錄)</v>
      </c>
      <c r="W649" s="12"/>
      <c r="X649" s="12"/>
      <c r="Y649" s="12">
        <f ca="1">IFERROR(__xludf.DUMMYFUNCTION("""COMPUTED_VALUE"""),2.8)</f>
        <v>2.8</v>
      </c>
      <c r="Z649" s="14">
        <f ca="1">IFERROR(__xludf.DUMMYFUNCTION("""COMPUTED_VALUE"""),1600)</f>
        <v>1600</v>
      </c>
      <c r="AA649" s="15" t="str">
        <f ca="1">IFERROR(__xludf.DUMMYFUNCTION("""COMPUTED_VALUE"""),"*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f>
        <v>*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v>
      </c>
    </row>
    <row r="650" spans="1:27" ht="19.5" customHeight="1">
      <c r="A650" s="12" t="str">
        <f ca="1">IFERROR(__xludf.DUMMYFUNCTION("""COMPUTED_VALUE"""),"空調")</f>
        <v>空調</v>
      </c>
      <c r="B650" s="12" t="str">
        <f ca="1">IFERROR(__xludf.DUMMYFUNCTION("""COMPUTED_VALUE"""),"大同")</f>
        <v>大同</v>
      </c>
      <c r="C650" s="12" t="str">
        <f ca="1">IFERROR(__xludf.DUMMYFUNCTION("""COMPUTED_VALUE"""),"大同")</f>
        <v>大同</v>
      </c>
      <c r="D650" s="12" t="str">
        <f ca="1">IFERROR(__xludf.DUMMYFUNCTION("""COMPUTED_VALUE"""),"大同5~7坪一級能效變頻恆溫右吹冷專窗型冷氣 TW-36DCLA")</f>
        <v>大同5~7坪一級能效變頻恆溫右吹冷專窗型冷氣 TW-36DCLA</v>
      </c>
      <c r="E650" s="12" t="str">
        <f ca="1">IFERROR(__xludf.DUMMYFUNCTION("""COMPUTED_VALUE"""),"TW-36DCLA")</f>
        <v>TW-36DCLA</v>
      </c>
      <c r="F650" s="12">
        <f ca="1">IFERROR(__xludf.DUMMYFUNCTION("""COMPUTED_VALUE"""),51081399)</f>
        <v>51081399</v>
      </c>
      <c r="G650" s="12" t="str">
        <f ca="1">IFERROR(__xludf.DUMMYFUNCTION("""COMPUTED_VALUE"""),"IGEM104M")</f>
        <v>IGEM104M</v>
      </c>
      <c r="H650" s="13">
        <f ca="1">IFERROR(__xludf.DUMMYFUNCTION("""COMPUTED_VALUE"""),33900)</f>
        <v>33900</v>
      </c>
      <c r="I650" s="14">
        <f ca="1">IFERROR(__xludf.DUMMYFUNCTION("""COMPUTED_VALUE"""),29390)</f>
        <v>29390</v>
      </c>
      <c r="J650" s="16">
        <f ca="1">IFERROR(__xludf.DUMMYFUNCTION("""COMPUTED_VALUE"""),45646)</f>
        <v>45646</v>
      </c>
      <c r="K650" s="12" t="str">
        <f ca="1">IFERROR(__xludf.DUMMYFUNCTION("""COMPUTED_VALUE"""),"永久降價")</f>
        <v>永久降價</v>
      </c>
      <c r="L650" s="12" t="str">
        <f ca="1">IFERROR(__xludf.DUMMYFUNCTION("""COMPUTED_VALUE"""),"上架中")</f>
        <v>上架中</v>
      </c>
      <c r="M650" s="12" t="str">
        <f ca="1">IFERROR(__xludf.DUMMYFUNCTION("""COMPUTED_VALUE"""),"12/20調降、2024/7/5新機上架同時短促")</f>
        <v>12/20調降、2024/7/5新機上架同時短促</v>
      </c>
      <c r="N650" s="12" t="str">
        <f ca="1">IFERROR(__xludf.DUMMYFUNCTION("""COMPUTED_VALUE"""),"窗型變頻冷專")</f>
        <v>窗型變頻冷專</v>
      </c>
      <c r="O650" s="12" t="str">
        <f ca="1">IFERROR(__xludf.DUMMYFUNCTION("""COMPUTED_VALUE"""),"白")</f>
        <v>白</v>
      </c>
      <c r="P650" s="12" t="str">
        <f ca="1">IFERROR(__xludf.DUMMYFUNCTION("""COMPUTED_VALUE"""),"5-7坪")</f>
        <v>5-7坪</v>
      </c>
      <c r="Q650" s="23" t="str">
        <f ca="1">IFERROR(__xludf.DUMMYFUNCTION("""COMPUTED_VALUE"""),"室外機:375x560x708mm")</f>
        <v>室外機:375x560x708mm</v>
      </c>
      <c r="R650" s="12" t="str">
        <f ca="1">IFERROR(__xludf.DUMMYFUNCTION("""COMPUTED_VALUE"""),"中國")</f>
        <v>中國</v>
      </c>
      <c r="S650" s="22" t="str">
        <f ca="1">IFERROR(__xludf.DUMMYFUNCTION("""COMPUTED_VALUE"""),"V")</f>
        <v>V</v>
      </c>
      <c r="T650" s="13" t="str">
        <f ca="1">IFERROR(__xludf.DUMMYFUNCTION("""COMPUTED_VALUE"""),"1級能效")</f>
        <v>1級能效</v>
      </c>
      <c r="U650" s="22" t="str">
        <f ca="1">IFERROR(__xludf.DUMMYFUNCTION("""COMPUTED_VALUE"""),"主機保固7年")</f>
        <v>主機保固7年</v>
      </c>
      <c r="V650" s="22" t="str">
        <f ca="1">IFERROR(__xludf.DUMMYFUNCTION("""COMPUTED_VALUE"""),"壓縮機10年保固(需上網登錄)")</f>
        <v>壓縮機10年保固(需上網登錄)</v>
      </c>
      <c r="W650" s="12"/>
      <c r="X650" s="12"/>
      <c r="Y650" s="12">
        <f ca="1">IFERROR(__xludf.DUMMYFUNCTION("""COMPUTED_VALUE"""),3.6)</f>
        <v>3.6</v>
      </c>
      <c r="Z650" s="14" t="str">
        <f ca="1">IFERROR(__xludf.DUMMYFUNCTION("""COMPUTED_VALUE"""),"2000")</f>
        <v>2000</v>
      </c>
      <c r="AA650" s="15" t="str">
        <f ca="1">IFERROR(__xludf.DUMMYFUNCTION("""COMPUTED_VALUE"""),"*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f>
        <v>*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v>
      </c>
    </row>
    <row r="651" spans="1:27" ht="19.5" customHeight="1">
      <c r="A651" s="12" t="str">
        <f ca="1">IFERROR(__xludf.DUMMYFUNCTION("""COMPUTED_VALUE"""),"空調")</f>
        <v>空調</v>
      </c>
      <c r="B651" s="12" t="str">
        <f ca="1">IFERROR(__xludf.DUMMYFUNCTION("""COMPUTED_VALUE"""),"大同")</f>
        <v>大同</v>
      </c>
      <c r="C651" s="12" t="str">
        <f ca="1">IFERROR(__xludf.DUMMYFUNCTION("""COMPUTED_VALUE"""),"大同")</f>
        <v>大同</v>
      </c>
      <c r="D651" s="12" t="str">
        <f ca="1">IFERROR(__xludf.DUMMYFUNCTION("""COMPUTED_VALUE"""),"大同6~8坪一級能效變頻恆溫右吹冷專窗型冷氣 TW-40DCLA")</f>
        <v>大同6~8坪一級能效變頻恆溫右吹冷專窗型冷氣 TW-40DCLA</v>
      </c>
      <c r="E651" s="12" t="str">
        <f ca="1">IFERROR(__xludf.DUMMYFUNCTION("""COMPUTED_VALUE"""),"TW-40DCLA")</f>
        <v>TW-40DCLA</v>
      </c>
      <c r="F651" s="12">
        <f ca="1">IFERROR(__xludf.DUMMYFUNCTION("""COMPUTED_VALUE"""),51081400)</f>
        <v>51081400</v>
      </c>
      <c r="G651" s="12" t="str">
        <f ca="1">IFERROR(__xludf.DUMMYFUNCTION("""COMPUTED_VALUE"""),"IGEM104N")</f>
        <v>IGEM104N</v>
      </c>
      <c r="H651" s="13">
        <f ca="1">IFERROR(__xludf.DUMMYFUNCTION("""COMPUTED_VALUE"""),36900)</f>
        <v>36900</v>
      </c>
      <c r="I651" s="14">
        <f ca="1">IFERROR(__xludf.DUMMYFUNCTION("""COMPUTED_VALUE"""),31990)</f>
        <v>31990</v>
      </c>
      <c r="J651" s="16">
        <f ca="1">IFERROR(__xludf.DUMMYFUNCTION("""COMPUTED_VALUE"""),45646)</f>
        <v>45646</v>
      </c>
      <c r="K651" s="12" t="str">
        <f ca="1">IFERROR(__xludf.DUMMYFUNCTION("""COMPUTED_VALUE"""),"永久降價")</f>
        <v>永久降價</v>
      </c>
      <c r="L651" s="12" t="str">
        <f ca="1">IFERROR(__xludf.DUMMYFUNCTION("""COMPUTED_VALUE"""),"上架中")</f>
        <v>上架中</v>
      </c>
      <c r="M651" s="12" t="str">
        <f ca="1">IFERROR(__xludf.DUMMYFUNCTION("""COMPUTED_VALUE"""),"12/20調降、2024/7/5新機上架同時短促")</f>
        <v>12/20調降、2024/7/5新機上架同時短促</v>
      </c>
      <c r="N651" s="12" t="str">
        <f ca="1">IFERROR(__xludf.DUMMYFUNCTION("""COMPUTED_VALUE"""),"窗型變頻冷專")</f>
        <v>窗型變頻冷專</v>
      </c>
      <c r="O651" s="12" t="str">
        <f ca="1">IFERROR(__xludf.DUMMYFUNCTION("""COMPUTED_VALUE"""),"白")</f>
        <v>白</v>
      </c>
      <c r="P651" s="12" t="str">
        <f ca="1">IFERROR(__xludf.DUMMYFUNCTION("""COMPUTED_VALUE"""),"6-8坪")</f>
        <v>6-8坪</v>
      </c>
      <c r="Q651" s="23" t="str">
        <f ca="1">IFERROR(__xludf.DUMMYFUNCTION("""COMPUTED_VALUE"""),"室外機:375x560x708mm")</f>
        <v>室外機:375x560x708mm</v>
      </c>
      <c r="R651" s="12" t="str">
        <f ca="1">IFERROR(__xludf.DUMMYFUNCTION("""COMPUTED_VALUE"""),"中國")</f>
        <v>中國</v>
      </c>
      <c r="S651" s="22" t="str">
        <f ca="1">IFERROR(__xludf.DUMMYFUNCTION("""COMPUTED_VALUE"""),"V")</f>
        <v>V</v>
      </c>
      <c r="T651" s="13" t="str">
        <f ca="1">IFERROR(__xludf.DUMMYFUNCTION("""COMPUTED_VALUE"""),"1級能效")</f>
        <v>1級能效</v>
      </c>
      <c r="U651" s="22" t="str">
        <f ca="1">IFERROR(__xludf.DUMMYFUNCTION("""COMPUTED_VALUE"""),"主機保固7年")</f>
        <v>主機保固7年</v>
      </c>
      <c r="V651" s="22" t="str">
        <f ca="1">IFERROR(__xludf.DUMMYFUNCTION("""COMPUTED_VALUE"""),"壓縮機10年保固(需上網登錄)")</f>
        <v>壓縮機10年保固(需上網登錄)</v>
      </c>
      <c r="W651" s="12"/>
      <c r="X651" s="12"/>
      <c r="Y651" s="12">
        <f ca="1">IFERROR(__xludf.DUMMYFUNCTION("""COMPUTED_VALUE"""),4)</f>
        <v>4</v>
      </c>
      <c r="Z651" s="14" t="str">
        <f ca="1">IFERROR(__xludf.DUMMYFUNCTION("""COMPUTED_VALUE"""),"2000")</f>
        <v>2000</v>
      </c>
      <c r="AA651" s="15" t="str">
        <f ca="1">IFERROR(__xludf.DUMMYFUNCTION("""COMPUTED_VALUE"""),"*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f>
        <v>*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v>
      </c>
    </row>
    <row r="652" spans="1:27" ht="19.5" customHeight="1">
      <c r="A652" s="12" t="str">
        <f ca="1">IFERROR(__xludf.DUMMYFUNCTION("""COMPUTED_VALUE"""),"空調")</f>
        <v>空調</v>
      </c>
      <c r="B652" s="12" t="str">
        <f ca="1">IFERROR(__xludf.DUMMYFUNCTION("""COMPUTED_VALUE"""),"大同")</f>
        <v>大同</v>
      </c>
      <c r="C652" s="12" t="str">
        <f ca="1">IFERROR(__xludf.DUMMYFUNCTION("""COMPUTED_VALUE"""),"大同")</f>
        <v>大同</v>
      </c>
      <c r="D652" s="12" t="str">
        <f ca="1">IFERROR(__xludf.DUMMYFUNCTION("""COMPUTED_VALUE"""),"大同8~10坪一級能效變頻恆溫右吹冷專窗型冷氣 TW-50DCLA")</f>
        <v>大同8~10坪一級能效變頻恆溫右吹冷專窗型冷氣 TW-50DCLA</v>
      </c>
      <c r="E652" s="12" t="str">
        <f ca="1">IFERROR(__xludf.DUMMYFUNCTION("""COMPUTED_VALUE"""),"TW-50DCLA")</f>
        <v>TW-50DCLA</v>
      </c>
      <c r="F652" s="12">
        <f ca="1">IFERROR(__xludf.DUMMYFUNCTION("""COMPUTED_VALUE"""),51081401)</f>
        <v>51081401</v>
      </c>
      <c r="G652" s="12" t="str">
        <f ca="1">IFERROR(__xludf.DUMMYFUNCTION("""COMPUTED_VALUE"""),"IGEM104O")</f>
        <v>IGEM104O</v>
      </c>
      <c r="H652" s="13">
        <f ca="1">IFERROR(__xludf.DUMMYFUNCTION("""COMPUTED_VALUE"""),41900)</f>
        <v>41900</v>
      </c>
      <c r="I652" s="14">
        <f ca="1">IFERROR(__xludf.DUMMYFUNCTION("""COMPUTED_VALUE"""),36200)</f>
        <v>36200</v>
      </c>
      <c r="J652" s="16">
        <f ca="1">IFERROR(__xludf.DUMMYFUNCTION("""COMPUTED_VALUE"""),45646)</f>
        <v>45646</v>
      </c>
      <c r="K652" s="12" t="str">
        <f ca="1">IFERROR(__xludf.DUMMYFUNCTION("""COMPUTED_VALUE"""),"永久降價")</f>
        <v>永久降價</v>
      </c>
      <c r="L652" s="12" t="str">
        <f ca="1">IFERROR(__xludf.DUMMYFUNCTION("""COMPUTED_VALUE"""),"上架中")</f>
        <v>上架中</v>
      </c>
      <c r="M652" s="12" t="str">
        <f ca="1">IFERROR(__xludf.DUMMYFUNCTION("""COMPUTED_VALUE"""),"12/20調降、2024/7/5新機上架同時短促")</f>
        <v>12/20調降、2024/7/5新機上架同時短促</v>
      </c>
      <c r="N652" s="12" t="str">
        <f ca="1">IFERROR(__xludf.DUMMYFUNCTION("""COMPUTED_VALUE"""),"窗型變頻冷專")</f>
        <v>窗型變頻冷專</v>
      </c>
      <c r="O652" s="12" t="str">
        <f ca="1">IFERROR(__xludf.DUMMYFUNCTION("""COMPUTED_VALUE"""),"白")</f>
        <v>白</v>
      </c>
      <c r="P652" s="12" t="str">
        <f ca="1">IFERROR(__xludf.DUMMYFUNCTION("""COMPUTED_VALUE"""),"8-10坪")</f>
        <v>8-10坪</v>
      </c>
      <c r="Q652" s="23" t="str">
        <f ca="1">IFERROR(__xludf.DUMMYFUNCTION("""COMPUTED_VALUE"""),"室外機:375x560x708mm")</f>
        <v>室外機:375x560x708mm</v>
      </c>
      <c r="R652" s="12" t="str">
        <f ca="1">IFERROR(__xludf.DUMMYFUNCTION("""COMPUTED_VALUE"""),"中國")</f>
        <v>中國</v>
      </c>
      <c r="S652" s="22" t="str">
        <f ca="1">IFERROR(__xludf.DUMMYFUNCTION("""COMPUTED_VALUE"""),"V")</f>
        <v>V</v>
      </c>
      <c r="T652" s="13" t="str">
        <f ca="1">IFERROR(__xludf.DUMMYFUNCTION("""COMPUTED_VALUE"""),"1級能效")</f>
        <v>1級能效</v>
      </c>
      <c r="U652" s="22" t="str">
        <f ca="1">IFERROR(__xludf.DUMMYFUNCTION("""COMPUTED_VALUE"""),"主機保固7年")</f>
        <v>主機保固7年</v>
      </c>
      <c r="V652" s="22" t="str">
        <f ca="1">IFERROR(__xludf.DUMMYFUNCTION("""COMPUTED_VALUE"""),"壓縮機10年保固(需上網登錄)")</f>
        <v>壓縮機10年保固(需上網登錄)</v>
      </c>
      <c r="W652" s="12"/>
      <c r="X652" s="12"/>
      <c r="Y652" s="12">
        <f ca="1">IFERROR(__xludf.DUMMYFUNCTION("""COMPUTED_VALUE"""),5)</f>
        <v>5</v>
      </c>
      <c r="Z652" s="14" t="str">
        <f ca="1">IFERROR(__xludf.DUMMYFUNCTION("""COMPUTED_VALUE"""),"2000")</f>
        <v>2000</v>
      </c>
      <c r="AA652" s="15" t="str">
        <f ca="1">IFERROR(__xludf.DUMMYFUNCTION("""COMPUTED_VALUE"""),"*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f>
        <v>*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v>
      </c>
    </row>
    <row r="653" spans="1:27" ht="19.5" customHeight="1">
      <c r="A653" s="12" t="str">
        <f ca="1">IFERROR(__xludf.DUMMYFUNCTION("""COMPUTED_VALUE"""),"空調")</f>
        <v>空調</v>
      </c>
      <c r="B653" s="12" t="str">
        <f ca="1">IFERROR(__xludf.DUMMYFUNCTION("""COMPUTED_VALUE"""),"大同")</f>
        <v>大同</v>
      </c>
      <c r="C653" s="12" t="str">
        <f ca="1">IFERROR(__xludf.DUMMYFUNCTION("""COMPUTED_VALUE"""),"大同")</f>
        <v>大同</v>
      </c>
      <c r="D653" s="12" t="str">
        <f ca="1">IFERROR(__xludf.DUMMYFUNCTION("""COMPUTED_VALUE"""),"大同10~15坪一級能效變頻恆溫右吹冷專窗型冷氣 TW-63DCLA")</f>
        <v>大同10~15坪一級能效變頻恆溫右吹冷專窗型冷氣 TW-63DCLA</v>
      </c>
      <c r="E653" s="12" t="str">
        <f ca="1">IFERROR(__xludf.DUMMYFUNCTION("""COMPUTED_VALUE"""),"TW-63DCLA")</f>
        <v>TW-63DCLA</v>
      </c>
      <c r="F653" s="12">
        <f ca="1">IFERROR(__xludf.DUMMYFUNCTION("""COMPUTED_VALUE"""),51081402)</f>
        <v>51081402</v>
      </c>
      <c r="G653" s="12" t="str">
        <f ca="1">IFERROR(__xludf.DUMMYFUNCTION("""COMPUTED_VALUE"""),"IGEM104P")</f>
        <v>IGEM104P</v>
      </c>
      <c r="H653" s="13">
        <f ca="1">IFERROR(__xludf.DUMMYFUNCTION("""COMPUTED_VALUE"""),48900)</f>
        <v>48900</v>
      </c>
      <c r="I653" s="14">
        <f ca="1">IFERROR(__xludf.DUMMYFUNCTION("""COMPUTED_VALUE"""),43100)</f>
        <v>43100</v>
      </c>
      <c r="J653" s="16">
        <f ca="1">IFERROR(__xludf.DUMMYFUNCTION("""COMPUTED_VALUE"""),45646)</f>
        <v>45646</v>
      </c>
      <c r="K653" s="12" t="str">
        <f ca="1">IFERROR(__xludf.DUMMYFUNCTION("""COMPUTED_VALUE"""),"永久降價")</f>
        <v>永久降價</v>
      </c>
      <c r="L653" s="12" t="str">
        <f ca="1">IFERROR(__xludf.DUMMYFUNCTION("""COMPUTED_VALUE"""),"上架中")</f>
        <v>上架中</v>
      </c>
      <c r="M653" s="12" t="str">
        <f ca="1">IFERROR(__xludf.DUMMYFUNCTION("""COMPUTED_VALUE"""),"12/20調降、2024/7/5新機上架同時短促")</f>
        <v>12/20調降、2024/7/5新機上架同時短促</v>
      </c>
      <c r="N653" s="12" t="str">
        <f ca="1">IFERROR(__xludf.DUMMYFUNCTION("""COMPUTED_VALUE"""),"窗型變頻冷專")</f>
        <v>窗型變頻冷專</v>
      </c>
      <c r="O653" s="12" t="str">
        <f ca="1">IFERROR(__xludf.DUMMYFUNCTION("""COMPUTED_VALUE"""),"白")</f>
        <v>白</v>
      </c>
      <c r="P653" s="12" t="str">
        <f ca="1">IFERROR(__xludf.DUMMYFUNCTION("""COMPUTED_VALUE"""),"10-15坪")</f>
        <v>10-15坪</v>
      </c>
      <c r="Q653" s="23" t="str">
        <f ca="1">IFERROR(__xludf.DUMMYFUNCTION("""COMPUTED_VALUE"""),"室外機:420x660x800mm")</f>
        <v>室外機:420x660x800mm</v>
      </c>
      <c r="R653" s="12" t="str">
        <f ca="1">IFERROR(__xludf.DUMMYFUNCTION("""COMPUTED_VALUE"""),"中國")</f>
        <v>中國</v>
      </c>
      <c r="S653" s="22" t="str">
        <f ca="1">IFERROR(__xludf.DUMMYFUNCTION("""COMPUTED_VALUE"""),"V")</f>
        <v>V</v>
      </c>
      <c r="T653" s="13" t="str">
        <f ca="1">IFERROR(__xludf.DUMMYFUNCTION("""COMPUTED_VALUE"""),"1級能效")</f>
        <v>1級能效</v>
      </c>
      <c r="U653" s="22" t="str">
        <f ca="1">IFERROR(__xludf.DUMMYFUNCTION("""COMPUTED_VALUE"""),"主機保固7年")</f>
        <v>主機保固7年</v>
      </c>
      <c r="V653" s="22" t="str">
        <f ca="1">IFERROR(__xludf.DUMMYFUNCTION("""COMPUTED_VALUE"""),"壓縮機10年保固(需上網登錄)")</f>
        <v>壓縮機10年保固(需上網登錄)</v>
      </c>
      <c r="W653" s="12"/>
      <c r="X653" s="12"/>
      <c r="Y653" s="12">
        <f ca="1">IFERROR(__xludf.DUMMYFUNCTION("""COMPUTED_VALUE"""),6.3)</f>
        <v>6.3</v>
      </c>
      <c r="Z653" s="14" t="str">
        <f ca="1">IFERROR(__xludf.DUMMYFUNCTION("""COMPUTED_VALUE"""),"2000")</f>
        <v>2000</v>
      </c>
      <c r="AA653" s="15" t="str">
        <f ca="1">IFERROR(__xludf.DUMMYFUNCTION("""COMPUTED_VALUE"""),"*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f>
        <v>*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v>
      </c>
    </row>
    <row r="654" spans="1:27" ht="19.5" customHeight="1">
      <c r="A654" s="12" t="str">
        <f ca="1">IFERROR(__xludf.DUMMYFUNCTION("""COMPUTED_VALUE"""),"空調")</f>
        <v>空調</v>
      </c>
      <c r="B654" s="12" t="str">
        <f ca="1">IFERROR(__xludf.DUMMYFUNCTION("""COMPUTED_VALUE"""),"大同")</f>
        <v>大同</v>
      </c>
      <c r="C654" s="12" t="str">
        <f ca="1">IFERROR(__xludf.DUMMYFUNCTION("""COMPUTED_VALUE"""),"大同")</f>
        <v>大同</v>
      </c>
      <c r="D654" s="12" t="str">
        <f ca="1">IFERROR(__xludf.DUMMYFUNCTION("""COMPUTED_VALUE"""),"大同11~15坪一級能效變頻恆溫右吹冷專窗型冷氣 TW-72DCLA")</f>
        <v>大同11~15坪一級能效變頻恆溫右吹冷專窗型冷氣 TW-72DCLA</v>
      </c>
      <c r="E654" s="12" t="str">
        <f ca="1">IFERROR(__xludf.DUMMYFUNCTION("""COMPUTED_VALUE"""),"TW-72DCLA")</f>
        <v>TW-72DCLA</v>
      </c>
      <c r="F654" s="12">
        <f ca="1">IFERROR(__xludf.DUMMYFUNCTION("""COMPUTED_VALUE"""),51081403)</f>
        <v>51081403</v>
      </c>
      <c r="G654" s="12" t="str">
        <f ca="1">IFERROR(__xludf.DUMMYFUNCTION("""COMPUTED_VALUE"""),"IGEM104Q")</f>
        <v>IGEM104Q</v>
      </c>
      <c r="H654" s="13">
        <f ca="1">IFERROR(__xludf.DUMMYFUNCTION("""COMPUTED_VALUE"""),50900)</f>
        <v>50900</v>
      </c>
      <c r="I654" s="14">
        <f ca="1">IFERROR(__xludf.DUMMYFUNCTION("""COMPUTED_VALUE"""),45100)</f>
        <v>45100</v>
      </c>
      <c r="J654" s="16">
        <f ca="1">IFERROR(__xludf.DUMMYFUNCTION("""COMPUTED_VALUE"""),45646)</f>
        <v>45646</v>
      </c>
      <c r="K654" s="12" t="str">
        <f ca="1">IFERROR(__xludf.DUMMYFUNCTION("""COMPUTED_VALUE"""),"永久降價")</f>
        <v>永久降價</v>
      </c>
      <c r="L654" s="12" t="str">
        <f ca="1">IFERROR(__xludf.DUMMYFUNCTION("""COMPUTED_VALUE"""),"上架中")</f>
        <v>上架中</v>
      </c>
      <c r="M654" s="12" t="str">
        <f ca="1">IFERROR(__xludf.DUMMYFUNCTION("""COMPUTED_VALUE"""),"12/20調降、2024/7/5新機上架同時短促")</f>
        <v>12/20調降、2024/7/5新機上架同時短促</v>
      </c>
      <c r="N654" s="12" t="str">
        <f ca="1">IFERROR(__xludf.DUMMYFUNCTION("""COMPUTED_VALUE"""),"窗型變頻冷專")</f>
        <v>窗型變頻冷專</v>
      </c>
      <c r="O654" s="12" t="str">
        <f ca="1">IFERROR(__xludf.DUMMYFUNCTION("""COMPUTED_VALUE"""),"白")</f>
        <v>白</v>
      </c>
      <c r="P654" s="12" t="str">
        <f ca="1">IFERROR(__xludf.DUMMYFUNCTION("""COMPUTED_VALUE"""),"11-15坪")</f>
        <v>11-15坪</v>
      </c>
      <c r="Q654" s="23" t="str">
        <f ca="1">IFERROR(__xludf.DUMMYFUNCTION("""COMPUTED_VALUE"""),"室外機:420x660x800mm")</f>
        <v>室外機:420x660x800mm</v>
      </c>
      <c r="R654" s="12" t="str">
        <f ca="1">IFERROR(__xludf.DUMMYFUNCTION("""COMPUTED_VALUE"""),"中國")</f>
        <v>中國</v>
      </c>
      <c r="S654" s="22" t="str">
        <f ca="1">IFERROR(__xludf.DUMMYFUNCTION("""COMPUTED_VALUE"""),"V")</f>
        <v>V</v>
      </c>
      <c r="T654" s="13" t="str">
        <f ca="1">IFERROR(__xludf.DUMMYFUNCTION("""COMPUTED_VALUE"""),"1級能效")</f>
        <v>1級能效</v>
      </c>
      <c r="U654" s="22" t="str">
        <f ca="1">IFERROR(__xludf.DUMMYFUNCTION("""COMPUTED_VALUE"""),"主機保固7年")</f>
        <v>主機保固7年</v>
      </c>
      <c r="V654" s="22" t="str">
        <f ca="1">IFERROR(__xludf.DUMMYFUNCTION("""COMPUTED_VALUE"""),"壓縮機10年保固(需上網登錄)")</f>
        <v>壓縮機10年保固(需上網登錄)</v>
      </c>
      <c r="W654" s="12"/>
      <c r="X654" s="12"/>
      <c r="Y654" s="12">
        <f ca="1">IFERROR(__xludf.DUMMYFUNCTION("""COMPUTED_VALUE"""),7.2)</f>
        <v>7.2</v>
      </c>
      <c r="Z654" s="14" t="str">
        <f ca="1">IFERROR(__xludf.DUMMYFUNCTION("""COMPUTED_VALUE"""),"2000")</f>
        <v>2000</v>
      </c>
      <c r="AA654" s="15" t="str">
        <f ca="1">IFERROR(__xludf.DUMMYFUNCTION("""COMPUTED_VALUE"""),"*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f>
        <v>*全機3年保固，壓縮機10年保固(需上網登錄)*能源效率第一級*左右導風氣流，讓氣流均勻分布*可單獨除濕*耐腐蝕親水性散熱鋁片*開機設溫顯示*冷媒異常偵測*定時開關機功能*內螺紋速冷銅管*風速微電腦控制*靜音舒眠功能*多重防鏽*數字顯示故障代碼*按鍵開關*左右風向韻律風</v>
      </c>
    </row>
    <row r="655" spans="1:27" ht="19.5" customHeight="1">
      <c r="A655" s="12" t="str">
        <f ca="1">IFERROR(__xludf.DUMMYFUNCTION("""COMPUTED_VALUE"""),"空調")</f>
        <v>空調</v>
      </c>
      <c r="B655" s="12" t="str">
        <f ca="1">IFERROR(__xludf.DUMMYFUNCTION("""COMPUTED_VALUE"""),"上洋")</f>
        <v>上洋</v>
      </c>
      <c r="C655" s="12" t="str">
        <f ca="1">IFERROR(__xludf.DUMMYFUNCTION("""COMPUTED_VALUE"""),"三菱重工")</f>
        <v>三菱重工</v>
      </c>
      <c r="D655" s="12" t="str">
        <f ca="1">IFERROR(__xludf.DUMMYFUNCTION("""COMPUTED_VALUE"""),"三菱重工PAC系列7.1KW變頻冷暖吊隱空調FDC71VNPT-W/FDUM71VHT/RCN-KIT4-T2(空機)")</f>
        <v>三菱重工PAC系列7.1KW變頻冷暖吊隱空調FDC71VNPT-W/FDUM71VHT/RCN-KIT4-T2(空機)</v>
      </c>
      <c r="E655" s="12" t="str">
        <f ca="1">IFERROR(__xludf.DUMMYFUNCTION("""COMPUTED_VALUE"""),"FDC71VNPTW/FDUM71VHT/RCNKIT4T2")</f>
        <v>FDC71VNPTW/FDUM71VHT/RCNKIT4T2</v>
      </c>
      <c r="F655" s="12">
        <f ca="1">IFERROR(__xludf.DUMMYFUNCTION("""COMPUTED_VALUE"""),51069047)</f>
        <v>51069047</v>
      </c>
      <c r="G655" s="12" t="str">
        <f ca="1">IFERROR(__xludf.DUMMYFUNCTION("""COMPUTED_VALUE"""),"IGEM066H")</f>
        <v>IGEM066H</v>
      </c>
      <c r="H655" s="13">
        <f ca="1">IFERROR(__xludf.DUMMYFUNCTION("""COMPUTED_VALUE"""),89800)</f>
        <v>89800</v>
      </c>
      <c r="I655" s="14">
        <f ca="1">IFERROR(__xludf.DUMMYFUNCTION("""COMPUTED_VALUE"""),76000)</f>
        <v>76000</v>
      </c>
      <c r="J655" s="16">
        <f ca="1">IFERROR(__xludf.DUMMYFUNCTION("""COMPUTED_VALUE"""),45323)</f>
        <v>45323</v>
      </c>
      <c r="K655" s="12" t="str">
        <f ca="1">IFERROR(__xludf.DUMMYFUNCTION("""COMPUTED_VALUE"""),"回價")</f>
        <v>回價</v>
      </c>
      <c r="L655" s="12" t="str">
        <f ca="1">IFERROR(__xludf.DUMMYFUNCTION("""COMPUTED_VALUE"""),"專案")</f>
        <v>專案</v>
      </c>
      <c r="M655" s="12" t="str">
        <f ca="1">IFERROR(__xludf.DUMMYFUNCTION("""COMPUTED_VALUE"""),"2023/1/1起調漲")</f>
        <v>2023/1/1起調漲</v>
      </c>
      <c r="N655" s="12" t="str">
        <f ca="1">IFERROR(__xludf.DUMMYFUNCTION("""COMPUTED_VALUE"""),"一對一變頻冷暖")</f>
        <v>一對一變頻冷暖</v>
      </c>
      <c r="O655" s="12" t="str">
        <f ca="1">IFERROR(__xludf.DUMMYFUNCTION("""COMPUTED_VALUE"""),"鐵色")</f>
        <v>鐵色</v>
      </c>
      <c r="P655" s="12" t="str">
        <f ca="1">IFERROR(__xludf.DUMMYFUNCTION("""COMPUTED_VALUE"""),"10-11坪")</f>
        <v>10-11坪</v>
      </c>
      <c r="Q655" s="23" t="str">
        <f ca="1">IFERROR(__xludf.DUMMYFUNCTION("""COMPUTED_VALUE"""),"室內機尺寸(高x寬x深mm)：280x950x635
室外機尺寸(高x寬x深mm)：640x800(+71)x290")</f>
        <v>室內機尺寸(高x寬x深mm)：280x950x635
室外機尺寸(高x寬x深mm)：640x800(+71)x290</v>
      </c>
      <c r="R655" s="12" t="str">
        <f ca="1">IFERROR(__xludf.DUMMYFUNCTION("""COMPUTED_VALUE"""),"泰國")</f>
        <v>泰國</v>
      </c>
      <c r="S655" s="22" t="str">
        <f ca="1">IFERROR(__xludf.DUMMYFUNCTION("""COMPUTED_VALUE"""),"V")</f>
        <v>V</v>
      </c>
      <c r="T655" s="13" t="str">
        <f ca="1">IFERROR(__xludf.DUMMYFUNCTION("""COMPUTED_VALUE"""),"1級能效")</f>
        <v>1級能效</v>
      </c>
      <c r="U655" s="22" t="str">
        <f ca="1">IFERROR(__xludf.DUMMYFUNCTION("""COMPUTED_VALUE"""),"1年")</f>
        <v>1年</v>
      </c>
      <c r="V655" s="22" t="str">
        <f ca="1">IFERROR(__xludf.DUMMYFUNCTION("""COMPUTED_VALUE"""),"1年")</f>
        <v>1年</v>
      </c>
      <c r="W655" s="12"/>
      <c r="X655" s="12"/>
      <c r="Y655" s="12"/>
      <c r="Z655" s="14"/>
      <c r="AA655" s="15"/>
    </row>
    <row r="656" spans="1:27" ht="19.5" customHeight="1">
      <c r="A656" s="12" t="str">
        <f ca="1">IFERROR(__xludf.DUMMYFUNCTION("""COMPUTED_VALUE"""),"洗衣機")</f>
        <v>洗衣機</v>
      </c>
      <c r="B656" s="12" t="str">
        <f ca="1">IFERROR(__xludf.DUMMYFUNCTION("""COMPUTED_VALUE"""),"大同")</f>
        <v>大同</v>
      </c>
      <c r="C656" s="12" t="str">
        <f ca="1">IFERROR(__xludf.DUMMYFUNCTION("""COMPUTED_VALUE"""),"PANASONIC")</f>
        <v>PANASONIC</v>
      </c>
      <c r="D656" s="12" t="str">
        <f ca="1">IFERROR(__xludf.DUMMYFUNCTION("""COMPUTED_VALUE"""),"PANASONIC11KG定頻洗衣機_NA-110EB-W")</f>
        <v>PANASONIC11KG定頻洗衣機_NA-110EB-W</v>
      </c>
      <c r="E656" s="12" t="str">
        <f ca="1">IFERROR(__xludf.DUMMYFUNCTION("""COMPUTED_VALUE"""),"NA-110EB-W")</f>
        <v>NA-110EB-W</v>
      </c>
      <c r="F656" s="12">
        <f ca="1">IFERROR(__xludf.DUMMYFUNCTION("""COMPUTED_VALUE"""),51089072)</f>
        <v>51089072</v>
      </c>
      <c r="G656" s="12" t="str">
        <f ca="1">IFERROR(__xludf.DUMMYFUNCTION("""COMPUTED_VALUE"""),"IGEM00LG")</f>
        <v>IGEM00LG</v>
      </c>
      <c r="H656" s="12">
        <f ca="1">IFERROR(__xludf.DUMMYFUNCTION("""COMPUTED_VALUE"""),12490)</f>
        <v>12490</v>
      </c>
      <c r="I656" s="14">
        <f ca="1">IFERROR(__xludf.DUMMYFUNCTION("""COMPUTED_VALUE"""),11616)</f>
        <v>11616</v>
      </c>
      <c r="J656" s="12"/>
      <c r="K656" s="12"/>
      <c r="L656" s="12" t="str">
        <f ca="1">IFERROR(__xludf.DUMMYFUNCTION("""COMPUTED_VALUE"""),"上架中")</f>
        <v>上架中</v>
      </c>
      <c r="M656" s="12" t="str">
        <f ca="1">IFERROR(__xludf.DUMMYFUNCTION("""COMPUTED_VALUE"""),"客訂機種，請先洽大同確認貨況")</f>
        <v>客訂機種，請先洽大同確認貨況</v>
      </c>
      <c r="N656" s="12" t="str">
        <f ca="1">IFERROR(__xludf.DUMMYFUNCTION("""COMPUTED_VALUE"""),"直立定頻")</f>
        <v>直立定頻</v>
      </c>
      <c r="O656" s="12" t="str">
        <f ca="1">IFERROR(__xludf.DUMMYFUNCTION("""COMPUTED_VALUE"""),"象牙白")</f>
        <v>象牙白</v>
      </c>
      <c r="P656" s="12" t="str">
        <f ca="1">IFERROR(__xludf.DUMMYFUNCTION("""COMPUTED_VALUE"""),"11KG")</f>
        <v>11KG</v>
      </c>
      <c r="Q656" s="12" t="str">
        <f ca="1">IFERROR(__xludf.DUMMYFUNCTION("""COMPUTED_VALUE"""),"1015*554*640mm")</f>
        <v>1015*554*640mm</v>
      </c>
      <c r="R656" s="12" t="str">
        <f ca="1">IFERROR(__xludf.DUMMYFUNCTION("""COMPUTED_VALUE"""),"台灣")</f>
        <v>台灣</v>
      </c>
      <c r="S656" s="12" t="str">
        <f ca="1">IFERROR(__xludf.DUMMYFUNCTION("""COMPUTED_VALUE"""),"V/省水標章(金級)")</f>
        <v>V/省水標章(金級)</v>
      </c>
      <c r="T656" s="12"/>
      <c r="U656" s="12" t="str">
        <f ca="1">IFERROR(__xludf.DUMMYFUNCTION("""COMPUTED_VALUE"""),"1年")</f>
        <v>1年</v>
      </c>
      <c r="V656" s="12" t="str">
        <f ca="1">IFERROR(__xludf.DUMMYFUNCTION("""COMPUTED_VALUE"""),"五年馬達保固")</f>
        <v>五年馬達保固</v>
      </c>
      <c r="W656" s="12"/>
      <c r="X656" s="12"/>
      <c r="Y656" s="12"/>
      <c r="Z656" s="14"/>
      <c r="AA656" s="15" t="str">
        <f ca="1">IFERROR(__xludf.DUMMYFUNCTION("""COMPUTED_VALUE"""),"•泡洗淨•全方位立體水流•新舞動洗淨水流•節水瀑布洗清•鑽石極淨鋼槽")</f>
        <v>•泡洗淨•全方位立體水流•新舞動洗淨水流•節水瀑布洗清•鑽石極淨鋼槽</v>
      </c>
    </row>
    <row r="657" spans="1:27" ht="19.5" customHeight="1">
      <c r="A657" s="12" t="str">
        <f ca="1">IFERROR(__xludf.DUMMYFUNCTION("""COMPUTED_VALUE"""),"空調")</f>
        <v>空調</v>
      </c>
      <c r="B657" s="12" t="str">
        <f ca="1">IFERROR(__xludf.DUMMYFUNCTION("""COMPUTED_VALUE"""),"禾聯")</f>
        <v>禾聯</v>
      </c>
      <c r="C657" s="12" t="str">
        <f ca="1">IFERROR(__xludf.DUMMYFUNCTION("""COMPUTED_VALUE"""),"禾聯")</f>
        <v>禾聯</v>
      </c>
      <c r="D657" s="12" t="str">
        <f ca="1">IFERROR(__xludf.DUMMYFUNCTION("""COMPUTED_VALUE"""),"禾聯2-4坪R32 AT系列耀金防沼一對一變頻冷暖空調HI/HO-AT23H")</f>
        <v>禾聯2-4坪R32 AT系列耀金防沼一對一變頻冷暖空調HI/HO-AT23H</v>
      </c>
      <c r="E657" s="12" t="str">
        <f ca="1">IFERROR(__xludf.DUMMYFUNCTION("""COMPUTED_VALUE"""),"HI/HO-AT23H")</f>
        <v>HI/HO-AT23H</v>
      </c>
      <c r="F657" s="12">
        <f ca="1">IFERROR(__xludf.DUMMYFUNCTION("""COMPUTED_VALUE"""),51008288)</f>
        <v>51008288</v>
      </c>
      <c r="G657" s="12" t="str">
        <f ca="1">IFERROR(__xludf.DUMMYFUNCTION("""COMPUTED_VALUE"""),"IGEM097N")</f>
        <v>IGEM097N</v>
      </c>
      <c r="H657" s="13">
        <f ca="1">IFERROR(__xludf.DUMMYFUNCTION("""COMPUTED_VALUE"""),23990)</f>
        <v>23990</v>
      </c>
      <c r="I657" s="18">
        <f ca="1">IFERROR(__xludf.DUMMYFUNCTION("""COMPUTED_VALUE"""),18998)</f>
        <v>18998</v>
      </c>
      <c r="J657" s="16">
        <f ca="1">IFERROR(__xludf.DUMMYFUNCTION("""COMPUTED_VALUE"""),45666)</f>
        <v>45666</v>
      </c>
      <c r="K657" s="12" t="str">
        <f ca="1">IFERROR(__xludf.DUMMYFUNCTION("""COMPUTED_VALUE"""),"短促")</f>
        <v>短促</v>
      </c>
      <c r="L657" s="12" t="str">
        <f ca="1">IFERROR(__xludf.DUMMYFUNCTION("""COMPUTED_VALUE"""),"上架中")</f>
        <v>上架中</v>
      </c>
      <c r="M657" s="12" t="str">
        <f ca="1">IFERROR(__xludf.DUMMYFUNCTION("""COMPUTED_VALUE"""),"2025/1/9短促、12/20調降、10/1回價")</f>
        <v>2025/1/9短促、12/20調降、10/1回價</v>
      </c>
      <c r="N657" s="12" t="str">
        <f ca="1">IFERROR(__xludf.DUMMYFUNCTION("""COMPUTED_VALUE"""),"一對一變頻冷暖")</f>
        <v>一對一變頻冷暖</v>
      </c>
      <c r="O657" s="12" t="str">
        <f ca="1">IFERROR(__xludf.DUMMYFUNCTION("""COMPUTED_VALUE"""),"白色")</f>
        <v>白色</v>
      </c>
      <c r="P657" s="12" t="str">
        <f ca="1">IFERROR(__xludf.DUMMYFUNCTION("""COMPUTED_VALUE"""),"3-5坪")</f>
        <v>3-5坪</v>
      </c>
      <c r="Q657" s="12" t="str">
        <f ca="1">IFERROR(__xludf.DUMMYFUNCTION("""COMPUTED_VALUE"""),"
室外機：555*865*310 mm 室內機：295*802*200mm")</f>
        <v xml:space="preserve">
室外機：555*865*310 mm 室內機：295*802*200mm</v>
      </c>
      <c r="R657" s="12" t="str">
        <f ca="1">IFERROR(__xludf.DUMMYFUNCTION("""COMPUTED_VALUE"""),"台灣")</f>
        <v>台灣</v>
      </c>
      <c r="S657" s="12" t="str">
        <f ca="1">IFERROR(__xludf.DUMMYFUNCTION("""COMPUTED_VALUE"""),"V")</f>
        <v>V</v>
      </c>
      <c r="T657" s="22" t="str">
        <f ca="1">IFERROR(__xludf.DUMMYFUNCTION("""COMPUTED_VALUE"""),"1級能效")</f>
        <v>1級能效</v>
      </c>
      <c r="U657" s="22" t="str">
        <f ca="1">IFERROR(__xludf.DUMMYFUNCTION("""COMPUTED_VALUE"""),"7年")</f>
        <v>7年</v>
      </c>
      <c r="V657" s="12"/>
      <c r="W657"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57" s="12"/>
      <c r="Y657" s="12">
        <f ca="1">IFERROR(__xludf.DUMMYFUNCTION("""COMPUTED_VALUE"""),2.4)</f>
        <v>2.4</v>
      </c>
      <c r="Z657" s="14">
        <f ca="1">IFERROR(__xludf.DUMMYFUNCTION("""COMPUTED_VALUE"""),1600)</f>
        <v>1600</v>
      </c>
      <c r="AA657" s="15" t="str">
        <f ca="1">IFERROR(__xludf.DUMMYFUNCTION("""COMPUTED_VALUE"""),"*5D氣流*防直風吹*單獨除濕*定時開關*隨身感溫*耀金防鏽*反轉除塵")</f>
        <v>*5D氣流*防直風吹*單獨除濕*定時開關*隨身感溫*耀金防鏽*反轉除塵</v>
      </c>
    </row>
    <row r="658" spans="1:27" ht="19.5" customHeight="1">
      <c r="A658" s="12" t="str">
        <f ca="1">IFERROR(__xludf.DUMMYFUNCTION("""COMPUTED_VALUE"""),"空調")</f>
        <v>空調</v>
      </c>
      <c r="B658" s="12" t="str">
        <f ca="1">IFERROR(__xludf.DUMMYFUNCTION("""COMPUTED_VALUE"""),"禾聯")</f>
        <v>禾聯</v>
      </c>
      <c r="C658" s="12" t="str">
        <f ca="1">IFERROR(__xludf.DUMMYFUNCTION("""COMPUTED_VALUE"""),"禾聯")</f>
        <v>禾聯</v>
      </c>
      <c r="D658" s="12" t="str">
        <f ca="1">IFERROR(__xludf.DUMMYFUNCTION("""COMPUTED_VALUE"""),"禾聯4-6坪R32 AT系列耀金防沼一對一變頻冷暖空調HI/HO-AT28H")</f>
        <v>禾聯4-6坪R32 AT系列耀金防沼一對一變頻冷暖空調HI/HO-AT28H</v>
      </c>
      <c r="E658" s="12" t="str">
        <f ca="1">IFERROR(__xludf.DUMMYFUNCTION("""COMPUTED_VALUE"""),"HI/HO-AT28H")</f>
        <v>HI/HO-AT28H</v>
      </c>
      <c r="F658" s="12">
        <f ca="1">IFERROR(__xludf.DUMMYFUNCTION("""COMPUTED_VALUE"""),51008289)</f>
        <v>51008289</v>
      </c>
      <c r="G658" s="12" t="str">
        <f ca="1">IFERROR(__xludf.DUMMYFUNCTION("""COMPUTED_VALUE"""),"IGEM097O")</f>
        <v>IGEM097O</v>
      </c>
      <c r="H658" s="13">
        <f ca="1">IFERROR(__xludf.DUMMYFUNCTION("""COMPUTED_VALUE"""),27400)</f>
        <v>27400</v>
      </c>
      <c r="I658" s="18">
        <f ca="1">IFERROR(__xludf.DUMMYFUNCTION("""COMPUTED_VALUE"""),19998)</f>
        <v>19998</v>
      </c>
      <c r="J658" s="16">
        <f ca="1">IFERROR(__xludf.DUMMYFUNCTION("""COMPUTED_VALUE"""),45666)</f>
        <v>45666</v>
      </c>
      <c r="K658" s="12" t="str">
        <f ca="1">IFERROR(__xludf.DUMMYFUNCTION("""COMPUTED_VALUE"""),"短促")</f>
        <v>短促</v>
      </c>
      <c r="L658" s="12" t="str">
        <f ca="1">IFERROR(__xludf.DUMMYFUNCTION("""COMPUTED_VALUE"""),"上架中")</f>
        <v>上架中</v>
      </c>
      <c r="M658" s="12" t="str">
        <f ca="1">IFERROR(__xludf.DUMMYFUNCTION("""COMPUTED_VALUE"""),"2025/1/9短促、12/20調降、10/1回價")</f>
        <v>2025/1/9短促、12/20調降、10/1回價</v>
      </c>
      <c r="N658" s="12" t="str">
        <f ca="1">IFERROR(__xludf.DUMMYFUNCTION("""COMPUTED_VALUE"""),"一對一變頻冷暖")</f>
        <v>一對一變頻冷暖</v>
      </c>
      <c r="O658" s="12" t="str">
        <f ca="1">IFERROR(__xludf.DUMMYFUNCTION("""COMPUTED_VALUE"""),"白色")</f>
        <v>白色</v>
      </c>
      <c r="P658" s="12" t="str">
        <f ca="1">IFERROR(__xludf.DUMMYFUNCTION("""COMPUTED_VALUE"""),"4-6坪")</f>
        <v>4-6坪</v>
      </c>
      <c r="Q658" s="12" t="str">
        <f ca="1">IFERROR(__xludf.DUMMYFUNCTION("""COMPUTED_VALUE"""),"室外機：554*890*345 mm 室內機：295*802*200mm
")</f>
        <v xml:space="preserve">室外機：554*890*345 mm 室內機：295*802*200mm
</v>
      </c>
      <c r="R658" s="12" t="str">
        <f ca="1">IFERROR(__xludf.DUMMYFUNCTION("""COMPUTED_VALUE"""),"台灣")</f>
        <v>台灣</v>
      </c>
      <c r="S658" s="12" t="str">
        <f ca="1">IFERROR(__xludf.DUMMYFUNCTION("""COMPUTED_VALUE"""),"V")</f>
        <v>V</v>
      </c>
      <c r="T658" s="22" t="str">
        <f ca="1">IFERROR(__xludf.DUMMYFUNCTION("""COMPUTED_VALUE"""),"1級能效")</f>
        <v>1級能效</v>
      </c>
      <c r="U658" s="22" t="str">
        <f ca="1">IFERROR(__xludf.DUMMYFUNCTION("""COMPUTED_VALUE"""),"7年")</f>
        <v>7年</v>
      </c>
      <c r="V658" s="12"/>
      <c r="W658"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58" s="12"/>
      <c r="Y658" s="12">
        <f ca="1">IFERROR(__xludf.DUMMYFUNCTION("""COMPUTED_VALUE"""),2.8)</f>
        <v>2.8</v>
      </c>
      <c r="Z658" s="14">
        <f ca="1">IFERROR(__xludf.DUMMYFUNCTION("""COMPUTED_VALUE"""),1600)</f>
        <v>1600</v>
      </c>
      <c r="AA658" s="15" t="str">
        <f ca="1">IFERROR(__xludf.DUMMYFUNCTION("""COMPUTED_VALUE"""),"*5D氣流*防直風吹*單獨除濕*定時開關*隨身感溫*耀金防鏽*反轉除塵")</f>
        <v>*5D氣流*防直風吹*單獨除濕*定時開關*隨身感溫*耀金防鏽*反轉除塵</v>
      </c>
    </row>
    <row r="659" spans="1:27" ht="19.5" customHeight="1">
      <c r="A659" s="12" t="str">
        <f ca="1">IFERROR(__xludf.DUMMYFUNCTION("""COMPUTED_VALUE"""),"空調")</f>
        <v>空調</v>
      </c>
      <c r="B659" s="12" t="str">
        <f ca="1">IFERROR(__xludf.DUMMYFUNCTION("""COMPUTED_VALUE"""),"禾聯")</f>
        <v>禾聯</v>
      </c>
      <c r="C659" s="12" t="str">
        <f ca="1">IFERROR(__xludf.DUMMYFUNCTION("""COMPUTED_VALUE"""),"禾聯")</f>
        <v>禾聯</v>
      </c>
      <c r="D659" s="12" t="str">
        <f ca="1">IFERROR(__xludf.DUMMYFUNCTION("""COMPUTED_VALUE"""),"禾聯5-7坪R32 AT系列耀金防沼一對一變頻冷暖空調HI/HO-AT36H")</f>
        <v>禾聯5-7坪R32 AT系列耀金防沼一對一變頻冷暖空調HI/HO-AT36H</v>
      </c>
      <c r="E659" s="12" t="str">
        <f ca="1">IFERROR(__xludf.DUMMYFUNCTION("""COMPUTED_VALUE"""),"HI/HO-AT36H")</f>
        <v>HI/HO-AT36H</v>
      </c>
      <c r="F659" s="12">
        <f ca="1">IFERROR(__xludf.DUMMYFUNCTION("""COMPUTED_VALUE"""),51008290)</f>
        <v>51008290</v>
      </c>
      <c r="G659" s="12" t="str">
        <f ca="1">IFERROR(__xludf.DUMMYFUNCTION("""COMPUTED_VALUE"""),"IGEM097P")</f>
        <v>IGEM097P</v>
      </c>
      <c r="H659" s="13">
        <f ca="1">IFERROR(__xludf.DUMMYFUNCTION("""COMPUTED_VALUE"""),36500)</f>
        <v>36500</v>
      </c>
      <c r="I659" s="18">
        <f ca="1">IFERROR(__xludf.DUMMYFUNCTION("""COMPUTED_VALUE"""),27100)</f>
        <v>27100</v>
      </c>
      <c r="J659" s="16">
        <f ca="1">IFERROR(__xludf.DUMMYFUNCTION("""COMPUTED_VALUE"""),45666)</f>
        <v>45666</v>
      </c>
      <c r="K659" s="12" t="str">
        <f ca="1">IFERROR(__xludf.DUMMYFUNCTION("""COMPUTED_VALUE"""),"短促")</f>
        <v>短促</v>
      </c>
      <c r="L659" s="12" t="str">
        <f ca="1">IFERROR(__xludf.DUMMYFUNCTION("""COMPUTED_VALUE"""),"上架中")</f>
        <v>上架中</v>
      </c>
      <c r="M659" s="12" t="str">
        <f ca="1">IFERROR(__xludf.DUMMYFUNCTION("""COMPUTED_VALUE"""),"2025/1/9短促、12/20調降、10/1回價")</f>
        <v>2025/1/9短促、12/20調降、10/1回價</v>
      </c>
      <c r="N659" s="12" t="str">
        <f ca="1">IFERROR(__xludf.DUMMYFUNCTION("""COMPUTED_VALUE"""),"一對一變頻冷暖")</f>
        <v>一對一變頻冷暖</v>
      </c>
      <c r="O659" s="12" t="str">
        <f ca="1">IFERROR(__xludf.DUMMYFUNCTION("""COMPUTED_VALUE"""),"白色")</f>
        <v>白色</v>
      </c>
      <c r="P659" s="12" t="str">
        <f ca="1">IFERROR(__xludf.DUMMYFUNCTION("""COMPUTED_VALUE"""),"6-8坪")</f>
        <v>6-8坪</v>
      </c>
      <c r="Q659" s="12" t="str">
        <f ca="1">IFERROR(__xludf.DUMMYFUNCTION("""COMPUTED_VALUE"""),"室外機：554*890*345 mm室內機：295*802*200mm")</f>
        <v>室外機：554*890*345 mm室內機：295*802*200mm</v>
      </c>
      <c r="R659" s="12" t="str">
        <f ca="1">IFERROR(__xludf.DUMMYFUNCTION("""COMPUTED_VALUE"""),"台灣")</f>
        <v>台灣</v>
      </c>
      <c r="S659" s="12" t="str">
        <f ca="1">IFERROR(__xludf.DUMMYFUNCTION("""COMPUTED_VALUE"""),"V")</f>
        <v>V</v>
      </c>
      <c r="T659" s="22" t="str">
        <f ca="1">IFERROR(__xludf.DUMMYFUNCTION("""COMPUTED_VALUE"""),"1級能效")</f>
        <v>1級能效</v>
      </c>
      <c r="U659" s="22" t="str">
        <f ca="1">IFERROR(__xludf.DUMMYFUNCTION("""COMPUTED_VALUE"""),"7年")</f>
        <v>7年</v>
      </c>
      <c r="V659" s="12"/>
      <c r="W659"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59" s="12"/>
      <c r="Y659" s="12">
        <f ca="1">IFERROR(__xludf.DUMMYFUNCTION("""COMPUTED_VALUE"""),3.7)</f>
        <v>3.7</v>
      </c>
      <c r="Z659" s="14" t="str">
        <f ca="1">IFERROR(__xludf.DUMMYFUNCTION("""COMPUTED_VALUE"""),"2000")</f>
        <v>2000</v>
      </c>
      <c r="AA659" s="15" t="str">
        <f ca="1">IFERROR(__xludf.DUMMYFUNCTION("""COMPUTED_VALUE"""),"*5D氣流*防直風吹*單獨除濕*定時開關*隨身感溫*耀金防鏽*反轉除塵")</f>
        <v>*5D氣流*防直風吹*單獨除濕*定時開關*隨身感溫*耀金防鏽*反轉除塵</v>
      </c>
    </row>
    <row r="660" spans="1:27" ht="19.5" customHeight="1">
      <c r="A660" s="12" t="str">
        <f ca="1">IFERROR(__xludf.DUMMYFUNCTION("""COMPUTED_VALUE"""),"空調")</f>
        <v>空調</v>
      </c>
      <c r="B660" s="12" t="str">
        <f ca="1">IFERROR(__xludf.DUMMYFUNCTION("""COMPUTED_VALUE"""),"禾聯")</f>
        <v>禾聯</v>
      </c>
      <c r="C660" s="12" t="str">
        <f ca="1">IFERROR(__xludf.DUMMYFUNCTION("""COMPUTED_VALUE"""),"禾聯")</f>
        <v>禾聯</v>
      </c>
      <c r="D660" s="12" t="str">
        <f ca="1">IFERROR(__xludf.DUMMYFUNCTION("""COMPUTED_VALUE"""),"禾聯6-8坪R32 AT系列耀金防沼一對一變頻冷暖空調HI/HO-AT41H")</f>
        <v>禾聯6-8坪R32 AT系列耀金防沼一對一變頻冷暖空調HI/HO-AT41H</v>
      </c>
      <c r="E660" s="12" t="str">
        <f ca="1">IFERROR(__xludf.DUMMYFUNCTION("""COMPUTED_VALUE"""),"HI/HO-AT41H")</f>
        <v>HI/HO-AT41H</v>
      </c>
      <c r="F660" s="12">
        <f ca="1">IFERROR(__xludf.DUMMYFUNCTION("""COMPUTED_VALUE"""),51008291)</f>
        <v>51008291</v>
      </c>
      <c r="G660" s="12" t="str">
        <f ca="1">IFERROR(__xludf.DUMMYFUNCTION("""COMPUTED_VALUE"""),"IGEM097Q")</f>
        <v>IGEM097Q</v>
      </c>
      <c r="H660" s="13">
        <f ca="1">IFERROR(__xludf.DUMMYFUNCTION("""COMPUTED_VALUE"""),37900)</f>
        <v>37900</v>
      </c>
      <c r="I660" s="18">
        <f ca="1">IFERROR(__xludf.DUMMYFUNCTION("""COMPUTED_VALUE"""),29400)</f>
        <v>29400</v>
      </c>
      <c r="J660" s="16">
        <f ca="1">IFERROR(__xludf.DUMMYFUNCTION("""COMPUTED_VALUE"""),45666)</f>
        <v>45666</v>
      </c>
      <c r="K660" s="12" t="str">
        <f ca="1">IFERROR(__xludf.DUMMYFUNCTION("""COMPUTED_VALUE"""),"短促")</f>
        <v>短促</v>
      </c>
      <c r="L660" s="12" t="str">
        <f ca="1">IFERROR(__xludf.DUMMYFUNCTION("""COMPUTED_VALUE"""),"上架中")</f>
        <v>上架中</v>
      </c>
      <c r="M660" s="12" t="str">
        <f ca="1">IFERROR(__xludf.DUMMYFUNCTION("""COMPUTED_VALUE"""),"2025/1/9短促、12/20調降、10/1回價")</f>
        <v>2025/1/9短促、12/20調降、10/1回價</v>
      </c>
      <c r="N660" s="12" t="str">
        <f ca="1">IFERROR(__xludf.DUMMYFUNCTION("""COMPUTED_VALUE"""),"一對一變頻冷暖")</f>
        <v>一對一變頻冷暖</v>
      </c>
      <c r="O660" s="12" t="str">
        <f ca="1">IFERROR(__xludf.DUMMYFUNCTION("""COMPUTED_VALUE"""),"白色")</f>
        <v>白色</v>
      </c>
      <c r="P660" s="12" t="str">
        <f ca="1">IFERROR(__xludf.DUMMYFUNCTION("""COMPUTED_VALUE"""),"7-9坪")</f>
        <v>7-9坪</v>
      </c>
      <c r="Q660" s="12" t="str">
        <f ca="1">IFERROR(__xludf.DUMMYFUNCTION("""COMPUTED_VALUE"""),"
室外機：554*890*345 mm 室內機：295*802*200mm")</f>
        <v xml:space="preserve">
室外機：554*890*345 mm 室內機：295*802*200mm</v>
      </c>
      <c r="R660" s="12" t="str">
        <f ca="1">IFERROR(__xludf.DUMMYFUNCTION("""COMPUTED_VALUE"""),"台灣")</f>
        <v>台灣</v>
      </c>
      <c r="S660" s="12" t="str">
        <f ca="1">IFERROR(__xludf.DUMMYFUNCTION("""COMPUTED_VALUE"""),"V")</f>
        <v>V</v>
      </c>
      <c r="T660" s="22" t="str">
        <f ca="1">IFERROR(__xludf.DUMMYFUNCTION("""COMPUTED_VALUE"""),"1級能效")</f>
        <v>1級能效</v>
      </c>
      <c r="U660" s="22" t="str">
        <f ca="1">IFERROR(__xludf.DUMMYFUNCTION("""COMPUTED_VALUE"""),"7年")</f>
        <v>7年</v>
      </c>
      <c r="V660" s="12"/>
      <c r="W660"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0" s="12"/>
      <c r="Y660" s="12">
        <f ca="1">IFERROR(__xludf.DUMMYFUNCTION("""COMPUTED_VALUE"""),4.2)</f>
        <v>4.2</v>
      </c>
      <c r="Z660" s="14" t="str">
        <f ca="1">IFERROR(__xludf.DUMMYFUNCTION("""COMPUTED_VALUE"""),"2000")</f>
        <v>2000</v>
      </c>
      <c r="AA660" s="15" t="str">
        <f ca="1">IFERROR(__xludf.DUMMYFUNCTION("""COMPUTED_VALUE"""),"*5D氣流*防直風吹*單獨除濕*定時開關*隨身感溫*耀金防鏽*反轉除塵")</f>
        <v>*5D氣流*防直風吹*單獨除濕*定時開關*隨身感溫*耀金防鏽*反轉除塵</v>
      </c>
    </row>
    <row r="661" spans="1:27" ht="19.5" customHeight="1">
      <c r="A661" s="12" t="str">
        <f ca="1">IFERROR(__xludf.DUMMYFUNCTION("""COMPUTED_VALUE"""),"空調")</f>
        <v>空調</v>
      </c>
      <c r="B661" s="12" t="str">
        <f ca="1">IFERROR(__xludf.DUMMYFUNCTION("""COMPUTED_VALUE"""),"禾聯")</f>
        <v>禾聯</v>
      </c>
      <c r="C661" s="12" t="str">
        <f ca="1">IFERROR(__xludf.DUMMYFUNCTION("""COMPUTED_VALUE"""),"禾聯")</f>
        <v>禾聯</v>
      </c>
      <c r="D661" s="12" t="str">
        <f ca="1">IFERROR(__xludf.DUMMYFUNCTION("""COMPUTED_VALUE"""),"禾聯7-9坪R32 AT系列耀金防沼一對一變頻冷暖空調HI/HO-AT50H")</f>
        <v>禾聯7-9坪R32 AT系列耀金防沼一對一變頻冷暖空調HI/HO-AT50H</v>
      </c>
      <c r="E661" s="12" t="str">
        <f ca="1">IFERROR(__xludf.DUMMYFUNCTION("""COMPUTED_VALUE"""),"HI/HO-AT50H")</f>
        <v>HI/HO-AT50H</v>
      </c>
      <c r="F661" s="12">
        <f ca="1">IFERROR(__xludf.DUMMYFUNCTION("""COMPUTED_VALUE"""),51008292)</f>
        <v>51008292</v>
      </c>
      <c r="G661" s="12" t="str">
        <f ca="1">IFERROR(__xludf.DUMMYFUNCTION("""COMPUTED_VALUE"""),"IGEM097R")</f>
        <v>IGEM097R</v>
      </c>
      <c r="H661" s="13">
        <f ca="1">IFERROR(__xludf.DUMMYFUNCTION("""COMPUTED_VALUE"""),44900)</f>
        <v>44900</v>
      </c>
      <c r="I661" s="18">
        <f ca="1">IFERROR(__xludf.DUMMYFUNCTION("""COMPUTED_VALUE"""),36500)</f>
        <v>36500</v>
      </c>
      <c r="J661" s="16">
        <f ca="1">IFERROR(__xludf.DUMMYFUNCTION("""COMPUTED_VALUE"""),45666)</f>
        <v>45666</v>
      </c>
      <c r="K661" s="12" t="str">
        <f ca="1">IFERROR(__xludf.DUMMYFUNCTION("""COMPUTED_VALUE"""),"短促")</f>
        <v>短促</v>
      </c>
      <c r="L661" s="12" t="str">
        <f ca="1">IFERROR(__xludf.DUMMYFUNCTION("""COMPUTED_VALUE"""),"上架中")</f>
        <v>上架中</v>
      </c>
      <c r="M661" s="12" t="str">
        <f ca="1">IFERROR(__xludf.DUMMYFUNCTION("""COMPUTED_VALUE"""),"2025/1/9短促、12/20調降、10/1回價")</f>
        <v>2025/1/9短促、12/20調降、10/1回價</v>
      </c>
      <c r="N661" s="12" t="str">
        <f ca="1">IFERROR(__xludf.DUMMYFUNCTION("""COMPUTED_VALUE"""),"一對一變頻冷暖")</f>
        <v>一對一變頻冷暖</v>
      </c>
      <c r="O661" s="12" t="str">
        <f ca="1">IFERROR(__xludf.DUMMYFUNCTION("""COMPUTED_VALUE"""),"白色")</f>
        <v>白色</v>
      </c>
      <c r="P661" s="12" t="str">
        <f ca="1">IFERROR(__xludf.DUMMYFUNCTION("""COMPUTED_VALUE"""),"9-11坪")</f>
        <v>9-11坪</v>
      </c>
      <c r="Q661" s="12" t="str">
        <f ca="1">IFERROR(__xludf.DUMMYFUNCTION("""COMPUTED_VALUE"""),"
室外機：673*980*380 mm 室內機：321*371*228mm")</f>
        <v xml:space="preserve">
室外機：673*980*380 mm 室內機：321*371*228mm</v>
      </c>
      <c r="R661" s="12" t="str">
        <f ca="1">IFERROR(__xludf.DUMMYFUNCTION("""COMPUTED_VALUE"""),"台灣")</f>
        <v>台灣</v>
      </c>
      <c r="S661" s="12" t="str">
        <f ca="1">IFERROR(__xludf.DUMMYFUNCTION("""COMPUTED_VALUE"""),"V")</f>
        <v>V</v>
      </c>
      <c r="T661" s="22" t="str">
        <f ca="1">IFERROR(__xludf.DUMMYFUNCTION("""COMPUTED_VALUE"""),"1級能效")</f>
        <v>1級能效</v>
      </c>
      <c r="U661" s="22" t="str">
        <f ca="1">IFERROR(__xludf.DUMMYFUNCTION("""COMPUTED_VALUE"""),"7年")</f>
        <v>7年</v>
      </c>
      <c r="V661" s="12"/>
      <c r="W661"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1" s="12"/>
      <c r="Y661" s="12">
        <f ca="1">IFERROR(__xludf.DUMMYFUNCTION("""COMPUTED_VALUE"""),5.2)</f>
        <v>5.2</v>
      </c>
      <c r="Z661" s="14" t="str">
        <f ca="1">IFERROR(__xludf.DUMMYFUNCTION("""COMPUTED_VALUE"""),"2000")</f>
        <v>2000</v>
      </c>
      <c r="AA661" s="15" t="str">
        <f ca="1">IFERROR(__xludf.DUMMYFUNCTION("""COMPUTED_VALUE"""),"*5D氣流*防直風吹*單獨除濕*定時開關*隨身感溫*耀金防鏽*反轉除塵")</f>
        <v>*5D氣流*防直風吹*單獨除濕*定時開關*隨身感溫*耀金防鏽*反轉除塵</v>
      </c>
    </row>
    <row r="662" spans="1:27" ht="19.5" customHeight="1">
      <c r="A662" s="12" t="str">
        <f ca="1">IFERROR(__xludf.DUMMYFUNCTION("""COMPUTED_VALUE"""),"空調")</f>
        <v>空調</v>
      </c>
      <c r="B662" s="12" t="str">
        <f ca="1">IFERROR(__xludf.DUMMYFUNCTION("""COMPUTED_VALUE"""),"禾聯")</f>
        <v>禾聯</v>
      </c>
      <c r="C662" s="12" t="str">
        <f ca="1">IFERROR(__xludf.DUMMYFUNCTION("""COMPUTED_VALUE"""),"禾聯")</f>
        <v>禾聯</v>
      </c>
      <c r="D662" s="12" t="str">
        <f ca="1">IFERROR(__xludf.DUMMYFUNCTION("""COMPUTED_VALUE"""),"禾聯10-12坪R32 AT系列耀金防沼一對一變頻冷暖空調HI/HO-AT63H")</f>
        <v>禾聯10-12坪R32 AT系列耀金防沼一對一變頻冷暖空調HI/HO-AT63H</v>
      </c>
      <c r="E662" s="12" t="str">
        <f ca="1">IFERROR(__xludf.DUMMYFUNCTION("""COMPUTED_VALUE"""),"HI/HO-AT63H")</f>
        <v>HI/HO-AT63H</v>
      </c>
      <c r="F662" s="12">
        <f ca="1">IFERROR(__xludf.DUMMYFUNCTION("""COMPUTED_VALUE"""),51008293)</f>
        <v>51008293</v>
      </c>
      <c r="G662" s="12" t="str">
        <f ca="1">IFERROR(__xludf.DUMMYFUNCTION("""COMPUTED_VALUE"""),"IGEM097S")</f>
        <v>IGEM097S</v>
      </c>
      <c r="H662" s="13">
        <f ca="1">IFERROR(__xludf.DUMMYFUNCTION("""COMPUTED_VALUE"""),52400)</f>
        <v>52400</v>
      </c>
      <c r="I662" s="18">
        <f ca="1">IFERROR(__xludf.DUMMYFUNCTION("""COMPUTED_VALUE"""),44300)</f>
        <v>44300</v>
      </c>
      <c r="J662" s="16">
        <f ca="1">IFERROR(__xludf.DUMMYFUNCTION("""COMPUTED_VALUE"""),45666)</f>
        <v>45666</v>
      </c>
      <c r="K662" s="12" t="str">
        <f ca="1">IFERROR(__xludf.DUMMYFUNCTION("""COMPUTED_VALUE"""),"短促")</f>
        <v>短促</v>
      </c>
      <c r="L662" s="12" t="str">
        <f ca="1">IFERROR(__xludf.DUMMYFUNCTION("""COMPUTED_VALUE"""),"上架中")</f>
        <v>上架中</v>
      </c>
      <c r="M662" s="12" t="str">
        <f ca="1">IFERROR(__xludf.DUMMYFUNCTION("""COMPUTED_VALUE"""),"2025/1/9短促、12/20調降、10/1回價")</f>
        <v>2025/1/9短促、12/20調降、10/1回價</v>
      </c>
      <c r="N662" s="12" t="str">
        <f ca="1">IFERROR(__xludf.DUMMYFUNCTION("""COMPUTED_VALUE"""),"一對一變頻冷暖")</f>
        <v>一對一變頻冷暖</v>
      </c>
      <c r="O662" s="12" t="str">
        <f ca="1">IFERROR(__xludf.DUMMYFUNCTION("""COMPUTED_VALUE"""),"白色")</f>
        <v>白色</v>
      </c>
      <c r="P662" s="12" t="str">
        <f ca="1">IFERROR(__xludf.DUMMYFUNCTION("""COMPUTED_VALUE"""),"11-13坪")</f>
        <v>11-13坪</v>
      </c>
      <c r="Q662" s="12" t="str">
        <f ca="1">IFERROR(__xludf.DUMMYFUNCTION("""COMPUTED_VALUE"""),"
室外機：673*980*380 mm 室內機：337*1082*234mm")</f>
        <v xml:space="preserve">
室外機：673*980*380 mm 室內機：337*1082*234mm</v>
      </c>
      <c r="R662" s="12" t="str">
        <f ca="1">IFERROR(__xludf.DUMMYFUNCTION("""COMPUTED_VALUE"""),"台灣")</f>
        <v>台灣</v>
      </c>
      <c r="S662" s="12" t="str">
        <f ca="1">IFERROR(__xludf.DUMMYFUNCTION("""COMPUTED_VALUE"""),"V")</f>
        <v>V</v>
      </c>
      <c r="T662" s="22" t="str">
        <f ca="1">IFERROR(__xludf.DUMMYFUNCTION("""COMPUTED_VALUE"""),"1級能效")</f>
        <v>1級能效</v>
      </c>
      <c r="U662" s="22" t="str">
        <f ca="1">IFERROR(__xludf.DUMMYFUNCTION("""COMPUTED_VALUE"""),"7年")</f>
        <v>7年</v>
      </c>
      <c r="V662" s="12"/>
      <c r="W662"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2" s="12"/>
      <c r="Y662" s="12">
        <f ca="1">IFERROR(__xludf.DUMMYFUNCTION("""COMPUTED_VALUE"""),6.6)</f>
        <v>6.6</v>
      </c>
      <c r="Z662" s="14" t="str">
        <f ca="1">IFERROR(__xludf.DUMMYFUNCTION("""COMPUTED_VALUE"""),"2000")</f>
        <v>2000</v>
      </c>
      <c r="AA662" s="15" t="str">
        <f ca="1">IFERROR(__xludf.DUMMYFUNCTION("""COMPUTED_VALUE"""),"*5D氣流*防直風吹*單獨除濕*定時開關*隨身感溫*耀金防鏽*反轉除塵")</f>
        <v>*5D氣流*防直風吹*單獨除濕*定時開關*隨身感溫*耀金防鏽*反轉除塵</v>
      </c>
    </row>
    <row r="663" spans="1:27" ht="19.5" customHeight="1">
      <c r="A663" s="12" t="str">
        <f ca="1">IFERROR(__xludf.DUMMYFUNCTION("""COMPUTED_VALUE"""),"空調")</f>
        <v>空調</v>
      </c>
      <c r="B663" s="12" t="str">
        <f ca="1">IFERROR(__xludf.DUMMYFUNCTION("""COMPUTED_VALUE"""),"禾聯")</f>
        <v>禾聯</v>
      </c>
      <c r="C663" s="12" t="str">
        <f ca="1">IFERROR(__xludf.DUMMYFUNCTION("""COMPUTED_VALUE"""),"禾聯")</f>
        <v>禾聯</v>
      </c>
      <c r="D663" s="12" t="str">
        <f ca="1">IFERROR(__xludf.DUMMYFUNCTION("""COMPUTED_VALUE"""),"禾聯12-14坪R32 AT系列耀金防沼一對一變頻冷暖空調HI/HO-AT72H")</f>
        <v>禾聯12-14坪R32 AT系列耀金防沼一對一變頻冷暖空調HI/HO-AT72H</v>
      </c>
      <c r="E663" s="12" t="str">
        <f ca="1">IFERROR(__xludf.DUMMYFUNCTION("""COMPUTED_VALUE"""),"HI/HO-AT72H")</f>
        <v>HI/HO-AT72H</v>
      </c>
      <c r="F663" s="12">
        <f ca="1">IFERROR(__xludf.DUMMYFUNCTION("""COMPUTED_VALUE"""),51008294)</f>
        <v>51008294</v>
      </c>
      <c r="G663" s="12" t="str">
        <f ca="1">IFERROR(__xludf.DUMMYFUNCTION("""COMPUTED_VALUE"""),"IGEM097T")</f>
        <v>IGEM097T</v>
      </c>
      <c r="H663" s="13">
        <f ca="1">IFERROR(__xludf.DUMMYFUNCTION("""COMPUTED_VALUE"""),57400)</f>
        <v>57400</v>
      </c>
      <c r="I663" s="18">
        <f ca="1">IFERROR(__xludf.DUMMYFUNCTION("""COMPUTED_VALUE"""),47500)</f>
        <v>47500</v>
      </c>
      <c r="J663" s="16">
        <f ca="1">IFERROR(__xludf.DUMMYFUNCTION("""COMPUTED_VALUE"""),45666)</f>
        <v>45666</v>
      </c>
      <c r="K663" s="12" t="str">
        <f ca="1">IFERROR(__xludf.DUMMYFUNCTION("""COMPUTED_VALUE"""),"短促")</f>
        <v>短促</v>
      </c>
      <c r="L663" s="12" t="str">
        <f ca="1">IFERROR(__xludf.DUMMYFUNCTION("""COMPUTED_VALUE"""),"上架中")</f>
        <v>上架中</v>
      </c>
      <c r="M663" s="12" t="str">
        <f ca="1">IFERROR(__xludf.DUMMYFUNCTION("""COMPUTED_VALUE"""),"2025/1/9短促、12/20調降、10/1回價")</f>
        <v>2025/1/9短促、12/20調降、10/1回價</v>
      </c>
      <c r="N663" s="12" t="str">
        <f ca="1">IFERROR(__xludf.DUMMYFUNCTION("""COMPUTED_VALUE"""),"一對一變頻冷暖")</f>
        <v>一對一變頻冷暖</v>
      </c>
      <c r="O663" s="12" t="str">
        <f ca="1">IFERROR(__xludf.DUMMYFUNCTION("""COMPUTED_VALUE"""),"白色")</f>
        <v>白色</v>
      </c>
      <c r="P663" s="12" t="str">
        <f ca="1">IFERROR(__xludf.DUMMYFUNCTION("""COMPUTED_VALUE"""),"13-15坪")</f>
        <v>13-15坪</v>
      </c>
      <c r="Q663" s="12" t="str">
        <f ca="1">IFERROR(__xludf.DUMMYFUNCTION("""COMPUTED_VALUE"""),"
室外機：673*980*380 mm 室內機：337*1082*234mm")</f>
        <v xml:space="preserve">
室外機：673*980*380 mm 室內機：337*1082*234mm</v>
      </c>
      <c r="R663" s="12" t="str">
        <f ca="1">IFERROR(__xludf.DUMMYFUNCTION("""COMPUTED_VALUE"""),"台灣")</f>
        <v>台灣</v>
      </c>
      <c r="S663" s="12" t="str">
        <f ca="1">IFERROR(__xludf.DUMMYFUNCTION("""COMPUTED_VALUE"""),"V")</f>
        <v>V</v>
      </c>
      <c r="T663" s="22" t="str">
        <f ca="1">IFERROR(__xludf.DUMMYFUNCTION("""COMPUTED_VALUE"""),"1級能效")</f>
        <v>1級能效</v>
      </c>
      <c r="U663" s="22" t="str">
        <f ca="1">IFERROR(__xludf.DUMMYFUNCTION("""COMPUTED_VALUE"""),"7年")</f>
        <v>7年</v>
      </c>
      <c r="V663" s="12"/>
      <c r="W663"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3" s="12"/>
      <c r="Y663" s="12">
        <f ca="1">IFERROR(__xludf.DUMMYFUNCTION("""COMPUTED_VALUE"""),7.5)</f>
        <v>7.5</v>
      </c>
      <c r="Z663" s="14" t="str">
        <f ca="1">IFERROR(__xludf.DUMMYFUNCTION("""COMPUTED_VALUE"""),"2000")</f>
        <v>2000</v>
      </c>
      <c r="AA663" s="15" t="str">
        <f ca="1">IFERROR(__xludf.DUMMYFUNCTION("""COMPUTED_VALUE"""),"*5D氣流*防直風吹*單獨除濕*定時開關*隨身感溫*耀金防鏽*反轉除塵")</f>
        <v>*5D氣流*防直風吹*單獨除濕*定時開關*隨身感溫*耀金防鏽*反轉除塵</v>
      </c>
    </row>
    <row r="664" spans="1:27" ht="19.5" customHeight="1">
      <c r="A664" s="12" t="str">
        <f ca="1">IFERROR(__xludf.DUMMYFUNCTION("""COMPUTED_VALUE"""),"空調")</f>
        <v>空調</v>
      </c>
      <c r="B664" s="12" t="str">
        <f ca="1">IFERROR(__xludf.DUMMYFUNCTION("""COMPUTED_VALUE"""),"禾聯")</f>
        <v>禾聯</v>
      </c>
      <c r="C664" s="12" t="str">
        <f ca="1">IFERROR(__xludf.DUMMYFUNCTION("""COMPUTED_VALUE"""),"禾聯")</f>
        <v>禾聯</v>
      </c>
      <c r="D664" s="12" t="str">
        <f ca="1">IFERROR(__xludf.DUMMYFUNCTION("""COMPUTED_VALUE"""),"禾聯2-4坪R32高效沼氣防護2.0尊榮型一對一變頻冷專空調HI/HO-SL23")</f>
        <v>禾聯2-4坪R32高效沼氣防護2.0尊榮型一對一變頻冷專空調HI/HO-SL23</v>
      </c>
      <c r="E664" s="12" t="str">
        <f ca="1">IFERROR(__xludf.DUMMYFUNCTION("""COMPUTED_VALUE"""),"HI/HO-SL23")</f>
        <v>HI/HO-SL23</v>
      </c>
      <c r="F664" s="12">
        <f ca="1">IFERROR(__xludf.DUMMYFUNCTION("""COMPUTED_VALUE"""),51008310)</f>
        <v>51008310</v>
      </c>
      <c r="G664" s="12" t="str">
        <f ca="1">IFERROR(__xludf.DUMMYFUNCTION("""COMPUTED_VALUE"""),"IGEM1094")</f>
        <v>IGEM1094</v>
      </c>
      <c r="H664" s="13">
        <f ca="1">IFERROR(__xludf.DUMMYFUNCTION("""COMPUTED_VALUE"""),26490)</f>
        <v>26490</v>
      </c>
      <c r="I664" s="18">
        <f ca="1">IFERROR(__xludf.DUMMYFUNCTION("""COMPUTED_VALUE"""),24090)</f>
        <v>24090</v>
      </c>
      <c r="J664" s="16">
        <f ca="1">IFERROR(__xludf.DUMMYFUNCTION("""COMPUTED_VALUE"""),45646)</f>
        <v>45646</v>
      </c>
      <c r="K664" s="12" t="str">
        <f ca="1">IFERROR(__xludf.DUMMYFUNCTION("""COMPUTED_VALUE"""),"永久降價")</f>
        <v>永久降價</v>
      </c>
      <c r="L664" s="12" t="str">
        <f ca="1">IFERROR(__xludf.DUMMYFUNCTION("""COMPUTED_VALUE"""),"上架中")</f>
        <v>上架中</v>
      </c>
      <c r="M664" s="12" t="str">
        <f ca="1">IFERROR(__xludf.DUMMYFUNCTION("""COMPUTED_VALUE"""),"12/20降價、2024/8/12上架")</f>
        <v>12/20降價、2024/8/12上架</v>
      </c>
      <c r="N664" s="12" t="str">
        <f ca="1">IFERROR(__xludf.DUMMYFUNCTION("""COMPUTED_VALUE"""),"一對一變頻冷專")</f>
        <v>一對一變頻冷專</v>
      </c>
      <c r="O664" s="12" t="str">
        <f ca="1">IFERROR(__xludf.DUMMYFUNCTION("""COMPUTED_VALUE"""),"白色")</f>
        <v>白色</v>
      </c>
      <c r="P664" s="12" t="str">
        <f ca="1">IFERROR(__xludf.DUMMYFUNCTION("""COMPUTED_VALUE"""),"3-5坪")</f>
        <v>3-5坪</v>
      </c>
      <c r="Q664" s="12" t="str">
        <f ca="1">IFERROR(__xludf.DUMMYFUNCTION("""COMPUTED_VALUE"""),"
室外機：738*555*330mm 室內機：860*270*200mm
")</f>
        <v xml:space="preserve">
室外機：738*555*330mm 室內機：860*270*200mm
</v>
      </c>
      <c r="R664" s="12" t="str">
        <f ca="1">IFERROR(__xludf.DUMMYFUNCTION("""COMPUTED_VALUE"""),"台灣")</f>
        <v>台灣</v>
      </c>
      <c r="S664" s="12" t="str">
        <f ca="1">IFERROR(__xludf.DUMMYFUNCTION("""COMPUTED_VALUE"""),"V")</f>
        <v>V</v>
      </c>
      <c r="T664" s="22" t="str">
        <f ca="1">IFERROR(__xludf.DUMMYFUNCTION("""COMPUTED_VALUE"""),"1級能效")</f>
        <v>1級能效</v>
      </c>
      <c r="U664" s="22" t="str">
        <f ca="1">IFERROR(__xludf.DUMMYFUNCTION("""COMPUTED_VALUE"""),"7年")</f>
        <v>7年</v>
      </c>
      <c r="V664" s="12"/>
      <c r="W664"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4" s="12"/>
      <c r="Y664" s="12">
        <f ca="1">IFERROR(__xludf.DUMMYFUNCTION("""COMPUTED_VALUE"""),2.4)</f>
        <v>2.4</v>
      </c>
      <c r="Z664" s="14">
        <f ca="1">IFERROR(__xludf.DUMMYFUNCTION("""COMPUTED_VALUE"""),1600)</f>
        <v>1600</v>
      </c>
      <c r="AA664"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65" spans="1:27" ht="19.5" customHeight="1">
      <c r="A665" s="12" t="str">
        <f ca="1">IFERROR(__xludf.DUMMYFUNCTION("""COMPUTED_VALUE"""),"空調")</f>
        <v>空調</v>
      </c>
      <c r="B665" s="12" t="str">
        <f ca="1">IFERROR(__xludf.DUMMYFUNCTION("""COMPUTED_VALUE"""),"禾聯")</f>
        <v>禾聯</v>
      </c>
      <c r="C665" s="12" t="str">
        <f ca="1">IFERROR(__xludf.DUMMYFUNCTION("""COMPUTED_VALUE"""),"禾聯")</f>
        <v>禾聯</v>
      </c>
      <c r="D665" s="12" t="str">
        <f ca="1">IFERROR(__xludf.DUMMYFUNCTION("""COMPUTED_VALUE"""),"禾聯4-6坪R32高效沼氣防護2.0尊榮型一對一變頻冷專空調HI/HO-SL28")</f>
        <v>禾聯4-6坪R32高效沼氣防護2.0尊榮型一對一變頻冷專空調HI/HO-SL28</v>
      </c>
      <c r="E665" s="12" t="str">
        <f ca="1">IFERROR(__xludf.DUMMYFUNCTION("""COMPUTED_VALUE"""),"HI/HO-SL28")</f>
        <v>HI/HO-SL28</v>
      </c>
      <c r="F665" s="12">
        <f ca="1">IFERROR(__xludf.DUMMYFUNCTION("""COMPUTED_VALUE"""),51008311)</f>
        <v>51008311</v>
      </c>
      <c r="G665" s="12" t="str">
        <f ca="1">IFERROR(__xludf.DUMMYFUNCTION("""COMPUTED_VALUE"""),"IGEM1095")</f>
        <v>IGEM1095</v>
      </c>
      <c r="H665" s="13">
        <f ca="1">IFERROR(__xludf.DUMMYFUNCTION("""COMPUTED_VALUE"""),29900)</f>
        <v>29900</v>
      </c>
      <c r="I665" s="18">
        <f ca="1">IFERROR(__xludf.DUMMYFUNCTION("""COMPUTED_VALUE"""),26500)</f>
        <v>26500</v>
      </c>
      <c r="J665" s="16">
        <f ca="1">IFERROR(__xludf.DUMMYFUNCTION("""COMPUTED_VALUE"""),45646)</f>
        <v>45646</v>
      </c>
      <c r="K665" s="12" t="str">
        <f ca="1">IFERROR(__xludf.DUMMYFUNCTION("""COMPUTED_VALUE"""),"永久降價")</f>
        <v>永久降價</v>
      </c>
      <c r="L665" s="12" t="str">
        <f ca="1">IFERROR(__xludf.DUMMYFUNCTION("""COMPUTED_VALUE"""),"上架中")</f>
        <v>上架中</v>
      </c>
      <c r="M665" s="12" t="str">
        <f ca="1">IFERROR(__xludf.DUMMYFUNCTION("""COMPUTED_VALUE"""),"12/20降價、2024/8/12上架")</f>
        <v>12/20降價、2024/8/12上架</v>
      </c>
      <c r="N665" s="12" t="str">
        <f ca="1">IFERROR(__xludf.DUMMYFUNCTION("""COMPUTED_VALUE"""),"一對一變頻冷專")</f>
        <v>一對一變頻冷專</v>
      </c>
      <c r="O665" s="12" t="str">
        <f ca="1">IFERROR(__xludf.DUMMYFUNCTION("""COMPUTED_VALUE"""),"白色")</f>
        <v>白色</v>
      </c>
      <c r="P665" s="12" t="str">
        <f ca="1">IFERROR(__xludf.DUMMYFUNCTION("""COMPUTED_VALUE"""),"4-6坪")</f>
        <v>4-6坪</v>
      </c>
      <c r="Q665" s="12" t="str">
        <f ca="1">IFERROR(__xludf.DUMMYFUNCTION("""COMPUTED_VALUE"""),"室外機：800*555*350mm 室內機：300*805*190mm")</f>
        <v>室外機：800*555*350mm 室內機：300*805*190mm</v>
      </c>
      <c r="R665" s="12" t="str">
        <f ca="1">IFERROR(__xludf.DUMMYFUNCTION("""COMPUTED_VALUE"""),"台灣")</f>
        <v>台灣</v>
      </c>
      <c r="S665" s="12" t="str">
        <f ca="1">IFERROR(__xludf.DUMMYFUNCTION("""COMPUTED_VALUE"""),"V")</f>
        <v>V</v>
      </c>
      <c r="T665" s="22" t="str">
        <f ca="1">IFERROR(__xludf.DUMMYFUNCTION("""COMPUTED_VALUE"""),"1級能效")</f>
        <v>1級能效</v>
      </c>
      <c r="U665" s="22" t="str">
        <f ca="1">IFERROR(__xludf.DUMMYFUNCTION("""COMPUTED_VALUE"""),"7年")</f>
        <v>7年</v>
      </c>
      <c r="V665" s="12"/>
      <c r="W665"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5" s="12"/>
      <c r="Y665" s="12">
        <f ca="1">IFERROR(__xludf.DUMMYFUNCTION("""COMPUTED_VALUE"""),2.9)</f>
        <v>2.9</v>
      </c>
      <c r="Z665" s="14">
        <f ca="1">IFERROR(__xludf.DUMMYFUNCTION("""COMPUTED_VALUE"""),1600)</f>
        <v>1600</v>
      </c>
      <c r="AA665"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66" spans="1:27" ht="19.5" customHeight="1">
      <c r="A666" s="12" t="str">
        <f ca="1">IFERROR(__xludf.DUMMYFUNCTION("""COMPUTED_VALUE"""),"空調")</f>
        <v>空調</v>
      </c>
      <c r="B666" s="12" t="str">
        <f ca="1">IFERROR(__xludf.DUMMYFUNCTION("""COMPUTED_VALUE"""),"禾聯")</f>
        <v>禾聯</v>
      </c>
      <c r="C666" s="12" t="str">
        <f ca="1">IFERROR(__xludf.DUMMYFUNCTION("""COMPUTED_VALUE"""),"禾聯")</f>
        <v>禾聯</v>
      </c>
      <c r="D666" s="12" t="str">
        <f ca="1">IFERROR(__xludf.DUMMYFUNCTION("""COMPUTED_VALUE"""),"禾聯5-7坪R32高效沼氣防護2.0尊榮型一對一變頻冷專空調HI/HO-SL36")</f>
        <v>禾聯5-7坪R32高效沼氣防護2.0尊榮型一對一變頻冷專空調HI/HO-SL36</v>
      </c>
      <c r="E666" s="12" t="str">
        <f ca="1">IFERROR(__xludf.DUMMYFUNCTION("""COMPUTED_VALUE"""),"HI/HO-SL36")</f>
        <v>HI/HO-SL36</v>
      </c>
      <c r="F666" s="12">
        <f ca="1">IFERROR(__xludf.DUMMYFUNCTION("""COMPUTED_VALUE"""),51008312)</f>
        <v>51008312</v>
      </c>
      <c r="G666" s="12" t="str">
        <f ca="1">IFERROR(__xludf.DUMMYFUNCTION("""COMPUTED_VALUE"""),"IGEM1096")</f>
        <v>IGEM1096</v>
      </c>
      <c r="H666" s="13">
        <f ca="1">IFERROR(__xludf.DUMMYFUNCTION("""COMPUTED_VALUE"""),39000)</f>
        <v>39000</v>
      </c>
      <c r="I666" s="18">
        <f ca="1">IFERROR(__xludf.DUMMYFUNCTION("""COMPUTED_VALUE"""),34400)</f>
        <v>34400</v>
      </c>
      <c r="J666" s="16">
        <f ca="1">IFERROR(__xludf.DUMMYFUNCTION("""COMPUTED_VALUE"""),45646)</f>
        <v>45646</v>
      </c>
      <c r="K666" s="12" t="str">
        <f ca="1">IFERROR(__xludf.DUMMYFUNCTION("""COMPUTED_VALUE"""),"永久降價")</f>
        <v>永久降價</v>
      </c>
      <c r="L666" s="12" t="str">
        <f ca="1">IFERROR(__xludf.DUMMYFUNCTION("""COMPUTED_VALUE"""),"上架中")</f>
        <v>上架中</v>
      </c>
      <c r="M666" s="12" t="str">
        <f ca="1">IFERROR(__xludf.DUMMYFUNCTION("""COMPUTED_VALUE"""),"12/20降價、2024/8/12上架")</f>
        <v>12/20降價、2024/8/12上架</v>
      </c>
      <c r="N666" s="12" t="str">
        <f ca="1">IFERROR(__xludf.DUMMYFUNCTION("""COMPUTED_VALUE"""),"一對一變頻冷專")</f>
        <v>一對一變頻冷專</v>
      </c>
      <c r="O666" s="12" t="str">
        <f ca="1">IFERROR(__xludf.DUMMYFUNCTION("""COMPUTED_VALUE"""),"白色")</f>
        <v>白色</v>
      </c>
      <c r="P666" s="12" t="str">
        <f ca="1">IFERROR(__xludf.DUMMYFUNCTION("""COMPUTED_VALUE"""),"6-8坪")</f>
        <v>6-8坪</v>
      </c>
      <c r="Q666" s="12" t="str">
        <f ca="1">IFERROR(__xludf.DUMMYFUNCTION("""COMPUTED_VALUE"""),"
室外機：800*555*350mm 室內機：968*331*248mm
")</f>
        <v xml:space="preserve">
室外機：800*555*350mm 室內機：968*331*248mm
</v>
      </c>
      <c r="R666" s="12" t="str">
        <f ca="1">IFERROR(__xludf.DUMMYFUNCTION("""COMPUTED_VALUE"""),"台灣")</f>
        <v>台灣</v>
      </c>
      <c r="S666" s="12" t="str">
        <f ca="1">IFERROR(__xludf.DUMMYFUNCTION("""COMPUTED_VALUE"""),"V")</f>
        <v>V</v>
      </c>
      <c r="T666" s="22" t="str">
        <f ca="1">IFERROR(__xludf.DUMMYFUNCTION("""COMPUTED_VALUE"""),"1級能效")</f>
        <v>1級能效</v>
      </c>
      <c r="U666" s="22" t="str">
        <f ca="1">IFERROR(__xludf.DUMMYFUNCTION("""COMPUTED_VALUE"""),"7年")</f>
        <v>7年</v>
      </c>
      <c r="V666" s="12"/>
      <c r="W666"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6" s="12"/>
      <c r="Y666" s="12">
        <f ca="1">IFERROR(__xludf.DUMMYFUNCTION("""COMPUTED_VALUE"""),3.6)</f>
        <v>3.6</v>
      </c>
      <c r="Z666" s="14" t="str">
        <f ca="1">IFERROR(__xludf.DUMMYFUNCTION("""COMPUTED_VALUE"""),"2000")</f>
        <v>2000</v>
      </c>
      <c r="AA666"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67" spans="1:27" ht="19.5" customHeight="1">
      <c r="A667" s="12" t="str">
        <f ca="1">IFERROR(__xludf.DUMMYFUNCTION("""COMPUTED_VALUE"""),"空調")</f>
        <v>空調</v>
      </c>
      <c r="B667" s="12" t="str">
        <f ca="1">IFERROR(__xludf.DUMMYFUNCTION("""COMPUTED_VALUE"""),"禾聯")</f>
        <v>禾聯</v>
      </c>
      <c r="C667" s="12" t="str">
        <f ca="1">IFERROR(__xludf.DUMMYFUNCTION("""COMPUTED_VALUE"""),"禾聯")</f>
        <v>禾聯</v>
      </c>
      <c r="D667" s="12" t="str">
        <f ca="1">IFERROR(__xludf.DUMMYFUNCTION("""COMPUTED_VALUE"""),"禾聯6-8坪R32高效沼氣防護2.0尊榮型一對一變頻冷專空調HI/HO-SL41")</f>
        <v>禾聯6-8坪R32高效沼氣防護2.0尊榮型一對一變頻冷專空調HI/HO-SL41</v>
      </c>
      <c r="E667" s="12" t="str">
        <f ca="1">IFERROR(__xludf.DUMMYFUNCTION("""COMPUTED_VALUE"""),"HI/HO-SL41")</f>
        <v>HI/HO-SL41</v>
      </c>
      <c r="F667" s="12">
        <f ca="1">IFERROR(__xludf.DUMMYFUNCTION("""COMPUTED_VALUE"""),51008313)</f>
        <v>51008313</v>
      </c>
      <c r="G667" s="12" t="str">
        <f ca="1">IFERROR(__xludf.DUMMYFUNCTION("""COMPUTED_VALUE"""),"IGEM1097")</f>
        <v>IGEM1097</v>
      </c>
      <c r="H667" s="13">
        <f ca="1">IFERROR(__xludf.DUMMYFUNCTION("""COMPUTED_VALUE"""),40400)</f>
        <v>40400</v>
      </c>
      <c r="I667" s="18">
        <f ca="1">IFERROR(__xludf.DUMMYFUNCTION("""COMPUTED_VALUE"""),34800)</f>
        <v>34800</v>
      </c>
      <c r="J667" s="16">
        <f ca="1">IFERROR(__xludf.DUMMYFUNCTION("""COMPUTED_VALUE"""),45646)</f>
        <v>45646</v>
      </c>
      <c r="K667" s="12" t="str">
        <f ca="1">IFERROR(__xludf.DUMMYFUNCTION("""COMPUTED_VALUE"""),"永久降價")</f>
        <v>永久降價</v>
      </c>
      <c r="L667" s="12" t="str">
        <f ca="1">IFERROR(__xludf.DUMMYFUNCTION("""COMPUTED_VALUE"""),"上架中")</f>
        <v>上架中</v>
      </c>
      <c r="M667" s="12" t="str">
        <f ca="1">IFERROR(__xludf.DUMMYFUNCTION("""COMPUTED_VALUE"""),"12/20降價、2024/8/12上架")</f>
        <v>12/20降價、2024/8/12上架</v>
      </c>
      <c r="N667" s="12" t="str">
        <f ca="1">IFERROR(__xludf.DUMMYFUNCTION("""COMPUTED_VALUE"""),"一對一變頻冷專")</f>
        <v>一對一變頻冷專</v>
      </c>
      <c r="O667" s="12" t="str">
        <f ca="1">IFERROR(__xludf.DUMMYFUNCTION("""COMPUTED_VALUE"""),"白色")</f>
        <v>白色</v>
      </c>
      <c r="P667" s="12" t="str">
        <f ca="1">IFERROR(__xludf.DUMMYFUNCTION("""COMPUTED_VALUE"""),"7-9坪")</f>
        <v>7-9坪</v>
      </c>
      <c r="Q667" s="12" t="str">
        <f ca="1">IFERROR(__xludf.DUMMYFUNCTION("""COMPUTED_VALUE"""),"
室外機：800*555*350mm 室內機：968*331*248mm
")</f>
        <v xml:space="preserve">
室外機：800*555*350mm 室內機：968*331*248mm
</v>
      </c>
      <c r="R667" s="12" t="str">
        <f ca="1">IFERROR(__xludf.DUMMYFUNCTION("""COMPUTED_VALUE"""),"台灣")</f>
        <v>台灣</v>
      </c>
      <c r="S667" s="12" t="str">
        <f ca="1">IFERROR(__xludf.DUMMYFUNCTION("""COMPUTED_VALUE"""),"V")</f>
        <v>V</v>
      </c>
      <c r="T667" s="22" t="str">
        <f ca="1">IFERROR(__xludf.DUMMYFUNCTION("""COMPUTED_VALUE"""),"1級能效")</f>
        <v>1級能效</v>
      </c>
      <c r="U667" s="22" t="str">
        <f ca="1">IFERROR(__xludf.DUMMYFUNCTION("""COMPUTED_VALUE"""),"7年")</f>
        <v>7年</v>
      </c>
      <c r="V667" s="12"/>
      <c r="W667"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7" s="12"/>
      <c r="Y667" s="12">
        <f ca="1">IFERROR(__xludf.DUMMYFUNCTION("""COMPUTED_VALUE"""),4.3)</f>
        <v>4.3</v>
      </c>
      <c r="Z667" s="14" t="str">
        <f ca="1">IFERROR(__xludf.DUMMYFUNCTION("""COMPUTED_VALUE"""),"2000")</f>
        <v>2000</v>
      </c>
      <c r="AA667"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68" spans="1:27" ht="19.5" customHeight="1">
      <c r="A668" s="12" t="str">
        <f ca="1">IFERROR(__xludf.DUMMYFUNCTION("""COMPUTED_VALUE"""),"空調")</f>
        <v>空調</v>
      </c>
      <c r="B668" s="12" t="str">
        <f ca="1">IFERROR(__xludf.DUMMYFUNCTION("""COMPUTED_VALUE"""),"禾聯")</f>
        <v>禾聯</v>
      </c>
      <c r="C668" s="12" t="str">
        <f ca="1">IFERROR(__xludf.DUMMYFUNCTION("""COMPUTED_VALUE"""),"禾聯")</f>
        <v>禾聯</v>
      </c>
      <c r="D668" s="12" t="str">
        <f ca="1">IFERROR(__xludf.DUMMYFUNCTION("""COMPUTED_VALUE"""),"禾聯7-9坪R32高效沼氣防護2.0尊榮型一對一變頻冷專空調HI/HO-SL50")</f>
        <v>禾聯7-9坪R32高效沼氣防護2.0尊榮型一對一變頻冷專空調HI/HO-SL50</v>
      </c>
      <c r="E668" s="12" t="str">
        <f ca="1">IFERROR(__xludf.DUMMYFUNCTION("""COMPUTED_VALUE"""),"HI/HO-SL50")</f>
        <v>HI/HO-SL50</v>
      </c>
      <c r="F668" s="12">
        <f ca="1">IFERROR(__xludf.DUMMYFUNCTION("""COMPUTED_VALUE"""),51008314)</f>
        <v>51008314</v>
      </c>
      <c r="G668" s="12" t="str">
        <f ca="1">IFERROR(__xludf.DUMMYFUNCTION("""COMPUTED_VALUE"""),"IGEM1098")</f>
        <v>IGEM1098</v>
      </c>
      <c r="H668" s="13">
        <f ca="1">IFERROR(__xludf.DUMMYFUNCTION("""COMPUTED_VALUE"""),47400)</f>
        <v>47400</v>
      </c>
      <c r="I668" s="18">
        <f ca="1">IFERROR(__xludf.DUMMYFUNCTION("""COMPUTED_VALUE"""),42600)</f>
        <v>42600</v>
      </c>
      <c r="J668" s="16">
        <f ca="1">IFERROR(__xludf.DUMMYFUNCTION("""COMPUTED_VALUE"""),45646)</f>
        <v>45646</v>
      </c>
      <c r="K668" s="12" t="str">
        <f ca="1">IFERROR(__xludf.DUMMYFUNCTION("""COMPUTED_VALUE"""),"永久降價")</f>
        <v>永久降價</v>
      </c>
      <c r="L668" s="12" t="str">
        <f ca="1">IFERROR(__xludf.DUMMYFUNCTION("""COMPUTED_VALUE"""),"上架中")</f>
        <v>上架中</v>
      </c>
      <c r="M668" s="12" t="str">
        <f ca="1">IFERROR(__xludf.DUMMYFUNCTION("""COMPUTED_VALUE"""),"12/20降價、2024/8/12上架")</f>
        <v>12/20降價、2024/8/12上架</v>
      </c>
      <c r="N668" s="12" t="str">
        <f ca="1">IFERROR(__xludf.DUMMYFUNCTION("""COMPUTED_VALUE"""),"一對一變頻冷專")</f>
        <v>一對一變頻冷專</v>
      </c>
      <c r="O668" s="12" t="str">
        <f ca="1">IFERROR(__xludf.DUMMYFUNCTION("""COMPUTED_VALUE"""),"白色")</f>
        <v>白色</v>
      </c>
      <c r="P668" s="12" t="str">
        <f ca="1">IFERROR(__xludf.DUMMYFUNCTION("""COMPUTED_VALUE"""),"9-11坪")</f>
        <v>9-11坪</v>
      </c>
      <c r="Q668" s="12" t="str">
        <f ca="1">IFERROR(__xludf.DUMMYFUNCTION("""COMPUTED_VALUE"""),"
室外機：875*555*376mm 室內機：968*331*248mm")</f>
        <v xml:space="preserve">
室外機：875*555*376mm 室內機：968*331*248mm</v>
      </c>
      <c r="R668" s="12" t="str">
        <f ca="1">IFERROR(__xludf.DUMMYFUNCTION("""COMPUTED_VALUE"""),"台灣")</f>
        <v>台灣</v>
      </c>
      <c r="S668" s="12" t="str">
        <f ca="1">IFERROR(__xludf.DUMMYFUNCTION("""COMPUTED_VALUE"""),"V")</f>
        <v>V</v>
      </c>
      <c r="T668" s="22" t="str">
        <f ca="1">IFERROR(__xludf.DUMMYFUNCTION("""COMPUTED_VALUE"""),"1級能效")</f>
        <v>1級能效</v>
      </c>
      <c r="U668" s="22" t="str">
        <f ca="1">IFERROR(__xludf.DUMMYFUNCTION("""COMPUTED_VALUE"""),"7年")</f>
        <v>7年</v>
      </c>
      <c r="V668" s="12"/>
      <c r="W668"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8" s="12"/>
      <c r="Y668" s="12">
        <f ca="1">IFERROR(__xludf.DUMMYFUNCTION("""COMPUTED_VALUE"""),5)</f>
        <v>5</v>
      </c>
      <c r="Z668" s="14" t="str">
        <f ca="1">IFERROR(__xludf.DUMMYFUNCTION("""COMPUTED_VALUE"""),"2000")</f>
        <v>2000</v>
      </c>
      <c r="AA668"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69" spans="1:27" ht="19.5" customHeight="1">
      <c r="A669" s="12" t="str">
        <f ca="1">IFERROR(__xludf.DUMMYFUNCTION("""COMPUTED_VALUE"""),"空調")</f>
        <v>空調</v>
      </c>
      <c r="B669" s="12" t="str">
        <f ca="1">IFERROR(__xludf.DUMMYFUNCTION("""COMPUTED_VALUE"""),"禾聯")</f>
        <v>禾聯</v>
      </c>
      <c r="C669" s="12" t="str">
        <f ca="1">IFERROR(__xludf.DUMMYFUNCTION("""COMPUTED_VALUE"""),"禾聯")</f>
        <v>禾聯</v>
      </c>
      <c r="D669" s="12" t="str">
        <f ca="1">IFERROR(__xludf.DUMMYFUNCTION("""COMPUTED_VALUE"""),"禾聯10-12坪R32高效沼氣防護2.0尊榮型一對一變頻冷專空調HI/HO-SL63")</f>
        <v>禾聯10-12坪R32高效沼氣防護2.0尊榮型一對一變頻冷專空調HI/HO-SL63</v>
      </c>
      <c r="E669" s="12" t="str">
        <f ca="1">IFERROR(__xludf.DUMMYFUNCTION("""COMPUTED_VALUE"""),"HI/HO-SL63")</f>
        <v>HI/HO-SL63</v>
      </c>
      <c r="F669" s="12">
        <f ca="1">IFERROR(__xludf.DUMMYFUNCTION("""COMPUTED_VALUE"""),51008315)</f>
        <v>51008315</v>
      </c>
      <c r="G669" s="12" t="str">
        <f ca="1">IFERROR(__xludf.DUMMYFUNCTION("""COMPUTED_VALUE"""),"IGEM1099")</f>
        <v>IGEM1099</v>
      </c>
      <c r="H669" s="13">
        <f ca="1">IFERROR(__xludf.DUMMYFUNCTION("""COMPUTED_VALUE"""),54900)</f>
        <v>54900</v>
      </c>
      <c r="I669" s="18">
        <f ca="1">IFERROR(__xludf.DUMMYFUNCTION("""COMPUTED_VALUE"""),49100)</f>
        <v>49100</v>
      </c>
      <c r="J669" s="16">
        <f ca="1">IFERROR(__xludf.DUMMYFUNCTION("""COMPUTED_VALUE"""),45646)</f>
        <v>45646</v>
      </c>
      <c r="K669" s="12" t="str">
        <f ca="1">IFERROR(__xludf.DUMMYFUNCTION("""COMPUTED_VALUE"""),"永久降價")</f>
        <v>永久降價</v>
      </c>
      <c r="L669" s="12" t="str">
        <f ca="1">IFERROR(__xludf.DUMMYFUNCTION("""COMPUTED_VALUE"""),"上架中")</f>
        <v>上架中</v>
      </c>
      <c r="M669" s="12" t="str">
        <f ca="1">IFERROR(__xludf.DUMMYFUNCTION("""COMPUTED_VALUE"""),"12/20降價、2024/8/12上架")</f>
        <v>12/20降價、2024/8/12上架</v>
      </c>
      <c r="N669" s="12" t="str">
        <f ca="1">IFERROR(__xludf.DUMMYFUNCTION("""COMPUTED_VALUE"""),"一對一變頻冷專")</f>
        <v>一對一變頻冷專</v>
      </c>
      <c r="O669" s="12" t="str">
        <f ca="1">IFERROR(__xludf.DUMMYFUNCTION("""COMPUTED_VALUE"""),"白色")</f>
        <v>白色</v>
      </c>
      <c r="P669" s="12" t="str">
        <f ca="1">IFERROR(__xludf.DUMMYFUNCTION("""COMPUTED_VALUE"""),"11-13坪")</f>
        <v>11-13坪</v>
      </c>
      <c r="Q669" s="12" t="str">
        <f ca="1">IFERROR(__xludf.DUMMYFUNCTION("""COMPUTED_VALUE"""),"室外機：960*660*402mm 室內機：1106*330*248mm
")</f>
        <v xml:space="preserve">室外機：960*660*402mm 室內機：1106*330*248mm
</v>
      </c>
      <c r="R669" s="12" t="str">
        <f ca="1">IFERROR(__xludf.DUMMYFUNCTION("""COMPUTED_VALUE"""),"台灣")</f>
        <v>台灣</v>
      </c>
      <c r="S669" s="12" t="str">
        <f ca="1">IFERROR(__xludf.DUMMYFUNCTION("""COMPUTED_VALUE"""),"V")</f>
        <v>V</v>
      </c>
      <c r="T669" s="22" t="str">
        <f ca="1">IFERROR(__xludf.DUMMYFUNCTION("""COMPUTED_VALUE"""),"1級能效")</f>
        <v>1級能效</v>
      </c>
      <c r="U669" s="22" t="str">
        <f ca="1">IFERROR(__xludf.DUMMYFUNCTION("""COMPUTED_VALUE"""),"7年")</f>
        <v>7年</v>
      </c>
      <c r="V669" s="12"/>
      <c r="W669"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69" s="12"/>
      <c r="Y669" s="12">
        <f ca="1">IFERROR(__xludf.DUMMYFUNCTION("""COMPUTED_VALUE"""),6.3)</f>
        <v>6.3</v>
      </c>
      <c r="Z669" s="14" t="str">
        <f ca="1">IFERROR(__xludf.DUMMYFUNCTION("""COMPUTED_VALUE"""),"2000")</f>
        <v>2000</v>
      </c>
      <c r="AA669"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0" spans="1:27" ht="19.5" customHeight="1">
      <c r="A670" s="12" t="str">
        <f ca="1">IFERROR(__xludf.DUMMYFUNCTION("""COMPUTED_VALUE"""),"空調")</f>
        <v>空調</v>
      </c>
      <c r="B670" s="12" t="str">
        <f ca="1">IFERROR(__xludf.DUMMYFUNCTION("""COMPUTED_VALUE"""),"禾聯")</f>
        <v>禾聯</v>
      </c>
      <c r="C670" s="12" t="str">
        <f ca="1">IFERROR(__xludf.DUMMYFUNCTION("""COMPUTED_VALUE"""),"禾聯")</f>
        <v>禾聯</v>
      </c>
      <c r="D670" s="12" t="str">
        <f ca="1">IFERROR(__xludf.DUMMYFUNCTION("""COMPUTED_VALUE"""),"禾聯12-14坪R32高效沼氣防護2.0尊榮型一對一變頻冷專空調HI/HO-SL72")</f>
        <v>禾聯12-14坪R32高效沼氣防護2.0尊榮型一對一變頻冷專空調HI/HO-SL72</v>
      </c>
      <c r="E670" s="12" t="str">
        <f ca="1">IFERROR(__xludf.DUMMYFUNCTION("""COMPUTED_VALUE"""),"HI/HO-SL72")</f>
        <v>HI/HO-SL72</v>
      </c>
      <c r="F670" s="12">
        <f ca="1">IFERROR(__xludf.DUMMYFUNCTION("""COMPUTED_VALUE"""),51008316)</f>
        <v>51008316</v>
      </c>
      <c r="G670" s="12" t="str">
        <f ca="1">IFERROR(__xludf.DUMMYFUNCTION("""COMPUTED_VALUE"""),"IGEM109A")</f>
        <v>IGEM109A</v>
      </c>
      <c r="H670" s="13">
        <f ca="1">IFERROR(__xludf.DUMMYFUNCTION("""COMPUTED_VALUE"""),59900)</f>
        <v>59900</v>
      </c>
      <c r="I670" s="18">
        <f ca="1">IFERROR(__xludf.DUMMYFUNCTION("""COMPUTED_VALUE"""),52900)</f>
        <v>52900</v>
      </c>
      <c r="J670" s="16">
        <f ca="1">IFERROR(__xludf.DUMMYFUNCTION("""COMPUTED_VALUE"""),45646)</f>
        <v>45646</v>
      </c>
      <c r="K670" s="12" t="str">
        <f ca="1">IFERROR(__xludf.DUMMYFUNCTION("""COMPUTED_VALUE"""),"永久降價")</f>
        <v>永久降價</v>
      </c>
      <c r="L670" s="12" t="str">
        <f ca="1">IFERROR(__xludf.DUMMYFUNCTION("""COMPUTED_VALUE"""),"上架中")</f>
        <v>上架中</v>
      </c>
      <c r="M670" s="12" t="str">
        <f ca="1">IFERROR(__xludf.DUMMYFUNCTION("""COMPUTED_VALUE"""),"12/20降價、2024/8/12上架")</f>
        <v>12/20降價、2024/8/12上架</v>
      </c>
      <c r="N670" s="12" t="str">
        <f ca="1">IFERROR(__xludf.DUMMYFUNCTION("""COMPUTED_VALUE"""),"一對一變頻冷專")</f>
        <v>一對一變頻冷專</v>
      </c>
      <c r="O670" s="12" t="str">
        <f ca="1">IFERROR(__xludf.DUMMYFUNCTION("""COMPUTED_VALUE"""),"白色")</f>
        <v>白色</v>
      </c>
      <c r="P670" s="12" t="str">
        <f ca="1">IFERROR(__xludf.DUMMYFUNCTION("""COMPUTED_VALUE"""),"13-15坪")</f>
        <v>13-15坪</v>
      </c>
      <c r="Q670" s="12" t="str">
        <f ca="1">IFERROR(__xludf.DUMMYFUNCTION("""COMPUTED_VALUE"""),"
室外機：960*660*402mm 室內機：1106*330*248mm")</f>
        <v xml:space="preserve">
室外機：960*660*402mm 室內機：1106*330*248mm</v>
      </c>
      <c r="R670" s="12" t="str">
        <f ca="1">IFERROR(__xludf.DUMMYFUNCTION("""COMPUTED_VALUE"""),"台灣")</f>
        <v>台灣</v>
      </c>
      <c r="S670" s="12" t="str">
        <f ca="1">IFERROR(__xludf.DUMMYFUNCTION("""COMPUTED_VALUE"""),"V")</f>
        <v>V</v>
      </c>
      <c r="T670" s="22" t="str">
        <f ca="1">IFERROR(__xludf.DUMMYFUNCTION("""COMPUTED_VALUE"""),"1級能效")</f>
        <v>1級能效</v>
      </c>
      <c r="U670" s="22" t="str">
        <f ca="1">IFERROR(__xludf.DUMMYFUNCTION("""COMPUTED_VALUE"""),"7年")</f>
        <v>7年</v>
      </c>
      <c r="V670" s="12"/>
      <c r="W670"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0" s="12"/>
      <c r="Y670" s="12">
        <f ca="1">IFERROR(__xludf.DUMMYFUNCTION("""COMPUTED_VALUE"""),7.4)</f>
        <v>7.4</v>
      </c>
      <c r="Z670" s="14" t="str">
        <f ca="1">IFERROR(__xludf.DUMMYFUNCTION("""COMPUTED_VALUE"""),"2000")</f>
        <v>2000</v>
      </c>
      <c r="AA670"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1" spans="1:27" ht="19.5" customHeight="1">
      <c r="A671" s="12" t="str">
        <f ca="1">IFERROR(__xludf.DUMMYFUNCTION("""COMPUTED_VALUE"""),"空調")</f>
        <v>空調</v>
      </c>
      <c r="B671" s="12" t="str">
        <f ca="1">IFERROR(__xludf.DUMMYFUNCTION("""COMPUTED_VALUE"""),"禾聯")</f>
        <v>禾聯</v>
      </c>
      <c r="C671" s="12" t="str">
        <f ca="1">IFERROR(__xludf.DUMMYFUNCTION("""COMPUTED_VALUE"""),"禾聯")</f>
        <v>禾聯</v>
      </c>
      <c r="D671" s="12" t="str">
        <f ca="1">IFERROR(__xludf.DUMMYFUNCTION("""COMPUTED_VALUE"""),"禾聯14-16坪R32高效沼氣防護2.0尊榮型一對一變頻冷專空調HI/HO-SL80")</f>
        <v>禾聯14-16坪R32高效沼氣防護2.0尊榮型一對一變頻冷專空調HI/HO-SL80</v>
      </c>
      <c r="E671" s="12" t="str">
        <f ca="1">IFERROR(__xludf.DUMMYFUNCTION("""COMPUTED_VALUE"""),"HI/HO-SL80")</f>
        <v>HI/HO-SL80</v>
      </c>
      <c r="F671" s="12">
        <f ca="1">IFERROR(__xludf.DUMMYFUNCTION("""COMPUTED_VALUE"""),51008317)</f>
        <v>51008317</v>
      </c>
      <c r="G671" s="12" t="str">
        <f ca="1">IFERROR(__xludf.DUMMYFUNCTION("""COMPUTED_VALUE"""),"IGEM109B")</f>
        <v>IGEM109B</v>
      </c>
      <c r="H671" s="13">
        <f ca="1">IFERROR(__xludf.DUMMYFUNCTION("""COMPUTED_VALUE"""),67400)</f>
        <v>67400</v>
      </c>
      <c r="I671" s="18">
        <f ca="1">IFERROR(__xludf.DUMMYFUNCTION("""COMPUTED_VALUE"""),60200)</f>
        <v>60200</v>
      </c>
      <c r="J671" s="16">
        <f ca="1">IFERROR(__xludf.DUMMYFUNCTION("""COMPUTED_VALUE"""),45646)</f>
        <v>45646</v>
      </c>
      <c r="K671" s="12" t="str">
        <f ca="1">IFERROR(__xludf.DUMMYFUNCTION("""COMPUTED_VALUE"""),"永久降價")</f>
        <v>永久降價</v>
      </c>
      <c r="L671" s="12" t="str">
        <f ca="1">IFERROR(__xludf.DUMMYFUNCTION("""COMPUTED_VALUE"""),"上架中")</f>
        <v>上架中</v>
      </c>
      <c r="M671" s="12" t="str">
        <f ca="1">IFERROR(__xludf.DUMMYFUNCTION("""COMPUTED_VALUE"""),"12/20降價、2024/8/12上架")</f>
        <v>12/20降價、2024/8/12上架</v>
      </c>
      <c r="N671" s="12" t="str">
        <f ca="1">IFERROR(__xludf.DUMMYFUNCTION("""COMPUTED_VALUE"""),"一對一變頻冷專")</f>
        <v>一對一變頻冷專</v>
      </c>
      <c r="O671" s="12" t="str">
        <f ca="1">IFERROR(__xludf.DUMMYFUNCTION("""COMPUTED_VALUE"""),"白色")</f>
        <v>白色</v>
      </c>
      <c r="P671" s="12" t="str">
        <f ca="1">IFERROR(__xludf.DUMMYFUNCTION("""COMPUTED_VALUE"""),"15-17坪")</f>
        <v>15-17坪</v>
      </c>
      <c r="Q671" s="12" t="str">
        <f ca="1">IFERROR(__xludf.DUMMYFUNCTION("""COMPUTED_VALUE"""),"室外機：960*660*402mm 室內機：1081*325*248mm")</f>
        <v>室外機：960*660*402mm 室內機：1081*325*248mm</v>
      </c>
      <c r="R671" s="12" t="str">
        <f ca="1">IFERROR(__xludf.DUMMYFUNCTION("""COMPUTED_VALUE"""),"台灣")</f>
        <v>台灣</v>
      </c>
      <c r="S671" s="12" t="str">
        <f ca="1">IFERROR(__xludf.DUMMYFUNCTION("""COMPUTED_VALUE"""),"V")</f>
        <v>V</v>
      </c>
      <c r="T671" s="22" t="str">
        <f ca="1">IFERROR(__xludf.DUMMYFUNCTION("""COMPUTED_VALUE"""),"1級能效")</f>
        <v>1級能效</v>
      </c>
      <c r="U671" s="22" t="str">
        <f ca="1">IFERROR(__xludf.DUMMYFUNCTION("""COMPUTED_VALUE"""),"7年")</f>
        <v>7年</v>
      </c>
      <c r="V671" s="12"/>
      <c r="W671"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1" s="12"/>
      <c r="Y671" s="12">
        <f ca="1">IFERROR(__xludf.DUMMYFUNCTION("""COMPUTED_VALUE"""),8)</f>
        <v>8</v>
      </c>
      <c r="Z671" s="14" t="str">
        <f ca="1">IFERROR(__xludf.DUMMYFUNCTION("""COMPUTED_VALUE"""),"2000")</f>
        <v>2000</v>
      </c>
      <c r="AA671"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2" spans="1:27" ht="19.5" customHeight="1">
      <c r="A672" s="12" t="str">
        <f ca="1">IFERROR(__xludf.DUMMYFUNCTION("""COMPUTED_VALUE"""),"空調")</f>
        <v>空調</v>
      </c>
      <c r="B672" s="12" t="str">
        <f ca="1">IFERROR(__xludf.DUMMYFUNCTION("""COMPUTED_VALUE"""),"禾聯")</f>
        <v>禾聯</v>
      </c>
      <c r="C672" s="12" t="str">
        <f ca="1">IFERROR(__xludf.DUMMYFUNCTION("""COMPUTED_VALUE"""),"禾聯")</f>
        <v>禾聯</v>
      </c>
      <c r="D672" s="12" t="str">
        <f ca="1">IFERROR(__xludf.DUMMYFUNCTION("""COMPUTED_VALUE"""),"禾聯16-18坪R32高效沼氣防護2.0尊榮型一對一變頻冷專空調HI/HO-SL85")</f>
        <v>禾聯16-18坪R32高效沼氣防護2.0尊榮型一對一變頻冷專空調HI/HO-SL85</v>
      </c>
      <c r="E672" s="12" t="str">
        <f ca="1">IFERROR(__xludf.DUMMYFUNCTION("""COMPUTED_VALUE"""),"HI/HO-SL85")</f>
        <v>HI/HO-SL85</v>
      </c>
      <c r="F672" s="12">
        <f ca="1">IFERROR(__xludf.DUMMYFUNCTION("""COMPUTED_VALUE"""),51008318)</f>
        <v>51008318</v>
      </c>
      <c r="G672" s="12" t="str">
        <f ca="1">IFERROR(__xludf.DUMMYFUNCTION("""COMPUTED_VALUE"""),"IGEM109C")</f>
        <v>IGEM109C</v>
      </c>
      <c r="H672" s="13">
        <f ca="1">IFERROR(__xludf.DUMMYFUNCTION("""COMPUTED_VALUE"""),71900)</f>
        <v>71900</v>
      </c>
      <c r="I672" s="18">
        <f ca="1">IFERROR(__xludf.DUMMYFUNCTION("""COMPUTED_VALUE"""),63700)</f>
        <v>63700</v>
      </c>
      <c r="J672" s="16">
        <f ca="1">IFERROR(__xludf.DUMMYFUNCTION("""COMPUTED_VALUE"""),45646)</f>
        <v>45646</v>
      </c>
      <c r="K672" s="12" t="str">
        <f ca="1">IFERROR(__xludf.DUMMYFUNCTION("""COMPUTED_VALUE"""),"永久降價")</f>
        <v>永久降價</v>
      </c>
      <c r="L672" s="12" t="str">
        <f ca="1">IFERROR(__xludf.DUMMYFUNCTION("""COMPUTED_VALUE"""),"上架中")</f>
        <v>上架中</v>
      </c>
      <c r="M672" s="12" t="str">
        <f ca="1">IFERROR(__xludf.DUMMYFUNCTION("""COMPUTED_VALUE"""),"12/20降價、2024/8/12上架")</f>
        <v>12/20降價、2024/8/12上架</v>
      </c>
      <c r="N672" s="12" t="str">
        <f ca="1">IFERROR(__xludf.DUMMYFUNCTION("""COMPUTED_VALUE"""),"一對一變頻冷專")</f>
        <v>一對一變頻冷專</v>
      </c>
      <c r="O672" s="12" t="str">
        <f ca="1">IFERROR(__xludf.DUMMYFUNCTION("""COMPUTED_VALUE"""),"白色")</f>
        <v>白色</v>
      </c>
      <c r="P672" s="12" t="str">
        <f ca="1">IFERROR(__xludf.DUMMYFUNCTION("""COMPUTED_VALUE"""),"17-19坪")</f>
        <v>17-19坪</v>
      </c>
      <c r="Q672" s="12" t="str">
        <f ca="1">IFERROR(__xludf.DUMMYFUNCTION("""COMPUTED_VALUE"""),"
室外機：960*660*402mm 室內機：1081*325*248mm")</f>
        <v xml:space="preserve">
室外機：960*660*402mm 室內機：1081*325*248mm</v>
      </c>
      <c r="R672" s="12" t="str">
        <f ca="1">IFERROR(__xludf.DUMMYFUNCTION("""COMPUTED_VALUE"""),"台灣")</f>
        <v>台灣</v>
      </c>
      <c r="S672" s="12" t="str">
        <f ca="1">IFERROR(__xludf.DUMMYFUNCTION("""COMPUTED_VALUE"""),"V")</f>
        <v>V</v>
      </c>
      <c r="T672" s="22" t="str">
        <f ca="1">IFERROR(__xludf.DUMMYFUNCTION("""COMPUTED_VALUE"""),"1級能效")</f>
        <v>1級能效</v>
      </c>
      <c r="U672" s="22" t="str">
        <f ca="1">IFERROR(__xludf.DUMMYFUNCTION("""COMPUTED_VALUE"""),"7年")</f>
        <v>7年</v>
      </c>
      <c r="V672" s="12"/>
      <c r="W672"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2" s="12"/>
      <c r="Y672" s="12">
        <f ca="1">IFERROR(__xludf.DUMMYFUNCTION("""COMPUTED_VALUE"""),8.5)</f>
        <v>8.5</v>
      </c>
      <c r="Z672" s="14" t="str">
        <f ca="1">IFERROR(__xludf.DUMMYFUNCTION("""COMPUTED_VALUE"""),"2000")</f>
        <v>2000</v>
      </c>
      <c r="AA672"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3" spans="1:27" ht="19.5" customHeight="1">
      <c r="A673" s="12" t="str">
        <f ca="1">IFERROR(__xludf.DUMMYFUNCTION("""COMPUTED_VALUE"""),"空調")</f>
        <v>空調</v>
      </c>
      <c r="B673" s="12" t="str">
        <f ca="1">IFERROR(__xludf.DUMMYFUNCTION("""COMPUTED_VALUE"""),"禾聯")</f>
        <v>禾聯</v>
      </c>
      <c r="C673" s="12" t="str">
        <f ca="1">IFERROR(__xludf.DUMMYFUNCTION("""COMPUTED_VALUE"""),"禾聯")</f>
        <v>禾聯</v>
      </c>
      <c r="D673" s="12" t="str">
        <f ca="1">IFERROR(__xludf.DUMMYFUNCTION("""COMPUTED_VALUE"""),"禾聯18-20坪R32高效沼氣防護2.0尊榮型一對一變頻冷專空調HI/HO-SL91")</f>
        <v>禾聯18-20坪R32高效沼氣防護2.0尊榮型一對一變頻冷專空調HI/HO-SL91</v>
      </c>
      <c r="E673" s="12" t="str">
        <f ca="1">IFERROR(__xludf.DUMMYFUNCTION("""COMPUTED_VALUE"""),"HI/HO-SL91")</f>
        <v>HI/HO-SL91</v>
      </c>
      <c r="F673" s="12">
        <f ca="1">IFERROR(__xludf.DUMMYFUNCTION("""COMPUTED_VALUE"""),51008319)</f>
        <v>51008319</v>
      </c>
      <c r="G673" s="12" t="str">
        <f ca="1">IFERROR(__xludf.DUMMYFUNCTION("""COMPUTED_VALUE"""),"IGEM109D")</f>
        <v>IGEM109D</v>
      </c>
      <c r="H673" s="13">
        <f ca="1">IFERROR(__xludf.DUMMYFUNCTION("""COMPUTED_VALUE"""),70900)</f>
        <v>70900</v>
      </c>
      <c r="I673" s="18">
        <f ca="1">IFERROR(__xludf.DUMMYFUNCTION("""COMPUTED_VALUE"""),65700)</f>
        <v>65700</v>
      </c>
      <c r="J673" s="16">
        <f ca="1">IFERROR(__xludf.DUMMYFUNCTION("""COMPUTED_VALUE"""),45646)</f>
        <v>45646</v>
      </c>
      <c r="K673" s="12" t="str">
        <f ca="1">IFERROR(__xludf.DUMMYFUNCTION("""COMPUTED_VALUE"""),"永久降價")</f>
        <v>永久降價</v>
      </c>
      <c r="L673" s="12" t="str">
        <f ca="1">IFERROR(__xludf.DUMMYFUNCTION("""COMPUTED_VALUE"""),"上架中")</f>
        <v>上架中</v>
      </c>
      <c r="M673" s="12" t="str">
        <f ca="1">IFERROR(__xludf.DUMMYFUNCTION("""COMPUTED_VALUE"""),"12/20降價、2024/8/12上架")</f>
        <v>12/20降價、2024/8/12上架</v>
      </c>
      <c r="N673" s="12" t="str">
        <f ca="1">IFERROR(__xludf.DUMMYFUNCTION("""COMPUTED_VALUE"""),"一對一變頻冷專")</f>
        <v>一對一變頻冷專</v>
      </c>
      <c r="O673" s="12" t="str">
        <f ca="1">IFERROR(__xludf.DUMMYFUNCTION("""COMPUTED_VALUE"""),"白色")</f>
        <v>白色</v>
      </c>
      <c r="P673" s="12" t="str">
        <f ca="1">IFERROR(__xludf.DUMMYFUNCTION("""COMPUTED_VALUE"""),"19-21坪")</f>
        <v>19-21坪</v>
      </c>
      <c r="Q673" s="12" t="str">
        <f ca="1">IFERROR(__xludf.DUMMYFUNCTION("""COMPUTED_VALUE"""),"
室外機：960*660*402mm 室內機：1350*326*253mm")</f>
        <v xml:space="preserve">
室外機：960*660*402mm 室內機：1350*326*253mm</v>
      </c>
      <c r="R673" s="12" t="str">
        <f ca="1">IFERROR(__xludf.DUMMYFUNCTION("""COMPUTED_VALUE"""),"台灣")</f>
        <v>台灣</v>
      </c>
      <c r="S673" s="12" t="str">
        <f ca="1">IFERROR(__xludf.DUMMYFUNCTION("""COMPUTED_VALUE"""),"V")</f>
        <v>V</v>
      </c>
      <c r="T673" s="22" t="str">
        <f ca="1">IFERROR(__xludf.DUMMYFUNCTION("""COMPUTED_VALUE"""),"1級能效")</f>
        <v>1級能效</v>
      </c>
      <c r="U673" s="22" t="str">
        <f ca="1">IFERROR(__xludf.DUMMYFUNCTION("""COMPUTED_VALUE"""),"7年")</f>
        <v>7年</v>
      </c>
      <c r="V673" s="12"/>
      <c r="W673"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3" s="12"/>
      <c r="Y673" s="12">
        <f ca="1">IFERROR(__xludf.DUMMYFUNCTION("""COMPUTED_VALUE"""),9.1)</f>
        <v>9.1</v>
      </c>
      <c r="Z673" s="14" t="str">
        <f ca="1">IFERROR(__xludf.DUMMYFUNCTION("""COMPUTED_VALUE"""),"2000")</f>
        <v>2000</v>
      </c>
      <c r="AA673"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4" spans="1:27" ht="19.5" customHeight="1">
      <c r="A674" s="12" t="str">
        <f ca="1">IFERROR(__xludf.DUMMYFUNCTION("""COMPUTED_VALUE"""),"空調")</f>
        <v>空調</v>
      </c>
      <c r="B674" s="12" t="str">
        <f ca="1">IFERROR(__xludf.DUMMYFUNCTION("""COMPUTED_VALUE"""),"禾聯")</f>
        <v>禾聯</v>
      </c>
      <c r="C674" s="12" t="str">
        <f ca="1">IFERROR(__xludf.DUMMYFUNCTION("""COMPUTED_VALUE"""),"禾聯")</f>
        <v>禾聯</v>
      </c>
      <c r="D674" s="12" t="str">
        <f ca="1">IFERROR(__xludf.DUMMYFUNCTION("""COMPUTED_VALUE"""),"禾聯20-22坪R32高效沼氣防護2.0尊榮型一對一變頻冷專空調HI/HO-SL100")</f>
        <v>禾聯20-22坪R32高效沼氣防護2.0尊榮型一對一變頻冷專空調HI/HO-SL100</v>
      </c>
      <c r="E674" s="12" t="str">
        <f ca="1">IFERROR(__xludf.DUMMYFUNCTION("""COMPUTED_VALUE"""),"HI/HO-SL100")</f>
        <v>HI/HO-SL100</v>
      </c>
      <c r="F674" s="12">
        <f ca="1">IFERROR(__xludf.DUMMYFUNCTION("""COMPUTED_VALUE"""),51008320)</f>
        <v>51008320</v>
      </c>
      <c r="G674" s="12" t="str">
        <f ca="1">IFERROR(__xludf.DUMMYFUNCTION("""COMPUTED_VALUE"""),"IGEM109E")</f>
        <v>IGEM109E</v>
      </c>
      <c r="H674" s="13">
        <f ca="1">IFERROR(__xludf.DUMMYFUNCTION("""COMPUTED_VALUE"""),76900)</f>
        <v>76900</v>
      </c>
      <c r="I674" s="18">
        <f ca="1">IFERROR(__xludf.DUMMYFUNCTION("""COMPUTED_VALUE"""),70500)</f>
        <v>70500</v>
      </c>
      <c r="J674" s="16">
        <f ca="1">IFERROR(__xludf.DUMMYFUNCTION("""COMPUTED_VALUE"""),45646)</f>
        <v>45646</v>
      </c>
      <c r="K674" s="12" t="str">
        <f ca="1">IFERROR(__xludf.DUMMYFUNCTION("""COMPUTED_VALUE"""),"永久降價")</f>
        <v>永久降價</v>
      </c>
      <c r="L674" s="12" t="str">
        <f ca="1">IFERROR(__xludf.DUMMYFUNCTION("""COMPUTED_VALUE"""),"上架中")</f>
        <v>上架中</v>
      </c>
      <c r="M674" s="12" t="str">
        <f ca="1">IFERROR(__xludf.DUMMYFUNCTION("""COMPUTED_VALUE"""),"12/20降價、2024/8/12上架")</f>
        <v>12/20降價、2024/8/12上架</v>
      </c>
      <c r="N674" s="12" t="str">
        <f ca="1">IFERROR(__xludf.DUMMYFUNCTION("""COMPUTED_VALUE"""),"一對一變頻冷專")</f>
        <v>一對一變頻冷專</v>
      </c>
      <c r="O674" s="12" t="str">
        <f ca="1">IFERROR(__xludf.DUMMYFUNCTION("""COMPUTED_VALUE"""),"白色")</f>
        <v>白色</v>
      </c>
      <c r="P674" s="12" t="str">
        <f ca="1">IFERROR(__xludf.DUMMYFUNCTION("""COMPUTED_VALUE"""),"21-23坪")</f>
        <v>21-23坪</v>
      </c>
      <c r="Q674" s="12" t="str">
        <f ca="1">IFERROR(__xludf.DUMMYFUNCTION("""COMPUTED_VALUE"""),"
室外機：1010*746*427mm 室內機：1350*326*253mm")</f>
        <v xml:space="preserve">
室外機：1010*746*427mm 室內機：1350*326*253mm</v>
      </c>
      <c r="R674" s="12" t="str">
        <f ca="1">IFERROR(__xludf.DUMMYFUNCTION("""COMPUTED_VALUE"""),"台灣")</f>
        <v>台灣</v>
      </c>
      <c r="S674" s="12" t="str">
        <f ca="1">IFERROR(__xludf.DUMMYFUNCTION("""COMPUTED_VALUE"""),"V")</f>
        <v>V</v>
      </c>
      <c r="T674" s="22" t="str">
        <f ca="1">IFERROR(__xludf.DUMMYFUNCTION("""COMPUTED_VALUE"""),"1級能效")</f>
        <v>1級能效</v>
      </c>
      <c r="U674" s="22" t="str">
        <f ca="1">IFERROR(__xludf.DUMMYFUNCTION("""COMPUTED_VALUE"""),"7年")</f>
        <v>7年</v>
      </c>
      <c r="V674" s="12"/>
      <c r="W674"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4" s="12"/>
      <c r="Y674" s="12">
        <f ca="1">IFERROR(__xludf.DUMMYFUNCTION("""COMPUTED_VALUE"""),10)</f>
        <v>10</v>
      </c>
      <c r="Z674" s="14" t="str">
        <f ca="1">IFERROR(__xludf.DUMMYFUNCTION("""COMPUTED_VALUE"""),"2000")</f>
        <v>2000</v>
      </c>
      <c r="AA674"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5" spans="1:27" ht="19.5" customHeight="1">
      <c r="A675" s="12" t="str">
        <f ca="1">IFERROR(__xludf.DUMMYFUNCTION("""COMPUTED_VALUE"""),"空調")</f>
        <v>空調</v>
      </c>
      <c r="B675" s="12" t="str">
        <f ca="1">IFERROR(__xludf.DUMMYFUNCTION("""COMPUTED_VALUE"""),"禾聯")</f>
        <v>禾聯</v>
      </c>
      <c r="C675" s="12" t="str">
        <f ca="1">IFERROR(__xludf.DUMMYFUNCTION("""COMPUTED_VALUE"""),"禾聯")</f>
        <v>禾聯</v>
      </c>
      <c r="D675" s="12" t="str">
        <f ca="1">IFERROR(__xludf.DUMMYFUNCTION("""COMPUTED_VALUE"""),"禾聯22-24坪R32高效沼氣防護2.0尊榮型一對一變頻冷專空調HI/HO-SL112")</f>
        <v>禾聯22-24坪R32高效沼氣防護2.0尊榮型一對一變頻冷專空調HI/HO-SL112</v>
      </c>
      <c r="E675" s="12" t="str">
        <f ca="1">IFERROR(__xludf.DUMMYFUNCTION("""COMPUTED_VALUE"""),"HI/HO-SL112")</f>
        <v>HI/HO-SL112</v>
      </c>
      <c r="F675" s="12">
        <f ca="1">IFERROR(__xludf.DUMMYFUNCTION("""COMPUTED_VALUE"""),51008321)</f>
        <v>51008321</v>
      </c>
      <c r="G675" s="12" t="str">
        <f ca="1">IFERROR(__xludf.DUMMYFUNCTION("""COMPUTED_VALUE"""),"IGEM109F")</f>
        <v>IGEM109F</v>
      </c>
      <c r="H675" s="13">
        <f ca="1">IFERROR(__xludf.DUMMYFUNCTION("""COMPUTED_VALUE"""),78900)</f>
        <v>78900</v>
      </c>
      <c r="I675" s="18">
        <f ca="1">IFERROR(__xludf.DUMMYFUNCTION("""COMPUTED_VALUE"""),73995)</f>
        <v>73995</v>
      </c>
      <c r="J675" s="16">
        <f ca="1">IFERROR(__xludf.DUMMYFUNCTION("""COMPUTED_VALUE"""),45516)</f>
        <v>45516</v>
      </c>
      <c r="K675" s="12" t="str">
        <f ca="1">IFERROR(__xludf.DUMMYFUNCTION("""COMPUTED_VALUE"""),"新機上架")</f>
        <v>新機上架</v>
      </c>
      <c r="L675" s="12" t="str">
        <f ca="1">IFERROR(__xludf.DUMMYFUNCTION("""COMPUTED_VALUE"""),"專案")</f>
        <v>專案</v>
      </c>
      <c r="M675" s="12" t="str">
        <f ca="1">IFERROR(__xludf.DUMMYFUNCTION("""COMPUTED_VALUE"""),"(需另開代碼，不可送商品卡或點數卡）12/20降價、2024/8/12上架")</f>
        <v>(需另開代碼，不可送商品卡或點數卡）12/20降價、2024/8/12上架</v>
      </c>
      <c r="N675" s="12" t="str">
        <f ca="1">IFERROR(__xludf.DUMMYFUNCTION("""COMPUTED_VALUE"""),"一對一變頻冷專")</f>
        <v>一對一變頻冷專</v>
      </c>
      <c r="O675" s="12" t="str">
        <f ca="1">IFERROR(__xludf.DUMMYFUNCTION("""COMPUTED_VALUE"""),"白色")</f>
        <v>白色</v>
      </c>
      <c r="P675" s="12" t="str">
        <f ca="1">IFERROR(__xludf.DUMMYFUNCTION("""COMPUTED_VALUE"""),"23-25坪")</f>
        <v>23-25坪</v>
      </c>
      <c r="Q675" s="12" t="str">
        <f ca="1">IFERROR(__xludf.DUMMYFUNCTION("""COMPUTED_VALUE"""),"
室外機：1010*746*427mm 室內機：1350*326*253mm")</f>
        <v xml:space="preserve">
室外機：1010*746*427mm 室內機：1350*326*253mm</v>
      </c>
      <c r="R675" s="12" t="str">
        <f ca="1">IFERROR(__xludf.DUMMYFUNCTION("""COMPUTED_VALUE"""),"台灣")</f>
        <v>台灣</v>
      </c>
      <c r="S675" s="12" t="str">
        <f ca="1">IFERROR(__xludf.DUMMYFUNCTION("""COMPUTED_VALUE"""),"V")</f>
        <v>V</v>
      </c>
      <c r="T675" s="22" t="str">
        <f ca="1">IFERROR(__xludf.DUMMYFUNCTION("""COMPUTED_VALUE"""),"1級能效")</f>
        <v>1級能效</v>
      </c>
      <c r="U675" s="22" t="str">
        <f ca="1">IFERROR(__xludf.DUMMYFUNCTION("""COMPUTED_VALUE"""),"7年")</f>
        <v>7年</v>
      </c>
      <c r="V675" s="12"/>
      <c r="W675"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5" s="12"/>
      <c r="Y675" s="12">
        <f ca="1">IFERROR(__xludf.DUMMYFUNCTION("""COMPUTED_VALUE"""),11)</f>
        <v>11</v>
      </c>
      <c r="Z675" s="14" t="str">
        <f ca="1">IFERROR(__xludf.DUMMYFUNCTION("""COMPUTED_VALUE"""),"2000")</f>
        <v>2000</v>
      </c>
      <c r="AA675"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6" spans="1:27" ht="19.5" customHeight="1">
      <c r="A676" s="12" t="str">
        <f ca="1">IFERROR(__xludf.DUMMYFUNCTION("""COMPUTED_VALUE"""),"空調")</f>
        <v>空調</v>
      </c>
      <c r="B676" s="12" t="str">
        <f ca="1">IFERROR(__xludf.DUMMYFUNCTION("""COMPUTED_VALUE"""),"禾聯")</f>
        <v>禾聯</v>
      </c>
      <c r="C676" s="12" t="str">
        <f ca="1">IFERROR(__xludf.DUMMYFUNCTION("""COMPUTED_VALUE"""),"禾聯")</f>
        <v>禾聯</v>
      </c>
      <c r="D676" s="12" t="str">
        <f ca="1">IFERROR(__xludf.DUMMYFUNCTION("""COMPUTED_VALUE"""),"禾聯2-4坪R32高效沼氣防護2.0尊榮型一對一變頻冷暖空調HI/HO-SL23H")</f>
        <v>禾聯2-4坪R32高效沼氣防護2.0尊榮型一對一變頻冷暖空調HI/HO-SL23H</v>
      </c>
      <c r="E676" s="12" t="str">
        <f ca="1">IFERROR(__xludf.DUMMYFUNCTION("""COMPUTED_VALUE"""),"HI/HO-SL23H")</f>
        <v>HI/HO-SL23H</v>
      </c>
      <c r="F676" s="12">
        <f ca="1">IFERROR(__xludf.DUMMYFUNCTION("""COMPUTED_VALUE"""),51008298)</f>
        <v>51008298</v>
      </c>
      <c r="G676" s="12" t="str">
        <f ca="1">IFERROR(__xludf.DUMMYFUNCTION("""COMPUTED_VALUE"""),"IGEM108R")</f>
        <v>IGEM108R</v>
      </c>
      <c r="H676" s="13">
        <f ca="1">IFERROR(__xludf.DUMMYFUNCTION("""COMPUTED_VALUE"""),27490)</f>
        <v>27490</v>
      </c>
      <c r="I676" s="18">
        <f ca="1">IFERROR(__xludf.DUMMYFUNCTION("""COMPUTED_VALUE"""),25090)</f>
        <v>25090</v>
      </c>
      <c r="J676" s="16">
        <f ca="1">IFERROR(__xludf.DUMMYFUNCTION("""COMPUTED_VALUE"""),45646)</f>
        <v>45646</v>
      </c>
      <c r="K676" s="12" t="str">
        <f ca="1">IFERROR(__xludf.DUMMYFUNCTION("""COMPUTED_VALUE"""),"永久降價")</f>
        <v>永久降價</v>
      </c>
      <c r="L676" s="12" t="str">
        <f ca="1">IFERROR(__xludf.DUMMYFUNCTION("""COMPUTED_VALUE"""),"上架中")</f>
        <v>上架中</v>
      </c>
      <c r="M676" s="12" t="str">
        <f ca="1">IFERROR(__xludf.DUMMYFUNCTION("""COMPUTED_VALUE"""),"12/20降價、24/8/12上架")</f>
        <v>12/20降價、24/8/12上架</v>
      </c>
      <c r="N676" s="12" t="str">
        <f ca="1">IFERROR(__xludf.DUMMYFUNCTION("""COMPUTED_VALUE"""),"一對一變頻冷暖")</f>
        <v>一對一變頻冷暖</v>
      </c>
      <c r="O676" s="12" t="str">
        <f ca="1">IFERROR(__xludf.DUMMYFUNCTION("""COMPUTED_VALUE"""),"白色")</f>
        <v>白色</v>
      </c>
      <c r="P676" s="12" t="str">
        <f ca="1">IFERROR(__xludf.DUMMYFUNCTION("""COMPUTED_VALUE"""),"3-5坪")</f>
        <v>3-5坪</v>
      </c>
      <c r="Q676" s="12" t="str">
        <f ca="1">IFERROR(__xludf.DUMMYFUNCTION("""COMPUTED_VALUE"""),"
室外機：738*555*330mm 室內機：860*270*200mm")</f>
        <v xml:space="preserve">
室外機：738*555*330mm 室內機：860*270*200mm</v>
      </c>
      <c r="R676" s="12" t="str">
        <f ca="1">IFERROR(__xludf.DUMMYFUNCTION("""COMPUTED_VALUE"""),"台灣")</f>
        <v>台灣</v>
      </c>
      <c r="S676" s="12" t="str">
        <f ca="1">IFERROR(__xludf.DUMMYFUNCTION("""COMPUTED_VALUE"""),"V")</f>
        <v>V</v>
      </c>
      <c r="T676" s="22" t="str">
        <f ca="1">IFERROR(__xludf.DUMMYFUNCTION("""COMPUTED_VALUE"""),"1級能效")</f>
        <v>1級能效</v>
      </c>
      <c r="U676" s="22" t="str">
        <f ca="1">IFERROR(__xludf.DUMMYFUNCTION("""COMPUTED_VALUE"""),"7年")</f>
        <v>7年</v>
      </c>
      <c r="V676" s="12"/>
      <c r="W676"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6" s="12"/>
      <c r="Y676" s="12">
        <f ca="1">IFERROR(__xludf.DUMMYFUNCTION("""COMPUTED_VALUE"""),2.4)</f>
        <v>2.4</v>
      </c>
      <c r="Z676" s="14">
        <f ca="1">IFERROR(__xludf.DUMMYFUNCTION("""COMPUTED_VALUE"""),1600)</f>
        <v>1600</v>
      </c>
      <c r="AA676"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7" spans="1:27" ht="19.5" customHeight="1">
      <c r="A677" s="12" t="str">
        <f ca="1">IFERROR(__xludf.DUMMYFUNCTION("""COMPUTED_VALUE"""),"空調")</f>
        <v>空調</v>
      </c>
      <c r="B677" s="12" t="str">
        <f ca="1">IFERROR(__xludf.DUMMYFUNCTION("""COMPUTED_VALUE"""),"禾聯")</f>
        <v>禾聯</v>
      </c>
      <c r="C677" s="12" t="str">
        <f ca="1">IFERROR(__xludf.DUMMYFUNCTION("""COMPUTED_VALUE"""),"禾聯")</f>
        <v>禾聯</v>
      </c>
      <c r="D677" s="12" t="str">
        <f ca="1">IFERROR(__xludf.DUMMYFUNCTION("""COMPUTED_VALUE"""),"禾聯4-6坪R32高效沼氣防護2.0尊榮型一對一變頻冷暖空調HI/HO-SL28H")</f>
        <v>禾聯4-6坪R32高效沼氣防護2.0尊榮型一對一變頻冷暖空調HI/HO-SL28H</v>
      </c>
      <c r="E677" s="12" t="str">
        <f ca="1">IFERROR(__xludf.DUMMYFUNCTION("""COMPUTED_VALUE"""),"HI/HO-SL28H")</f>
        <v>HI/HO-SL28H</v>
      </c>
      <c r="F677" s="12">
        <f ca="1">IFERROR(__xludf.DUMMYFUNCTION("""COMPUTED_VALUE"""),51008299)</f>
        <v>51008299</v>
      </c>
      <c r="G677" s="12" t="str">
        <f ca="1">IFERROR(__xludf.DUMMYFUNCTION("""COMPUTED_VALUE"""),"IGEM108S")</f>
        <v>IGEM108S</v>
      </c>
      <c r="H677" s="13">
        <f ca="1">IFERROR(__xludf.DUMMYFUNCTION("""COMPUTED_VALUE"""),30900)</f>
        <v>30900</v>
      </c>
      <c r="I677" s="18">
        <f ca="1">IFERROR(__xludf.DUMMYFUNCTION("""COMPUTED_VALUE"""),27500)</f>
        <v>27500</v>
      </c>
      <c r="J677" s="16">
        <f ca="1">IFERROR(__xludf.DUMMYFUNCTION("""COMPUTED_VALUE"""),45646)</f>
        <v>45646</v>
      </c>
      <c r="K677" s="12" t="str">
        <f ca="1">IFERROR(__xludf.DUMMYFUNCTION("""COMPUTED_VALUE"""),"永久降價")</f>
        <v>永久降價</v>
      </c>
      <c r="L677" s="12" t="str">
        <f ca="1">IFERROR(__xludf.DUMMYFUNCTION("""COMPUTED_VALUE"""),"上架中")</f>
        <v>上架中</v>
      </c>
      <c r="M677" s="12" t="str">
        <f ca="1">IFERROR(__xludf.DUMMYFUNCTION("""COMPUTED_VALUE"""),"12/20降價、2024/8/12上架")</f>
        <v>12/20降價、2024/8/12上架</v>
      </c>
      <c r="N677" s="12" t="str">
        <f ca="1">IFERROR(__xludf.DUMMYFUNCTION("""COMPUTED_VALUE"""),"一對一變頻冷暖")</f>
        <v>一對一變頻冷暖</v>
      </c>
      <c r="O677" s="12" t="str">
        <f ca="1">IFERROR(__xludf.DUMMYFUNCTION("""COMPUTED_VALUE"""),"白色")</f>
        <v>白色</v>
      </c>
      <c r="P677" s="12" t="str">
        <f ca="1">IFERROR(__xludf.DUMMYFUNCTION("""COMPUTED_VALUE"""),"4-6坪")</f>
        <v>4-6坪</v>
      </c>
      <c r="Q677" s="12" t="str">
        <f ca="1">IFERROR(__xludf.DUMMYFUNCTION("""COMPUTED_VALUE"""),"
室外機：800*555*350mm 室內機：300*805*190mm")</f>
        <v xml:space="preserve">
室外機：800*555*350mm 室內機：300*805*190mm</v>
      </c>
      <c r="R677" s="12" t="str">
        <f ca="1">IFERROR(__xludf.DUMMYFUNCTION("""COMPUTED_VALUE"""),"台灣")</f>
        <v>台灣</v>
      </c>
      <c r="S677" s="12" t="str">
        <f ca="1">IFERROR(__xludf.DUMMYFUNCTION("""COMPUTED_VALUE"""),"V")</f>
        <v>V</v>
      </c>
      <c r="T677" s="22" t="str">
        <f ca="1">IFERROR(__xludf.DUMMYFUNCTION("""COMPUTED_VALUE"""),"1級能效")</f>
        <v>1級能效</v>
      </c>
      <c r="U677" s="22" t="str">
        <f ca="1">IFERROR(__xludf.DUMMYFUNCTION("""COMPUTED_VALUE"""),"7年")</f>
        <v>7年</v>
      </c>
      <c r="V677" s="12"/>
      <c r="W677"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7" s="12"/>
      <c r="Y677" s="12">
        <f ca="1">IFERROR(__xludf.DUMMYFUNCTION("""COMPUTED_VALUE"""),2.9)</f>
        <v>2.9</v>
      </c>
      <c r="Z677" s="14">
        <f ca="1">IFERROR(__xludf.DUMMYFUNCTION("""COMPUTED_VALUE"""),1600)</f>
        <v>1600</v>
      </c>
      <c r="AA677"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8" spans="1:27" ht="19.5" customHeight="1">
      <c r="A678" s="12" t="str">
        <f ca="1">IFERROR(__xludf.DUMMYFUNCTION("""COMPUTED_VALUE"""),"空調")</f>
        <v>空調</v>
      </c>
      <c r="B678" s="12" t="str">
        <f ca="1">IFERROR(__xludf.DUMMYFUNCTION("""COMPUTED_VALUE"""),"禾聯")</f>
        <v>禾聯</v>
      </c>
      <c r="C678" s="12" t="str">
        <f ca="1">IFERROR(__xludf.DUMMYFUNCTION("""COMPUTED_VALUE"""),"禾聯")</f>
        <v>禾聯</v>
      </c>
      <c r="D678" s="12" t="str">
        <f ca="1">IFERROR(__xludf.DUMMYFUNCTION("""COMPUTED_VALUE"""),"禾聯5-7坪R32高效沼氣防護2.0尊榮型一對一變頻冷暖空調HI/HO-SL36H")</f>
        <v>禾聯5-7坪R32高效沼氣防護2.0尊榮型一對一變頻冷暖空調HI/HO-SL36H</v>
      </c>
      <c r="E678" s="12" t="str">
        <f ca="1">IFERROR(__xludf.DUMMYFUNCTION("""COMPUTED_VALUE"""),"HI/HO-SL36H")</f>
        <v>HI/HO-SL36H</v>
      </c>
      <c r="F678" s="12">
        <f ca="1">IFERROR(__xludf.DUMMYFUNCTION("""COMPUTED_VALUE"""),51008300)</f>
        <v>51008300</v>
      </c>
      <c r="G678" s="12" t="str">
        <f ca="1">IFERROR(__xludf.DUMMYFUNCTION("""COMPUTED_VALUE"""),"IGEM108T")</f>
        <v>IGEM108T</v>
      </c>
      <c r="H678" s="13">
        <f ca="1">IFERROR(__xludf.DUMMYFUNCTION("""COMPUTED_VALUE"""),40000)</f>
        <v>40000</v>
      </c>
      <c r="I678" s="18">
        <f ca="1">IFERROR(__xludf.DUMMYFUNCTION("""COMPUTED_VALUE"""),35400)</f>
        <v>35400</v>
      </c>
      <c r="J678" s="16">
        <f ca="1">IFERROR(__xludf.DUMMYFUNCTION("""COMPUTED_VALUE"""),45646)</f>
        <v>45646</v>
      </c>
      <c r="K678" s="12" t="str">
        <f ca="1">IFERROR(__xludf.DUMMYFUNCTION("""COMPUTED_VALUE"""),"永久降價")</f>
        <v>永久降價</v>
      </c>
      <c r="L678" s="12" t="str">
        <f ca="1">IFERROR(__xludf.DUMMYFUNCTION("""COMPUTED_VALUE"""),"上架中")</f>
        <v>上架中</v>
      </c>
      <c r="M678" s="12" t="str">
        <f ca="1">IFERROR(__xludf.DUMMYFUNCTION("""COMPUTED_VALUE"""),"12/20降價、2024/8/12上架")</f>
        <v>12/20降價、2024/8/12上架</v>
      </c>
      <c r="N678" s="12" t="str">
        <f ca="1">IFERROR(__xludf.DUMMYFUNCTION("""COMPUTED_VALUE"""),"一對一變頻冷暖")</f>
        <v>一對一變頻冷暖</v>
      </c>
      <c r="O678" s="12" t="str">
        <f ca="1">IFERROR(__xludf.DUMMYFUNCTION("""COMPUTED_VALUE"""),"白色")</f>
        <v>白色</v>
      </c>
      <c r="P678" s="12" t="str">
        <f ca="1">IFERROR(__xludf.DUMMYFUNCTION("""COMPUTED_VALUE"""),"6-8坪")</f>
        <v>6-8坪</v>
      </c>
      <c r="Q678" s="12" t="str">
        <f ca="1">IFERROR(__xludf.DUMMYFUNCTION("""COMPUTED_VALUE"""),"
室外機：800*555*350mm 室內機：968*331*248mm")</f>
        <v xml:space="preserve">
室外機：800*555*350mm 室內機：968*331*248mm</v>
      </c>
      <c r="R678" s="12" t="str">
        <f ca="1">IFERROR(__xludf.DUMMYFUNCTION("""COMPUTED_VALUE"""),"台灣")</f>
        <v>台灣</v>
      </c>
      <c r="S678" s="12" t="str">
        <f ca="1">IFERROR(__xludf.DUMMYFUNCTION("""COMPUTED_VALUE"""),"V")</f>
        <v>V</v>
      </c>
      <c r="T678" s="22" t="str">
        <f ca="1">IFERROR(__xludf.DUMMYFUNCTION("""COMPUTED_VALUE"""),"1級能效")</f>
        <v>1級能效</v>
      </c>
      <c r="U678" s="22" t="str">
        <f ca="1">IFERROR(__xludf.DUMMYFUNCTION("""COMPUTED_VALUE"""),"7年")</f>
        <v>7年</v>
      </c>
      <c r="V678" s="12"/>
      <c r="W678"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8" s="12"/>
      <c r="Y678" s="12">
        <f ca="1">IFERROR(__xludf.DUMMYFUNCTION("""COMPUTED_VALUE"""),3.6)</f>
        <v>3.6</v>
      </c>
      <c r="Z678" s="14" t="str">
        <f ca="1">IFERROR(__xludf.DUMMYFUNCTION("""COMPUTED_VALUE"""),"2000")</f>
        <v>2000</v>
      </c>
      <c r="AA678"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79" spans="1:27" ht="19.5" customHeight="1">
      <c r="A679" s="12" t="str">
        <f ca="1">IFERROR(__xludf.DUMMYFUNCTION("""COMPUTED_VALUE"""),"空調")</f>
        <v>空調</v>
      </c>
      <c r="B679" s="12" t="str">
        <f ca="1">IFERROR(__xludf.DUMMYFUNCTION("""COMPUTED_VALUE"""),"禾聯")</f>
        <v>禾聯</v>
      </c>
      <c r="C679" s="12" t="str">
        <f ca="1">IFERROR(__xludf.DUMMYFUNCTION("""COMPUTED_VALUE"""),"禾聯")</f>
        <v>禾聯</v>
      </c>
      <c r="D679" s="12" t="str">
        <f ca="1">IFERROR(__xludf.DUMMYFUNCTION("""COMPUTED_VALUE"""),"禾聯6-8坪R32高效沼氣防護2.0尊榮型一對一變頻冷暖空調HI/HO-SL41H")</f>
        <v>禾聯6-8坪R32高效沼氣防護2.0尊榮型一對一變頻冷暖空調HI/HO-SL41H</v>
      </c>
      <c r="E679" s="12" t="str">
        <f ca="1">IFERROR(__xludf.DUMMYFUNCTION("""COMPUTED_VALUE"""),"HI/HO-SL41H")</f>
        <v>HI/HO-SL41H</v>
      </c>
      <c r="F679" s="12">
        <f ca="1">IFERROR(__xludf.DUMMYFUNCTION("""COMPUTED_VALUE"""),51008301)</f>
        <v>51008301</v>
      </c>
      <c r="G679" s="12" t="str">
        <f ca="1">IFERROR(__xludf.DUMMYFUNCTION("""COMPUTED_VALUE"""),"IGEM108U")</f>
        <v>IGEM108U</v>
      </c>
      <c r="H679" s="13">
        <f ca="1">IFERROR(__xludf.DUMMYFUNCTION("""COMPUTED_VALUE"""),41400)</f>
        <v>41400</v>
      </c>
      <c r="I679" s="18">
        <f ca="1">IFERROR(__xludf.DUMMYFUNCTION("""COMPUTED_VALUE"""),36800)</f>
        <v>36800</v>
      </c>
      <c r="J679" s="16">
        <f ca="1">IFERROR(__xludf.DUMMYFUNCTION("""COMPUTED_VALUE"""),45646)</f>
        <v>45646</v>
      </c>
      <c r="K679" s="12" t="str">
        <f ca="1">IFERROR(__xludf.DUMMYFUNCTION("""COMPUTED_VALUE"""),"永久降價")</f>
        <v>永久降價</v>
      </c>
      <c r="L679" s="12" t="str">
        <f ca="1">IFERROR(__xludf.DUMMYFUNCTION("""COMPUTED_VALUE"""),"上架中")</f>
        <v>上架中</v>
      </c>
      <c r="M679" s="12" t="str">
        <f ca="1">IFERROR(__xludf.DUMMYFUNCTION("""COMPUTED_VALUE"""),"12/20降價、2024/8/12上架")</f>
        <v>12/20降價、2024/8/12上架</v>
      </c>
      <c r="N679" s="12" t="str">
        <f ca="1">IFERROR(__xludf.DUMMYFUNCTION("""COMPUTED_VALUE"""),"一對一變頻冷暖")</f>
        <v>一對一變頻冷暖</v>
      </c>
      <c r="O679" s="12" t="str">
        <f ca="1">IFERROR(__xludf.DUMMYFUNCTION("""COMPUTED_VALUE"""),"白色")</f>
        <v>白色</v>
      </c>
      <c r="P679" s="12" t="str">
        <f ca="1">IFERROR(__xludf.DUMMYFUNCTION("""COMPUTED_VALUE"""),"7-9坪")</f>
        <v>7-9坪</v>
      </c>
      <c r="Q679" s="12" t="str">
        <f ca="1">IFERROR(__xludf.DUMMYFUNCTION("""COMPUTED_VALUE"""),"
室外機：800*555*350mm 室內機：968*331*248mm")</f>
        <v xml:space="preserve">
室外機：800*555*350mm 室內機：968*331*248mm</v>
      </c>
      <c r="R679" s="12" t="str">
        <f ca="1">IFERROR(__xludf.DUMMYFUNCTION("""COMPUTED_VALUE"""),"台灣")</f>
        <v>台灣</v>
      </c>
      <c r="S679" s="12" t="str">
        <f ca="1">IFERROR(__xludf.DUMMYFUNCTION("""COMPUTED_VALUE"""),"V")</f>
        <v>V</v>
      </c>
      <c r="T679" s="22" t="str">
        <f ca="1">IFERROR(__xludf.DUMMYFUNCTION("""COMPUTED_VALUE"""),"1級能效")</f>
        <v>1級能效</v>
      </c>
      <c r="U679" s="22" t="str">
        <f ca="1">IFERROR(__xludf.DUMMYFUNCTION("""COMPUTED_VALUE"""),"7年")</f>
        <v>7年</v>
      </c>
      <c r="V679" s="12"/>
      <c r="W679"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79" s="12"/>
      <c r="Y679" s="12">
        <f ca="1">IFERROR(__xludf.DUMMYFUNCTION("""COMPUTED_VALUE"""),4.3)</f>
        <v>4.3</v>
      </c>
      <c r="Z679" s="14" t="str">
        <f ca="1">IFERROR(__xludf.DUMMYFUNCTION("""COMPUTED_VALUE"""),"2000")</f>
        <v>2000</v>
      </c>
      <c r="AA679"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0" spans="1:27" ht="19.5" customHeight="1">
      <c r="A680" s="12" t="str">
        <f ca="1">IFERROR(__xludf.DUMMYFUNCTION("""COMPUTED_VALUE"""),"空調")</f>
        <v>空調</v>
      </c>
      <c r="B680" s="12" t="str">
        <f ca="1">IFERROR(__xludf.DUMMYFUNCTION("""COMPUTED_VALUE"""),"禾聯")</f>
        <v>禾聯</v>
      </c>
      <c r="C680" s="12" t="str">
        <f ca="1">IFERROR(__xludf.DUMMYFUNCTION("""COMPUTED_VALUE"""),"禾聯")</f>
        <v>禾聯</v>
      </c>
      <c r="D680" s="12" t="str">
        <f ca="1">IFERROR(__xludf.DUMMYFUNCTION("""COMPUTED_VALUE"""),"禾聯7-9坪R32高效沼氣防護2.0尊榮型一對一變頻冷暖空調HI/HO-SL50H")</f>
        <v>禾聯7-9坪R32高效沼氣防護2.0尊榮型一對一變頻冷暖空調HI/HO-SL50H</v>
      </c>
      <c r="E680" s="12" t="str">
        <f ca="1">IFERROR(__xludf.DUMMYFUNCTION("""COMPUTED_VALUE"""),"HI/HO-SL50H")</f>
        <v>HI/HO-SL50H</v>
      </c>
      <c r="F680" s="12">
        <f ca="1">IFERROR(__xludf.DUMMYFUNCTION("""COMPUTED_VALUE"""),51008302)</f>
        <v>51008302</v>
      </c>
      <c r="G680" s="12" t="str">
        <f ca="1">IFERROR(__xludf.DUMMYFUNCTION("""COMPUTED_VALUE"""),"IGEM108V")</f>
        <v>IGEM108V</v>
      </c>
      <c r="H680" s="13">
        <f ca="1">IFERROR(__xludf.DUMMYFUNCTION("""COMPUTED_VALUE"""),48400)</f>
        <v>48400</v>
      </c>
      <c r="I680" s="18">
        <f ca="1">IFERROR(__xludf.DUMMYFUNCTION("""COMPUTED_VALUE"""),43600)</f>
        <v>43600</v>
      </c>
      <c r="J680" s="16">
        <f ca="1">IFERROR(__xludf.DUMMYFUNCTION("""COMPUTED_VALUE"""),45646)</f>
        <v>45646</v>
      </c>
      <c r="K680" s="12" t="str">
        <f ca="1">IFERROR(__xludf.DUMMYFUNCTION("""COMPUTED_VALUE"""),"永久降價")</f>
        <v>永久降價</v>
      </c>
      <c r="L680" s="12" t="str">
        <f ca="1">IFERROR(__xludf.DUMMYFUNCTION("""COMPUTED_VALUE"""),"上架中")</f>
        <v>上架中</v>
      </c>
      <c r="M680" s="12" t="str">
        <f ca="1">IFERROR(__xludf.DUMMYFUNCTION("""COMPUTED_VALUE"""),"12/20降價、2024/8/12上架")</f>
        <v>12/20降價、2024/8/12上架</v>
      </c>
      <c r="N680" s="12" t="str">
        <f ca="1">IFERROR(__xludf.DUMMYFUNCTION("""COMPUTED_VALUE"""),"一對一變頻冷暖")</f>
        <v>一對一變頻冷暖</v>
      </c>
      <c r="O680" s="12" t="str">
        <f ca="1">IFERROR(__xludf.DUMMYFUNCTION("""COMPUTED_VALUE"""),"白色")</f>
        <v>白色</v>
      </c>
      <c r="P680" s="12" t="str">
        <f ca="1">IFERROR(__xludf.DUMMYFUNCTION("""COMPUTED_VALUE"""),"9-11坪")</f>
        <v>9-11坪</v>
      </c>
      <c r="Q680" s="12" t="str">
        <f ca="1">IFERROR(__xludf.DUMMYFUNCTION("""COMPUTED_VALUE"""),"
室外機：875*555*376mm 室內機：968*331*248mm")</f>
        <v xml:space="preserve">
室外機：875*555*376mm 室內機：968*331*248mm</v>
      </c>
      <c r="R680" s="12" t="str">
        <f ca="1">IFERROR(__xludf.DUMMYFUNCTION("""COMPUTED_VALUE"""),"台灣")</f>
        <v>台灣</v>
      </c>
      <c r="S680" s="12" t="str">
        <f ca="1">IFERROR(__xludf.DUMMYFUNCTION("""COMPUTED_VALUE"""),"V")</f>
        <v>V</v>
      </c>
      <c r="T680" s="22" t="str">
        <f ca="1">IFERROR(__xludf.DUMMYFUNCTION("""COMPUTED_VALUE"""),"1級能效")</f>
        <v>1級能效</v>
      </c>
      <c r="U680" s="22" t="str">
        <f ca="1">IFERROR(__xludf.DUMMYFUNCTION("""COMPUTED_VALUE"""),"7年")</f>
        <v>7年</v>
      </c>
      <c r="V680" s="12"/>
      <c r="W680"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80" s="12"/>
      <c r="Y680" s="12">
        <f ca="1">IFERROR(__xludf.DUMMYFUNCTION("""COMPUTED_VALUE"""),5)</f>
        <v>5</v>
      </c>
      <c r="Z680" s="14" t="str">
        <f ca="1">IFERROR(__xludf.DUMMYFUNCTION("""COMPUTED_VALUE"""),"2000")</f>
        <v>2000</v>
      </c>
      <c r="AA680"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1" spans="1:27" ht="19.5" customHeight="1">
      <c r="A681" s="12" t="str">
        <f ca="1">IFERROR(__xludf.DUMMYFUNCTION("""COMPUTED_VALUE"""),"空調")</f>
        <v>空調</v>
      </c>
      <c r="B681" s="12" t="str">
        <f ca="1">IFERROR(__xludf.DUMMYFUNCTION("""COMPUTED_VALUE"""),"禾聯")</f>
        <v>禾聯</v>
      </c>
      <c r="C681" s="12" t="str">
        <f ca="1">IFERROR(__xludf.DUMMYFUNCTION("""COMPUTED_VALUE"""),"禾聯")</f>
        <v>禾聯</v>
      </c>
      <c r="D681" s="12" t="str">
        <f ca="1">IFERROR(__xludf.DUMMYFUNCTION("""COMPUTED_VALUE"""),"禾聯10-12坪R32高效沼氣防護2.0尊榮型一對一變頻冷暖空調HI/HO-SL63H")</f>
        <v>禾聯10-12坪R32高效沼氣防護2.0尊榮型一對一變頻冷暖空調HI/HO-SL63H</v>
      </c>
      <c r="E681" s="12" t="str">
        <f ca="1">IFERROR(__xludf.DUMMYFUNCTION("""COMPUTED_VALUE"""),"HI/HO-SL63H")</f>
        <v>HI/HO-SL63H</v>
      </c>
      <c r="F681" s="12">
        <f ca="1">IFERROR(__xludf.DUMMYFUNCTION("""COMPUTED_VALUE"""),51008303)</f>
        <v>51008303</v>
      </c>
      <c r="G681" s="12" t="str">
        <f ca="1">IFERROR(__xludf.DUMMYFUNCTION("""COMPUTED_VALUE"""),"IGEM108W")</f>
        <v>IGEM108W</v>
      </c>
      <c r="H681" s="13">
        <f ca="1">IFERROR(__xludf.DUMMYFUNCTION("""COMPUTED_VALUE"""),55900)</f>
        <v>55900</v>
      </c>
      <c r="I681" s="18">
        <f ca="1">IFERROR(__xludf.DUMMYFUNCTION("""COMPUTED_VALUE"""),49900)</f>
        <v>49900</v>
      </c>
      <c r="J681" s="16">
        <f ca="1">IFERROR(__xludf.DUMMYFUNCTION("""COMPUTED_VALUE"""),45646)</f>
        <v>45646</v>
      </c>
      <c r="K681" s="12" t="str">
        <f ca="1">IFERROR(__xludf.DUMMYFUNCTION("""COMPUTED_VALUE"""),"永久降價")</f>
        <v>永久降價</v>
      </c>
      <c r="L681" s="12" t="str">
        <f ca="1">IFERROR(__xludf.DUMMYFUNCTION("""COMPUTED_VALUE"""),"上架中")</f>
        <v>上架中</v>
      </c>
      <c r="M681" s="12" t="str">
        <f ca="1">IFERROR(__xludf.DUMMYFUNCTION("""COMPUTED_VALUE"""),"12/20降價、2024/8/12上架")</f>
        <v>12/20降價、2024/8/12上架</v>
      </c>
      <c r="N681" s="12" t="str">
        <f ca="1">IFERROR(__xludf.DUMMYFUNCTION("""COMPUTED_VALUE"""),"一對一變頻冷暖")</f>
        <v>一對一變頻冷暖</v>
      </c>
      <c r="O681" s="12" t="str">
        <f ca="1">IFERROR(__xludf.DUMMYFUNCTION("""COMPUTED_VALUE"""),"白色")</f>
        <v>白色</v>
      </c>
      <c r="P681" s="12" t="str">
        <f ca="1">IFERROR(__xludf.DUMMYFUNCTION("""COMPUTED_VALUE"""),"11-13坪")</f>
        <v>11-13坪</v>
      </c>
      <c r="Q681" s="12" t="str">
        <f ca="1">IFERROR(__xludf.DUMMYFUNCTION("""COMPUTED_VALUE"""),"
室外機：960*660*402mm 室內機：1106*330*248mm")</f>
        <v xml:space="preserve">
室外機：960*660*402mm 室內機：1106*330*248mm</v>
      </c>
      <c r="R681" s="12" t="str">
        <f ca="1">IFERROR(__xludf.DUMMYFUNCTION("""COMPUTED_VALUE"""),"台灣")</f>
        <v>台灣</v>
      </c>
      <c r="S681" s="12" t="str">
        <f ca="1">IFERROR(__xludf.DUMMYFUNCTION("""COMPUTED_VALUE"""),"V")</f>
        <v>V</v>
      </c>
      <c r="T681" s="22" t="str">
        <f ca="1">IFERROR(__xludf.DUMMYFUNCTION("""COMPUTED_VALUE"""),"1級能效")</f>
        <v>1級能效</v>
      </c>
      <c r="U681" s="22" t="str">
        <f ca="1">IFERROR(__xludf.DUMMYFUNCTION("""COMPUTED_VALUE"""),"7年")</f>
        <v>7年</v>
      </c>
      <c r="V681" s="12"/>
      <c r="W681"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81" s="12"/>
      <c r="Y681" s="12">
        <f ca="1">IFERROR(__xludf.DUMMYFUNCTION("""COMPUTED_VALUE"""),6.3)</f>
        <v>6.3</v>
      </c>
      <c r="Z681" s="14" t="str">
        <f ca="1">IFERROR(__xludf.DUMMYFUNCTION("""COMPUTED_VALUE"""),"2000")</f>
        <v>2000</v>
      </c>
      <c r="AA681"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2" spans="1:27" ht="19.5" customHeight="1">
      <c r="A682" s="12" t="str">
        <f ca="1">IFERROR(__xludf.DUMMYFUNCTION("""COMPUTED_VALUE"""),"空調")</f>
        <v>空調</v>
      </c>
      <c r="B682" s="12" t="str">
        <f ca="1">IFERROR(__xludf.DUMMYFUNCTION("""COMPUTED_VALUE"""),"禾聯")</f>
        <v>禾聯</v>
      </c>
      <c r="C682" s="12" t="str">
        <f ca="1">IFERROR(__xludf.DUMMYFUNCTION("""COMPUTED_VALUE"""),"禾聯")</f>
        <v>禾聯</v>
      </c>
      <c r="D682" s="12" t="str">
        <f ca="1">IFERROR(__xludf.DUMMYFUNCTION("""COMPUTED_VALUE"""),"禾聯12-14坪R32高效沼氣防護2.0尊榮型一對一變頻冷暖空調HI/HO-SL72H")</f>
        <v>禾聯12-14坪R32高效沼氣防護2.0尊榮型一對一變頻冷暖空調HI/HO-SL72H</v>
      </c>
      <c r="E682" s="12" t="str">
        <f ca="1">IFERROR(__xludf.DUMMYFUNCTION("""COMPUTED_VALUE"""),"HI/HO-SL72H")</f>
        <v>HI/HO-SL72H</v>
      </c>
      <c r="F682" s="12">
        <f ca="1">IFERROR(__xludf.DUMMYFUNCTION("""COMPUTED_VALUE"""),51008304)</f>
        <v>51008304</v>
      </c>
      <c r="G682" s="12" t="str">
        <f ca="1">IFERROR(__xludf.DUMMYFUNCTION("""COMPUTED_VALUE"""),"IGEM108X")</f>
        <v>IGEM108X</v>
      </c>
      <c r="H682" s="13">
        <f ca="1">IFERROR(__xludf.DUMMYFUNCTION("""COMPUTED_VALUE"""),60900)</f>
        <v>60900</v>
      </c>
      <c r="I682" s="18">
        <f ca="1">IFERROR(__xludf.DUMMYFUNCTION("""COMPUTED_VALUE"""),53900)</f>
        <v>53900</v>
      </c>
      <c r="J682" s="16">
        <f ca="1">IFERROR(__xludf.DUMMYFUNCTION("""COMPUTED_VALUE"""),45646)</f>
        <v>45646</v>
      </c>
      <c r="K682" s="12" t="str">
        <f ca="1">IFERROR(__xludf.DUMMYFUNCTION("""COMPUTED_VALUE"""),"永久降價")</f>
        <v>永久降價</v>
      </c>
      <c r="L682" s="12" t="str">
        <f ca="1">IFERROR(__xludf.DUMMYFUNCTION("""COMPUTED_VALUE"""),"上架中")</f>
        <v>上架中</v>
      </c>
      <c r="M682" s="12" t="str">
        <f ca="1">IFERROR(__xludf.DUMMYFUNCTION("""COMPUTED_VALUE"""),"12/20降價、2024/8/12上架")</f>
        <v>12/20降價、2024/8/12上架</v>
      </c>
      <c r="N682" s="12" t="str">
        <f ca="1">IFERROR(__xludf.DUMMYFUNCTION("""COMPUTED_VALUE"""),"一對一變頻冷暖")</f>
        <v>一對一變頻冷暖</v>
      </c>
      <c r="O682" s="12" t="str">
        <f ca="1">IFERROR(__xludf.DUMMYFUNCTION("""COMPUTED_VALUE"""),"白色")</f>
        <v>白色</v>
      </c>
      <c r="P682" s="12" t="str">
        <f ca="1">IFERROR(__xludf.DUMMYFUNCTION("""COMPUTED_VALUE"""),"13-15坪")</f>
        <v>13-15坪</v>
      </c>
      <c r="Q682" s="12" t="str">
        <f ca="1">IFERROR(__xludf.DUMMYFUNCTION("""COMPUTED_VALUE"""),"
室外機：960*660*402mm 室內機：1106*330*248mm")</f>
        <v xml:space="preserve">
室外機：960*660*402mm 室內機：1106*330*248mm</v>
      </c>
      <c r="R682" s="12" t="str">
        <f ca="1">IFERROR(__xludf.DUMMYFUNCTION("""COMPUTED_VALUE"""),"台灣")</f>
        <v>台灣</v>
      </c>
      <c r="S682" s="12" t="str">
        <f ca="1">IFERROR(__xludf.DUMMYFUNCTION("""COMPUTED_VALUE"""),"V")</f>
        <v>V</v>
      </c>
      <c r="T682" s="22" t="str">
        <f ca="1">IFERROR(__xludf.DUMMYFUNCTION("""COMPUTED_VALUE"""),"1級能效")</f>
        <v>1級能效</v>
      </c>
      <c r="U682" s="22" t="str">
        <f ca="1">IFERROR(__xludf.DUMMYFUNCTION("""COMPUTED_VALUE"""),"7年")</f>
        <v>7年</v>
      </c>
      <c r="V682" s="12"/>
      <c r="W682"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82" s="12"/>
      <c r="Y682" s="12">
        <f ca="1">IFERROR(__xludf.DUMMYFUNCTION("""COMPUTED_VALUE"""),7.4)</f>
        <v>7.4</v>
      </c>
      <c r="Z682" s="14" t="str">
        <f ca="1">IFERROR(__xludf.DUMMYFUNCTION("""COMPUTED_VALUE"""),"2000")</f>
        <v>2000</v>
      </c>
      <c r="AA682"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3" spans="1:27" ht="19.5" customHeight="1">
      <c r="A683" s="12" t="str">
        <f ca="1">IFERROR(__xludf.DUMMYFUNCTION("""COMPUTED_VALUE"""),"空調")</f>
        <v>空調</v>
      </c>
      <c r="B683" s="12" t="str">
        <f ca="1">IFERROR(__xludf.DUMMYFUNCTION("""COMPUTED_VALUE"""),"禾聯")</f>
        <v>禾聯</v>
      </c>
      <c r="C683" s="12" t="str">
        <f ca="1">IFERROR(__xludf.DUMMYFUNCTION("""COMPUTED_VALUE"""),"禾聯")</f>
        <v>禾聯</v>
      </c>
      <c r="D683" s="12" t="str">
        <f ca="1">IFERROR(__xludf.DUMMYFUNCTION("""COMPUTED_VALUE"""),"禾聯16-18坪R32高效沼氣防護2.0尊榮型一對一變頻冷暖空調HI/HO-SL85H")</f>
        <v>禾聯16-18坪R32高效沼氣防護2.0尊榮型一對一變頻冷暖空調HI/HO-SL85H</v>
      </c>
      <c r="E683" s="12" t="str">
        <f ca="1">IFERROR(__xludf.DUMMYFUNCTION("""COMPUTED_VALUE"""),"HI/HO-SL85H")</f>
        <v>HI/HO-SL85H</v>
      </c>
      <c r="F683" s="12">
        <f ca="1">IFERROR(__xludf.DUMMYFUNCTION("""COMPUTED_VALUE"""),51008306)</f>
        <v>51008306</v>
      </c>
      <c r="G683" s="12" t="str">
        <f ca="1">IFERROR(__xludf.DUMMYFUNCTION("""COMPUTED_VALUE"""),"IGEM108Z")</f>
        <v>IGEM108Z</v>
      </c>
      <c r="H683" s="13">
        <f ca="1">IFERROR(__xludf.DUMMYFUNCTION("""COMPUTED_VALUE"""),72900)</f>
        <v>72900</v>
      </c>
      <c r="I683" s="18">
        <f ca="1">IFERROR(__xludf.DUMMYFUNCTION("""COMPUTED_VALUE"""),64700)</f>
        <v>64700</v>
      </c>
      <c r="J683" s="16">
        <f ca="1">IFERROR(__xludf.DUMMYFUNCTION("""COMPUTED_VALUE"""),45646)</f>
        <v>45646</v>
      </c>
      <c r="K683" s="12" t="str">
        <f ca="1">IFERROR(__xludf.DUMMYFUNCTION("""COMPUTED_VALUE"""),"永久降價")</f>
        <v>永久降價</v>
      </c>
      <c r="L683" s="12" t="str">
        <f ca="1">IFERROR(__xludf.DUMMYFUNCTION("""COMPUTED_VALUE"""),"上架中")</f>
        <v>上架中</v>
      </c>
      <c r="M683" s="12" t="str">
        <f ca="1">IFERROR(__xludf.DUMMYFUNCTION("""COMPUTED_VALUE"""),"12/20降價、2024/8/12上架")</f>
        <v>12/20降價、2024/8/12上架</v>
      </c>
      <c r="N683" s="12" t="str">
        <f ca="1">IFERROR(__xludf.DUMMYFUNCTION("""COMPUTED_VALUE"""),"一對一變頻冷暖")</f>
        <v>一對一變頻冷暖</v>
      </c>
      <c r="O683" s="12" t="str">
        <f ca="1">IFERROR(__xludf.DUMMYFUNCTION("""COMPUTED_VALUE"""),"白色")</f>
        <v>白色</v>
      </c>
      <c r="P683" s="12" t="str">
        <f ca="1">IFERROR(__xludf.DUMMYFUNCTION("""COMPUTED_VALUE"""),"17-19坪")</f>
        <v>17-19坪</v>
      </c>
      <c r="Q683" s="12" t="str">
        <f ca="1">IFERROR(__xludf.DUMMYFUNCTION("""COMPUTED_VALUE"""),"
室外機：960*660*402mm 室內機：1081*325*248mm")</f>
        <v xml:space="preserve">
室外機：960*660*402mm 室內機：1081*325*248mm</v>
      </c>
      <c r="R683" s="12" t="str">
        <f ca="1">IFERROR(__xludf.DUMMYFUNCTION("""COMPUTED_VALUE"""),"台灣")</f>
        <v>台灣</v>
      </c>
      <c r="S683" s="12" t="str">
        <f ca="1">IFERROR(__xludf.DUMMYFUNCTION("""COMPUTED_VALUE"""),"V")</f>
        <v>V</v>
      </c>
      <c r="T683" s="22" t="str">
        <f ca="1">IFERROR(__xludf.DUMMYFUNCTION("""COMPUTED_VALUE"""),"1級能效")</f>
        <v>1級能效</v>
      </c>
      <c r="U683" s="22" t="str">
        <f ca="1">IFERROR(__xludf.DUMMYFUNCTION("""COMPUTED_VALUE"""),"7年")</f>
        <v>7年</v>
      </c>
      <c r="V683" s="12"/>
      <c r="W683"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83" s="12"/>
      <c r="Y683" s="12">
        <f ca="1">IFERROR(__xludf.DUMMYFUNCTION("""COMPUTED_VALUE"""),8.5)</f>
        <v>8.5</v>
      </c>
      <c r="Z683" s="14" t="str">
        <f ca="1">IFERROR(__xludf.DUMMYFUNCTION("""COMPUTED_VALUE"""),"2000")</f>
        <v>2000</v>
      </c>
      <c r="AA683"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4" spans="1:27" ht="19.5" customHeight="1">
      <c r="A684" s="12" t="str">
        <f ca="1">IFERROR(__xludf.DUMMYFUNCTION("""COMPUTED_VALUE"""),"空調")</f>
        <v>空調</v>
      </c>
      <c r="B684" s="12" t="str">
        <f ca="1">IFERROR(__xludf.DUMMYFUNCTION("""COMPUTED_VALUE"""),"禾聯")</f>
        <v>禾聯</v>
      </c>
      <c r="C684" s="12" t="str">
        <f ca="1">IFERROR(__xludf.DUMMYFUNCTION("""COMPUTED_VALUE"""),"禾聯")</f>
        <v>禾聯</v>
      </c>
      <c r="D684" s="12" t="str">
        <f ca="1">IFERROR(__xludf.DUMMYFUNCTION("""COMPUTED_VALUE"""),"禾聯18-20坪R32高效沼氣防護2.0尊榮型一對一變頻冷暖空調HI/HO-SL91H")</f>
        <v>禾聯18-20坪R32高效沼氣防護2.0尊榮型一對一變頻冷暖空調HI/HO-SL91H</v>
      </c>
      <c r="E684" s="12" t="str">
        <f ca="1">IFERROR(__xludf.DUMMYFUNCTION("""COMPUTED_VALUE"""),"HI/HO-SL91H")</f>
        <v>HI/HO-SL91H</v>
      </c>
      <c r="F684" s="12">
        <f ca="1">IFERROR(__xludf.DUMMYFUNCTION("""COMPUTED_VALUE"""),51008307)</f>
        <v>51008307</v>
      </c>
      <c r="G684" s="12" t="str">
        <f ca="1">IFERROR(__xludf.DUMMYFUNCTION("""COMPUTED_VALUE"""),"IGEM1091")</f>
        <v>IGEM1091</v>
      </c>
      <c r="H684" s="13">
        <f ca="1">IFERROR(__xludf.DUMMYFUNCTION("""COMPUTED_VALUE"""),74900)</f>
        <v>74900</v>
      </c>
      <c r="I684" s="18">
        <f ca="1">IFERROR(__xludf.DUMMYFUNCTION("""COMPUTED_VALUE"""),66700)</f>
        <v>66700</v>
      </c>
      <c r="J684" s="16">
        <f ca="1">IFERROR(__xludf.DUMMYFUNCTION("""COMPUTED_VALUE"""),45646)</f>
        <v>45646</v>
      </c>
      <c r="K684" s="12" t="str">
        <f ca="1">IFERROR(__xludf.DUMMYFUNCTION("""COMPUTED_VALUE"""),"永久降價")</f>
        <v>永久降價</v>
      </c>
      <c r="L684" s="12" t="str">
        <f ca="1">IFERROR(__xludf.DUMMYFUNCTION("""COMPUTED_VALUE"""),"上架中")</f>
        <v>上架中</v>
      </c>
      <c r="M684" s="12" t="str">
        <f ca="1">IFERROR(__xludf.DUMMYFUNCTION("""COMPUTED_VALUE"""),"12/20降價、2024/8/12上架")</f>
        <v>12/20降價、2024/8/12上架</v>
      </c>
      <c r="N684" s="12" t="str">
        <f ca="1">IFERROR(__xludf.DUMMYFUNCTION("""COMPUTED_VALUE"""),"一對一變頻冷暖")</f>
        <v>一對一變頻冷暖</v>
      </c>
      <c r="O684" s="12" t="str">
        <f ca="1">IFERROR(__xludf.DUMMYFUNCTION("""COMPUTED_VALUE"""),"白色")</f>
        <v>白色</v>
      </c>
      <c r="P684" s="12" t="str">
        <f ca="1">IFERROR(__xludf.DUMMYFUNCTION("""COMPUTED_VALUE"""),"19-21坪")</f>
        <v>19-21坪</v>
      </c>
      <c r="Q684" s="12" t="str">
        <f ca="1">IFERROR(__xludf.DUMMYFUNCTION("""COMPUTED_VALUE"""),"
室外機：960*660*402mm 室內機：1350*326*253mm
")</f>
        <v xml:space="preserve">
室外機：960*660*402mm 室內機：1350*326*253mm
</v>
      </c>
      <c r="R684" s="12" t="str">
        <f ca="1">IFERROR(__xludf.DUMMYFUNCTION("""COMPUTED_VALUE"""),"台灣")</f>
        <v>台灣</v>
      </c>
      <c r="S684" s="12" t="str">
        <f ca="1">IFERROR(__xludf.DUMMYFUNCTION("""COMPUTED_VALUE"""),"V")</f>
        <v>V</v>
      </c>
      <c r="T684" s="22" t="str">
        <f ca="1">IFERROR(__xludf.DUMMYFUNCTION("""COMPUTED_VALUE"""),"1級能效")</f>
        <v>1級能效</v>
      </c>
      <c r="U684" s="22" t="str">
        <f ca="1">IFERROR(__xludf.DUMMYFUNCTION("""COMPUTED_VALUE"""),"7年")</f>
        <v>7年</v>
      </c>
      <c r="V684" s="12"/>
      <c r="W684"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84" s="12"/>
      <c r="Y684" s="12">
        <f ca="1">IFERROR(__xludf.DUMMYFUNCTION("""COMPUTED_VALUE"""),9.1)</f>
        <v>9.1</v>
      </c>
      <c r="Z684" s="14" t="str">
        <f ca="1">IFERROR(__xludf.DUMMYFUNCTION("""COMPUTED_VALUE"""),"2000")</f>
        <v>2000</v>
      </c>
      <c r="AA684"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5" spans="1:27" ht="19.5" customHeight="1">
      <c r="A685" s="12" t="str">
        <f ca="1">IFERROR(__xludf.DUMMYFUNCTION("""COMPUTED_VALUE"""),"空調")</f>
        <v>空調</v>
      </c>
      <c r="B685" s="12" t="str">
        <f ca="1">IFERROR(__xludf.DUMMYFUNCTION("""COMPUTED_VALUE"""),"禾聯")</f>
        <v>禾聯</v>
      </c>
      <c r="C685" s="12" t="str">
        <f ca="1">IFERROR(__xludf.DUMMYFUNCTION("""COMPUTED_VALUE"""),"禾聯")</f>
        <v>禾聯</v>
      </c>
      <c r="D685" s="12" t="str">
        <f ca="1">IFERROR(__xludf.DUMMYFUNCTION("""COMPUTED_VALUE"""),"禾聯20-22坪R32高效沼氣防護2.0尊榮型一對一變頻冷暖空調HI/HO-SL100H")</f>
        <v>禾聯20-22坪R32高效沼氣防護2.0尊榮型一對一變頻冷暖空調HI/HO-SL100H</v>
      </c>
      <c r="E685" s="12" t="str">
        <f ca="1">IFERROR(__xludf.DUMMYFUNCTION("""COMPUTED_VALUE"""),"HI/HO-SL100H")</f>
        <v>HI/HO-SL100H</v>
      </c>
      <c r="F685" s="12">
        <f ca="1">IFERROR(__xludf.DUMMYFUNCTION("""COMPUTED_VALUE"""),51008308)</f>
        <v>51008308</v>
      </c>
      <c r="G685" s="12" t="str">
        <f ca="1">IFERROR(__xludf.DUMMYFUNCTION("""COMPUTED_VALUE"""),"IGEM1092")</f>
        <v>IGEM1092</v>
      </c>
      <c r="H685" s="13">
        <f ca="1">IFERROR(__xludf.DUMMYFUNCTION("""COMPUTED_VALUE"""),80900)</f>
        <v>80900</v>
      </c>
      <c r="I685" s="18">
        <f ca="1">IFERROR(__xludf.DUMMYFUNCTION("""COMPUTED_VALUE"""),71500)</f>
        <v>71500</v>
      </c>
      <c r="J685" s="16">
        <f ca="1">IFERROR(__xludf.DUMMYFUNCTION("""COMPUTED_VALUE"""),45646)</f>
        <v>45646</v>
      </c>
      <c r="K685" s="12" t="str">
        <f ca="1">IFERROR(__xludf.DUMMYFUNCTION("""COMPUTED_VALUE"""),"永久降價")</f>
        <v>永久降價</v>
      </c>
      <c r="L685" s="12" t="str">
        <f ca="1">IFERROR(__xludf.DUMMYFUNCTION("""COMPUTED_VALUE"""),"上架中")</f>
        <v>上架中</v>
      </c>
      <c r="M685" s="12" t="str">
        <f ca="1">IFERROR(__xludf.DUMMYFUNCTION("""COMPUTED_VALUE"""),"12/20降價、2024/8/12上架")</f>
        <v>12/20降價、2024/8/12上架</v>
      </c>
      <c r="N685" s="12" t="str">
        <f ca="1">IFERROR(__xludf.DUMMYFUNCTION("""COMPUTED_VALUE"""),"一對一變頻冷暖")</f>
        <v>一對一變頻冷暖</v>
      </c>
      <c r="O685" s="12" t="str">
        <f ca="1">IFERROR(__xludf.DUMMYFUNCTION("""COMPUTED_VALUE"""),"白色")</f>
        <v>白色</v>
      </c>
      <c r="P685" s="12" t="str">
        <f ca="1">IFERROR(__xludf.DUMMYFUNCTION("""COMPUTED_VALUE"""),"21-23坪")</f>
        <v>21-23坪</v>
      </c>
      <c r="Q685" s="12" t="str">
        <f ca="1">IFERROR(__xludf.DUMMYFUNCTION("""COMPUTED_VALUE"""),"
室外機：1010*746*427mm 室內機：1350*326*253mm")</f>
        <v xml:space="preserve">
室外機：1010*746*427mm 室內機：1350*326*253mm</v>
      </c>
      <c r="R685" s="12" t="str">
        <f ca="1">IFERROR(__xludf.DUMMYFUNCTION("""COMPUTED_VALUE"""),"台灣")</f>
        <v>台灣</v>
      </c>
      <c r="S685" s="12" t="str">
        <f ca="1">IFERROR(__xludf.DUMMYFUNCTION("""COMPUTED_VALUE"""),"V")</f>
        <v>V</v>
      </c>
      <c r="T685" s="22" t="str">
        <f ca="1">IFERROR(__xludf.DUMMYFUNCTION("""COMPUTED_VALUE"""),"1級能效")</f>
        <v>1級能效</v>
      </c>
      <c r="U685" s="22" t="str">
        <f ca="1">IFERROR(__xludf.DUMMYFUNCTION("""COMPUTED_VALUE"""),"7年")</f>
        <v>7年</v>
      </c>
      <c r="V685" s="12"/>
      <c r="W685"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85" s="12"/>
      <c r="Y685" s="12">
        <f ca="1">IFERROR(__xludf.DUMMYFUNCTION("""COMPUTED_VALUE"""),10)</f>
        <v>10</v>
      </c>
      <c r="Z685" s="14" t="str">
        <f ca="1">IFERROR(__xludf.DUMMYFUNCTION("""COMPUTED_VALUE"""),"2000")</f>
        <v>2000</v>
      </c>
      <c r="AA685"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6" spans="1:27" ht="19.5" customHeight="1">
      <c r="A686" s="12" t="str">
        <f ca="1">IFERROR(__xludf.DUMMYFUNCTION("""COMPUTED_VALUE"""),"空調")</f>
        <v>空調</v>
      </c>
      <c r="B686" s="12" t="str">
        <f ca="1">IFERROR(__xludf.DUMMYFUNCTION("""COMPUTED_VALUE"""),"禾聯")</f>
        <v>禾聯</v>
      </c>
      <c r="C686" s="12" t="str">
        <f ca="1">IFERROR(__xludf.DUMMYFUNCTION("""COMPUTED_VALUE"""),"禾聯")</f>
        <v>禾聯</v>
      </c>
      <c r="D686" s="12" t="str">
        <f ca="1">IFERROR(__xludf.DUMMYFUNCTION("""COMPUTED_VALUE"""),"禾聯22-24坪R32高效沼氣防護2.0尊榮型一對一變頻冷暖空調HI/HO-SL112H")</f>
        <v>禾聯22-24坪R32高效沼氣防護2.0尊榮型一對一變頻冷暖空調HI/HO-SL112H</v>
      </c>
      <c r="E686" s="12" t="str">
        <f ca="1">IFERROR(__xludf.DUMMYFUNCTION("""COMPUTED_VALUE"""),"HI/HO-SL112H")</f>
        <v>HI/HO-SL112H</v>
      </c>
      <c r="F686" s="12">
        <f ca="1">IFERROR(__xludf.DUMMYFUNCTION("""COMPUTED_VALUE"""),51008309)</f>
        <v>51008309</v>
      </c>
      <c r="G686" s="12" t="str">
        <f ca="1">IFERROR(__xludf.DUMMYFUNCTION("""COMPUTED_VALUE"""),"IGEM1093")</f>
        <v>IGEM1093</v>
      </c>
      <c r="H686" s="13">
        <f ca="1">IFERROR(__xludf.DUMMYFUNCTION("""COMPUTED_VALUE"""),82900)</f>
        <v>82900</v>
      </c>
      <c r="I686" s="18">
        <f ca="1">IFERROR(__xludf.DUMMYFUNCTION("""COMPUTED_VALUE"""),74995)</f>
        <v>74995</v>
      </c>
      <c r="J686" s="16">
        <f ca="1">IFERROR(__xludf.DUMMYFUNCTION("""COMPUTED_VALUE"""),45516)</f>
        <v>45516</v>
      </c>
      <c r="K686" s="12" t="str">
        <f ca="1">IFERROR(__xludf.DUMMYFUNCTION("""COMPUTED_VALUE"""),"新機上架")</f>
        <v>新機上架</v>
      </c>
      <c r="L686" s="12" t="str">
        <f ca="1">IFERROR(__xludf.DUMMYFUNCTION("""COMPUTED_VALUE"""),"專案")</f>
        <v>專案</v>
      </c>
      <c r="M686" s="12" t="str">
        <f ca="1">IFERROR(__xludf.DUMMYFUNCTION("""COMPUTED_VALUE"""),"(需另開代碼，不可送商品卡或點數卡）12/20降價、2024/8/12上架")</f>
        <v>(需另開代碼，不可送商品卡或點數卡）12/20降價、2024/8/12上架</v>
      </c>
      <c r="N686" s="12" t="str">
        <f ca="1">IFERROR(__xludf.DUMMYFUNCTION("""COMPUTED_VALUE"""),"一對一變頻冷暖")</f>
        <v>一對一變頻冷暖</v>
      </c>
      <c r="O686" s="12" t="str">
        <f ca="1">IFERROR(__xludf.DUMMYFUNCTION("""COMPUTED_VALUE"""),"白色")</f>
        <v>白色</v>
      </c>
      <c r="P686" s="12" t="str">
        <f ca="1">IFERROR(__xludf.DUMMYFUNCTION("""COMPUTED_VALUE"""),"23-25坪")</f>
        <v>23-25坪</v>
      </c>
      <c r="Q686" s="12" t="str">
        <f ca="1">IFERROR(__xludf.DUMMYFUNCTION("""COMPUTED_VALUE"""),"
室外機：1010*746*427mm 室內機：1350*326*253mm")</f>
        <v xml:space="preserve">
室外機：1010*746*427mm 室內機：1350*326*253mm</v>
      </c>
      <c r="R686" s="12" t="str">
        <f ca="1">IFERROR(__xludf.DUMMYFUNCTION("""COMPUTED_VALUE"""),"台灣")</f>
        <v>台灣</v>
      </c>
      <c r="S686" s="12" t="str">
        <f ca="1">IFERROR(__xludf.DUMMYFUNCTION("""COMPUTED_VALUE"""),"V")</f>
        <v>V</v>
      </c>
      <c r="T686" s="22" t="str">
        <f ca="1">IFERROR(__xludf.DUMMYFUNCTION("""COMPUTED_VALUE"""),"1級能效")</f>
        <v>1級能效</v>
      </c>
      <c r="U686" s="22" t="str">
        <f ca="1">IFERROR(__xludf.DUMMYFUNCTION("""COMPUTED_VALUE"""),"7年")</f>
        <v>7年</v>
      </c>
      <c r="V686" s="12"/>
      <c r="W686" s="12" t="str">
        <f ca="1">IFERROR(__xludf.DUMMYFUNCTION("""COMPUTED_VALUE"""),"(即日起~114/12/31)上網登錄送全機保固7年+主機板保固7年+壓縮機保固10年;(2/1-4/30)禾聯好禮4選1-轉盤式微波爐、16吋DC風扇、無線手持吸塵器、數位機上盒，早買早選，送完為止")</f>
        <v>(即日起~114/12/31)上網登錄送全機保固7年+主機板保固7年+壓縮機保固10年;(2/1-4/30)禾聯好禮4選1-轉盤式微波爐、16吋DC風扇、無線手持吸塵器、數位機上盒，早買早選，送完為止</v>
      </c>
      <c r="X686" s="12"/>
      <c r="Y686" s="12">
        <f ca="1">IFERROR(__xludf.DUMMYFUNCTION("""COMPUTED_VALUE"""),11)</f>
        <v>11</v>
      </c>
      <c r="Z686" s="14" t="str">
        <f ca="1">IFERROR(__xludf.DUMMYFUNCTION("""COMPUTED_VALUE"""),"2000")</f>
        <v>2000</v>
      </c>
      <c r="AA686" s="15" t="str">
        <f ca="1">IFERROR(__xludf.DUMMYFUNCTION("""COMPUTED_VALUE"""),"*沼氣防護2.0*霜效潔淨*抗菌銀離子濾網*防冷風*全域循環*隨身感溫*單獨除濕*自體防霉*定時開關*藍波防鏽
")</f>
        <v xml:space="preserve">*沼氣防護2.0*霜效潔淨*抗菌銀離子濾網*防冷風*全域循環*隨身感溫*單獨除濕*自體防霉*定時開關*藍波防鏽
</v>
      </c>
    </row>
    <row r="687" spans="1:27" ht="19.5" customHeight="1">
      <c r="A687" s="12" t="str">
        <f ca="1">IFERROR(__xludf.DUMMYFUNCTION("""COMPUTED_VALUE"""),"空調")</f>
        <v>空調</v>
      </c>
      <c r="B687" s="12" t="str">
        <f ca="1">IFERROR(__xludf.DUMMYFUNCTION("""COMPUTED_VALUE"""),"禾聯")</f>
        <v>禾聯</v>
      </c>
      <c r="C687" s="12" t="str">
        <f ca="1">IFERROR(__xludf.DUMMYFUNCTION("""COMPUTED_VALUE"""),"禾聯")</f>
        <v>禾聯</v>
      </c>
      <c r="D687" s="12" t="str">
        <f ca="1">IFERROR(__xludf.DUMMYFUNCTION("""COMPUTED_VALUE"""),"禾聯R32一級能效一對二變頻冷暖空調HM2-SK52H-HI/SK28H*2")</f>
        <v>禾聯R32一級能效一對二變頻冷暖空調HM2-SK52H-HI/SK28H*2</v>
      </c>
      <c r="E687" s="12" t="str">
        <f ca="1">IFERROR(__xludf.DUMMYFUNCTION("""COMPUTED_VALUE"""),"HM2-SK52H-HI/SK28H*2")</f>
        <v>HM2-SK52H-HI/SK28H*2</v>
      </c>
      <c r="F687" s="12">
        <f ca="1">IFERROR(__xludf.DUMMYFUNCTION("""COMPUTED_VALUE"""),51008332)</f>
        <v>51008332</v>
      </c>
      <c r="G687" s="12" t="str">
        <f ca="1">IFERROR(__xludf.DUMMYFUNCTION("""COMPUTED_VALUE"""),"IGEM1197")</f>
        <v>IGEM1197</v>
      </c>
      <c r="H687" s="13">
        <f ca="1">IFERROR(__xludf.DUMMYFUNCTION("""COMPUTED_VALUE"""),56700)</f>
        <v>56700</v>
      </c>
      <c r="I687" s="14">
        <f ca="1">IFERROR(__xludf.DUMMYFUNCTION("""COMPUTED_VALUE"""),48000)</f>
        <v>48000</v>
      </c>
      <c r="J687" s="12"/>
      <c r="K687" s="12" t="str">
        <f ca="1">IFERROR(__xludf.DUMMYFUNCTION("""COMPUTED_VALUE"""),"新機上架")</f>
        <v>新機上架</v>
      </c>
      <c r="L687" s="12" t="str">
        <f ca="1">IFERROR(__xludf.DUMMYFUNCTION("""COMPUTED_VALUE"""),"專案")</f>
        <v>專案</v>
      </c>
      <c r="M687" s="12"/>
      <c r="N687" s="12" t="str">
        <f ca="1">IFERROR(__xludf.DUMMYFUNCTION("""COMPUTED_VALUE"""),"一對多變頻冷暖")</f>
        <v>一對多變頻冷暖</v>
      </c>
      <c r="O687" s="12" t="str">
        <f ca="1">IFERROR(__xludf.DUMMYFUNCTION("""COMPUTED_VALUE"""),"白色")</f>
        <v>白色</v>
      </c>
      <c r="P687" s="12"/>
      <c r="Q687" s="12" t="str">
        <f ca="1">IFERROR(__xludf.DUMMYFUNCTION("""COMPUTED_VALUE"""),"室外機:H550*W820*D350 (mm) 室內機:H289*W849*D215 (mm)")</f>
        <v>室外機:H550*W820*D350 (mm) 室內機:H289*W849*D215 (mm)</v>
      </c>
      <c r="R687" s="12" t="str">
        <f ca="1">IFERROR(__xludf.DUMMYFUNCTION("""COMPUTED_VALUE"""),"中國")</f>
        <v>中國</v>
      </c>
      <c r="S687" s="12" t="str">
        <f ca="1">IFERROR(__xludf.DUMMYFUNCTION("""COMPUTED_VALUE"""),"V")</f>
        <v>V</v>
      </c>
      <c r="T687" s="22" t="str">
        <f ca="1">IFERROR(__xludf.DUMMYFUNCTION("""COMPUTED_VALUE"""),"1級能效")</f>
        <v>1級能效</v>
      </c>
      <c r="U687" s="22" t="str">
        <f ca="1">IFERROR(__xludf.DUMMYFUNCTION("""COMPUTED_VALUE"""),"3年")</f>
        <v>3年</v>
      </c>
      <c r="V687" s="12"/>
      <c r="W687" s="12"/>
      <c r="X687" s="12"/>
      <c r="Y687" s="12">
        <f ca="1">IFERROR(__xludf.DUMMYFUNCTION("""COMPUTED_VALUE"""),5.3)</f>
        <v>5.3</v>
      </c>
      <c r="Z687" s="14" t="str">
        <f ca="1">IFERROR(__xludf.DUMMYFUNCTION("""COMPUTED_VALUE"""),"2000")</f>
        <v>2000</v>
      </c>
      <c r="AA687" s="15" t="str">
        <f ca="1">IFERROR(__xludf.DUMMYFUNCTION("""COMPUTED_VALUE"""),"*符合CSPF新能源規範*沼氣防護(限壁掛式內機)*全域循環*防冷風(限冷暖)*隨身感溫*單獨除濕*自體防霉*定時開關*藍波防鏽*抗菌銀離子濾網")</f>
        <v>*符合CSPF新能源規範*沼氣防護(限壁掛式內機)*全域循環*防冷風(限冷暖)*隨身感溫*單獨除濕*自體防霉*定時開關*藍波防鏽*抗菌銀離子濾網</v>
      </c>
    </row>
    <row r="688" spans="1:27" ht="19.5" customHeight="1">
      <c r="A688" s="12" t="str">
        <f ca="1">IFERROR(__xludf.DUMMYFUNCTION("""COMPUTED_VALUE"""),"空調")</f>
        <v>空調</v>
      </c>
      <c r="B688" s="12" t="str">
        <f ca="1">IFERROR(__xludf.DUMMYFUNCTION("""COMPUTED_VALUE"""),"禾聯")</f>
        <v>禾聯</v>
      </c>
      <c r="C688" s="12" t="str">
        <f ca="1">IFERROR(__xludf.DUMMYFUNCTION("""COMPUTED_VALUE"""),"禾聯")</f>
        <v>禾聯</v>
      </c>
      <c r="D688" s="12" t="str">
        <f ca="1">IFERROR(__xludf.DUMMYFUNCTION("""COMPUTED_VALUE"""),"禾聯22-24坪R32高效沼氣防護2.0尊榮型一對一變頻吊隱冷暖空調HFC/HO-SL112H")</f>
        <v>禾聯22-24坪R32高效沼氣防護2.0尊榮型一對一變頻吊隱冷暖空調HFC/HO-SL112H</v>
      </c>
      <c r="E688" s="12" t="str">
        <f ca="1">IFERROR(__xludf.DUMMYFUNCTION("""COMPUTED_VALUE"""),"HFC/HO-SL112H")</f>
        <v>HFC/HO-SL112H</v>
      </c>
      <c r="F688" s="12">
        <f ca="1">IFERROR(__xludf.DUMMYFUNCTION("""COMPUTED_VALUE"""),51087296)</f>
        <v>51087296</v>
      </c>
      <c r="G688" s="12" t="str">
        <f ca="1">IFERROR(__xludf.DUMMYFUNCTION("""COMPUTED_VALUE"""),"IGEM115Y")</f>
        <v>IGEM115Y</v>
      </c>
      <c r="H688" s="13">
        <f ca="1">IFERROR(__xludf.DUMMYFUNCTION("""COMPUTED_VALUE"""),79900)</f>
        <v>79900</v>
      </c>
      <c r="I688" s="14">
        <f ca="1">IFERROR(__xludf.DUMMYFUNCTION("""COMPUTED_VALUE"""),76995)</f>
        <v>76995</v>
      </c>
      <c r="J688" s="12"/>
      <c r="K688" s="12"/>
      <c r="L688" s="12" t="str">
        <f ca="1">IFERROR(__xludf.DUMMYFUNCTION("""COMPUTED_VALUE"""),"專案")</f>
        <v>專案</v>
      </c>
      <c r="M688" s="12"/>
      <c r="N688" s="12" t="str">
        <f ca="1">IFERROR(__xludf.DUMMYFUNCTION("""COMPUTED_VALUE"""),"一對一吊隱冷暖")</f>
        <v>一對一吊隱冷暖</v>
      </c>
      <c r="O688" s="12" t="str">
        <f ca="1">IFERROR(__xludf.DUMMYFUNCTION("""COMPUTED_VALUE"""),"白色")</f>
        <v>白色</v>
      </c>
      <c r="P688" s="12"/>
      <c r="Q688" s="12" t="str">
        <f ca="1">IFERROR(__xludf.DUMMYFUNCTION("""COMPUTED_VALUE"""),"室外機:746x1010x427(mm) 
室內機:326x1350x253 (mm)")</f>
        <v>室外機:746x1010x427(mm) 
室內機:326x1350x253 (mm)</v>
      </c>
      <c r="R688" s="12" t="str">
        <f ca="1">IFERROR(__xludf.DUMMYFUNCTION("""COMPUTED_VALUE"""),"台灣")</f>
        <v>台灣</v>
      </c>
      <c r="S688" s="12" t="str">
        <f ca="1">IFERROR(__xludf.DUMMYFUNCTION("""COMPUTED_VALUE"""),"V")</f>
        <v>V</v>
      </c>
      <c r="T688" s="22" t="str">
        <f ca="1">IFERROR(__xludf.DUMMYFUNCTION("""COMPUTED_VALUE"""),"1級能效")</f>
        <v>1級能效</v>
      </c>
      <c r="U688" s="22" t="str">
        <f ca="1">IFERROR(__xludf.DUMMYFUNCTION("""COMPUTED_VALUE"""),"3年")</f>
        <v>3年</v>
      </c>
      <c r="V688" s="12"/>
      <c r="W688" s="12"/>
      <c r="X688" s="12"/>
      <c r="Y688" s="12">
        <f ca="1">IFERROR(__xludf.DUMMYFUNCTION("""COMPUTED_VALUE"""),11)</f>
        <v>11</v>
      </c>
      <c r="Z688" s="14" t="str">
        <f ca="1">IFERROR(__xludf.DUMMYFUNCTION("""COMPUTED_VALUE"""),"2000")</f>
        <v>2000</v>
      </c>
      <c r="AA688" s="15" t="str">
        <f ca="1">IFERROR(__xludf.DUMMYFUNCTION("""COMPUTED_VALUE"""),"*符合CSPF新能源規範*沼氣防護2.0*霜效潔淨*抗菌銀離子濾網*防冷風*全域循環*隨身感溫*單獨除濕*自體防霉*定時開關*藍波防鏽")</f>
        <v>*符合CSPF新能源規範*沼氣防護2.0*霜效潔淨*抗菌銀離子濾網*防冷風*全域循環*隨身感溫*單獨除濕*自體防霉*定時開關*藍波防鏽</v>
      </c>
    </row>
    <row r="689" spans="1:27" ht="19.5" customHeight="1">
      <c r="A689" s="12" t="str">
        <f ca="1">IFERROR(__xludf.DUMMYFUNCTION("""COMPUTED_VALUE"""),"洗衣機")</f>
        <v>洗衣機</v>
      </c>
      <c r="B689" s="12" t="str">
        <f ca="1">IFERROR(__xludf.DUMMYFUNCTION("""COMPUTED_VALUE"""),"順發")</f>
        <v>順發</v>
      </c>
      <c r="C689" s="12" t="str">
        <f ca="1">IFERROR(__xludf.DUMMYFUNCTION("""COMPUTED_VALUE"""),"HITACHI")</f>
        <v>HITACHI</v>
      </c>
      <c r="D689" s="12" t="str">
        <f ca="1">IFERROR(__xludf.DUMMYFUNCTION("""COMPUTED_VALUE"""),"日立12KG變頻躍動直立式洗衣機_BWV120FSW")</f>
        <v>日立12KG變頻躍動直立式洗衣機_BWV120FSW</v>
      </c>
      <c r="E689" s="12" t="str">
        <f ca="1">IFERROR(__xludf.DUMMYFUNCTION("""COMPUTED_VALUE"""),"BWV120FSW")</f>
        <v>BWV120FSW</v>
      </c>
      <c r="F689" s="12">
        <f ca="1">IFERROR(__xludf.DUMMYFUNCTION("""COMPUTED_VALUE"""),51095325)</f>
        <v>51095325</v>
      </c>
      <c r="G689" s="12" t="str">
        <f ca="1">IFERROR(__xludf.DUMMYFUNCTION("""COMPUTED_VALUE"""),"IGEM026T")</f>
        <v>IGEM026T</v>
      </c>
      <c r="H689" s="12">
        <f ca="1">IFERROR(__xludf.DUMMYFUNCTION("""COMPUTED_VALUE"""),19900)</f>
        <v>19900</v>
      </c>
      <c r="I689" s="14">
        <f ca="1">IFERROR(__xludf.DUMMYFUNCTION("""COMPUTED_VALUE"""),18308)</f>
        <v>18308</v>
      </c>
      <c r="J689" s="21">
        <f ca="1">IFERROR(__xludf.DUMMYFUNCTION("""COMPUTED_VALUE"""),44927)</f>
        <v>44927</v>
      </c>
      <c r="K689" s="12" t="str">
        <f ca="1">IFERROR(__xludf.DUMMYFUNCTION("""COMPUTED_VALUE"""),"回價")</f>
        <v>回價</v>
      </c>
      <c r="L689" s="12" t="str">
        <f ca="1">IFERROR(__xludf.DUMMYFUNCTION("""COMPUTED_VALUE"""),"上架中")</f>
        <v>上架中</v>
      </c>
      <c r="M689" s="12"/>
      <c r="N689" s="12" t="str">
        <f ca="1">IFERROR(__xludf.DUMMYFUNCTION("""COMPUTED_VALUE"""),"直立變頻")</f>
        <v>直立變頻</v>
      </c>
      <c r="O689" s="12" t="str">
        <f ca="1">IFERROR(__xludf.DUMMYFUNCTION("""COMPUTED_VALUE"""),"琉璃白")</f>
        <v>琉璃白</v>
      </c>
      <c r="P689" s="12" t="str">
        <f ca="1">IFERROR(__xludf.DUMMYFUNCTION("""COMPUTED_VALUE"""),"12KG")</f>
        <v>12KG</v>
      </c>
      <c r="Q689" s="12" t="str">
        <f ca="1">IFERROR(__xludf.DUMMYFUNCTION("""COMPUTED_VALUE"""),"1060*608*610mm")</f>
        <v>1060*608*610mm</v>
      </c>
      <c r="R689" s="12" t="str">
        <f ca="1">IFERROR(__xludf.DUMMYFUNCTION("""COMPUTED_VALUE"""),"上海")</f>
        <v>上海</v>
      </c>
      <c r="S689" s="12" t="str">
        <f ca="1">IFERROR(__xludf.DUMMYFUNCTION("""COMPUTED_VALUE"""),"省水標章(金級)")</f>
        <v>省水標章(金級)</v>
      </c>
      <c r="T689" s="12"/>
      <c r="U689" s="12" t="str">
        <f ca="1">IFERROR(__xludf.DUMMYFUNCTION("""COMPUTED_VALUE"""),"1年")</f>
        <v>1年</v>
      </c>
      <c r="V689" s="12" t="str">
        <f ca="1">IFERROR(__xludf.DUMMYFUNCTION("""COMPUTED_VALUE"""),"5年")</f>
        <v>5年</v>
      </c>
      <c r="W689" s="12"/>
      <c r="X689" s="12" t="str">
        <f ca="1">IFERROR(__xludf.DUMMYFUNCTION("""COMPUTED_VALUE"""),"(114/1/1~2/28)隨貨送愛料理矽膠料理三件組 (805T10)")</f>
        <v>(114/1/1~2/28)隨貨送愛料理矽膠料理三件組 (805T10)</v>
      </c>
      <c r="Y689" s="12"/>
      <c r="Z689" s="14"/>
      <c r="AA689" s="15" t="str">
        <f ca="1">IFERROR(__xludf.DUMMYFUNCTION("""COMPUTED_VALUE"""),"*尼加拉飛瀑洗淨，大流量循環水流脫去洗劑，避免殘留*節能零電費噴射風乾衣物，縮短曬衣時間*日立獨家技術開發，全新三段式洗清*尼加拉飛瀑洗清，清潔度顯而易見*業界首創3D全槽洗淨，除菌防霉99%*琉璃表面設計，輕鬆擦拭保養*寬口內槽採前傾淺底設計，輕鬆拿取衣物*約38cm大寛口設計，大型毛毯OK*大型盒狀線屑濾網，清潔保養容易*洗劑自動檢知(粉末、液狀)")</f>
        <v>*尼加拉飛瀑洗淨，大流量循環水流脫去洗劑，避免殘留*節能零電費噴射風乾衣物，縮短曬衣時間*日立獨家技術開發，全新三段式洗清*尼加拉飛瀑洗清，清潔度顯而易見*業界首創3D全槽洗淨，除菌防霉99%*琉璃表面設計，輕鬆擦拭保養*寬口內槽採前傾淺底設計，輕鬆拿取衣物*約38cm大寛口設計，大型毛毯OK*大型盒狀線屑濾網，清潔保養容易*洗劑自動檢知(粉末、液狀)</v>
      </c>
    </row>
    <row r="690" spans="1:27" ht="19.5" customHeight="1">
      <c r="A690" s="12" t="str">
        <f ca="1">IFERROR(__xludf.DUMMYFUNCTION("""COMPUTED_VALUE"""),"洗衣機")</f>
        <v>洗衣機</v>
      </c>
      <c r="B690" s="12" t="str">
        <f ca="1">IFERROR(__xludf.DUMMYFUNCTION("""COMPUTED_VALUE"""),"順發")</f>
        <v>順發</v>
      </c>
      <c r="C690" s="12" t="str">
        <f ca="1">IFERROR(__xludf.DUMMYFUNCTION("""COMPUTED_VALUE"""),"HITACHI")</f>
        <v>HITACHI</v>
      </c>
      <c r="D690" s="12" t="str">
        <f ca="1">IFERROR(__xludf.DUMMYFUNCTION("""COMPUTED_VALUE"""),"日立17KG變頻溫水直立式洗衣機_SF-170ZFV(SS)")</f>
        <v>日立17KG變頻溫水直立式洗衣機_SF-170ZFV(SS)</v>
      </c>
      <c r="E690" s="12" t="str">
        <f ca="1">IFERROR(__xludf.DUMMYFUNCTION("""COMPUTED_VALUE"""),"SF-170ZFV(SS)")</f>
        <v>SF-170ZFV(SS)</v>
      </c>
      <c r="F690" s="12">
        <f ca="1">IFERROR(__xludf.DUMMYFUNCTION("""COMPUTED_VALUE"""),51095326)</f>
        <v>51095326</v>
      </c>
      <c r="G690" s="12" t="str">
        <f ca="1">IFERROR(__xludf.DUMMYFUNCTION("""COMPUTED_VALUE"""),"IGEM026U")</f>
        <v>IGEM026U</v>
      </c>
      <c r="H690" s="13">
        <f ca="1">IFERROR(__xludf.DUMMYFUNCTION("""COMPUTED_VALUE"""),24490)</f>
        <v>24490</v>
      </c>
      <c r="I690" s="14">
        <f ca="1">IFERROR(__xludf.DUMMYFUNCTION("""COMPUTED_VALUE"""),19900)</f>
        <v>19900</v>
      </c>
      <c r="J690" s="21">
        <f ca="1">IFERROR(__xludf.DUMMYFUNCTION("""COMPUTED_VALUE"""),45597)</f>
        <v>45597</v>
      </c>
      <c r="K690" s="12" t="str">
        <f ca="1">IFERROR(__xludf.DUMMYFUNCTION("""COMPUTED_VALUE"""),"短促")</f>
        <v>短促</v>
      </c>
      <c r="L690" s="12" t="str">
        <f ca="1">IFERROR(__xludf.DUMMYFUNCTION("""COMPUTED_VALUE"""),"上架中")</f>
        <v>上架中</v>
      </c>
      <c r="M690" s="12"/>
      <c r="N690" s="12" t="str">
        <f ca="1">IFERROR(__xludf.DUMMYFUNCTION("""COMPUTED_VALUE"""),"直立變頻")</f>
        <v>直立變頻</v>
      </c>
      <c r="O690" s="12" t="str">
        <f ca="1">IFERROR(__xludf.DUMMYFUNCTION("""COMPUTED_VALUE"""),"星空銀")</f>
        <v>星空銀</v>
      </c>
      <c r="P690" s="12" t="str">
        <f ca="1">IFERROR(__xludf.DUMMYFUNCTION("""COMPUTED_VALUE"""),"17KG")</f>
        <v>17KG</v>
      </c>
      <c r="Q690" s="12" t="str">
        <f ca="1">IFERROR(__xludf.DUMMYFUNCTION("""COMPUTED_VALUE"""),"1087*640*684mm")</f>
        <v>1087*640*684mm</v>
      </c>
      <c r="R690" s="12" t="str">
        <f ca="1">IFERROR(__xludf.DUMMYFUNCTION("""COMPUTED_VALUE"""),"泰國")</f>
        <v>泰國</v>
      </c>
      <c r="S690" s="12" t="str">
        <f ca="1">IFERROR(__xludf.DUMMYFUNCTION("""COMPUTED_VALUE"""),"省水標章(金級)")</f>
        <v>省水標章(金級)</v>
      </c>
      <c r="T690" s="12"/>
      <c r="U690" s="12" t="str">
        <f ca="1">IFERROR(__xludf.DUMMYFUNCTION("""COMPUTED_VALUE"""),"1年")</f>
        <v>1年</v>
      </c>
      <c r="V690" s="12" t="str">
        <f ca="1">IFERROR(__xludf.DUMMYFUNCTION("""COMPUTED_VALUE"""),"5年")</f>
        <v>5年</v>
      </c>
      <c r="W690" s="12"/>
      <c r="X690" s="12" t="str">
        <f ca="1">IFERROR(__xludf.DUMMYFUNCTION("""COMPUTED_VALUE"""),"(114/1/1~2/28)隨貨送愛料理矽膠料理三件組 (805T10)")</f>
        <v>(114/1/1~2/28)隨貨送愛料理矽膠料理三件組 (805T10)</v>
      </c>
      <c r="Y690" s="12"/>
      <c r="Z690" s="14"/>
      <c r="AA690" s="15" t="str">
        <f ca="1">IFERROR(__xludf.DUMMYFUNCTION("""COMPUTED_VALUE"""),"*雙瀑水流4段水洗效能*分類預洗先脫汙水雙重潔淨*業界首創3D自動全槽洗淨除菌防黴99%*不鏽鋼槽外側外槽內側與底側3D全面清潔*3段溫控洗淨*前蓋薄型設計輕鬆好拿取*減少衣物糾結脫水設計*通過國家金級省水標章認證*夜間洗衣模式")</f>
        <v>*雙瀑水流4段水洗效能*分類預洗先脫汙水雙重潔淨*業界首創3D自動全槽洗淨除菌防黴99%*不鏽鋼槽外側外槽內側與底側3D全面清潔*3段溫控洗淨*前蓋薄型設計輕鬆好拿取*減少衣物糾結脫水設計*通過國家金級省水標章認證*夜間洗衣模式</v>
      </c>
    </row>
    <row r="691" spans="1:27" ht="19.5" customHeight="1">
      <c r="A691" s="12" t="str">
        <f ca="1">IFERROR(__xludf.DUMMYFUNCTION("""COMPUTED_VALUE"""),"洗衣機")</f>
        <v>洗衣機</v>
      </c>
      <c r="B691" s="12" t="str">
        <f ca="1">IFERROR(__xludf.DUMMYFUNCTION("""COMPUTED_VALUE"""),"順發")</f>
        <v>順發</v>
      </c>
      <c r="C691" s="12" t="str">
        <f ca="1">IFERROR(__xludf.DUMMYFUNCTION("""COMPUTED_VALUE"""),"HITACHI")</f>
        <v>HITACHI</v>
      </c>
      <c r="D691" s="12" t="str">
        <f ca="1">IFERROR(__xludf.DUMMYFUNCTION("""COMPUTED_VALUE"""),"日立BDSX115FJ(N)11.5KG變頻滾筒洗脫烘左開洗衣機_765H22")</f>
        <v>日立BDSX115FJ(N)11.5KG變頻滾筒洗脫烘左開洗衣機_765H22</v>
      </c>
      <c r="E691" s="12" t="str">
        <f ca="1">IFERROR(__xludf.DUMMYFUNCTION("""COMPUTED_VALUE"""),"BDSX115FJ(N)")</f>
        <v>BDSX115FJ(N)</v>
      </c>
      <c r="F691" s="12">
        <f ca="1">IFERROR(__xludf.DUMMYFUNCTION("""COMPUTED_VALUE"""),51095460)</f>
        <v>51095460</v>
      </c>
      <c r="G691" s="12" t="str">
        <f ca="1">IFERROR(__xludf.DUMMYFUNCTION("""COMPUTED_VALUE"""),"IGEM0556")</f>
        <v>IGEM0556</v>
      </c>
      <c r="H691" s="12">
        <f ca="1">IFERROR(__xludf.DUMMYFUNCTION("""COMPUTED_VALUE"""),70900)</f>
        <v>70900</v>
      </c>
      <c r="I691" s="14">
        <f ca="1">IFERROR(__xludf.DUMMYFUNCTION("""COMPUTED_VALUE"""),65228)</f>
        <v>65228</v>
      </c>
      <c r="J691" s="21">
        <f ca="1">IFERROR(__xludf.DUMMYFUNCTION("""COMPUTED_VALUE"""),45323)</f>
        <v>45323</v>
      </c>
      <c r="K691" s="12" t="str">
        <f ca="1">IFERROR(__xludf.DUMMYFUNCTION("""COMPUTED_VALUE"""),"回價")</f>
        <v>回價</v>
      </c>
      <c r="L691" s="12" t="str">
        <f ca="1">IFERROR(__xludf.DUMMYFUNCTION("""COMPUTED_VALUE"""),"上架中")</f>
        <v>上架中</v>
      </c>
      <c r="M691" s="12"/>
      <c r="N691" s="12" t="str">
        <f ca="1">IFERROR(__xludf.DUMMYFUNCTION("""COMPUTED_VALUE"""),"洗脫烘滾筒")</f>
        <v>洗脫烘滾筒</v>
      </c>
      <c r="O691" s="12" t="str">
        <f ca="1">IFERROR(__xludf.DUMMYFUNCTION("""COMPUTED_VALUE"""),"珍珠白")</f>
        <v>珍珠白</v>
      </c>
      <c r="P691" s="12" t="str">
        <f ca="1">IFERROR(__xludf.DUMMYFUNCTION("""COMPUTED_VALUE"""),"11.5KG")</f>
        <v>11.5KG</v>
      </c>
      <c r="Q691" s="12" t="str">
        <f ca="1">IFERROR(__xludf.DUMMYFUNCTION("""COMPUTED_VALUE"""),"1065*630*715mm")</f>
        <v>1065*630*715mm</v>
      </c>
      <c r="R691" s="12" t="str">
        <f ca="1">IFERROR(__xludf.DUMMYFUNCTION("""COMPUTED_VALUE"""),"日本")</f>
        <v>日本</v>
      </c>
      <c r="S691" s="12" t="str">
        <f ca="1">IFERROR(__xludf.DUMMYFUNCTION("""COMPUTED_VALUE"""),"省水標章(金級)")</f>
        <v>省水標章(金級)</v>
      </c>
      <c r="T691" s="12"/>
      <c r="U691" s="12" t="str">
        <f ca="1">IFERROR(__xludf.DUMMYFUNCTION("""COMPUTED_VALUE"""),"1年")</f>
        <v>1年</v>
      </c>
      <c r="V691" s="12"/>
      <c r="W691" s="12"/>
      <c r="X691" s="12" t="str">
        <f ca="1">IFERROR(__xludf.DUMMYFUNCTION("""COMPUTED_VALUE"""),"(114/1/1~2/28)隨貨送卡洛斯陶瓷不沾鴛鴦鍋-30cm(市價1590)")</f>
        <v>(114/1/1~2/28)隨貨送卡洛斯陶瓷不沾鴛鴦鍋-30cm(市價1590)</v>
      </c>
      <c r="Y691" s="12"/>
      <c r="Z691" s="14"/>
      <c r="AA691" s="15" t="str">
        <f ca="1">IFERROR(__xludf.DUMMYFUNCTION("""COMPUTED_VALUE"""),"*IoT智能遠端操控洗衣*9項AI智慧感測*洗劑自動投入洗衣輕鬆便利*溫水噴霧+尼加拉飛瀑洗淨*溫風除菌及淨除異味原*新抗振科技高效減振低噪音*毛毯及大物洗烘輕鬆完成*65℃低溫風熨斗抑制衣物縮水變形每次洗衣同時潔淨烘乾管道")</f>
        <v>*IoT智能遠端操控洗衣*9項AI智慧感測*洗劑自動投入洗衣輕鬆便利*溫水噴霧+尼加拉飛瀑洗淨*溫風除菌及淨除異味原*新抗振科技高效減振低噪音*毛毯及大物洗烘輕鬆完成*65℃低溫風熨斗抑制衣物縮水變形每次洗衣同時潔淨烘乾管道</v>
      </c>
    </row>
    <row r="692" spans="1:27" ht="19.5" customHeight="1">
      <c r="A692" s="12" t="str">
        <f ca="1">IFERROR(__xludf.DUMMYFUNCTION("""COMPUTED_VALUE"""),"洗衣機")</f>
        <v>洗衣機</v>
      </c>
      <c r="B692" s="12" t="str">
        <f ca="1">IFERROR(__xludf.DUMMYFUNCTION("""COMPUTED_VALUE"""),"順發")</f>
        <v>順發</v>
      </c>
      <c r="C692" s="12" t="str">
        <f ca="1">IFERROR(__xludf.DUMMYFUNCTION("""COMPUTED_VALUE"""),"HITACHI")</f>
        <v>HITACHI</v>
      </c>
      <c r="D692" s="12" t="str">
        <f ca="1">IFERROR(__xludf.DUMMYFUNCTION("""COMPUTED_VALUE"""),"日立BDSX115FJR(N)11.5KG變頻滾筒洗脫烘右開洗衣機_765H23")</f>
        <v>日立BDSX115FJR(N)11.5KG變頻滾筒洗脫烘右開洗衣機_765H23</v>
      </c>
      <c r="E692" s="12" t="str">
        <f ca="1">IFERROR(__xludf.DUMMYFUNCTION("""COMPUTED_VALUE"""),"BDSX115FJR(N)")</f>
        <v>BDSX115FJR(N)</v>
      </c>
      <c r="F692" s="12">
        <f ca="1">IFERROR(__xludf.DUMMYFUNCTION("""COMPUTED_VALUE"""),51095461)</f>
        <v>51095461</v>
      </c>
      <c r="G692" s="12" t="str">
        <f ca="1">IFERROR(__xludf.DUMMYFUNCTION("""COMPUTED_VALUE"""),"IGEM0557")</f>
        <v>IGEM0557</v>
      </c>
      <c r="H692" s="12">
        <f ca="1">IFERROR(__xludf.DUMMYFUNCTION("""COMPUTED_VALUE"""),71900)</f>
        <v>71900</v>
      </c>
      <c r="I692" s="14">
        <f ca="1">IFERROR(__xludf.DUMMYFUNCTION("""COMPUTED_VALUE"""),66148)</f>
        <v>66148</v>
      </c>
      <c r="J692" s="16">
        <f ca="1">IFERROR(__xludf.DUMMYFUNCTION("""COMPUTED_VALUE"""),45323)</f>
        <v>45323</v>
      </c>
      <c r="K692" s="12" t="str">
        <f ca="1">IFERROR(__xludf.DUMMYFUNCTION("""COMPUTED_VALUE"""),"回價")</f>
        <v>回價</v>
      </c>
      <c r="L692" s="12" t="str">
        <f ca="1">IFERROR(__xludf.DUMMYFUNCTION("""COMPUTED_VALUE"""),"上架中")</f>
        <v>上架中</v>
      </c>
      <c r="M692" s="12"/>
      <c r="N692" s="12" t="str">
        <f ca="1">IFERROR(__xludf.DUMMYFUNCTION("""COMPUTED_VALUE"""),"洗脫烘滾筒")</f>
        <v>洗脫烘滾筒</v>
      </c>
      <c r="O692" s="12" t="str">
        <f ca="1">IFERROR(__xludf.DUMMYFUNCTION("""COMPUTED_VALUE"""),"珍珠白")</f>
        <v>珍珠白</v>
      </c>
      <c r="P692" s="12" t="str">
        <f ca="1">IFERROR(__xludf.DUMMYFUNCTION("""COMPUTED_VALUE"""),"11.5KG")</f>
        <v>11.5KG</v>
      </c>
      <c r="Q692" s="12" t="str">
        <f ca="1">IFERROR(__xludf.DUMMYFUNCTION("""COMPUTED_VALUE"""),"1065*630*715mm")</f>
        <v>1065*630*715mm</v>
      </c>
      <c r="R692" s="12" t="str">
        <f ca="1">IFERROR(__xludf.DUMMYFUNCTION("""COMPUTED_VALUE"""),"日本")</f>
        <v>日本</v>
      </c>
      <c r="S692" s="12" t="str">
        <f ca="1">IFERROR(__xludf.DUMMYFUNCTION("""COMPUTED_VALUE"""),"省水標章(金級)")</f>
        <v>省水標章(金級)</v>
      </c>
      <c r="T692" s="12"/>
      <c r="U692" s="12" t="str">
        <f ca="1">IFERROR(__xludf.DUMMYFUNCTION("""COMPUTED_VALUE"""),"1年")</f>
        <v>1年</v>
      </c>
      <c r="V692" s="12"/>
      <c r="W692" s="12"/>
      <c r="X692" s="12" t="str">
        <f ca="1">IFERROR(__xludf.DUMMYFUNCTION("""COMPUTED_VALUE"""),"(114/1/1~2/28)隨貨送卡洛斯陶瓷不沾鴛鴦鍋-30cm(市價1590)")</f>
        <v>(114/1/1~2/28)隨貨送卡洛斯陶瓷不沾鴛鴦鍋-30cm(市價1590)</v>
      </c>
      <c r="Y692" s="12"/>
      <c r="Z692" s="14"/>
      <c r="AA692" s="15" t="str">
        <f ca="1">IFERROR(__xludf.DUMMYFUNCTION("""COMPUTED_VALUE"""),"*IoT智能遠端操控洗衣*9項AI智慧感測*洗劑自動投入洗衣輕鬆便利*溫水噴霧+尼加拉飛瀑洗淨*溫風除菌及淨除異味原*新抗振科技高效減振低噪音*毛毯及大物洗烘輕鬆完成*65℃低溫風熨斗抑制衣物縮水變形每次洗衣同時潔淨烘乾管道")</f>
        <v>*IoT智能遠端操控洗衣*9項AI智慧感測*洗劑自動投入洗衣輕鬆便利*溫水噴霧+尼加拉飛瀑洗淨*溫風除菌及淨除異味原*新抗振科技高效減振低噪音*毛毯及大物洗烘輕鬆完成*65℃低溫風熨斗抑制衣物縮水變形每次洗衣同時潔淨烘乾管道</v>
      </c>
    </row>
    <row r="693" spans="1:27" ht="19.5" customHeight="1">
      <c r="A693" s="12" t="str">
        <f ca="1">IFERROR(__xludf.DUMMYFUNCTION("""COMPUTED_VALUE"""),"洗衣機")</f>
        <v>洗衣機</v>
      </c>
      <c r="B693" s="12" t="str">
        <f ca="1">IFERROR(__xludf.DUMMYFUNCTION("""COMPUTED_VALUE"""),"聲寶")</f>
        <v>聲寶</v>
      </c>
      <c r="C693" s="12" t="str">
        <f ca="1">IFERROR(__xludf.DUMMYFUNCTION("""COMPUTED_VALUE"""),"聲寶")</f>
        <v>聲寶</v>
      </c>
      <c r="D693" s="12" t="str">
        <f ca="1">IFERROR(__xludf.DUMMYFUNCTION("""COMPUTED_VALUE"""),"聲寶6.5公斤洗衣機ES-B07F")</f>
        <v>聲寶6.5公斤洗衣機ES-B07F</v>
      </c>
      <c r="E693" s="12" t="str">
        <f ca="1">IFERROR(__xludf.DUMMYFUNCTION("""COMPUTED_VALUE"""),"ES-B07F")</f>
        <v>ES-B07F</v>
      </c>
      <c r="F693" s="12">
        <f ca="1">IFERROR(__xludf.DUMMYFUNCTION("""COMPUTED_VALUE"""),51086062)</f>
        <v>51086062</v>
      </c>
      <c r="G693" s="12" t="str">
        <f ca="1">IFERROR(__xludf.DUMMYFUNCTION("""COMPUTED_VALUE"""),"IGEM01BS")</f>
        <v>IGEM01BS</v>
      </c>
      <c r="H693" s="12">
        <f ca="1">IFERROR(__xludf.DUMMYFUNCTION("""COMPUTED_VALUE"""),7490)</f>
        <v>7490</v>
      </c>
      <c r="I693" s="14">
        <f ca="1">IFERROR(__xludf.DUMMYFUNCTION("""COMPUTED_VALUE"""),5700)</f>
        <v>5700</v>
      </c>
      <c r="J693" s="12"/>
      <c r="K693" s="12"/>
      <c r="L693" s="12" t="str">
        <f ca="1">IFERROR(__xludf.DUMMYFUNCTION("""COMPUTED_VALUE"""),"上架中")</f>
        <v>上架中</v>
      </c>
      <c r="M693" s="12" t="str">
        <f ca="1">IFERROR(__xludf.DUMMYFUNCTION("""COMPUTED_VALUE"""),"5/29少量到貨")</f>
        <v>5/29少量到貨</v>
      </c>
      <c r="N693" s="12" t="str">
        <f ca="1">IFERROR(__xludf.DUMMYFUNCTION("""COMPUTED_VALUE"""),"直立定頻")</f>
        <v>直立定頻</v>
      </c>
      <c r="O693" s="12" t="str">
        <f ca="1">IFERROR(__xludf.DUMMYFUNCTION("""COMPUTED_VALUE"""),"珍珠白")</f>
        <v>珍珠白</v>
      </c>
      <c r="P693" s="12" t="str">
        <f ca="1">IFERROR(__xludf.DUMMYFUNCTION("""COMPUTED_VALUE"""),"6.5KG")</f>
        <v>6.5KG</v>
      </c>
      <c r="Q693" s="12" t="str">
        <f ca="1">IFERROR(__xludf.DUMMYFUNCTION("""COMPUTED_VALUE"""),"900*515*525mm")</f>
        <v>900*515*525mm</v>
      </c>
      <c r="R693" s="12" t="str">
        <f ca="1">IFERROR(__xludf.DUMMYFUNCTION("""COMPUTED_VALUE"""),"中國")</f>
        <v>中國</v>
      </c>
      <c r="S693" s="12" t="str">
        <f ca="1">IFERROR(__xludf.DUMMYFUNCTION("""COMPUTED_VALUE"""),"省水標章(普級)")</f>
        <v>省水標章(普級)</v>
      </c>
      <c r="T693" s="12"/>
      <c r="U693" s="12" t="str">
        <f ca="1">IFERROR(__xludf.DUMMYFUNCTION("""COMPUTED_VALUE"""),"1年")</f>
        <v>1年</v>
      </c>
      <c r="V693" s="12" t="str">
        <f ca="1">IFERROR(__xludf.DUMMYFUNCTION("""COMPUTED_VALUE"""),"1年")</f>
        <v>1年</v>
      </c>
      <c r="W693" s="12"/>
      <c r="X693" s="12"/>
      <c r="Y693" s="12"/>
      <c r="Z693" s="14"/>
      <c r="AA693" s="15"/>
    </row>
    <row r="694" spans="1:27" ht="19.5" customHeight="1">
      <c r="A694" s="12" t="str">
        <f ca="1">IFERROR(__xludf.DUMMYFUNCTION("""COMPUTED_VALUE"""),"洗衣機")</f>
        <v>洗衣機</v>
      </c>
      <c r="B694" s="12" t="str">
        <f ca="1">IFERROR(__xludf.DUMMYFUNCTION("""COMPUTED_VALUE"""),"聲寶")</f>
        <v>聲寶</v>
      </c>
      <c r="C694" s="12" t="str">
        <f ca="1">IFERROR(__xludf.DUMMYFUNCTION("""COMPUTED_VALUE"""),"聲寶")</f>
        <v>聲寶</v>
      </c>
      <c r="D694" s="12" t="str">
        <f ca="1">IFERROR(__xludf.DUMMYFUNCTION("""COMPUTED_VALUE"""),"聲寶10公斤洗衣機ES-B10F")</f>
        <v>聲寶10公斤洗衣機ES-B10F</v>
      </c>
      <c r="E694" s="12" t="str">
        <f ca="1">IFERROR(__xludf.DUMMYFUNCTION("""COMPUTED_VALUE"""),"ES-B10F")</f>
        <v>ES-B10F</v>
      </c>
      <c r="F694" s="12">
        <f ca="1">IFERROR(__xludf.DUMMYFUNCTION("""COMPUTED_VALUE"""),51086061)</f>
        <v>51086061</v>
      </c>
      <c r="G694" s="12" t="str">
        <f ca="1">IFERROR(__xludf.DUMMYFUNCTION("""COMPUTED_VALUE"""),"IGEM01BR")</f>
        <v>IGEM01BR</v>
      </c>
      <c r="H694" s="12">
        <f ca="1">IFERROR(__xludf.DUMMYFUNCTION("""COMPUTED_VALUE"""),9490)</f>
        <v>9490</v>
      </c>
      <c r="I694" s="14">
        <f ca="1">IFERROR(__xludf.DUMMYFUNCTION("""COMPUTED_VALUE"""),7490)</f>
        <v>7490</v>
      </c>
      <c r="J694" s="16">
        <f ca="1">IFERROR(__xludf.DUMMYFUNCTION("""COMPUTED_VALUE"""),44960)</f>
        <v>44960</v>
      </c>
      <c r="K694" s="12" t="str">
        <f ca="1">IFERROR(__xludf.DUMMYFUNCTION("""COMPUTED_VALUE"""),"短促")</f>
        <v>短促</v>
      </c>
      <c r="L694" s="12" t="str">
        <f ca="1">IFERROR(__xludf.DUMMYFUNCTION("""COMPUTED_VALUE"""),"上架中")</f>
        <v>上架中</v>
      </c>
      <c r="M694" s="12" t="str">
        <f ca="1">IFERROR(__xludf.DUMMYFUNCTION("""COMPUTED_VALUE"""),"2022/1/20短促，2021/5/1回價，2021/3/1降價，2019/9/6新機上架")</f>
        <v>2022/1/20短促，2021/5/1回價，2021/3/1降價，2019/9/6新機上架</v>
      </c>
      <c r="N694" s="12" t="str">
        <f ca="1">IFERROR(__xludf.DUMMYFUNCTION("""COMPUTED_VALUE"""),"直立定頻")</f>
        <v>直立定頻</v>
      </c>
      <c r="O694" s="12" t="str">
        <f ca="1">IFERROR(__xludf.DUMMYFUNCTION("""COMPUTED_VALUE"""),"珍珠白")</f>
        <v>珍珠白</v>
      </c>
      <c r="P694" s="12" t="str">
        <f ca="1">IFERROR(__xludf.DUMMYFUNCTION("""COMPUTED_VALUE"""),"10KG")</f>
        <v>10KG</v>
      </c>
      <c r="Q694" s="12" t="str">
        <f ca="1">IFERROR(__xludf.DUMMYFUNCTION("""COMPUTED_VALUE"""),"965*550*565mm")</f>
        <v>965*550*565mm</v>
      </c>
      <c r="R694" s="12" t="str">
        <f ca="1">IFERROR(__xludf.DUMMYFUNCTION("""COMPUTED_VALUE"""),"中國")</f>
        <v>中國</v>
      </c>
      <c r="S694" s="12" t="str">
        <f ca="1">IFERROR(__xludf.DUMMYFUNCTION("""COMPUTED_VALUE"""),"省水標章(金級)")</f>
        <v>省水標章(金級)</v>
      </c>
      <c r="T694" s="12"/>
      <c r="U694" s="12" t="str">
        <f ca="1">IFERROR(__xludf.DUMMYFUNCTION("""COMPUTED_VALUE"""),"1年")</f>
        <v>1年</v>
      </c>
      <c r="V694" s="12" t="str">
        <f ca="1">IFERROR(__xludf.DUMMYFUNCTION("""COMPUTED_VALUE"""),"1年")</f>
        <v>1年</v>
      </c>
      <c r="W694" s="12"/>
      <c r="X694" s="12"/>
      <c r="Y694" s="12"/>
      <c r="Z694" s="14"/>
      <c r="AA694" s="15"/>
    </row>
    <row r="695" spans="1:27" ht="19.5" customHeight="1">
      <c r="A695" s="12" t="str">
        <f ca="1">IFERROR(__xludf.DUMMYFUNCTION("""COMPUTED_VALUE"""),"洗衣機")</f>
        <v>洗衣機</v>
      </c>
      <c r="B695" s="12" t="str">
        <f ca="1">IFERROR(__xludf.DUMMYFUNCTION("""COMPUTED_VALUE"""),"聲寶")</f>
        <v>聲寶</v>
      </c>
      <c r="C695" s="12" t="str">
        <f ca="1">IFERROR(__xludf.DUMMYFUNCTION("""COMPUTED_VALUE"""),"聲寶")</f>
        <v>聲寶</v>
      </c>
      <c r="D695" s="12" t="str">
        <f ca="1">IFERROR(__xludf.DUMMYFUNCTION("""COMPUTED_VALUE"""),"聲寶10KG窄身變頻直立式洗衣機(香檳金)ES-K10DF")</f>
        <v>聲寶10KG窄身變頻直立式洗衣機(香檳金)ES-K10DF</v>
      </c>
      <c r="E695" s="12" t="str">
        <f ca="1">IFERROR(__xludf.DUMMYFUNCTION("""COMPUTED_VALUE"""),"ES-K10DF")</f>
        <v>ES-K10DF</v>
      </c>
      <c r="F695" s="12">
        <f ca="1">IFERROR(__xludf.DUMMYFUNCTION("""COMPUTED_VALUE"""),51086188)</f>
        <v>51086188</v>
      </c>
      <c r="G695" s="12" t="str">
        <f ca="1">IFERROR(__xludf.DUMMYFUNCTION("""COMPUTED_VALUE"""),"IGEM044I")</f>
        <v>IGEM044I</v>
      </c>
      <c r="H695" s="12">
        <f ca="1">IFERROR(__xludf.DUMMYFUNCTION("""COMPUTED_VALUE"""),11900)</f>
        <v>11900</v>
      </c>
      <c r="I695" s="14">
        <f ca="1">IFERROR(__xludf.DUMMYFUNCTION("""COMPUTED_VALUE"""),8490)</f>
        <v>8490</v>
      </c>
      <c r="J695" s="12"/>
      <c r="K695" s="12"/>
      <c r="L695" s="12" t="str">
        <f ca="1">IFERROR(__xludf.DUMMYFUNCTION("""COMPUTED_VALUE"""),"上架中")</f>
        <v>上架中</v>
      </c>
      <c r="M695" s="12"/>
      <c r="N695" s="12" t="str">
        <f ca="1">IFERROR(__xludf.DUMMYFUNCTION("""COMPUTED_VALUE"""),"直立變頻")</f>
        <v>直立變頻</v>
      </c>
      <c r="O695" s="12" t="str">
        <f ca="1">IFERROR(__xludf.DUMMYFUNCTION("""COMPUTED_VALUE"""),"香檳金")</f>
        <v>香檳金</v>
      </c>
      <c r="P695" s="12" t="str">
        <f ca="1">IFERROR(__xludf.DUMMYFUNCTION("""COMPUTED_VALUE"""),"10kg")</f>
        <v>10kg</v>
      </c>
      <c r="Q695" s="12" t="str">
        <f ca="1">IFERROR(__xludf.DUMMYFUNCTION("""COMPUTED_VALUE"""),"940*540*563mm")</f>
        <v>940*540*563mm</v>
      </c>
      <c r="R695" s="12" t="str">
        <f ca="1">IFERROR(__xludf.DUMMYFUNCTION("""COMPUTED_VALUE"""),"中國")</f>
        <v>中國</v>
      </c>
      <c r="S695" s="12" t="str">
        <f ca="1">IFERROR(__xludf.DUMMYFUNCTION("""COMPUTED_VALUE"""),"V/省水標章(普級)")</f>
        <v>V/省水標章(普級)</v>
      </c>
      <c r="T695" s="12"/>
      <c r="U695" s="12" t="str">
        <f ca="1">IFERROR(__xludf.DUMMYFUNCTION("""COMPUTED_VALUE"""),"1年")</f>
        <v>1年</v>
      </c>
      <c r="V695" s="12" t="str">
        <f ca="1">IFERROR(__xludf.DUMMYFUNCTION("""COMPUTED_VALUE"""),"3年")</f>
        <v>3年</v>
      </c>
      <c r="W695" s="12"/>
      <c r="X695" s="12"/>
      <c r="Y695" s="12"/>
      <c r="Z695" s="14"/>
      <c r="AA695" s="15" t="str">
        <f ca="1">IFERROR(__xludf.DUMMYFUNCTION("""COMPUTED_VALUE"""),"*DD變頻，微電腦操控*六種洗衣行程(標準，柔洗，強洗，快洗，浸洗，自訂)*四段水位設定*槽洗淨行程*獨立脫水鍵*全平面玻璃緩降式上蓋*4-24小時預約*兒童安全鎖")</f>
        <v>*DD變頻，微電腦操控*六種洗衣行程(標準，柔洗，強洗，快洗，浸洗，自訂)*四段水位設定*槽洗淨行程*獨立脫水鍵*全平面玻璃緩降式上蓋*4-24小時預約*兒童安全鎖</v>
      </c>
    </row>
    <row r="696" spans="1:27" ht="19.5" customHeight="1">
      <c r="A696" s="12" t="str">
        <f ca="1">IFERROR(__xludf.DUMMYFUNCTION("""COMPUTED_VALUE"""),"洗衣機")</f>
        <v>洗衣機</v>
      </c>
      <c r="B696" s="12" t="str">
        <f ca="1">IFERROR(__xludf.DUMMYFUNCTION("""COMPUTED_VALUE"""),"聲寶")</f>
        <v>聲寶</v>
      </c>
      <c r="C696" s="12" t="str">
        <f ca="1">IFERROR(__xludf.DUMMYFUNCTION("""COMPUTED_VALUE"""),"聲寶")</f>
        <v>聲寶</v>
      </c>
      <c r="D696" s="12" t="str">
        <f ca="1">IFERROR(__xludf.DUMMYFUNCTION("""COMPUTED_VALUE"""),"聲寶7.5公斤定頻洗衣機ES-B08F")</f>
        <v>聲寶7.5公斤定頻洗衣機ES-B08F</v>
      </c>
      <c r="E696" s="12" t="str">
        <f ca="1">IFERROR(__xludf.DUMMYFUNCTION("""COMPUTED_VALUE"""),"ES-B08F")</f>
        <v>ES-B08F</v>
      </c>
      <c r="F696" s="12">
        <f ca="1">IFERROR(__xludf.DUMMYFUNCTION("""COMPUTED_VALUE"""),51086201)</f>
        <v>51086201</v>
      </c>
      <c r="G696" s="12" t="str">
        <f ca="1">IFERROR(__xludf.DUMMYFUNCTION("""COMPUTED_VALUE"""),"IGEM0526")</f>
        <v>IGEM0526</v>
      </c>
      <c r="H696" s="12">
        <f ca="1">IFERROR(__xludf.DUMMYFUNCTION("""COMPUTED_VALUE"""),7400)</f>
        <v>7400</v>
      </c>
      <c r="I696" s="14">
        <f ca="1">IFERROR(__xludf.DUMMYFUNCTION("""COMPUTED_VALUE"""),6990)</f>
        <v>6990</v>
      </c>
      <c r="J696" s="16">
        <f ca="1">IFERROR(__xludf.DUMMYFUNCTION("""COMPUTED_VALUE"""),44927)</f>
        <v>44927</v>
      </c>
      <c r="K696" s="12" t="str">
        <f ca="1">IFERROR(__xludf.DUMMYFUNCTION("""COMPUTED_VALUE"""),"短促")</f>
        <v>短促</v>
      </c>
      <c r="L696" s="12" t="str">
        <f ca="1">IFERROR(__xludf.DUMMYFUNCTION("""COMPUTED_VALUE"""),"上架中")</f>
        <v>上架中</v>
      </c>
      <c r="M696" s="12" t="str">
        <f ca="1">IFERROR(__xludf.DUMMYFUNCTION("""COMPUTED_VALUE"""),"2023/1/1短促，2022/11/19新機上架")</f>
        <v>2023/1/1短促，2022/11/19新機上架</v>
      </c>
      <c r="N696" s="12" t="str">
        <f ca="1">IFERROR(__xludf.DUMMYFUNCTION("""COMPUTED_VALUE"""),"直立定頻")</f>
        <v>直立定頻</v>
      </c>
      <c r="O696" s="12" t="str">
        <f ca="1">IFERROR(__xludf.DUMMYFUNCTION("""COMPUTED_VALUE"""),"白")</f>
        <v>白</v>
      </c>
      <c r="P696" s="12" t="str">
        <f ca="1">IFERROR(__xludf.DUMMYFUNCTION("""COMPUTED_VALUE"""),"7.5KG")</f>
        <v>7.5KG</v>
      </c>
      <c r="Q696" s="12" t="str">
        <f ca="1">IFERROR(__xludf.DUMMYFUNCTION("""COMPUTED_VALUE"""),"930*515*525mm")</f>
        <v>930*515*525mm</v>
      </c>
      <c r="R696" s="12" t="str">
        <f ca="1">IFERROR(__xludf.DUMMYFUNCTION("""COMPUTED_VALUE"""),"中國")</f>
        <v>中國</v>
      </c>
      <c r="S696" s="12" t="str">
        <f ca="1">IFERROR(__xludf.DUMMYFUNCTION("""COMPUTED_VALUE"""),"V/省水標章(金級)")</f>
        <v>V/省水標章(金級)</v>
      </c>
      <c r="T696" s="12"/>
      <c r="U696" s="12" t="str">
        <f ca="1">IFERROR(__xludf.DUMMYFUNCTION("""COMPUTED_VALUE"""),"1年")</f>
        <v>1年</v>
      </c>
      <c r="V696" s="12" t="str">
        <f ca="1">IFERROR(__xludf.DUMMYFUNCTION("""COMPUTED_VALUE"""),"3年")</f>
        <v>3年</v>
      </c>
      <c r="W696" s="12"/>
      <c r="X696" s="12"/>
      <c r="Y696" s="12"/>
      <c r="Z696" s="14"/>
      <c r="AA696" s="15" t="str">
        <f ca="1">IFERROR(__xludf.DUMMYFUNCTION("""COMPUTED_VALUE"""),"*全平面緩降式上蓋*獨立槽洗淨行程*24小時預約洗衣*金級省水、節能標章")</f>
        <v>*全平面緩降式上蓋*獨立槽洗淨行程*24小時預約洗衣*金級省水、節能標章</v>
      </c>
    </row>
    <row r="697" spans="1:27" ht="19.5" customHeight="1">
      <c r="A697" s="12" t="str">
        <f ca="1">IFERROR(__xludf.DUMMYFUNCTION("""COMPUTED_VALUE"""),"洗衣機")</f>
        <v>洗衣機</v>
      </c>
      <c r="B697" s="12" t="str">
        <f ca="1">IFERROR(__xludf.DUMMYFUNCTION("""COMPUTED_VALUE"""),"聲寶")</f>
        <v>聲寶</v>
      </c>
      <c r="C697" s="12" t="str">
        <f ca="1">IFERROR(__xludf.DUMMYFUNCTION("""COMPUTED_VALUE"""),"聲寶")</f>
        <v>聲寶</v>
      </c>
      <c r="D697" s="12" t="str">
        <f ca="1">IFERROR(__xludf.DUMMYFUNCTION("""COMPUTED_VALUE"""),"聲寶12.5公斤洗衣機ES-B13F")</f>
        <v>聲寶12.5公斤洗衣機ES-B13F</v>
      </c>
      <c r="E697" s="12" t="str">
        <f ca="1">IFERROR(__xludf.DUMMYFUNCTION("""COMPUTED_VALUE"""),"ES-B13F")</f>
        <v>ES-B13F</v>
      </c>
      <c r="F697" s="12">
        <f ca="1">IFERROR(__xludf.DUMMYFUNCTION("""COMPUTED_VALUE"""),51086067)</f>
        <v>51086067</v>
      </c>
      <c r="G697" s="12" t="str">
        <f ca="1">IFERROR(__xludf.DUMMYFUNCTION("""COMPUTED_VALUE"""),"IGEM01K8")</f>
        <v>IGEM01K8</v>
      </c>
      <c r="H697" s="12">
        <f ca="1">IFERROR(__xludf.DUMMYFUNCTION("""COMPUTED_VALUE"""),11490)</f>
        <v>11490</v>
      </c>
      <c r="I697" s="14">
        <f ca="1">IFERROR(__xludf.DUMMYFUNCTION("""COMPUTED_VALUE"""),9190)</f>
        <v>9190</v>
      </c>
      <c r="J697" s="12"/>
      <c r="K697" s="12"/>
      <c r="L697" s="12" t="str">
        <f ca="1">IFERROR(__xludf.DUMMYFUNCTION("""COMPUTED_VALUE"""),"上架中")</f>
        <v>上架中</v>
      </c>
      <c r="M697" s="12" t="str">
        <f ca="1">IFERROR(__xludf.DUMMYFUNCTION("""COMPUTED_VALUE"""),"2022/2降價，2022/1到貨，2021/11/17缺貨，8/1永久降價，5/1回價，2021/3/1降價，2019/12/27新機上架")</f>
        <v>2022/2降價，2022/1到貨，2021/11/17缺貨，8/1永久降價，5/1回價，2021/3/1降價，2019/12/27新機上架</v>
      </c>
      <c r="N697" s="12" t="str">
        <f ca="1">IFERROR(__xludf.DUMMYFUNCTION("""COMPUTED_VALUE"""),"直立定頻")</f>
        <v>直立定頻</v>
      </c>
      <c r="O697" s="12" t="str">
        <f ca="1">IFERROR(__xludf.DUMMYFUNCTION("""COMPUTED_VALUE"""),"珍珠白")</f>
        <v>珍珠白</v>
      </c>
      <c r="P697" s="12" t="str">
        <f ca="1">IFERROR(__xludf.DUMMYFUNCTION("""COMPUTED_VALUE"""),"12.5KG")</f>
        <v>12.5KG</v>
      </c>
      <c r="Q697" s="12" t="str">
        <f ca="1">IFERROR(__xludf.DUMMYFUNCTION("""COMPUTED_VALUE"""),"990*601*611mm")</f>
        <v>990*601*611mm</v>
      </c>
      <c r="R697" s="12" t="str">
        <f ca="1">IFERROR(__xludf.DUMMYFUNCTION("""COMPUTED_VALUE"""),"中國")</f>
        <v>中國</v>
      </c>
      <c r="S697" s="12" t="str">
        <f ca="1">IFERROR(__xludf.DUMMYFUNCTION("""COMPUTED_VALUE"""),"V/省水標章(普級)")</f>
        <v>V/省水標章(普級)</v>
      </c>
      <c r="T697" s="12"/>
      <c r="U697" s="12" t="str">
        <f ca="1">IFERROR(__xludf.DUMMYFUNCTION("""COMPUTED_VALUE"""),"1年")</f>
        <v>1年</v>
      </c>
      <c r="V697" s="12" t="str">
        <f ca="1">IFERROR(__xludf.DUMMYFUNCTION("""COMPUTED_VALUE"""),"3年")</f>
        <v>3年</v>
      </c>
      <c r="W697" s="12"/>
      <c r="X697" s="12"/>
      <c r="Y697" s="12"/>
      <c r="Z697" s="14"/>
      <c r="AA697" s="15" t="str">
        <f ca="1">IFERROR(__xludf.DUMMYFUNCTION("""COMPUTED_VALUE"""),"*IMD操作面板槽洗淨*兒童安全鎖*防夾手緩降式上蓋*不銹鋼抗菌內槽*獨立槽洗淨行程*2~24小時預約洗衣")</f>
        <v>*IMD操作面板槽洗淨*兒童安全鎖*防夾手緩降式上蓋*不銹鋼抗菌內槽*獨立槽洗淨行程*2~24小時預約洗衣</v>
      </c>
    </row>
    <row r="698" spans="1:27" ht="19.5" customHeight="1">
      <c r="A698" s="12" t="str">
        <f ca="1">IFERROR(__xludf.DUMMYFUNCTION("""COMPUTED_VALUE"""),"洗衣機")</f>
        <v>洗衣機</v>
      </c>
      <c r="B698" s="12" t="str">
        <f ca="1">IFERROR(__xludf.DUMMYFUNCTION("""COMPUTED_VALUE"""),"聲寶")</f>
        <v>聲寶</v>
      </c>
      <c r="C698" s="12" t="str">
        <f ca="1">IFERROR(__xludf.DUMMYFUNCTION("""COMPUTED_VALUE"""),"聲寶")</f>
        <v>聲寶</v>
      </c>
      <c r="D698" s="12" t="str">
        <f ca="1">IFERROR(__xludf.DUMMYFUNCTION("""COMPUTED_VALUE"""),"聲寶13公斤變頻洗衣機ES-L13DV(G5)")</f>
        <v>聲寶13公斤變頻洗衣機ES-L13DV(G5)</v>
      </c>
      <c r="E698" s="12" t="str">
        <f ca="1">IFERROR(__xludf.DUMMYFUNCTION("""COMPUTED_VALUE"""),"ES-L13DV(G5)")</f>
        <v>ES-L13DV(G5)</v>
      </c>
      <c r="F698" s="12">
        <f ca="1">IFERROR(__xludf.DUMMYFUNCTION("""COMPUTED_VALUE"""),51086133)</f>
        <v>51086133</v>
      </c>
      <c r="G698" s="12" t="str">
        <f ca="1">IFERROR(__xludf.DUMMYFUNCTION("""COMPUTED_VALUE"""),"IGEM0228")</f>
        <v>IGEM0228</v>
      </c>
      <c r="H698" s="12">
        <f ca="1">IFERROR(__xludf.DUMMYFUNCTION("""COMPUTED_VALUE"""),16900)</f>
        <v>16900</v>
      </c>
      <c r="I698" s="14">
        <f ca="1">IFERROR(__xludf.DUMMYFUNCTION("""COMPUTED_VALUE"""),14900)</f>
        <v>14900</v>
      </c>
      <c r="J698" s="12"/>
      <c r="K698" s="12"/>
      <c r="L698" s="12" t="str">
        <f ca="1">IFERROR(__xludf.DUMMYFUNCTION("""COMPUTED_VALUE"""),"上架中")</f>
        <v>上架中</v>
      </c>
      <c r="M698" s="12" t="str">
        <f ca="1">IFERROR(__xludf.DUMMYFUNCTION("""COMPUTED_VALUE"""),"2021/12/1短促，10/1回價，8/1短促，7/1回價，2021/3/1降價，2020/10/1新機上架")</f>
        <v>2021/12/1短促，10/1回價，8/1短促，7/1回價，2021/3/1降價，2020/10/1新機上架</v>
      </c>
      <c r="N698" s="12" t="str">
        <f ca="1">IFERROR(__xludf.DUMMYFUNCTION("""COMPUTED_VALUE"""),"直立變頻")</f>
        <v>直立變頻</v>
      </c>
      <c r="O698" s="12" t="str">
        <f ca="1">IFERROR(__xludf.DUMMYFUNCTION("""COMPUTED_VALUE"""),"典雅灰")</f>
        <v>典雅灰</v>
      </c>
      <c r="P698" s="12" t="str">
        <f ca="1">IFERROR(__xludf.DUMMYFUNCTION("""COMPUTED_VALUE"""),"13KG")</f>
        <v>13KG</v>
      </c>
      <c r="Q698" s="12" t="str">
        <f ca="1">IFERROR(__xludf.DUMMYFUNCTION("""COMPUTED_VALUE"""),"1015*606*620mm")</f>
        <v>1015*606*620mm</v>
      </c>
      <c r="R698" s="12" t="str">
        <f ca="1">IFERROR(__xludf.DUMMYFUNCTION("""COMPUTED_VALUE"""),"台灣")</f>
        <v>台灣</v>
      </c>
      <c r="S698" s="12" t="str">
        <f ca="1">IFERROR(__xludf.DUMMYFUNCTION("""COMPUTED_VALUE"""),"V/省水標章(金級)，環保標章")</f>
        <v>V/省水標章(金級)，環保標章</v>
      </c>
      <c r="T698" s="12"/>
      <c r="U698" s="12" t="str">
        <f ca="1">IFERROR(__xludf.DUMMYFUNCTION("""COMPUTED_VALUE"""),"1年")</f>
        <v>1年</v>
      </c>
      <c r="V698" s="12" t="str">
        <f ca="1">IFERROR(__xludf.DUMMYFUNCTION("""COMPUTED_VALUE"""),"3年")</f>
        <v>3年</v>
      </c>
      <c r="W698" s="12"/>
      <c r="X698" s="12"/>
      <c r="Y698" s="12"/>
      <c r="Z698" s="14"/>
      <c r="AA698" s="15" t="str">
        <f ca="1">IFERROR(__xludf.DUMMYFUNCTION("""COMPUTED_VALUE"""),"*全平面玻璃緩降上蓋*6段水位設定*超震波洗淨*槽洗淨*抗菌不鏽鋼內槽*兒童安全鎖*冷風乾燥*金級省水標章、節能標章")</f>
        <v>*全平面玻璃緩降上蓋*6段水位設定*超震波洗淨*槽洗淨*抗菌不鏽鋼內槽*兒童安全鎖*冷風乾燥*金級省水標章、節能標章</v>
      </c>
    </row>
    <row r="699" spans="1:27" ht="19.5" customHeight="1">
      <c r="A699" s="12" t="str">
        <f ca="1">IFERROR(__xludf.DUMMYFUNCTION("""COMPUTED_VALUE"""),"洗衣機")</f>
        <v>洗衣機</v>
      </c>
      <c r="B699" s="12" t="str">
        <f ca="1">IFERROR(__xludf.DUMMYFUNCTION("""COMPUTED_VALUE"""),"聲寶")</f>
        <v>聲寶</v>
      </c>
      <c r="C699" s="12" t="str">
        <f ca="1">IFERROR(__xludf.DUMMYFUNCTION("""COMPUTED_VALUE"""),"聲寶")</f>
        <v>聲寶</v>
      </c>
      <c r="D699" s="12" t="str">
        <f ca="1">IFERROR(__xludf.DUMMYFUNCTION("""COMPUTED_VALUE"""),"聲寶19公斤變頻洗衣機(玫瑰金)ES-L19DP(R1)")</f>
        <v>聲寶19公斤變頻洗衣機(玫瑰金)ES-L19DP(R1)</v>
      </c>
      <c r="E699" s="12" t="str">
        <f ca="1">IFERROR(__xludf.DUMMYFUNCTION("""COMPUTED_VALUE"""),"ES-L19DP(R1)")</f>
        <v>ES-L19DP(R1)</v>
      </c>
      <c r="F699" s="12">
        <f ca="1">IFERROR(__xludf.DUMMYFUNCTION("""COMPUTED_VALUE"""),51086146)</f>
        <v>51086146</v>
      </c>
      <c r="G699" s="12" t="str">
        <f ca="1">IFERROR(__xludf.DUMMYFUNCTION("""COMPUTED_VALUE"""),"IGEM029S")</f>
        <v>IGEM029S</v>
      </c>
      <c r="H699" s="12">
        <f ca="1">IFERROR(__xludf.DUMMYFUNCTION("""COMPUTED_VALUE"""),24000)</f>
        <v>24000</v>
      </c>
      <c r="I699" s="14">
        <f ca="1">IFERROR(__xludf.DUMMYFUNCTION("""COMPUTED_VALUE"""),20900)</f>
        <v>20900</v>
      </c>
      <c r="J699" s="16">
        <f ca="1">IFERROR(__xludf.DUMMYFUNCTION("""COMPUTED_VALUE"""),45108)</f>
        <v>45108</v>
      </c>
      <c r="K699" s="12" t="str">
        <f ca="1">IFERROR(__xludf.DUMMYFUNCTION("""COMPUTED_VALUE"""),"回價")</f>
        <v>回價</v>
      </c>
      <c r="L699" s="12" t="str">
        <f ca="1">IFERROR(__xludf.DUMMYFUNCTION("""COMPUTED_VALUE"""),"上架中")</f>
        <v>上架中</v>
      </c>
      <c r="M699" s="12" t="str">
        <f ca="1">IFERROR(__xludf.DUMMYFUNCTION("""COMPUTED_VALUE"""),"2022/8/1短促，2021/10/1短促，2021/6/1回價，2021/5/1新機上架+短促")</f>
        <v>2022/8/1短促，2021/10/1短促，2021/6/1回價，2021/5/1新機上架+短促</v>
      </c>
      <c r="N699" s="12" t="str">
        <f ca="1">IFERROR(__xludf.DUMMYFUNCTION("""COMPUTED_VALUE"""),"直立變頻")</f>
        <v>直立變頻</v>
      </c>
      <c r="O699" s="12" t="str">
        <f ca="1">IFERROR(__xludf.DUMMYFUNCTION("""COMPUTED_VALUE"""),"玫瑰金")</f>
        <v>玫瑰金</v>
      </c>
      <c r="P699" s="12" t="str">
        <f ca="1">IFERROR(__xludf.DUMMYFUNCTION("""COMPUTED_VALUE"""),"19KG")</f>
        <v>19KG</v>
      </c>
      <c r="Q699" s="12" t="str">
        <f ca="1">IFERROR(__xludf.DUMMYFUNCTION("""COMPUTED_VALUE"""),"IOT Nanoe X")</f>
        <v>IOT Nanoe X</v>
      </c>
      <c r="R699" s="12" t="str">
        <f ca="1">IFERROR(__xludf.DUMMYFUNCTION("""COMPUTED_VALUE"""),"台灣")</f>
        <v>台灣</v>
      </c>
      <c r="S699" s="12" t="str">
        <f ca="1">IFERROR(__xludf.DUMMYFUNCTION("""COMPUTED_VALUE"""),"V/省水標章(金級)，環保標章")</f>
        <v>V/省水標章(金級)，環保標章</v>
      </c>
      <c r="T699" s="12"/>
      <c r="U699" s="12" t="str">
        <f ca="1">IFERROR(__xludf.DUMMYFUNCTION("""COMPUTED_VALUE"""),"1年")</f>
        <v>1年</v>
      </c>
      <c r="V699" s="12" t="str">
        <f ca="1">IFERROR(__xludf.DUMMYFUNCTION("""COMPUTED_VALUE"""),"3年")</f>
        <v>3年</v>
      </c>
      <c r="W699" s="12" t="str">
        <f ca="1">IFERROR(__xludf.DUMMYFUNCTION("""COMPUTED_VALUE"""),"(11/7-114/2/21 )隨貨送德國OSTMARS 22吋胖胖箱(W4NC3)")</f>
        <v>(11/7-114/2/21 )隨貨送德國OSTMARS 22吋胖胖箱(W4NC3)</v>
      </c>
      <c r="X699" s="12"/>
      <c r="Y699" s="12"/>
      <c r="Z699" s="14"/>
      <c r="AA699" s="15" t="str">
        <f ca="1">IFERROR(__xludf.DUMMYFUNCTION("""COMPUTED_VALUE"""),"*PICOPURE皮米水離子除菌*AIE智慧洗衣/7種洗衣行程設定*超震波洗淨/SPA噴淋洗淨功能*專利快速_防霉_保養槽洗淨*全平面玻璃緩降上蓋/IMD覆膜操作面板*活動式絲絮過濾盒/不銹鋼晶鑽抗菌內槽*漩勁立體水流/冷風風乾設計*兒童安全鎖設計/便利照明燈")</f>
        <v>*PICOPURE皮米水離子除菌*AIE智慧洗衣/7種洗衣行程設定*超震波洗淨/SPA噴淋洗淨功能*專利快速_防霉_保養槽洗淨*全平面玻璃緩降上蓋/IMD覆膜操作面板*活動式絲絮過濾盒/不銹鋼晶鑽抗菌內槽*漩勁立體水流/冷風風乾設計*兒童安全鎖設計/便利照明燈</v>
      </c>
    </row>
    <row r="700" spans="1:27" ht="19.5" customHeight="1">
      <c r="A700" s="12" t="str">
        <f ca="1">IFERROR(__xludf.DUMMYFUNCTION("""COMPUTED_VALUE"""),"洗衣機")</f>
        <v>洗衣機</v>
      </c>
      <c r="B700" s="12" t="str">
        <f ca="1">IFERROR(__xludf.DUMMYFUNCTION("""COMPUTED_VALUE"""),"聲寶")</f>
        <v>聲寶</v>
      </c>
      <c r="C700" s="12" t="str">
        <f ca="1">IFERROR(__xludf.DUMMYFUNCTION("""COMPUTED_VALUE"""),"聲寶")</f>
        <v>聲寶</v>
      </c>
      <c r="D700" s="12" t="str">
        <f ca="1">IFERROR(__xludf.DUMMYFUNCTION("""COMPUTED_VALUE"""),"聲寶_10公斤窄身變頻洗衣機_WM-MD10")</f>
        <v>聲寶_10公斤窄身變頻洗衣機_WM-MD10</v>
      </c>
      <c r="E700" s="12" t="str">
        <f ca="1">IFERROR(__xludf.DUMMYFUNCTION("""COMPUTED_VALUE"""),"WM-MD10")</f>
        <v>WM-MD10</v>
      </c>
      <c r="F700" s="12">
        <f ca="1">IFERROR(__xludf.DUMMYFUNCTION("""COMPUTED_VALUE"""),51001268)</f>
        <v>51001268</v>
      </c>
      <c r="G700" s="12" t="str">
        <f ca="1">IFERROR(__xludf.DUMMYFUNCTION("""COMPUTED_VALUE"""),"IGEM0874")</f>
        <v>IGEM0874</v>
      </c>
      <c r="H700" s="13">
        <f ca="1">IFERROR(__xludf.DUMMYFUNCTION("""COMPUTED_VALUE"""),8990)</f>
        <v>8990</v>
      </c>
      <c r="I700" s="18">
        <f ca="1">IFERROR(__xludf.DUMMYFUNCTION("""COMPUTED_VALUE"""),8100)</f>
        <v>8100</v>
      </c>
      <c r="J700" s="16">
        <f ca="1">IFERROR(__xludf.DUMMYFUNCTION("""COMPUTED_VALUE"""),45140)</f>
        <v>45140</v>
      </c>
      <c r="K700" s="12" t="str">
        <f ca="1">IFERROR(__xludf.DUMMYFUNCTION("""COMPUTED_VALUE"""),"新機上架")</f>
        <v>新機上架</v>
      </c>
      <c r="L700" s="12" t="str">
        <f ca="1">IFERROR(__xludf.DUMMYFUNCTION("""COMPUTED_VALUE"""),"上架中")</f>
        <v>上架中</v>
      </c>
      <c r="M700" s="12" t="str">
        <f ca="1">IFERROR(__xludf.DUMMYFUNCTION("""COMPUTED_VALUE"""),"8/2上架")</f>
        <v>8/2上架</v>
      </c>
      <c r="N700" s="12" t="str">
        <f ca="1">IFERROR(__xludf.DUMMYFUNCTION("""COMPUTED_VALUE"""),"直立變頻")</f>
        <v>直立變頻</v>
      </c>
      <c r="O700" s="12" t="str">
        <f ca="1">IFERROR(__xludf.DUMMYFUNCTION("""COMPUTED_VALUE"""),"香檳金")</f>
        <v>香檳金</v>
      </c>
      <c r="P700" s="12" t="str">
        <f ca="1">IFERROR(__xludf.DUMMYFUNCTION("""COMPUTED_VALUE"""),"10KG")</f>
        <v>10KG</v>
      </c>
      <c r="Q700" s="12" t="str">
        <f ca="1">IFERROR(__xludf.DUMMYFUNCTION("""COMPUTED_VALUE"""),"940 *540*563mm")</f>
        <v>940 *540*563mm</v>
      </c>
      <c r="R700" s="12" t="str">
        <f ca="1">IFERROR(__xludf.DUMMYFUNCTION("""COMPUTED_VALUE"""),"大陸")</f>
        <v>大陸</v>
      </c>
      <c r="S700" s="12" t="str">
        <f ca="1">IFERROR(__xludf.DUMMYFUNCTION("""COMPUTED_VALUE"""),"V/省水標章(金級)")</f>
        <v>V/省水標章(金級)</v>
      </c>
      <c r="T700" s="12"/>
      <c r="U700" s="12" t="str">
        <f ca="1">IFERROR(__xludf.DUMMYFUNCTION("""COMPUTED_VALUE"""),"1年")</f>
        <v>1年</v>
      </c>
      <c r="V700" s="12" t="str">
        <f ca="1">IFERROR(__xludf.DUMMYFUNCTION("""COMPUTED_VALUE"""),"3年")</f>
        <v>3年</v>
      </c>
      <c r="W700" s="12"/>
      <c r="X700" s="12"/>
      <c r="Y700" s="12"/>
      <c r="Z700" s="14"/>
      <c r="AA700" s="15" t="str">
        <f ca="1">IFERROR(__xludf.DUMMYFUNCTION("""COMPUTED_VALUE"""),"*抗菌防霉不鏽鋼內槽*寬度540mm窄身設計*槽洗淨行程*4-24小時預約洗衣*兒童安全鎖
")</f>
        <v xml:space="preserve">*抗菌防霉不鏽鋼內槽*寬度540mm窄身設計*槽洗淨行程*4-24小時預約洗衣*兒童安全鎖
</v>
      </c>
    </row>
    <row r="701" spans="1:27" ht="19.5" customHeight="1">
      <c r="A701" s="12" t="str">
        <f ca="1">IFERROR(__xludf.DUMMYFUNCTION("""COMPUTED_VALUE"""),"洗衣機")</f>
        <v>洗衣機</v>
      </c>
      <c r="B701" s="12" t="str">
        <f ca="1">IFERROR(__xludf.DUMMYFUNCTION("""COMPUTED_VALUE"""),"聲寶")</f>
        <v>聲寶</v>
      </c>
      <c r="C701" s="12" t="str">
        <f ca="1">IFERROR(__xludf.DUMMYFUNCTION("""COMPUTED_VALUE"""),"聲寶")</f>
        <v>聲寶</v>
      </c>
      <c r="D701" s="12" t="str">
        <f ca="1">IFERROR(__xludf.DUMMYFUNCTION("""COMPUTED_VALUE"""),"聲寶_19KG洗劑智慧投入變頻洗衣機_ES-P19DA(R2)")</f>
        <v>聲寶_19KG洗劑智慧投入變頻洗衣機_ES-P19DA(R2)</v>
      </c>
      <c r="E701" s="12" t="str">
        <f ca="1">IFERROR(__xludf.DUMMYFUNCTION("""COMPUTED_VALUE"""),"ES-P19DA(R2)")</f>
        <v>ES-P19DA(R2)</v>
      </c>
      <c r="F701" s="12">
        <f ca="1">IFERROR(__xludf.DUMMYFUNCTION("""COMPUTED_VALUE"""),51086304)</f>
        <v>51086304</v>
      </c>
      <c r="G701" s="12" t="str">
        <f ca="1">IFERROR(__xludf.DUMMYFUNCTION("""COMPUTED_VALUE"""),"IGEM095M")</f>
        <v>IGEM095M</v>
      </c>
      <c r="H701" s="13">
        <f ca="1">IFERROR(__xludf.DUMMYFUNCTION("""COMPUTED_VALUE"""),26900)</f>
        <v>26900</v>
      </c>
      <c r="I701" s="14">
        <f ca="1">IFERROR(__xludf.DUMMYFUNCTION("""COMPUTED_VALUE"""),22410)</f>
        <v>22410</v>
      </c>
      <c r="J701" s="16">
        <f ca="1">IFERROR(__xludf.DUMMYFUNCTION("""COMPUTED_VALUE"""),45413)</f>
        <v>45413</v>
      </c>
      <c r="K701" s="12" t="str">
        <f ca="1">IFERROR(__xludf.DUMMYFUNCTION("""COMPUTED_VALUE"""),"短促")</f>
        <v>短促</v>
      </c>
      <c r="L701" s="12" t="str">
        <f ca="1">IFERROR(__xludf.DUMMYFUNCTION("""COMPUTED_VALUE"""),"上架中")</f>
        <v>上架中</v>
      </c>
      <c r="M701" s="12" t="str">
        <f ca="1">IFERROR(__xludf.DUMMYFUNCTION("""COMPUTED_VALUE"""),"2024/1/1新機上架")</f>
        <v>2024/1/1新機上架</v>
      </c>
      <c r="N701" s="12" t="str">
        <f ca="1">IFERROR(__xludf.DUMMYFUNCTION("""COMPUTED_VALUE"""),"直立變頻")</f>
        <v>直立變頻</v>
      </c>
      <c r="O701" s="12" t="str">
        <f ca="1">IFERROR(__xludf.DUMMYFUNCTION("""COMPUTED_VALUE"""),"玫瑰金")</f>
        <v>玫瑰金</v>
      </c>
      <c r="P701" s="12" t="str">
        <f ca="1">IFERROR(__xludf.DUMMYFUNCTION("""COMPUTED_VALUE"""),"19KG")</f>
        <v>19KG</v>
      </c>
      <c r="Q701" s="12" t="str">
        <f ca="1">IFERROR(__xludf.DUMMYFUNCTION("""COMPUTED_VALUE"""),"1120*640*720mm")</f>
        <v>1120*640*720mm</v>
      </c>
      <c r="R701" s="12" t="str">
        <f ca="1">IFERROR(__xludf.DUMMYFUNCTION("""COMPUTED_VALUE"""),"台灣")</f>
        <v>台灣</v>
      </c>
      <c r="S701" s="12" t="str">
        <f ca="1">IFERROR(__xludf.DUMMYFUNCTION("""COMPUTED_VALUE"""),"V/省水標章(金級)")</f>
        <v>V/省水標章(金級)</v>
      </c>
      <c r="T701" s="12"/>
      <c r="U701" s="12" t="str">
        <f ca="1">IFERROR(__xludf.DUMMYFUNCTION("""COMPUTED_VALUE"""),"1年")</f>
        <v>1年</v>
      </c>
      <c r="V701" s="12" t="str">
        <f ca="1">IFERROR(__xludf.DUMMYFUNCTION("""COMPUTED_VALUE"""),"3年")</f>
        <v>3年</v>
      </c>
      <c r="W701" s="12" t="str">
        <f ca="1">IFERROR(__xludf.DUMMYFUNCTION("""COMPUTED_VALUE"""),"(11/7-114/2/21 )隨貨送德國Carl 愛心系列 24cm雙耳湯鍋(W4ND1)")</f>
        <v>(11/7-114/2/21 )隨貨送德國Carl 愛心系列 24cm雙耳湯鍋(W4ND1)</v>
      </c>
      <c r="X701" s="12"/>
      <c r="Y701" s="12"/>
      <c r="Z701" s="14"/>
      <c r="AA701" s="15" t="str">
        <f ca="1">IFERROR(__xludf.DUMMYFUNCTION("""COMPUTED_VALUE"""),"*ADD SMART洗劑智慧投入(洗劑750ml/柔軟精500ml)*玻璃上蓋觸控式操作面板*超震波洗淨/SPA噴淋洗清*CareFresh抗菌迴轉盤*自動槽洗淨/三種槽洗淨方式*AIE智慧洗淨/漩勁軸心水流*晶鑽抗菌不鏽鋼內槽*雙隱藏式過濾盒*兒童安全鎖設計/便利照明燈*4-24小時預約洗衣/六段水位選擇")</f>
        <v>*ADD SMART洗劑智慧投入(洗劑750ml/柔軟精500ml)*玻璃上蓋觸控式操作面板*超震波洗淨/SPA噴淋洗清*CareFresh抗菌迴轉盤*自動槽洗淨/三種槽洗淨方式*AIE智慧洗淨/漩勁軸心水流*晶鑽抗菌不鏽鋼內槽*雙隱藏式過濾盒*兒童安全鎖設計/便利照明燈*4-24小時預約洗衣/六段水位選擇</v>
      </c>
    </row>
    <row r="702" spans="1:27" ht="19.5" customHeight="1">
      <c r="A702" s="12" t="str">
        <f ca="1">IFERROR(__xludf.DUMMYFUNCTION("""COMPUTED_VALUE"""),"洗衣機")</f>
        <v>洗衣機</v>
      </c>
      <c r="B702" s="12" t="str">
        <f ca="1">IFERROR(__xludf.DUMMYFUNCTION("""COMPUTED_VALUE"""),"聲寶")</f>
        <v>聲寶</v>
      </c>
      <c r="C702" s="12" t="str">
        <f ca="1">IFERROR(__xludf.DUMMYFUNCTION("""COMPUTED_VALUE"""),"聲寶")</f>
        <v>聲寶</v>
      </c>
      <c r="D702" s="12" t="str">
        <f ca="1">IFERROR(__xludf.DUMMYFUNCTION("""COMPUTED_VALUE"""),"聲寶_19KG洗劑智慧投入變頻洗衣機_ES-P19DAS(S1)")</f>
        <v>聲寶_19KG洗劑智慧投入變頻洗衣機_ES-P19DAS(S1)</v>
      </c>
      <c r="E702" s="12" t="str">
        <f ca="1">IFERROR(__xludf.DUMMYFUNCTION("""COMPUTED_VALUE"""),"ES-P19DAS(S1)")</f>
        <v>ES-P19DAS(S1)</v>
      </c>
      <c r="F702" s="12">
        <f ca="1">IFERROR(__xludf.DUMMYFUNCTION("""COMPUTED_VALUE"""),51086305)</f>
        <v>51086305</v>
      </c>
      <c r="G702" s="12" t="str">
        <f ca="1">IFERROR(__xludf.DUMMYFUNCTION("""COMPUTED_VALUE"""),"IGEM095N")</f>
        <v>IGEM095N</v>
      </c>
      <c r="H702" s="13">
        <f ca="1">IFERROR(__xludf.DUMMYFUNCTION("""COMPUTED_VALUE"""),27900)</f>
        <v>27900</v>
      </c>
      <c r="I702" s="14">
        <f ca="1">IFERROR(__xludf.DUMMYFUNCTION("""COMPUTED_VALUE"""),23310)</f>
        <v>23310</v>
      </c>
      <c r="J702" s="16">
        <f ca="1">IFERROR(__xludf.DUMMYFUNCTION("""COMPUTED_VALUE"""),45444)</f>
        <v>45444</v>
      </c>
      <c r="K702" s="12" t="str">
        <f ca="1">IFERROR(__xludf.DUMMYFUNCTION("""COMPUTED_VALUE"""),"短促")</f>
        <v>短促</v>
      </c>
      <c r="L702" s="12" t="str">
        <f ca="1">IFERROR(__xludf.DUMMYFUNCTION("""COMPUTED_VALUE"""),"上架中")</f>
        <v>上架中</v>
      </c>
      <c r="M702" s="12" t="str">
        <f ca="1">IFERROR(__xludf.DUMMYFUNCTION("""COMPUTED_VALUE"""),"2024/1/1新機上架")</f>
        <v>2024/1/1新機上架</v>
      </c>
      <c r="N702" s="12" t="str">
        <f ca="1">IFERROR(__xludf.DUMMYFUNCTION("""COMPUTED_VALUE"""),"直立變頻")</f>
        <v>直立變頻</v>
      </c>
      <c r="O702" s="12" t="str">
        <f ca="1">IFERROR(__xludf.DUMMYFUNCTION("""COMPUTED_VALUE"""),"不鏽鋼")</f>
        <v>不鏽鋼</v>
      </c>
      <c r="P702" s="12" t="str">
        <f ca="1">IFERROR(__xludf.DUMMYFUNCTION("""COMPUTED_VALUE"""),"19KG")</f>
        <v>19KG</v>
      </c>
      <c r="Q702" s="12" t="str">
        <f ca="1">IFERROR(__xludf.DUMMYFUNCTION("""COMPUTED_VALUE"""),"1120*640*720mm")</f>
        <v>1120*640*720mm</v>
      </c>
      <c r="R702" s="12" t="str">
        <f ca="1">IFERROR(__xludf.DUMMYFUNCTION("""COMPUTED_VALUE"""),"台灣")</f>
        <v>台灣</v>
      </c>
      <c r="S702" s="12" t="str">
        <f ca="1">IFERROR(__xludf.DUMMYFUNCTION("""COMPUTED_VALUE"""),"V/省水標章(金級)")</f>
        <v>V/省水標章(金級)</v>
      </c>
      <c r="T702" s="12"/>
      <c r="U702" s="12" t="str">
        <f ca="1">IFERROR(__xludf.DUMMYFUNCTION("""COMPUTED_VALUE"""),"1年")</f>
        <v>1年</v>
      </c>
      <c r="V702" s="12" t="str">
        <f ca="1">IFERROR(__xludf.DUMMYFUNCTION("""COMPUTED_VALUE"""),"3年")</f>
        <v>3年</v>
      </c>
      <c r="W702" s="12" t="str">
        <f ca="1">IFERROR(__xludf.DUMMYFUNCTION("""COMPUTED_VALUE"""),"(11/7-114/2/21 )隨貨送德國Carl 愛心系列 24cm雙耳湯鍋(W4ND1)")</f>
        <v>(11/7-114/2/21 )隨貨送德國Carl 愛心系列 24cm雙耳湯鍋(W4ND1)</v>
      </c>
      <c r="X702" s="12"/>
      <c r="Y702" s="12"/>
      <c r="Z702" s="14"/>
      <c r="AA702" s="15" t="str">
        <f ca="1">IFERROR(__xludf.DUMMYFUNCTION("""COMPUTED_VALUE"""),"*ADD SMART洗劑智慧投入(洗劑750ml/柔軟精500ml)*玻璃上蓋觸控式操作面板*超震波洗淨/SPA噴淋洗清*CareFresh抗菌迴轉盤*自動槽洗淨/三種槽洗淨方式*AIE智慧洗淨/漩勁軸心水流*晶鑽抗菌不鏽鋼內槽*雙隱藏式過濾盒*兒童安全鎖設計/便利照明燈*4-24小時預約洗衣/六段水位選擇")</f>
        <v>*ADD SMART洗劑智慧投入(洗劑750ml/柔軟精500ml)*玻璃上蓋觸控式操作面板*超震波洗淨/SPA噴淋洗清*CareFresh抗菌迴轉盤*自動槽洗淨/三種槽洗淨方式*AIE智慧洗淨/漩勁軸心水流*晶鑽抗菌不鏽鋼內槽*雙隱藏式過濾盒*兒童安全鎖設計/便利照明燈*4-24小時預約洗衣/六段水位選擇</v>
      </c>
    </row>
    <row r="703" spans="1:27" ht="19.5" customHeight="1">
      <c r="A703" s="12" t="str">
        <f ca="1">IFERROR(__xludf.DUMMYFUNCTION("""COMPUTED_VALUE"""),"洗衣機")</f>
        <v>洗衣機</v>
      </c>
      <c r="B703" s="12" t="str">
        <f ca="1">IFERROR(__xludf.DUMMYFUNCTION("""COMPUTED_VALUE"""),"聲寶")</f>
        <v>聲寶</v>
      </c>
      <c r="C703" s="12" t="str">
        <f ca="1">IFERROR(__xludf.DUMMYFUNCTION("""COMPUTED_VALUE"""),"聲寶")</f>
        <v>聲寶</v>
      </c>
      <c r="D703" s="12" t="str">
        <f ca="1">IFERROR(__xludf.DUMMYFUNCTION("""COMPUTED_VALUE"""),"聲寶_PICO PURE 19KG變頻洗衣機_ES-P19DPS(S1)")</f>
        <v>聲寶_PICO PURE 19KG變頻洗衣機_ES-P19DPS(S1)</v>
      </c>
      <c r="E703" s="12" t="str">
        <f ca="1">IFERROR(__xludf.DUMMYFUNCTION("""COMPUTED_VALUE"""),"ES-P19DPS(S1)")</f>
        <v>ES-P19DPS(S1)</v>
      </c>
      <c r="F703" s="12">
        <f ca="1">IFERROR(__xludf.DUMMYFUNCTION("""COMPUTED_VALUE"""),51001283)</f>
        <v>51001283</v>
      </c>
      <c r="G703" s="12" t="str">
        <f ca="1">IFERROR(__xludf.DUMMYFUNCTION("""COMPUTED_VALUE"""),"IGEM0974")</f>
        <v>IGEM0974</v>
      </c>
      <c r="H703" s="13">
        <f ca="1">IFERROR(__xludf.DUMMYFUNCTION("""COMPUTED_VALUE"""),25900)</f>
        <v>25900</v>
      </c>
      <c r="I703" s="14">
        <f ca="1">IFERROR(__xludf.DUMMYFUNCTION("""COMPUTED_VALUE"""),21510)</f>
        <v>21510</v>
      </c>
      <c r="J703" s="16">
        <f ca="1">IFERROR(__xludf.DUMMYFUNCTION("""COMPUTED_VALUE"""),45444)</f>
        <v>45444</v>
      </c>
      <c r="K703" s="12" t="str">
        <f ca="1">IFERROR(__xludf.DUMMYFUNCTION("""COMPUTED_VALUE"""),"短促")</f>
        <v>短促</v>
      </c>
      <c r="L703" s="12" t="str">
        <f ca="1">IFERROR(__xludf.DUMMYFUNCTION("""COMPUTED_VALUE"""),"上架中")</f>
        <v>上架中</v>
      </c>
      <c r="M703" s="12" t="str">
        <f ca="1">IFERROR(__xludf.DUMMYFUNCTION("""COMPUTED_VALUE"""),"4/1新機上架")</f>
        <v>4/1新機上架</v>
      </c>
      <c r="N703" s="12" t="str">
        <f ca="1">IFERROR(__xludf.DUMMYFUNCTION("""COMPUTED_VALUE"""),"直立變頻")</f>
        <v>直立變頻</v>
      </c>
      <c r="O703" s="12" t="str">
        <f ca="1">IFERROR(__xludf.DUMMYFUNCTION("""COMPUTED_VALUE"""),"不鏽鋼")</f>
        <v>不鏽鋼</v>
      </c>
      <c r="P703" s="12" t="str">
        <f ca="1">IFERROR(__xludf.DUMMYFUNCTION("""COMPUTED_VALUE"""),"19KG")</f>
        <v>19KG</v>
      </c>
      <c r="Q703" s="12" t="str">
        <f ca="1">IFERROR(__xludf.DUMMYFUNCTION("""COMPUTED_VALUE"""),"
1111*640*720mm")</f>
        <v xml:space="preserve">
1111*640*720mm</v>
      </c>
      <c r="R703" s="12" t="str">
        <f ca="1">IFERROR(__xludf.DUMMYFUNCTION("""COMPUTED_VALUE"""),"台灣")</f>
        <v>台灣</v>
      </c>
      <c r="S703" s="12" t="str">
        <f ca="1">IFERROR(__xludf.DUMMYFUNCTION("""COMPUTED_VALUE"""),"V/省水標章(金級)")</f>
        <v>V/省水標章(金級)</v>
      </c>
      <c r="T703" s="12"/>
      <c r="U703" s="12" t="str">
        <f ca="1">IFERROR(__xludf.DUMMYFUNCTION("""COMPUTED_VALUE"""),"1年")</f>
        <v>1年</v>
      </c>
      <c r="V703" s="12" t="str">
        <f ca="1">IFERROR(__xludf.DUMMYFUNCTION("""COMPUTED_VALUE"""),"3年")</f>
        <v>3年</v>
      </c>
      <c r="W703" s="12" t="str">
        <f ca="1">IFERROR(__xludf.DUMMYFUNCTION("""COMPUTED_VALUE"""),"(11/7-114/2/21 )隨貨送德國Carl 愛心系列 24cm雙耳湯鍋(W4ND1)")</f>
        <v>(11/7-114/2/21 )隨貨送德國Carl 愛心系列 24cm雙耳湯鍋(W4ND1)</v>
      </c>
      <c r="X703" s="12"/>
      <c r="Y703" s="12"/>
      <c r="Z703" s="14"/>
      <c r="AA703" s="15" t="str">
        <f ca="1">IFERROR(__xludf.DUMMYFUNCTION("""COMPUTED_VALUE"""),"*PICO PURE+除菌、防霉、脫臭*玻璃上蓋觸控式操作面板*超震波洗淨/SPA噴淋洗清*自動槽洗淨/三種槽洗淨方式*AIE智慧洗淨*漩勁軸心水流*晶鑽抗菌不鏽鋼內槽*雙隱藏式棉絮過濾盒*兒童安全鎖設計*便利照明燈*4-24小時預約洗衣*六段水位選擇")</f>
        <v>*PICO PURE+除菌、防霉、脫臭*玻璃上蓋觸控式操作面板*超震波洗淨/SPA噴淋洗清*自動槽洗淨/三種槽洗淨方式*AIE智慧洗淨*漩勁軸心水流*晶鑽抗菌不鏽鋼內槽*雙隱藏式棉絮過濾盒*兒童安全鎖設計*便利照明燈*4-24小時預約洗衣*六段水位選擇</v>
      </c>
    </row>
    <row r="704" spans="1:27" ht="19.5" customHeight="1">
      <c r="A704" s="12" t="str">
        <f ca="1">IFERROR(__xludf.DUMMYFUNCTION("""COMPUTED_VALUE"""),"洗衣機")</f>
        <v>洗衣機</v>
      </c>
      <c r="B704" s="12" t="str">
        <f ca="1">IFERROR(__xludf.DUMMYFUNCTION("""COMPUTED_VALUE"""),"聲寶")</f>
        <v>聲寶</v>
      </c>
      <c r="C704" s="12" t="str">
        <f ca="1">IFERROR(__xludf.DUMMYFUNCTION("""COMPUTED_VALUE"""),"聲寶")</f>
        <v>聲寶</v>
      </c>
      <c r="D704" s="12" t="str">
        <f ca="1">IFERROR(__xludf.DUMMYFUNCTION("""COMPUTED_VALUE"""),"聲寶_PICO PURE 17KG變頻洗衣機_ES-P17DPS(S1)")</f>
        <v>聲寶_PICO PURE 17KG變頻洗衣機_ES-P17DPS(S1)</v>
      </c>
      <c r="E704" s="12" t="str">
        <f ca="1">IFERROR(__xludf.DUMMYFUNCTION("""COMPUTED_VALUE"""),"ES-P17DPS(S1)")</f>
        <v>ES-P17DPS(S1)</v>
      </c>
      <c r="F704" s="12">
        <f ca="1">IFERROR(__xludf.DUMMYFUNCTION("""COMPUTED_VALUE"""),51001284)</f>
        <v>51001284</v>
      </c>
      <c r="G704" s="12" t="str">
        <f ca="1">IFERROR(__xludf.DUMMYFUNCTION("""COMPUTED_VALUE"""),"IGEM0975")</f>
        <v>IGEM0975</v>
      </c>
      <c r="H704" s="13">
        <f ca="1">IFERROR(__xludf.DUMMYFUNCTION("""COMPUTED_VALUE"""),24900)</f>
        <v>24900</v>
      </c>
      <c r="I704" s="14">
        <f ca="1">IFERROR(__xludf.DUMMYFUNCTION("""COMPUTED_VALUE"""),20610)</f>
        <v>20610</v>
      </c>
      <c r="J704" s="16">
        <f ca="1">IFERROR(__xludf.DUMMYFUNCTION("""COMPUTED_VALUE"""),45413)</f>
        <v>45413</v>
      </c>
      <c r="K704" s="12" t="str">
        <f ca="1">IFERROR(__xludf.DUMMYFUNCTION("""COMPUTED_VALUE"""),"短促")</f>
        <v>短促</v>
      </c>
      <c r="L704" s="12" t="str">
        <f ca="1">IFERROR(__xludf.DUMMYFUNCTION("""COMPUTED_VALUE"""),"上架中")</f>
        <v>上架中</v>
      </c>
      <c r="M704" s="12" t="str">
        <f ca="1">IFERROR(__xludf.DUMMYFUNCTION("""COMPUTED_VALUE"""),"4/1新機上架")</f>
        <v>4/1新機上架</v>
      </c>
      <c r="N704" s="12" t="str">
        <f ca="1">IFERROR(__xludf.DUMMYFUNCTION("""COMPUTED_VALUE"""),"直立變頻")</f>
        <v>直立變頻</v>
      </c>
      <c r="O704" s="12" t="str">
        <f ca="1">IFERROR(__xludf.DUMMYFUNCTION("""COMPUTED_VALUE"""),"不鏽鋼")</f>
        <v>不鏽鋼</v>
      </c>
      <c r="P704" s="12" t="str">
        <f ca="1">IFERROR(__xludf.DUMMYFUNCTION("""COMPUTED_VALUE"""),"17KG")</f>
        <v>17KG</v>
      </c>
      <c r="Q704" s="12" t="str">
        <f ca="1">IFERROR(__xludf.DUMMYFUNCTION("""COMPUTED_VALUE"""),"
1111*640*720mm")</f>
        <v xml:space="preserve">
1111*640*720mm</v>
      </c>
      <c r="R704" s="12" t="str">
        <f ca="1">IFERROR(__xludf.DUMMYFUNCTION("""COMPUTED_VALUE"""),"台灣")</f>
        <v>台灣</v>
      </c>
      <c r="S704" s="12" t="str">
        <f ca="1">IFERROR(__xludf.DUMMYFUNCTION("""COMPUTED_VALUE"""),"V/省水標章(金級)")</f>
        <v>V/省水標章(金級)</v>
      </c>
      <c r="T704" s="12"/>
      <c r="U704" s="12" t="str">
        <f ca="1">IFERROR(__xludf.DUMMYFUNCTION("""COMPUTED_VALUE"""),"1年")</f>
        <v>1年</v>
      </c>
      <c r="V704" s="12" t="str">
        <f ca="1">IFERROR(__xludf.DUMMYFUNCTION("""COMPUTED_VALUE"""),"3年")</f>
        <v>3年</v>
      </c>
      <c r="W704" s="12" t="str">
        <f ca="1">IFERROR(__xludf.DUMMYFUNCTION("""COMPUTED_VALUE"""),"(11/7-114/2/21 )隨貨送德國OSTMARS 22吋胖胖箱(W4NC3)")</f>
        <v>(11/7-114/2/21 )隨貨送德國OSTMARS 22吋胖胖箱(W4NC3)</v>
      </c>
      <c r="X704" s="12"/>
      <c r="Y704" s="12"/>
      <c r="Z704" s="14"/>
      <c r="AA704" s="15" t="str">
        <f ca="1">IFERROR(__xludf.DUMMYFUNCTION("""COMPUTED_VALUE"""),"*PICO PURE+除菌、防霉、脫臭*玻璃上蓋觸控式操作面板*超震波洗淨/SPA噴淋洗清*自動槽洗淨/三種槽洗淨方式*AIE智慧洗淨*漩勁軸心水流*晶鑽抗菌不鏽鋼內槽*雙隱藏式棉絮過濾盒*兒童安全鎖設計*便利照明燈*4-24小時預約洗衣*六段水位選擇")</f>
        <v>*PICO PURE+除菌、防霉、脫臭*玻璃上蓋觸控式操作面板*超震波洗淨/SPA噴淋洗清*自動槽洗淨/三種槽洗淨方式*AIE智慧洗淨*漩勁軸心水流*晶鑽抗菌不鏽鋼內槽*雙隱藏式棉絮過濾盒*兒童安全鎖設計*便利照明燈*4-24小時預約洗衣*六段水位選擇</v>
      </c>
    </row>
    <row r="705" spans="1:27" ht="19.5" customHeight="1">
      <c r="A705" s="12" t="str">
        <f ca="1">IFERROR(__xludf.DUMMYFUNCTION("""COMPUTED_VALUE"""),"洗衣機")</f>
        <v>洗衣機</v>
      </c>
      <c r="B705" s="12" t="str">
        <f ca="1">IFERROR(__xludf.DUMMYFUNCTION("""COMPUTED_VALUE"""),"聲寶")</f>
        <v>聲寶</v>
      </c>
      <c r="C705" s="12" t="str">
        <f ca="1">IFERROR(__xludf.DUMMYFUNCTION("""COMPUTED_VALUE"""),"聲寶")</f>
        <v>聲寶</v>
      </c>
      <c r="D705" s="12" t="str">
        <f ca="1">IFERROR(__xludf.DUMMYFUNCTION("""COMPUTED_VALUE"""),"聲寶_PICO PURE 17KG變頻洗衣機_ES-L17DP(R1)")</f>
        <v>聲寶_PICO PURE 17KG變頻洗衣機_ES-L17DP(R1)</v>
      </c>
      <c r="E705" s="12" t="str">
        <f ca="1">IFERROR(__xludf.DUMMYFUNCTION("""COMPUTED_VALUE"""),"ES-L17DP(R1)")</f>
        <v>ES-L17DP(R1)</v>
      </c>
      <c r="F705" s="12">
        <f ca="1">IFERROR(__xludf.DUMMYFUNCTION("""COMPUTED_VALUE"""),51001285)</f>
        <v>51001285</v>
      </c>
      <c r="G705" s="12" t="str">
        <f ca="1">IFERROR(__xludf.DUMMYFUNCTION("""COMPUTED_VALUE"""),"IGEM0976")</f>
        <v>IGEM0976</v>
      </c>
      <c r="H705" s="13">
        <f ca="1">IFERROR(__xludf.DUMMYFUNCTION("""COMPUTED_VALUE"""),21490)</f>
        <v>21490</v>
      </c>
      <c r="I705" s="14">
        <f ca="1">IFERROR(__xludf.DUMMYFUNCTION("""COMPUTED_VALUE"""),19900)</f>
        <v>19900</v>
      </c>
      <c r="J705" s="16">
        <f ca="1">IFERROR(__xludf.DUMMYFUNCTION("""COMPUTED_VALUE"""),45383)</f>
        <v>45383</v>
      </c>
      <c r="K705" s="12" t="str">
        <f ca="1">IFERROR(__xludf.DUMMYFUNCTION("""COMPUTED_VALUE"""),"新機上架")</f>
        <v>新機上架</v>
      </c>
      <c r="L705" s="12" t="str">
        <f ca="1">IFERROR(__xludf.DUMMYFUNCTION("""COMPUTED_VALUE"""),"上架中")</f>
        <v>上架中</v>
      </c>
      <c r="M705" s="12" t="str">
        <f ca="1">IFERROR(__xludf.DUMMYFUNCTION("""COMPUTED_VALUE"""),"4/1新機上架")</f>
        <v>4/1新機上架</v>
      </c>
      <c r="N705" s="12" t="str">
        <f ca="1">IFERROR(__xludf.DUMMYFUNCTION("""COMPUTED_VALUE"""),"直立變頻")</f>
        <v>直立變頻</v>
      </c>
      <c r="O705" s="12" t="str">
        <f ca="1">IFERROR(__xludf.DUMMYFUNCTION("""COMPUTED_VALUE"""),"玫瑰金")</f>
        <v>玫瑰金</v>
      </c>
      <c r="P705" s="12" t="str">
        <f ca="1">IFERROR(__xludf.DUMMYFUNCTION("""COMPUTED_VALUE"""),"17KG")</f>
        <v>17KG</v>
      </c>
      <c r="Q705" s="12" t="str">
        <f ca="1">IFERROR(__xludf.DUMMYFUNCTION("""COMPUTED_VALUE"""),"
1050*640*695mm")</f>
        <v xml:space="preserve">
1050*640*695mm</v>
      </c>
      <c r="R705" s="12" t="str">
        <f ca="1">IFERROR(__xludf.DUMMYFUNCTION("""COMPUTED_VALUE"""),"台灣")</f>
        <v>台灣</v>
      </c>
      <c r="S705" s="12" t="str">
        <f ca="1">IFERROR(__xludf.DUMMYFUNCTION("""COMPUTED_VALUE"""),"V/省水標章(金級)")</f>
        <v>V/省水標章(金級)</v>
      </c>
      <c r="T705" s="12"/>
      <c r="U705" s="12" t="str">
        <f ca="1">IFERROR(__xludf.DUMMYFUNCTION("""COMPUTED_VALUE"""),"1年")</f>
        <v>1年</v>
      </c>
      <c r="V705" s="12" t="str">
        <f ca="1">IFERROR(__xludf.DUMMYFUNCTION("""COMPUTED_VALUE"""),"3年")</f>
        <v>3年</v>
      </c>
      <c r="W705" s="12" t="str">
        <f ca="1">IFERROR(__xludf.DUMMYFUNCTION("""COMPUTED_VALUE"""),"(11/7-114/2/21 )隨貨送德國OSTMARS 22吋胖胖箱(W4NC3)")</f>
        <v>(11/7-114/2/21 )隨貨送德國OSTMARS 22吋胖胖箱(W4NC3)</v>
      </c>
      <c r="X705" s="12"/>
      <c r="Y705" s="12"/>
      <c r="Z705" s="14"/>
      <c r="AA705" s="15" t="str">
        <f ca="1">IFERROR(__xludf.DUMMYFUNCTION("""COMPUTED_VALUE"""),"*PICO PURE+除菌、防霉、脫臭*玻璃上蓋觸控式操作面板*超震波洗淨/SPA噴淋洗清*自動槽洗淨/三種槽洗淨方式*AIE智慧洗淨*漩勁軸心水流*晶鑽抗菌不鏽鋼內槽*雙隱藏式棉絮過濾盒*兒童安全鎖設計*便利照明燈*4-24小時預約洗衣*六段水位選擇")</f>
        <v>*PICO PURE+除菌、防霉、脫臭*玻璃上蓋觸控式操作面板*超震波洗淨/SPA噴淋洗清*自動槽洗淨/三種槽洗淨方式*AIE智慧洗淨*漩勁軸心水流*晶鑽抗菌不鏽鋼內槽*雙隱藏式棉絮過濾盒*兒童安全鎖設計*便利照明燈*4-24小時預約洗衣*六段水位選擇</v>
      </c>
    </row>
    <row r="706" spans="1:27" ht="19.5" customHeight="1">
      <c r="A706" s="12" t="str">
        <f ca="1">IFERROR(__xludf.DUMMYFUNCTION("""COMPUTED_VALUE"""),"洗衣機")</f>
        <v>洗衣機</v>
      </c>
      <c r="B706" s="12" t="str">
        <f ca="1">IFERROR(__xludf.DUMMYFUNCTION("""COMPUTED_VALUE"""),"聲寶")</f>
        <v>聲寶</v>
      </c>
      <c r="C706" s="12" t="str">
        <f ca="1">IFERROR(__xludf.DUMMYFUNCTION("""COMPUTED_VALUE"""),"聲寶")</f>
        <v>聲寶</v>
      </c>
      <c r="D706" s="12" t="str">
        <f ca="1">IFERROR(__xludf.DUMMYFUNCTION("""COMPUTED_VALUE"""),"聲寶7KG智慧觸控式乾衣機SD-7C")</f>
        <v>聲寶7KG智慧觸控式乾衣機SD-7C</v>
      </c>
      <c r="E706" s="12" t="str">
        <f ca="1">IFERROR(__xludf.DUMMYFUNCTION("""COMPUTED_VALUE"""),"SD-7C")</f>
        <v>SD-7C</v>
      </c>
      <c r="F706" s="12">
        <f ca="1">IFERROR(__xludf.DUMMYFUNCTION("""COMPUTED_VALUE"""),51001162)</f>
        <v>51001162</v>
      </c>
      <c r="G706" s="12" t="str">
        <f ca="1">IFERROR(__xludf.DUMMYFUNCTION("""COMPUTED_VALUE"""),"IGEM058A")</f>
        <v>IGEM058A</v>
      </c>
      <c r="H706" s="12">
        <f ca="1">IFERROR(__xludf.DUMMYFUNCTION("""COMPUTED_VALUE"""),8499)</f>
        <v>8499</v>
      </c>
      <c r="I706" s="14">
        <f ca="1">IFERROR(__xludf.DUMMYFUNCTION("""COMPUTED_VALUE"""),7990)</f>
        <v>7990</v>
      </c>
      <c r="J706" s="16">
        <f ca="1">IFERROR(__xludf.DUMMYFUNCTION("""COMPUTED_VALUE"""),44897)</f>
        <v>44897</v>
      </c>
      <c r="K706" s="12" t="str">
        <f ca="1">IFERROR(__xludf.DUMMYFUNCTION("""COMPUTED_VALUE"""),"到貨")</f>
        <v>到貨</v>
      </c>
      <c r="L706" s="12" t="str">
        <f ca="1">IFERROR(__xludf.DUMMYFUNCTION("""COMPUTED_VALUE"""),"上架中")</f>
        <v>上架中</v>
      </c>
      <c r="M706" s="12" t="str">
        <f ca="1">IFERROR(__xludf.DUMMYFUNCTION("""COMPUTED_VALUE"""),"2022/12/2到貨，2022/3/23新機上架")</f>
        <v>2022/12/2到貨，2022/3/23新機上架</v>
      </c>
      <c r="N706" s="12" t="str">
        <f ca="1">IFERROR(__xludf.DUMMYFUNCTION("""COMPUTED_VALUE"""),"乾衣機")</f>
        <v>乾衣機</v>
      </c>
      <c r="O706" s="12" t="str">
        <f ca="1">IFERROR(__xludf.DUMMYFUNCTION("""COMPUTED_VALUE"""),"白色")</f>
        <v>白色</v>
      </c>
      <c r="P706" s="12" t="str">
        <f ca="1">IFERROR(__xludf.DUMMYFUNCTION("""COMPUTED_VALUE"""),"7KG")</f>
        <v>7KG</v>
      </c>
      <c r="Q706" s="12" t="str">
        <f ca="1">IFERROR(__xludf.DUMMYFUNCTION("""COMPUTED_VALUE"""),"685*595*510mm")</f>
        <v>685*595*510mm</v>
      </c>
      <c r="R706" s="12" t="str">
        <f ca="1">IFERROR(__xludf.DUMMYFUNCTION("""COMPUTED_VALUE"""),"大陸")</f>
        <v>大陸</v>
      </c>
      <c r="S706" s="12"/>
      <c r="T706" s="12"/>
      <c r="U706" s="12" t="str">
        <f ca="1">IFERROR(__xludf.DUMMYFUNCTION("""COMPUTED_VALUE"""),"1年")</f>
        <v>1年</v>
      </c>
      <c r="V706" s="12" t="str">
        <f ca="1">IFERROR(__xludf.DUMMYFUNCTION("""COMPUTED_VALUE"""),"3年")</f>
        <v>3年</v>
      </c>
      <c r="W706" s="12"/>
      <c r="X706" s="12"/>
      <c r="Y706" s="12"/>
      <c r="Z706" s="14"/>
      <c r="AA706" s="15" t="str">
        <f ca="1">IFERROR(__xludf.DUMMYFUNCTION("""COMPUTED_VALUE"""),"*預約烘衣功能*手動調整溫度時間*按鍵鎖功能預防誤按*防打結*預約啟動*除螨功能(60°C鍵)*Re-start啟動機能(符合新安規標準)*PTC陶瓷電熱器溫度調節*超溫斷路保護機制")</f>
        <v>*預約烘衣功能*手動調整溫度時間*按鍵鎖功能預防誤按*防打結*預約啟動*除螨功能(60°C鍵)*Re-start啟動機能(符合新安規標準)*PTC陶瓷電熱器溫度調節*超溫斷路保護機制</v>
      </c>
    </row>
    <row r="707" spans="1:27" ht="19.5" customHeight="1">
      <c r="A707" s="12" t="str">
        <f ca="1">IFERROR(__xludf.DUMMYFUNCTION("""COMPUTED_VALUE"""),"洗衣機")</f>
        <v>洗衣機</v>
      </c>
      <c r="B707" s="12" t="str">
        <f ca="1">IFERROR(__xludf.DUMMYFUNCTION("""COMPUTED_VALUE"""),"聲寶")</f>
        <v>聲寶</v>
      </c>
      <c r="C707" s="12" t="str">
        <f ca="1">IFERROR(__xludf.DUMMYFUNCTION("""COMPUTED_VALUE"""),"聲寶")</f>
        <v>聲寶</v>
      </c>
      <c r="D707" s="12" t="str">
        <f ca="1">IFERROR(__xludf.DUMMYFUNCTION("""COMPUTED_VALUE"""),"聲寶12kg變頻蒸氣洗脫烘滾筒洗衣機 (鈦金灰色) ES-ND12DH")</f>
        <v>聲寶12kg變頻蒸氣洗脫烘滾筒洗衣機 (鈦金灰色) ES-ND12DH</v>
      </c>
      <c r="E707" s="12" t="str">
        <f ca="1">IFERROR(__xludf.DUMMYFUNCTION("""COMPUTED_VALUE"""),"ES-ND12DH")</f>
        <v>ES-ND12DH</v>
      </c>
      <c r="F707" s="12">
        <f ca="1">IFERROR(__xludf.DUMMYFUNCTION("""COMPUTED_VALUE"""),51086274)</f>
        <v>51086274</v>
      </c>
      <c r="G707" s="12" t="str">
        <f ca="1">IFERROR(__xludf.DUMMYFUNCTION("""COMPUTED_VALUE"""),"IGEM0709")</f>
        <v>IGEM0709</v>
      </c>
      <c r="H707" s="13">
        <f ca="1">IFERROR(__xludf.DUMMYFUNCTION("""COMPUTED_VALUE"""),24900)</f>
        <v>24900</v>
      </c>
      <c r="I707" s="14">
        <f ca="1">IFERROR(__xludf.DUMMYFUNCTION("""COMPUTED_VALUE"""),18900)</f>
        <v>18900</v>
      </c>
      <c r="J707" s="12"/>
      <c r="K707" s="12"/>
      <c r="L707" s="12" t="str">
        <f ca="1">IFERROR(__xludf.DUMMYFUNCTION("""COMPUTED_VALUE"""),"上架中")</f>
        <v>上架中</v>
      </c>
      <c r="M707" s="12" t="str">
        <f ca="1">IFERROR(__xludf.DUMMYFUNCTION("""COMPUTED_VALUE"""),"2022/11/1短促，2022/10/14 新機上架")</f>
        <v>2022/11/1短促，2022/10/14 新機上架</v>
      </c>
      <c r="N707" s="12" t="str">
        <f ca="1">IFERROR(__xludf.DUMMYFUNCTION("""COMPUTED_VALUE"""),"洗脫烘滾筒")</f>
        <v>洗脫烘滾筒</v>
      </c>
      <c r="O707" s="12" t="str">
        <f ca="1">IFERROR(__xludf.DUMMYFUNCTION("""COMPUTED_VALUE"""),"鈦金灰色")</f>
        <v>鈦金灰色</v>
      </c>
      <c r="P707" s="12" t="str">
        <f ca="1">IFERROR(__xludf.DUMMYFUNCTION("""COMPUTED_VALUE"""),"洗 12KG / 烘 7KG")</f>
        <v>洗 12KG / 烘 7KG</v>
      </c>
      <c r="Q707" s="12" t="str">
        <f ca="1">IFERROR(__xludf.DUMMYFUNCTION("""COMPUTED_VALUE"""),"845 *595 *660mm")</f>
        <v>845 *595 *660mm</v>
      </c>
      <c r="R707" s="12" t="str">
        <f ca="1">IFERROR(__xludf.DUMMYFUNCTION("""COMPUTED_VALUE"""),"中國")</f>
        <v>中國</v>
      </c>
      <c r="S707" s="12" t="str">
        <f ca="1">IFERROR(__xludf.DUMMYFUNCTION("""COMPUTED_VALUE"""),"省水標章(金級)")</f>
        <v>省水標章(金級)</v>
      </c>
      <c r="T707" s="12"/>
      <c r="U707" s="12" t="str">
        <f ca="1">IFERROR(__xludf.DUMMYFUNCTION("""COMPUTED_VALUE"""),"1年")</f>
        <v>1年</v>
      </c>
      <c r="V707" s="12" t="str">
        <f ca="1">IFERROR(__xludf.DUMMYFUNCTION("""COMPUTED_VALUE"""),"3年")</f>
        <v>3年</v>
      </c>
      <c r="W707" s="12" t="str">
        <f ca="1">IFERROR(__xludf.DUMMYFUNCTION("""COMPUTED_VALUE"""),"(11/7-114/2/21 )隨貨送德國OSTMARS 22吋胖胖箱(W4NC3)")</f>
        <v>(11/7-114/2/21 )隨貨送德國OSTMARS 22吋胖胖箱(W4NC3)</v>
      </c>
      <c r="X707" s="12"/>
      <c r="Y707" s="12"/>
      <c r="Z707" s="14"/>
      <c r="AA707" s="15" t="str">
        <f ca="1">IFERROR(__xludf.DUMMYFUNCTION("""COMPUTED_VALUE"""),"觸控式操作面板常溫、20、 30、 40、 50、60℃溫水洗(六段水溫)蒸氣除臭蒸氣抗敏蒸氣柔洗60 ℃高溫槽洗淨15分鐘快洗60分鐘快速洗+烘智能標準烘衣/智能尼龍烘衣(依濕度自動調整烘乾時間)")</f>
        <v>觸控式操作面板常溫、20、 30、 40、 50、60℃溫水洗(六段水溫)蒸氣除臭蒸氣抗敏蒸氣柔洗60 ℃高溫槽洗淨15分鐘快洗60分鐘快速洗+烘智能標準烘衣/智能尼龍烘衣(依濕度自動調整烘乾時間)</v>
      </c>
    </row>
    <row r="708" spans="1:27" ht="19.5" customHeight="1">
      <c r="A708" s="12" t="str">
        <f ca="1">IFERROR(__xludf.DUMMYFUNCTION("""COMPUTED_VALUE"""),"洗衣機")</f>
        <v>洗衣機</v>
      </c>
      <c r="B708" s="12" t="str">
        <f ca="1">IFERROR(__xludf.DUMMYFUNCTION("""COMPUTED_VALUE"""),"聲寶")</f>
        <v>聲寶</v>
      </c>
      <c r="C708" s="12" t="str">
        <f ca="1">IFERROR(__xludf.DUMMYFUNCTION("""COMPUTED_VALUE"""),"聲寶")</f>
        <v>聲寶</v>
      </c>
      <c r="D708" s="12" t="str">
        <f ca="1">IFERROR(__xludf.DUMMYFUNCTION("""COMPUTED_VALUE"""),"聲寶_ 13公斤超震波變頻洗衣機_ES-P13DV(G5)")</f>
        <v>聲寶_ 13公斤超震波變頻洗衣機_ES-P13DV(G5)</v>
      </c>
      <c r="E708" s="12" t="str">
        <f ca="1">IFERROR(__xludf.DUMMYFUNCTION("""COMPUTED_VALUE"""),"ES-P13DV(G5)")</f>
        <v>ES-P13DV(G5)</v>
      </c>
      <c r="F708" s="12">
        <f ca="1">IFERROR(__xludf.DUMMYFUNCTION("""COMPUTED_VALUE"""),51001336)</f>
        <v>51001336</v>
      </c>
      <c r="G708" s="12" t="str">
        <f ca="1">IFERROR(__xludf.DUMMYFUNCTION("""COMPUTED_VALUE"""),"IGEM114S")</f>
        <v>IGEM114S</v>
      </c>
      <c r="H708" s="12">
        <f ca="1">IFERROR(__xludf.DUMMYFUNCTION("""COMPUTED_VALUE"""),18900)</f>
        <v>18900</v>
      </c>
      <c r="I708" s="14">
        <f ca="1">IFERROR(__xludf.DUMMYFUNCTION("""COMPUTED_VALUE"""),14490)</f>
        <v>14490</v>
      </c>
      <c r="J708" s="16">
        <f ca="1">IFERROR(__xludf.DUMMYFUNCTION("""COMPUTED_VALUE"""),45627)</f>
        <v>45627</v>
      </c>
      <c r="K708" s="12" t="str">
        <f ca="1">IFERROR(__xludf.DUMMYFUNCTION("""COMPUTED_VALUE"""),"新機上架")</f>
        <v>新機上架</v>
      </c>
      <c r="L708" s="12" t="str">
        <f ca="1">IFERROR(__xludf.DUMMYFUNCTION("""COMPUTED_VALUE"""),"上架中")</f>
        <v>上架中</v>
      </c>
      <c r="M708" s="12" t="str">
        <f ca="1">IFERROR(__xludf.DUMMYFUNCTION("""COMPUTED_VALUE"""),"12/1新機上架")</f>
        <v>12/1新機上架</v>
      </c>
      <c r="N708" s="12" t="str">
        <f ca="1">IFERROR(__xludf.DUMMYFUNCTION("""COMPUTED_VALUE"""),"直立變頻")</f>
        <v>直立變頻</v>
      </c>
      <c r="O708" s="12" t="str">
        <f ca="1">IFERROR(__xludf.DUMMYFUNCTION("""COMPUTED_VALUE"""),"典雅灰")</f>
        <v>典雅灰</v>
      </c>
      <c r="P708" s="12" t="str">
        <f ca="1">IFERROR(__xludf.DUMMYFUNCTION("""COMPUTED_VALUE"""),"13KG")</f>
        <v>13KG</v>
      </c>
      <c r="Q708" s="12" t="str">
        <f ca="1">IFERROR(__xludf.DUMMYFUNCTION("""COMPUTED_VALUE"""),"(高)1015*(寬)606*(深)620mm")</f>
        <v>(高)1015*(寬)606*(深)620mm</v>
      </c>
      <c r="R708" s="12" t="str">
        <f ca="1">IFERROR(__xludf.DUMMYFUNCTION("""COMPUTED_VALUE"""),"台灣")</f>
        <v>台灣</v>
      </c>
      <c r="S708" s="12" t="str">
        <f ca="1">IFERROR(__xludf.DUMMYFUNCTION("""COMPUTED_VALUE"""),"省水標章(金級)")</f>
        <v>省水標章(金級)</v>
      </c>
      <c r="T708" s="12"/>
      <c r="U708" s="12" t="str">
        <f ca="1">IFERROR(__xludf.DUMMYFUNCTION("""COMPUTED_VALUE"""),"1年")</f>
        <v>1年</v>
      </c>
      <c r="V708" s="12" t="str">
        <f ca="1">IFERROR(__xludf.DUMMYFUNCTION("""COMPUTED_VALUE"""),"3年")</f>
        <v>3年</v>
      </c>
      <c r="W708" s="12"/>
      <c r="X708" s="12"/>
      <c r="Y708" s="12"/>
      <c r="Z708" s="14"/>
      <c r="AA708" s="15" t="str">
        <f ca="1">IFERROR(__xludf.DUMMYFUNCTION("""COMPUTED_VALUE"""),"*抗菌不鏽鋼內槽*超震波洗淨*緩降玻璃上蓋*漩勁軸心水流*雙隱藏式棉絮過濾盒*標準槽洗淨功能*按鍵式操作面板*兒童安全鎖設計*冷風風乾功能*4-24小時預約洗衣*六段水位選擇*金級省水/節能標章 /環保標章/MIT台灣製造")</f>
        <v>*抗菌不鏽鋼內槽*超震波洗淨*緩降玻璃上蓋*漩勁軸心水流*雙隱藏式棉絮過濾盒*標準槽洗淨功能*按鍵式操作面板*兒童安全鎖設計*冷風風乾功能*4-24小時預約洗衣*六段水位選擇*金級省水/節能標章 /環保標章/MIT台灣製造</v>
      </c>
    </row>
    <row r="709" spans="1:27" ht="19.5" customHeight="1">
      <c r="A709" s="12" t="str">
        <f ca="1">IFERROR(__xludf.DUMMYFUNCTION("""COMPUTED_VALUE"""),"洗衣機")</f>
        <v>洗衣機</v>
      </c>
      <c r="B709" s="12" t="str">
        <f ca="1">IFERROR(__xludf.DUMMYFUNCTION("""COMPUTED_VALUE"""),"聲寶")</f>
        <v>聲寶</v>
      </c>
      <c r="C709" s="12" t="str">
        <f ca="1">IFERROR(__xludf.DUMMYFUNCTION("""COMPUTED_VALUE"""),"聲寶")</f>
        <v>聲寶</v>
      </c>
      <c r="D709" s="12" t="str">
        <f ca="1">IFERROR(__xludf.DUMMYFUNCTION("""COMPUTED_VALUE"""),"聲寶_ 15公斤超震波變頻洗衣機_ES-P15DV(P1)")</f>
        <v>聲寶_ 15公斤超震波變頻洗衣機_ES-P15DV(P1)</v>
      </c>
      <c r="E709" s="12" t="str">
        <f ca="1">IFERROR(__xludf.DUMMYFUNCTION("""COMPUTED_VALUE"""),"ES-P15DV(P1)")</f>
        <v>ES-P15DV(P1)</v>
      </c>
      <c r="F709" s="12">
        <f ca="1">IFERROR(__xludf.DUMMYFUNCTION("""COMPUTED_VALUE"""),51001337)</f>
        <v>51001337</v>
      </c>
      <c r="G709" s="12" t="str">
        <f ca="1">IFERROR(__xludf.DUMMYFUNCTION("""COMPUTED_VALUE"""),"IGEM114T")</f>
        <v>IGEM114T</v>
      </c>
      <c r="H709" s="12">
        <f ca="1">IFERROR(__xludf.DUMMYFUNCTION("""COMPUTED_VALUE"""),21800)</f>
        <v>21800</v>
      </c>
      <c r="I709" s="14">
        <f ca="1">IFERROR(__xludf.DUMMYFUNCTION("""COMPUTED_VALUE"""),15900)</f>
        <v>15900</v>
      </c>
      <c r="J709" s="16">
        <f ca="1">IFERROR(__xludf.DUMMYFUNCTION("""COMPUTED_VALUE"""),45627)</f>
        <v>45627</v>
      </c>
      <c r="K709" s="12" t="str">
        <f ca="1">IFERROR(__xludf.DUMMYFUNCTION("""COMPUTED_VALUE"""),"新機上架")</f>
        <v>新機上架</v>
      </c>
      <c r="L709" s="12" t="str">
        <f ca="1">IFERROR(__xludf.DUMMYFUNCTION("""COMPUTED_VALUE"""),"上架中")</f>
        <v>上架中</v>
      </c>
      <c r="M709" s="12" t="str">
        <f ca="1">IFERROR(__xludf.DUMMYFUNCTION("""COMPUTED_VALUE"""),"12/1新機上架")</f>
        <v>12/1新機上架</v>
      </c>
      <c r="N709" s="12" t="str">
        <f ca="1">IFERROR(__xludf.DUMMYFUNCTION("""COMPUTED_VALUE"""),"直立變頻")</f>
        <v>直立變頻</v>
      </c>
      <c r="O709" s="12" t="str">
        <f ca="1">IFERROR(__xludf.DUMMYFUNCTION("""COMPUTED_VALUE"""),"典雅粉")</f>
        <v>典雅粉</v>
      </c>
      <c r="P709" s="12" t="str">
        <f ca="1">IFERROR(__xludf.DUMMYFUNCTION("""COMPUTED_VALUE"""),"15KG")</f>
        <v>15KG</v>
      </c>
      <c r="Q709" s="12" t="str">
        <f ca="1">IFERROR(__xludf.DUMMYFUNCTION("""COMPUTED_VALUE"""),"(高)1015*(寬)606*(深)620mm")</f>
        <v>(高)1015*(寬)606*(深)620mm</v>
      </c>
      <c r="R709" s="12" t="str">
        <f ca="1">IFERROR(__xludf.DUMMYFUNCTION("""COMPUTED_VALUE"""),"台灣")</f>
        <v>台灣</v>
      </c>
      <c r="S709" s="12" t="str">
        <f ca="1">IFERROR(__xludf.DUMMYFUNCTION("""COMPUTED_VALUE"""),"省水標章(金級)")</f>
        <v>省水標章(金級)</v>
      </c>
      <c r="T709" s="12"/>
      <c r="U709" s="12" t="str">
        <f ca="1">IFERROR(__xludf.DUMMYFUNCTION("""COMPUTED_VALUE"""),"1年")</f>
        <v>1年</v>
      </c>
      <c r="V709" s="12" t="str">
        <f ca="1">IFERROR(__xludf.DUMMYFUNCTION("""COMPUTED_VALUE"""),"3年")</f>
        <v>3年</v>
      </c>
      <c r="W709" s="12" t="str">
        <f ca="1">IFERROR(__xludf.DUMMYFUNCTION("""COMPUTED_VALUE"""),"(11/7-114/2/21 )隨貨送德國Carl旅行保溫杯(W4NC1)")</f>
        <v>(11/7-114/2/21 )隨貨送德國Carl旅行保溫杯(W4NC1)</v>
      </c>
      <c r="X709" s="12"/>
      <c r="Y709" s="12"/>
      <c r="Z709" s="14"/>
      <c r="AA709" s="15" t="str">
        <f ca="1">IFERROR(__xludf.DUMMYFUNCTION("""COMPUTED_VALUE"""),"*抗菌不鏽鋼內槽*超震波洗淨*緩降玻璃上蓋*漩勁軸心水流*雙隱藏式棉絮過濾盒*標準槽洗淨功能*按鍵式操作面板*兒童安全鎖設計*冷風風乾功能*4-24小時預約洗衣*六段水位選擇*金級省水/節能標章 /環保標章/MIT台灣製造")</f>
        <v>*抗菌不鏽鋼內槽*超震波洗淨*緩降玻璃上蓋*漩勁軸心水流*雙隱藏式棉絮過濾盒*標準槽洗淨功能*按鍵式操作面板*兒童安全鎖設計*冷風風乾功能*4-24小時預約洗衣*六段水位選擇*金級省水/節能標章 /環保標章/MIT台灣製造</v>
      </c>
    </row>
    <row r="710" spans="1:27" ht="19.5" customHeight="1">
      <c r="A710" s="12" t="str">
        <f ca="1">IFERROR(__xludf.DUMMYFUNCTION("""COMPUTED_VALUE"""),"洗衣機")</f>
        <v>洗衣機</v>
      </c>
      <c r="B710" s="12" t="str">
        <f ca="1">IFERROR(__xludf.DUMMYFUNCTION("""COMPUTED_VALUE"""),"安悅")</f>
        <v>安悅</v>
      </c>
      <c r="C710" s="12" t="str">
        <f ca="1">IFERROR(__xludf.DUMMYFUNCTION("""COMPUTED_VALUE"""),"東元")</f>
        <v>東元</v>
      </c>
      <c r="D710" s="12" t="str">
        <f ca="1">IFERROR(__xludf.DUMMYFUNCTION("""COMPUTED_VALUE"""),"東元7KG直立式定頻洗衣機(白)W0711FW")</f>
        <v>東元7KG直立式定頻洗衣機(白)W0711FW</v>
      </c>
      <c r="E710" s="12" t="str">
        <f ca="1">IFERROR(__xludf.DUMMYFUNCTION("""COMPUTED_VALUE"""),"W0711FW")</f>
        <v>W0711FW</v>
      </c>
      <c r="F710" s="12">
        <f ca="1">IFERROR(__xludf.DUMMYFUNCTION("""COMPUTED_VALUE"""),51082205)</f>
        <v>51082205</v>
      </c>
      <c r="G710" s="12" t="str">
        <f ca="1">IFERROR(__xludf.DUMMYFUNCTION("""COMPUTED_VALUE"""),"IGEM043X")</f>
        <v>IGEM043X</v>
      </c>
      <c r="H710" s="12">
        <f ca="1">IFERROR(__xludf.DUMMYFUNCTION("""COMPUTED_VALUE"""),7400)</f>
        <v>7400</v>
      </c>
      <c r="I710" s="14">
        <f ca="1">IFERROR(__xludf.DUMMYFUNCTION("""COMPUTED_VALUE"""),6590)</f>
        <v>6590</v>
      </c>
      <c r="J710" s="12"/>
      <c r="K710" s="12"/>
      <c r="L710" s="12" t="str">
        <f ca="1">IFERROR(__xludf.DUMMYFUNCTION("""COMPUTED_VALUE"""),"上架中")</f>
        <v>上架中</v>
      </c>
      <c r="M710" s="12" t="str">
        <f ca="1">IFERROR(__xludf.DUMMYFUNCTION("""COMPUTED_VALUE"""),"2021/7/1新機上架")</f>
        <v>2021/7/1新機上架</v>
      </c>
      <c r="N710" s="12" t="str">
        <f ca="1">IFERROR(__xludf.DUMMYFUNCTION("""COMPUTED_VALUE"""),"直立定頻")</f>
        <v>直立定頻</v>
      </c>
      <c r="O710" s="12" t="str">
        <f ca="1">IFERROR(__xludf.DUMMYFUNCTION("""COMPUTED_VALUE"""),"典雅白")</f>
        <v>典雅白</v>
      </c>
      <c r="P710" s="12" t="str">
        <f ca="1">IFERROR(__xludf.DUMMYFUNCTION("""COMPUTED_VALUE"""),"7KG")</f>
        <v>7KG</v>
      </c>
      <c r="Q710" s="12" t="str">
        <f ca="1">IFERROR(__xludf.DUMMYFUNCTION("""COMPUTED_VALUE"""),"910*515*525mm")</f>
        <v>910*515*525mm</v>
      </c>
      <c r="R710" s="12" t="str">
        <f ca="1">IFERROR(__xludf.DUMMYFUNCTION("""COMPUTED_VALUE"""),"中國")</f>
        <v>中國</v>
      </c>
      <c r="S710" s="22" t="str">
        <f ca="1">IFERROR(__xludf.DUMMYFUNCTION("""COMPUTED_VALUE"""),"省水標章(金級)")</f>
        <v>省水標章(金級)</v>
      </c>
      <c r="T710" s="12"/>
      <c r="U710" s="22" t="str">
        <f ca="1">IFERROR(__xludf.DUMMYFUNCTION("""COMPUTED_VALUE"""),"1年")</f>
        <v>1年</v>
      </c>
      <c r="V710" s="22" t="str">
        <f ca="1">IFERROR(__xludf.DUMMYFUNCTION("""COMPUTED_VALUE"""),"3年")</f>
        <v>3年</v>
      </c>
      <c r="W710" s="12"/>
      <c r="X710" s="12"/>
      <c r="Y710" s="12"/>
      <c r="Z710" s="14"/>
      <c r="AA710" s="15" t="str">
        <f ca="1">IFERROR(__xludf.DUMMYFUNCTION("""COMPUTED_VALUE"""),"*七種洗衣程序*玻璃緩降上蓋*一鍵智慧洗")</f>
        <v>*七種洗衣程序*玻璃緩降上蓋*一鍵智慧洗</v>
      </c>
    </row>
    <row r="711" spans="1:27" ht="19.5" customHeight="1">
      <c r="A711" s="12" t="str">
        <f ca="1">IFERROR(__xludf.DUMMYFUNCTION("""COMPUTED_VALUE"""),"洗衣機")</f>
        <v>洗衣機</v>
      </c>
      <c r="B711" s="12" t="str">
        <f ca="1">IFERROR(__xludf.DUMMYFUNCTION("""COMPUTED_VALUE"""),"安悅")</f>
        <v>安悅</v>
      </c>
      <c r="C711" s="12" t="str">
        <f ca="1">IFERROR(__xludf.DUMMYFUNCTION("""COMPUTED_VALUE"""),"東元")</f>
        <v>東元</v>
      </c>
      <c r="D711" s="12" t="str">
        <f ca="1">IFERROR(__xludf.DUMMYFUNCTION("""COMPUTED_VALUE"""),"東元14KG直立式變頻洗衣機(鈦空銀)W1469XS")</f>
        <v>東元14KG直立式變頻洗衣機(鈦空銀)W1469XS</v>
      </c>
      <c r="E711" s="12" t="str">
        <f ca="1">IFERROR(__xludf.DUMMYFUNCTION("""COMPUTED_VALUE"""),"W1469XS")</f>
        <v>W1469XS</v>
      </c>
      <c r="F711" s="12">
        <f ca="1">IFERROR(__xludf.DUMMYFUNCTION("""COMPUTED_VALUE"""),51082206)</f>
        <v>51082206</v>
      </c>
      <c r="G711" s="12" t="str">
        <f ca="1">IFERROR(__xludf.DUMMYFUNCTION("""COMPUTED_VALUE"""),"IGEM043Y")</f>
        <v>IGEM043Y</v>
      </c>
      <c r="H711" s="12">
        <f ca="1">IFERROR(__xludf.DUMMYFUNCTION("""COMPUTED_VALUE"""),15900)</f>
        <v>15900</v>
      </c>
      <c r="I711" s="14">
        <f ca="1">IFERROR(__xludf.DUMMYFUNCTION("""COMPUTED_VALUE"""),13900)</f>
        <v>13900</v>
      </c>
      <c r="J711" s="16">
        <f ca="1">IFERROR(__xludf.DUMMYFUNCTION("""COMPUTED_VALUE"""),44927)</f>
        <v>44927</v>
      </c>
      <c r="K711" s="12" t="str">
        <f ca="1">IFERROR(__xludf.DUMMYFUNCTION("""COMPUTED_VALUE"""),"永久降價")</f>
        <v>永久降價</v>
      </c>
      <c r="L711" s="12" t="str">
        <f ca="1">IFERROR(__xludf.DUMMYFUNCTION("""COMPUTED_VALUE"""),"上架中")</f>
        <v>上架中</v>
      </c>
      <c r="M711" s="12" t="str">
        <f ca="1">IFERROR(__xludf.DUMMYFUNCTION("""COMPUTED_VALUE"""),"2022/1/1降價，2021/8/1短促，2021/7/1新機上架")</f>
        <v>2022/1/1降價，2021/8/1短促，2021/7/1新機上架</v>
      </c>
      <c r="N711" s="12" t="str">
        <f ca="1">IFERROR(__xludf.DUMMYFUNCTION("""COMPUTED_VALUE"""),"直立變頻")</f>
        <v>直立變頻</v>
      </c>
      <c r="O711" s="12" t="str">
        <f ca="1">IFERROR(__xludf.DUMMYFUNCTION("""COMPUTED_VALUE"""),"科技銀")</f>
        <v>科技銀</v>
      </c>
      <c r="P711" s="12" t="str">
        <f ca="1">IFERROR(__xludf.DUMMYFUNCTION("""COMPUTED_VALUE"""),"14KG")</f>
        <v>14KG</v>
      </c>
      <c r="Q711" s="12" t="str">
        <f ca="1">IFERROR(__xludf.DUMMYFUNCTION("""COMPUTED_VALUE"""),"1024*640*684mm")</f>
        <v>1024*640*684mm</v>
      </c>
      <c r="R711" s="12" t="str">
        <f ca="1">IFERROR(__xludf.DUMMYFUNCTION("""COMPUTED_VALUE"""),"中國")</f>
        <v>中國</v>
      </c>
      <c r="S711" s="12" t="str">
        <f ca="1">IFERROR(__xludf.DUMMYFUNCTION("""COMPUTED_VALUE"""),"V/省水標章(金級)")</f>
        <v>V/省水標章(金級)</v>
      </c>
      <c r="T711" s="12"/>
      <c r="U711" s="22" t="str">
        <f ca="1">IFERROR(__xludf.DUMMYFUNCTION("""COMPUTED_VALUE"""),"1年")</f>
        <v>1年</v>
      </c>
      <c r="V711" s="22" t="str">
        <f ca="1">IFERROR(__xludf.DUMMYFUNCTION("""COMPUTED_VALUE"""),"3年")</f>
        <v>3年</v>
      </c>
      <c r="W711" s="12"/>
      <c r="X711" s="12" t="str">
        <f ca="1">IFERROR(__xludf.DUMMYFUNCTION("""COMPUTED_VALUE"""),"(114/1/1-2/28)隨貨送ISITO 輕巧雙電壓吹風機(型號:IS-23E07D)
")</f>
        <v xml:space="preserve">(114/1/1-2/28)隨貨送ISITO 輕巧雙電壓吹風機(型號:IS-23E07D)
</v>
      </c>
      <c r="Y711" s="12"/>
      <c r="Z711" s="14"/>
      <c r="AA711" s="15" t="str">
        <f ca="1">IFERROR(__xludf.DUMMYFUNCTION("""COMPUTED_VALUE"""),"*七種洗衣程序*玻璃緩降上蓋*一鍵智慧洗")</f>
        <v>*七種洗衣程序*玻璃緩降上蓋*一鍵智慧洗</v>
      </c>
    </row>
    <row r="712" spans="1:27" ht="19.5" customHeight="1">
      <c r="A712" s="12" t="str">
        <f ca="1">IFERROR(__xludf.DUMMYFUNCTION("""COMPUTED_VALUE"""),"洗衣機")</f>
        <v>洗衣機</v>
      </c>
      <c r="B712" s="12" t="str">
        <f ca="1">IFERROR(__xludf.DUMMYFUNCTION("""COMPUTED_VALUE"""),"安悅")</f>
        <v>安悅</v>
      </c>
      <c r="C712" s="12" t="str">
        <f ca="1">IFERROR(__xludf.DUMMYFUNCTION("""COMPUTED_VALUE"""),"東元")</f>
        <v>東元</v>
      </c>
      <c r="D712" s="12" t="str">
        <f ca="1">IFERROR(__xludf.DUMMYFUNCTION("""COMPUTED_VALUE"""),"東元15KG直立式變頻洗衣機(鈦空銀)W1569XS")</f>
        <v>東元15KG直立式變頻洗衣機(鈦空銀)W1569XS</v>
      </c>
      <c r="E712" s="12" t="str">
        <f ca="1">IFERROR(__xludf.DUMMYFUNCTION("""COMPUTED_VALUE"""),"W1569XS")</f>
        <v>W1569XS</v>
      </c>
      <c r="F712" s="12">
        <f ca="1">IFERROR(__xludf.DUMMYFUNCTION("""COMPUTED_VALUE"""),51082207)</f>
        <v>51082207</v>
      </c>
      <c r="G712" s="12" t="str">
        <f ca="1">IFERROR(__xludf.DUMMYFUNCTION("""COMPUTED_VALUE"""),"IGEM043Z")</f>
        <v>IGEM043Z</v>
      </c>
      <c r="H712" s="12">
        <f ca="1">IFERROR(__xludf.DUMMYFUNCTION("""COMPUTED_VALUE"""),16900)</f>
        <v>16900</v>
      </c>
      <c r="I712" s="14">
        <f ca="1">IFERROR(__xludf.DUMMYFUNCTION("""COMPUTED_VALUE"""),14900)</f>
        <v>14900</v>
      </c>
      <c r="J712" s="16">
        <f ca="1">IFERROR(__xludf.DUMMYFUNCTION("""COMPUTED_VALUE"""),44927)</f>
        <v>44927</v>
      </c>
      <c r="K712" s="12" t="str">
        <f ca="1">IFERROR(__xludf.DUMMYFUNCTION("""COMPUTED_VALUE"""),"回價")</f>
        <v>回價</v>
      </c>
      <c r="L712" s="12" t="str">
        <f ca="1">IFERROR(__xludf.DUMMYFUNCTION("""COMPUTED_VALUE"""),"上架中")</f>
        <v>上架中</v>
      </c>
      <c r="M712" s="12" t="str">
        <f ca="1">IFERROR(__xludf.DUMMYFUNCTION("""COMPUTED_VALUE"""),"2023/1/1回價，2021/8/1短促，2021/7/1新機上架")</f>
        <v>2023/1/1回價，2021/8/1短促，2021/7/1新機上架</v>
      </c>
      <c r="N712" s="12" t="str">
        <f ca="1">IFERROR(__xludf.DUMMYFUNCTION("""COMPUTED_VALUE"""),"直立變頻")</f>
        <v>直立變頻</v>
      </c>
      <c r="O712" s="12" t="str">
        <f ca="1">IFERROR(__xludf.DUMMYFUNCTION("""COMPUTED_VALUE"""),"科技銀")</f>
        <v>科技銀</v>
      </c>
      <c r="P712" s="12" t="str">
        <f ca="1">IFERROR(__xludf.DUMMYFUNCTION("""COMPUTED_VALUE"""),"15KG")</f>
        <v>15KG</v>
      </c>
      <c r="Q712" s="12" t="str">
        <f ca="1">IFERROR(__xludf.DUMMYFUNCTION("""COMPUTED_VALUE"""),"1024*640*684mm")</f>
        <v>1024*640*684mm</v>
      </c>
      <c r="R712" s="12" t="str">
        <f ca="1">IFERROR(__xludf.DUMMYFUNCTION("""COMPUTED_VALUE"""),"中國")</f>
        <v>中國</v>
      </c>
      <c r="S712" s="12" t="str">
        <f ca="1">IFERROR(__xludf.DUMMYFUNCTION("""COMPUTED_VALUE"""),"V/省水標章(金級)")</f>
        <v>V/省水標章(金級)</v>
      </c>
      <c r="T712" s="12"/>
      <c r="U712" s="22" t="str">
        <f ca="1">IFERROR(__xludf.DUMMYFUNCTION("""COMPUTED_VALUE"""),"1年")</f>
        <v>1年</v>
      </c>
      <c r="V712" s="22" t="str">
        <f ca="1">IFERROR(__xludf.DUMMYFUNCTION("""COMPUTED_VALUE"""),"3年")</f>
        <v>3年</v>
      </c>
      <c r="W712" s="12"/>
      <c r="X712" s="12" t="str">
        <f ca="1">IFERROR(__xludf.DUMMYFUNCTION("""COMPUTED_VALUE"""),"(114/1/1-2/28)隨貨送ISITO 輕巧雙電壓吹風機(型號:IS-23E07D)
")</f>
        <v xml:space="preserve">(114/1/1-2/28)隨貨送ISITO 輕巧雙電壓吹風機(型號:IS-23E07D)
</v>
      </c>
      <c r="Y712" s="12"/>
      <c r="Z712" s="14"/>
      <c r="AA712" s="15" t="str">
        <f ca="1">IFERROR(__xludf.DUMMYFUNCTION("""COMPUTED_VALUE"""),"*七種洗衣程序*玻璃緩降上蓋*一鍵智慧洗")</f>
        <v>*七種洗衣程序*玻璃緩降上蓋*一鍵智慧洗</v>
      </c>
    </row>
    <row r="713" spans="1:27" ht="19.5" customHeight="1">
      <c r="A713" s="12" t="str">
        <f ca="1">IFERROR(__xludf.DUMMYFUNCTION("""COMPUTED_VALUE"""),"洗衣機")</f>
        <v>洗衣機</v>
      </c>
      <c r="B713" s="12" t="str">
        <f ca="1">IFERROR(__xludf.DUMMYFUNCTION("""COMPUTED_VALUE"""),"禾聯")</f>
        <v>禾聯</v>
      </c>
      <c r="C713" s="12" t="str">
        <f ca="1">IFERROR(__xludf.DUMMYFUNCTION("""COMPUTED_VALUE"""),"禾聯")</f>
        <v>禾聯</v>
      </c>
      <c r="D713" s="12" t="str">
        <f ca="1">IFERROR(__xludf.DUMMYFUNCTION("""COMPUTED_VALUE"""),"禾聯極致窄身13公斤直立式定頻洗衣機-星耀灰HWM-1391")</f>
        <v>禾聯極致窄身13公斤直立式定頻洗衣機-星耀灰HWM-1391</v>
      </c>
      <c r="E713" s="12" t="str">
        <f ca="1">IFERROR(__xludf.DUMMYFUNCTION("""COMPUTED_VALUE"""),"HWM-1391")</f>
        <v>HWM-1391</v>
      </c>
      <c r="F713" s="12">
        <f ca="1">IFERROR(__xludf.DUMMYFUNCTION("""COMPUTED_VALUE"""),51008254)</f>
        <v>51008254</v>
      </c>
      <c r="G713" s="12" t="str">
        <f ca="1">IFERROR(__xludf.DUMMYFUNCTION("""COMPUTED_VALUE"""),"IGEM0744")</f>
        <v>IGEM0744</v>
      </c>
      <c r="H713" s="13">
        <f ca="1">IFERROR(__xludf.DUMMYFUNCTION("""COMPUTED_VALUE"""),11900)</f>
        <v>11900</v>
      </c>
      <c r="I713" s="14">
        <f ca="1">IFERROR(__xludf.DUMMYFUNCTION("""COMPUTED_VALUE"""),10900)</f>
        <v>10900</v>
      </c>
      <c r="J713" s="16">
        <f ca="1">IFERROR(__xludf.DUMMYFUNCTION("""COMPUTED_VALUE"""),44927)</f>
        <v>44927</v>
      </c>
      <c r="K713" s="12"/>
      <c r="L713" s="12" t="str">
        <f ca="1">IFERROR(__xludf.DUMMYFUNCTION("""COMPUTED_VALUE"""),"上架中")</f>
        <v>上架中</v>
      </c>
      <c r="M713" s="12" t="str">
        <f ca="1">IFERROR(__xludf.DUMMYFUNCTION("""COMPUTED_VALUE"""),"2023/1/1新機上架")</f>
        <v>2023/1/1新機上架</v>
      </c>
      <c r="N713" s="12" t="str">
        <f ca="1">IFERROR(__xludf.DUMMYFUNCTION("""COMPUTED_VALUE"""),"直立定頻")</f>
        <v>直立定頻</v>
      </c>
      <c r="O713" s="12" t="str">
        <f ca="1">IFERROR(__xludf.DUMMYFUNCTION("""COMPUTED_VALUE"""),"星耀灰")</f>
        <v>星耀灰</v>
      </c>
      <c r="P713" s="24" t="str">
        <f ca="1">IFERROR(__xludf.DUMMYFUNCTION("""COMPUTED_VALUE"""),"AC110V/60HZ 標準水量:72L 最大洗衣量:13kg")</f>
        <v>AC110V/60HZ 標準水量:72L 最大洗衣量:13kg</v>
      </c>
      <c r="Q713" s="12" t="str">
        <f ca="1">IFERROR(__xludf.DUMMYFUNCTION("""COMPUTED_VALUE"""),"995*605*640mm")</f>
        <v>995*605*640mm</v>
      </c>
      <c r="R713" s="12" t="str">
        <f ca="1">IFERROR(__xludf.DUMMYFUNCTION("""COMPUTED_VALUE"""),"中國")</f>
        <v>中國</v>
      </c>
      <c r="S713" s="12" t="str">
        <f ca="1">IFERROR(__xludf.DUMMYFUNCTION("""COMPUTED_VALUE"""),"O")</f>
        <v>O</v>
      </c>
      <c r="T713" s="22" t="str">
        <f ca="1">IFERROR(__xludf.DUMMYFUNCTION("""COMPUTED_VALUE"""),"X")</f>
        <v>X</v>
      </c>
      <c r="U713" s="22" t="str">
        <f ca="1">IFERROR(__xludf.DUMMYFUNCTION("""COMPUTED_VALUE"""),"全機保固1年")</f>
        <v>全機保固1年</v>
      </c>
      <c r="V713" s="22" t="str">
        <f ca="1">IFERROR(__xludf.DUMMYFUNCTION("""COMPUTED_VALUE"""),"馬達保固3年")</f>
        <v>馬達保固3年</v>
      </c>
      <c r="W713" s="12"/>
      <c r="X713" s="12"/>
      <c r="Y713" s="12"/>
      <c r="Z713" s="14"/>
      <c r="AA713" s="15" t="str">
        <f ca="1">IFERROR(__xludf.DUMMYFUNCTION("""COMPUTED_VALUE"""),"3D強勁水流*  槽洗淨*  預約洗衣*  FUZZY人工智慧*  兒童安全鎖*  緩降玻璃上蓋")</f>
        <v>3D強勁水流*  槽洗淨*  預約洗衣*  FUZZY人工智慧*  兒童安全鎖*  緩降玻璃上蓋</v>
      </c>
    </row>
    <row r="714" spans="1:27" ht="19.5" customHeight="1">
      <c r="A714" s="12" t="str">
        <f ca="1">IFERROR(__xludf.DUMMYFUNCTION("""COMPUTED_VALUE"""),"洗衣機")</f>
        <v>洗衣機</v>
      </c>
      <c r="B714" s="12" t="str">
        <f ca="1">IFERROR(__xludf.DUMMYFUNCTION("""COMPUTED_VALUE"""),"安悅")</f>
        <v>安悅</v>
      </c>
      <c r="C714" s="12" t="str">
        <f ca="1">IFERROR(__xludf.DUMMYFUNCTION("""COMPUTED_VALUE"""),"東元")</f>
        <v>東元</v>
      </c>
      <c r="D714" s="12" t="str">
        <f ca="1">IFERROR(__xludf.DUMMYFUNCTION("""COMPUTED_VALUE"""),"東元10KG小蠻腰直立式定頻洗衣機(鋼琴黑)W1058FS")</f>
        <v>東元10KG小蠻腰直立式定頻洗衣機(鋼琴黑)W1058FS</v>
      </c>
      <c r="E714" s="12" t="str">
        <f ca="1">IFERROR(__xludf.DUMMYFUNCTION("""COMPUTED_VALUE"""),"W1058FS")</f>
        <v>W1058FS</v>
      </c>
      <c r="F714" s="12">
        <f ca="1">IFERROR(__xludf.DUMMYFUNCTION("""COMPUTED_VALUE"""),51082251)</f>
        <v>51082251</v>
      </c>
      <c r="G714" s="12" t="str">
        <f ca="1">IFERROR(__xludf.DUMMYFUNCTION("""COMPUTED_VALUE"""),"IGEM074C")</f>
        <v>IGEM074C</v>
      </c>
      <c r="H714" s="13">
        <f ca="1">IFERROR(__xludf.DUMMYFUNCTION("""COMPUTED_VALUE"""),9990)</f>
        <v>9990</v>
      </c>
      <c r="I714" s="14">
        <f ca="1">IFERROR(__xludf.DUMMYFUNCTION("""COMPUTED_VALUE"""),7790)</f>
        <v>7790</v>
      </c>
      <c r="J714" s="16">
        <f ca="1">IFERROR(__xludf.DUMMYFUNCTION("""COMPUTED_VALUE"""),45418)</f>
        <v>45418</v>
      </c>
      <c r="K714" s="12" t="str">
        <f ca="1">IFERROR(__xludf.DUMMYFUNCTION("""COMPUTED_VALUE"""),"缺貨")</f>
        <v>缺貨</v>
      </c>
      <c r="L714" s="12" t="str">
        <f ca="1">IFERROR(__xludf.DUMMYFUNCTION("""COMPUTED_VALUE"""),"上架中")</f>
        <v>上架中</v>
      </c>
      <c r="M714" s="12"/>
      <c r="N714" s="12" t="str">
        <f ca="1">IFERROR(__xludf.DUMMYFUNCTION("""COMPUTED_VALUE"""),"直立定頻")</f>
        <v>直立定頻</v>
      </c>
      <c r="O714" s="12" t="str">
        <f ca="1">IFERROR(__xludf.DUMMYFUNCTION("""COMPUTED_VALUE"""),"鋼琴黑")</f>
        <v>鋼琴黑</v>
      </c>
      <c r="P714" s="12" t="str">
        <f ca="1">IFERROR(__xludf.DUMMYFUNCTION("""COMPUTED_VALUE"""),"10KG")</f>
        <v>10KG</v>
      </c>
      <c r="Q714" s="12" t="str">
        <f ca="1">IFERROR(__xludf.DUMMYFUNCTION("""COMPUTED_VALUE"""),"917*554*600mm")</f>
        <v>917*554*600mm</v>
      </c>
      <c r="R714" s="12" t="str">
        <f ca="1">IFERROR(__xludf.DUMMYFUNCTION("""COMPUTED_VALUE"""),"中國")</f>
        <v>中國</v>
      </c>
      <c r="S714" s="22" t="str">
        <f ca="1">IFERROR(__xludf.DUMMYFUNCTION("""COMPUTED_VALUE"""),"V/省水標章(普級)")</f>
        <v>V/省水標章(普級)</v>
      </c>
      <c r="T714" s="12"/>
      <c r="U714" s="22" t="str">
        <f ca="1">IFERROR(__xludf.DUMMYFUNCTION("""COMPUTED_VALUE"""),"1年")</f>
        <v>1年</v>
      </c>
      <c r="V714" s="22" t="str">
        <f ca="1">IFERROR(__xludf.DUMMYFUNCTION("""COMPUTED_VALUE"""),"3年")</f>
        <v>3年</v>
      </c>
      <c r="W714" s="12"/>
      <c r="X714" s="12"/>
      <c r="Y714" s="12"/>
      <c r="Z714" s="14"/>
      <c r="AA714" s="15" t="str">
        <f ca="1">IFERROR(__xludf.DUMMYFUNCTION("""COMPUTED_VALUE"""),"*不銹鋼抗菌內槽*9大洗衣行程/10段水位*採用日本技術塑封靜音馬達*透明強化玻璃上蓋*FUZZY人工智慧全自動洗衣*金級省水標章")</f>
        <v>*不銹鋼抗菌內槽*9大洗衣行程/10段水位*採用日本技術塑封靜音馬達*透明強化玻璃上蓋*FUZZY人工智慧全自動洗衣*金級省水標章</v>
      </c>
    </row>
    <row r="715" spans="1:27" ht="19.5" customHeight="1">
      <c r="A715" s="12" t="str">
        <f ca="1">IFERROR(__xludf.DUMMYFUNCTION("""COMPUTED_VALUE"""),"洗衣機")</f>
        <v>洗衣機</v>
      </c>
      <c r="B715" s="12" t="str">
        <f ca="1">IFERROR(__xludf.DUMMYFUNCTION("""COMPUTED_VALUE"""),"安悅")</f>
        <v>安悅</v>
      </c>
      <c r="C715" s="12" t="str">
        <f ca="1">IFERROR(__xludf.DUMMYFUNCTION("""COMPUTED_VALUE"""),"東元")</f>
        <v>東元</v>
      </c>
      <c r="D715" s="12" t="str">
        <f ca="1">IFERROR(__xludf.DUMMYFUNCTION("""COMPUTED_VALUE"""),"東元12KG直立式變頻洗衣機(銀)W1268XS")</f>
        <v>東元12KG直立式變頻洗衣機(銀)W1268XS</v>
      </c>
      <c r="E715" s="12" t="str">
        <f ca="1">IFERROR(__xludf.DUMMYFUNCTION("""COMPUTED_VALUE"""),"W1268XS")</f>
        <v>W1268XS</v>
      </c>
      <c r="F715" s="12">
        <f ca="1">IFERROR(__xludf.DUMMYFUNCTION("""COMPUTED_VALUE"""),51082252)</f>
        <v>51082252</v>
      </c>
      <c r="G715" s="12" t="str">
        <f ca="1">IFERROR(__xludf.DUMMYFUNCTION("""COMPUTED_VALUE"""),"IGEM074D")</f>
        <v>IGEM074D</v>
      </c>
      <c r="H715" s="13">
        <f ca="1">IFERROR(__xludf.DUMMYFUNCTION("""COMPUTED_VALUE"""),12900)</f>
        <v>12900</v>
      </c>
      <c r="I715" s="14">
        <f ca="1">IFERROR(__xludf.DUMMYFUNCTION("""COMPUTED_VALUE"""),11490)</f>
        <v>11490</v>
      </c>
      <c r="J715" s="16">
        <f ca="1">IFERROR(__xludf.DUMMYFUNCTION("""COMPUTED_VALUE"""),45464)</f>
        <v>45464</v>
      </c>
      <c r="K715" s="12" t="str">
        <f ca="1">IFERROR(__xludf.DUMMYFUNCTION("""COMPUTED_VALUE"""),"到貨")</f>
        <v>到貨</v>
      </c>
      <c r="L715" s="12" t="str">
        <f ca="1">IFERROR(__xludf.DUMMYFUNCTION("""COMPUTED_VALUE"""),"上架中")</f>
        <v>上架中</v>
      </c>
      <c r="M715" s="12"/>
      <c r="N715" s="12" t="str">
        <f ca="1">IFERROR(__xludf.DUMMYFUNCTION("""COMPUTED_VALUE"""),"直立變頻")</f>
        <v>直立變頻</v>
      </c>
      <c r="O715" s="12" t="str">
        <f ca="1">IFERROR(__xludf.DUMMYFUNCTION("""COMPUTED_VALUE"""),"科技銀")</f>
        <v>科技銀</v>
      </c>
      <c r="P715" s="12" t="str">
        <f ca="1">IFERROR(__xludf.DUMMYFUNCTION("""COMPUTED_VALUE"""),"12KG")</f>
        <v>12KG</v>
      </c>
      <c r="Q715" s="12" t="str">
        <f ca="1">IFERROR(__xludf.DUMMYFUNCTION("""COMPUTED_VALUE"""),"970*570*592mm")</f>
        <v>970*570*592mm</v>
      </c>
      <c r="R715" s="12" t="str">
        <f ca="1">IFERROR(__xludf.DUMMYFUNCTION("""COMPUTED_VALUE"""),"中國")</f>
        <v>中國</v>
      </c>
      <c r="S715" s="22" t="str">
        <f ca="1">IFERROR(__xludf.DUMMYFUNCTION("""COMPUTED_VALUE"""),"V/省水標章(普級)")</f>
        <v>V/省水標章(普級)</v>
      </c>
      <c r="T715" s="12"/>
      <c r="U715" s="22" t="str">
        <f ca="1">IFERROR(__xludf.DUMMYFUNCTION("""COMPUTED_VALUE"""),"1年")</f>
        <v>1年</v>
      </c>
      <c r="V715" s="22" t="str">
        <f ca="1">IFERROR(__xludf.DUMMYFUNCTION("""COMPUTED_VALUE"""),"3年")</f>
        <v>3年</v>
      </c>
      <c r="W715" s="12"/>
      <c r="X715" s="12"/>
      <c r="Y715" s="12"/>
      <c r="Z715" s="14"/>
      <c r="AA715" s="15" t="str">
        <f ca="1">IFERROR(__xludf.DUMMYFUNCTION("""COMPUTED_VALUE"""),"*緩降玻璃上蓋*不繡鋼抗菌內槽*DD直驅變頻馬達")</f>
        <v>*緩降玻璃上蓋*不繡鋼抗菌內槽*DD直驅變頻馬達</v>
      </c>
    </row>
    <row r="716" spans="1:27" ht="19.5" customHeight="1">
      <c r="A716" s="12" t="str">
        <f ca="1">IFERROR(__xludf.DUMMYFUNCTION("""COMPUTED_VALUE"""),"洗衣機")</f>
        <v>洗衣機</v>
      </c>
      <c r="B716" s="12" t="str">
        <f ca="1">IFERROR(__xludf.DUMMYFUNCTION("""COMPUTED_VALUE"""),"安悅")</f>
        <v>安悅</v>
      </c>
      <c r="C716" s="12" t="str">
        <f ca="1">IFERROR(__xludf.DUMMYFUNCTION("""COMPUTED_VALUE"""),"東元")</f>
        <v>東元</v>
      </c>
      <c r="D716" s="12" t="str">
        <f ca="1">IFERROR(__xludf.DUMMYFUNCTION("""COMPUTED_VALUE"""),"東元_17公斤直立式變頻洗衣機_W1769XS")</f>
        <v>東元_17公斤直立式變頻洗衣機_W1769XS</v>
      </c>
      <c r="E716" s="12" t="str">
        <f ca="1">IFERROR(__xludf.DUMMYFUNCTION("""COMPUTED_VALUE"""),"W1769XS")</f>
        <v>W1769XS</v>
      </c>
      <c r="F716" s="12">
        <f ca="1">IFERROR(__xludf.DUMMYFUNCTION("""COMPUTED_VALUE"""),51082271)</f>
        <v>51082271</v>
      </c>
      <c r="G716" s="12" t="str">
        <f ca="1">IFERROR(__xludf.DUMMYFUNCTION("""COMPUTED_VALUE"""),"IGEM081V")</f>
        <v>IGEM081V</v>
      </c>
      <c r="H716" s="13">
        <f ca="1">IFERROR(__xludf.DUMMYFUNCTION("""COMPUTED_VALUE"""),18900)</f>
        <v>18900</v>
      </c>
      <c r="I716" s="14">
        <f ca="1">IFERROR(__xludf.DUMMYFUNCTION("""COMPUTED_VALUE"""),17000)</f>
        <v>17000</v>
      </c>
      <c r="J716" s="16">
        <f ca="1">IFERROR(__xludf.DUMMYFUNCTION("""COMPUTED_VALUE"""),45047)</f>
        <v>45047</v>
      </c>
      <c r="K716" s="12" t="str">
        <f ca="1">IFERROR(__xludf.DUMMYFUNCTION("""COMPUTED_VALUE"""),"新機上架")</f>
        <v>新機上架</v>
      </c>
      <c r="L716" s="12" t="str">
        <f ca="1">IFERROR(__xludf.DUMMYFUNCTION("""COMPUTED_VALUE"""),"上架中")</f>
        <v>上架中</v>
      </c>
      <c r="M716" s="12"/>
      <c r="N716" s="12" t="str">
        <f ca="1">IFERROR(__xludf.DUMMYFUNCTION("""COMPUTED_VALUE"""),"直立變頻")</f>
        <v>直立變頻</v>
      </c>
      <c r="O716" s="12" t="str">
        <f ca="1">IFERROR(__xludf.DUMMYFUNCTION("""COMPUTED_VALUE"""),"科技銀")</f>
        <v>科技銀</v>
      </c>
      <c r="P716" s="12" t="str">
        <f ca="1">IFERROR(__xludf.DUMMYFUNCTION("""COMPUTED_VALUE"""),"17KG")</f>
        <v>17KG</v>
      </c>
      <c r="Q716" s="12" t="str">
        <f ca="1">IFERROR(__xludf.DUMMYFUNCTION("""COMPUTED_VALUE"""),"1024*640*684mm")</f>
        <v>1024*640*684mm</v>
      </c>
      <c r="R716" s="12" t="str">
        <f ca="1">IFERROR(__xludf.DUMMYFUNCTION("""COMPUTED_VALUE"""),"中國")</f>
        <v>中國</v>
      </c>
      <c r="S716" s="22" t="str">
        <f ca="1">IFERROR(__xludf.DUMMYFUNCTION("""COMPUTED_VALUE"""),"V/省水標章(金級)")</f>
        <v>V/省水標章(金級)</v>
      </c>
      <c r="T716" s="12" t="str">
        <f ca="1">IFERROR(__xludf.DUMMYFUNCTION("""COMPUTED_VALUE"""),"省水標章")</f>
        <v>省水標章</v>
      </c>
      <c r="U716" s="22" t="str">
        <f ca="1">IFERROR(__xludf.DUMMYFUNCTION("""COMPUTED_VALUE"""),"1年")</f>
        <v>1年</v>
      </c>
      <c r="V716" s="22" t="str">
        <f ca="1">IFERROR(__xludf.DUMMYFUNCTION("""COMPUTED_VALUE"""),"3年")</f>
        <v>3年</v>
      </c>
      <c r="W716" s="12"/>
      <c r="X716" s="12" t="str">
        <f ca="1">IFERROR(__xludf.DUMMYFUNCTION("""COMPUTED_VALUE"""),"(114/1/1-2/28)隨貨送ISITO 輕巧雙電壓吹風機(型號:IS-23E07D)
")</f>
        <v xml:space="preserve">(114/1/1-2/28)隨貨送ISITO 輕巧雙電壓吹風機(型號:IS-23E07D)
</v>
      </c>
      <c r="Y716" s="12"/>
      <c r="Z716" s="14"/>
      <c r="AA716" s="15" t="str">
        <f ca="1">IFERROR(__xludf.DUMMYFUNCTION("""COMPUTED_VALUE"""),"*DD直驅變頻馬達*不繡鋼抗菌內槽*雙水流洗*7種洗衣行程/8段水位調整*一鍵智慧洗*預約洗衣功能*15分鐘快洗*AUTO槽洗淨*玻璃緩降上蓋*兒童安全鎖*金級省水標章")</f>
        <v>*DD直驅變頻馬達*不繡鋼抗菌內槽*雙水流洗*7種洗衣行程/8段水位調整*一鍵智慧洗*預約洗衣功能*15分鐘快洗*AUTO槽洗淨*玻璃緩降上蓋*兒童安全鎖*金級省水標章</v>
      </c>
    </row>
    <row r="717" spans="1:27" ht="19.5" customHeight="1">
      <c r="A717" s="12" t="str">
        <f ca="1">IFERROR(__xludf.DUMMYFUNCTION("""COMPUTED_VALUE"""),"洗衣機")</f>
        <v>洗衣機</v>
      </c>
      <c r="B717" s="12" t="str">
        <f ca="1">IFERROR(__xludf.DUMMYFUNCTION("""COMPUTED_VALUE"""),"安悅")</f>
        <v>安悅</v>
      </c>
      <c r="C717" s="12" t="str">
        <f ca="1">IFERROR(__xludf.DUMMYFUNCTION("""COMPUTED_VALUE"""),"東元")</f>
        <v>東元</v>
      </c>
      <c r="D717" s="12" t="str">
        <f ca="1">IFERROR(__xludf.DUMMYFUNCTION("""COMPUTED_VALUE"""),"東元_16公斤直立式變頻洗衣機_W1669XS")</f>
        <v>東元_16公斤直立式變頻洗衣機_W1669XS</v>
      </c>
      <c r="E717" s="12" t="str">
        <f ca="1">IFERROR(__xludf.DUMMYFUNCTION("""COMPUTED_VALUE"""),"W1669XS")</f>
        <v>W1669XS</v>
      </c>
      <c r="F717" s="12">
        <f ca="1">IFERROR(__xludf.DUMMYFUNCTION("""COMPUTED_VALUE"""),51082270)</f>
        <v>51082270</v>
      </c>
      <c r="G717" s="12" t="str">
        <f ca="1">IFERROR(__xludf.DUMMYFUNCTION("""COMPUTED_VALUE"""),"IGEM081U")</f>
        <v>IGEM081U</v>
      </c>
      <c r="H717" s="13">
        <f ca="1">IFERROR(__xludf.DUMMYFUNCTION("""COMPUTED_VALUE"""),17900)</f>
        <v>17900</v>
      </c>
      <c r="I717" s="14">
        <f ca="1">IFERROR(__xludf.DUMMYFUNCTION("""COMPUTED_VALUE"""),16000)</f>
        <v>16000</v>
      </c>
      <c r="J717" s="16">
        <f ca="1">IFERROR(__xludf.DUMMYFUNCTION("""COMPUTED_VALUE"""),45047)</f>
        <v>45047</v>
      </c>
      <c r="K717" s="12" t="str">
        <f ca="1">IFERROR(__xludf.DUMMYFUNCTION("""COMPUTED_VALUE"""),"新機上架")</f>
        <v>新機上架</v>
      </c>
      <c r="L717" s="12" t="str">
        <f ca="1">IFERROR(__xludf.DUMMYFUNCTION("""COMPUTED_VALUE"""),"上架中")</f>
        <v>上架中</v>
      </c>
      <c r="M717" s="12"/>
      <c r="N717" s="12" t="str">
        <f ca="1">IFERROR(__xludf.DUMMYFUNCTION("""COMPUTED_VALUE"""),"直立變頻")</f>
        <v>直立變頻</v>
      </c>
      <c r="O717" s="12" t="str">
        <f ca="1">IFERROR(__xludf.DUMMYFUNCTION("""COMPUTED_VALUE"""),"科技銀")</f>
        <v>科技銀</v>
      </c>
      <c r="P717" s="12" t="str">
        <f ca="1">IFERROR(__xludf.DUMMYFUNCTION("""COMPUTED_VALUE"""),"16KG")</f>
        <v>16KG</v>
      </c>
      <c r="Q717" s="12" t="str">
        <f ca="1">IFERROR(__xludf.DUMMYFUNCTION("""COMPUTED_VALUE"""),"1024*640*684mm")</f>
        <v>1024*640*684mm</v>
      </c>
      <c r="R717" s="12" t="str">
        <f ca="1">IFERROR(__xludf.DUMMYFUNCTION("""COMPUTED_VALUE"""),"中國")</f>
        <v>中國</v>
      </c>
      <c r="S717" s="22" t="str">
        <f ca="1">IFERROR(__xludf.DUMMYFUNCTION("""COMPUTED_VALUE"""),"V/省水標章(金級)")</f>
        <v>V/省水標章(金級)</v>
      </c>
      <c r="T717" s="12" t="str">
        <f ca="1">IFERROR(__xludf.DUMMYFUNCTION("""COMPUTED_VALUE"""),"省水標章")</f>
        <v>省水標章</v>
      </c>
      <c r="U717" s="22" t="str">
        <f ca="1">IFERROR(__xludf.DUMMYFUNCTION("""COMPUTED_VALUE"""),"1年")</f>
        <v>1年</v>
      </c>
      <c r="V717" s="22" t="str">
        <f ca="1">IFERROR(__xludf.DUMMYFUNCTION("""COMPUTED_VALUE"""),"3年")</f>
        <v>3年</v>
      </c>
      <c r="W717" s="12"/>
      <c r="X717" s="12" t="str">
        <f ca="1">IFERROR(__xludf.DUMMYFUNCTION("""COMPUTED_VALUE"""),"(114/1/1-2/28)隨貨送ISITO 輕巧雙電壓吹風機(型號:IS-23E07D)
")</f>
        <v xml:space="preserve">(114/1/1-2/28)隨貨送ISITO 輕巧雙電壓吹風機(型號:IS-23E07D)
</v>
      </c>
      <c r="Y717" s="12"/>
      <c r="Z717" s="14"/>
      <c r="AA717" s="15" t="str">
        <f ca="1">IFERROR(__xludf.DUMMYFUNCTION("""COMPUTED_VALUE"""),"*DD直驅變頻馬達*不繡鋼抗菌內槽*雙水流洗*7種洗衣行程/8段水位調整*一鍵智慧洗*預約洗衣功能*15分鐘快洗*AUTO槽洗淨*玻璃緩降上蓋*兒童安全鎖*金級省水標章")</f>
        <v>*DD直驅變頻馬達*不繡鋼抗菌內槽*雙水流洗*7種洗衣行程/8段水位調整*一鍵智慧洗*預約洗衣功能*15分鐘快洗*AUTO槽洗淨*玻璃緩降上蓋*兒童安全鎖*金級省水標章</v>
      </c>
    </row>
    <row r="718" spans="1:27" ht="19.5" customHeight="1">
      <c r="A718" s="12" t="str">
        <f ca="1">IFERROR(__xludf.DUMMYFUNCTION("""COMPUTED_VALUE"""),"洗衣機")</f>
        <v>洗衣機</v>
      </c>
      <c r="B718" s="12" t="str">
        <f ca="1">IFERROR(__xludf.DUMMYFUNCTION("""COMPUTED_VALUE"""),"台灣三洋")</f>
        <v>台灣三洋</v>
      </c>
      <c r="C718" s="12" t="str">
        <f ca="1">IFERROR(__xludf.DUMMYFUNCTION("""COMPUTED_VALUE"""),"台灣三洋")</f>
        <v>台灣三洋</v>
      </c>
      <c r="D718" s="12" t="str">
        <f ca="1">IFERROR(__xludf.DUMMYFUNCTION("""COMPUTED_VALUE"""),"台灣三洋13公斤定頻洗衣機SW-13NS6A")</f>
        <v>台灣三洋13公斤定頻洗衣機SW-13NS6A</v>
      </c>
      <c r="E718" s="12" t="str">
        <f ca="1">IFERROR(__xludf.DUMMYFUNCTION("""COMPUTED_VALUE"""),"SW-13NS6A")</f>
        <v>SW-13NS6A</v>
      </c>
      <c r="F718" s="12">
        <f ca="1">IFERROR(__xludf.DUMMYFUNCTION("""COMPUTED_VALUE"""),51075020)</f>
        <v>51075020</v>
      </c>
      <c r="G718" s="12" t="str">
        <f ca="1">IFERROR(__xludf.DUMMYFUNCTION("""COMPUTED_VALUE"""),"IGEM01R6")</f>
        <v>IGEM01R6</v>
      </c>
      <c r="H718" s="12">
        <f ca="1">IFERROR(__xludf.DUMMYFUNCTION("""COMPUTED_VALUE"""),16400)</f>
        <v>16400</v>
      </c>
      <c r="I718" s="14">
        <f ca="1">IFERROR(__xludf.DUMMYFUNCTION("""COMPUTED_VALUE"""),14800)</f>
        <v>14800</v>
      </c>
      <c r="J718" s="21">
        <f ca="1">IFERROR(__xludf.DUMMYFUNCTION("""COMPUTED_VALUE"""),44927)</f>
        <v>44927</v>
      </c>
      <c r="K718" s="12" t="str">
        <f ca="1">IFERROR(__xludf.DUMMYFUNCTION("""COMPUTED_VALUE"""),"回價")</f>
        <v>回價</v>
      </c>
      <c r="L718" s="12" t="str">
        <f ca="1">IFERROR(__xludf.DUMMYFUNCTION("""COMPUTED_VALUE"""),"上架中")</f>
        <v>上架中</v>
      </c>
      <c r="M718" s="12" t="str">
        <f ca="1">IFERROR(__xludf.DUMMYFUNCTION("""COMPUTED_VALUE"""),"2020/4/9新機上架")</f>
        <v>2020/4/9新機上架</v>
      </c>
      <c r="N718" s="12" t="str">
        <f ca="1">IFERROR(__xludf.DUMMYFUNCTION("""COMPUTED_VALUE"""),"直立定頻")</f>
        <v>直立定頻</v>
      </c>
      <c r="O718" s="12" t="str">
        <f ca="1">IFERROR(__xludf.DUMMYFUNCTION("""COMPUTED_VALUE"""),"香檳金")</f>
        <v>香檳金</v>
      </c>
      <c r="P718" s="12" t="str">
        <f ca="1">IFERROR(__xludf.DUMMYFUNCTION("""COMPUTED_VALUE"""),"13公斤")</f>
        <v>13公斤</v>
      </c>
      <c r="Q718" s="12" t="str">
        <f ca="1">IFERROR(__xludf.DUMMYFUNCTION("""COMPUTED_VALUE"""),"1030*598*658mm")</f>
        <v>1030*598*658mm</v>
      </c>
      <c r="R718" s="12" t="str">
        <f ca="1">IFERROR(__xludf.DUMMYFUNCTION("""COMPUTED_VALUE"""),"台灣")</f>
        <v>台灣</v>
      </c>
      <c r="S718" s="12" t="str">
        <f ca="1">IFERROR(__xludf.DUMMYFUNCTION("""COMPUTED_VALUE"""),"V/省水標章(普級)")</f>
        <v>V/省水標章(普級)</v>
      </c>
      <c r="T718" s="12"/>
      <c r="U718" s="22" t="str">
        <f ca="1">IFERROR(__xludf.DUMMYFUNCTION("""COMPUTED_VALUE"""),"1年")</f>
        <v>1年</v>
      </c>
      <c r="V718" s="12" t="str">
        <f ca="1">IFERROR(__xludf.DUMMYFUNCTION("""COMPUTED_VALUE"""),"機板、軸受組立、吊棒組立、洗衣馬達、脫水馬達(不含排水馬達)三年")</f>
        <v>機板、軸受組立、吊棒組立、洗衣馬達、脫水馬達(不含排水馬達)三年</v>
      </c>
      <c r="W718" s="12"/>
      <c r="X718" s="12"/>
      <c r="Y718" s="12"/>
      <c r="Z718" s="14"/>
      <c r="AA718" s="15" t="str">
        <f ca="1">IFERROR(__xludf.DUMMYFUNCTION("""COMPUTED_VALUE"""),"*4D鑽石內槽/3D環流槽洗淨*省力油壓緩降上蓋*全景式強化玻璃上蓋")</f>
        <v>*4D鑽石內槽/3D環流槽洗淨*省力油壓緩降上蓋*全景式強化玻璃上蓋</v>
      </c>
    </row>
    <row r="719" spans="1:27" ht="19.5" customHeight="1">
      <c r="A719" s="12" t="str">
        <f ca="1">IFERROR(__xludf.DUMMYFUNCTION("""COMPUTED_VALUE"""),"洗衣機")</f>
        <v>洗衣機</v>
      </c>
      <c r="B719" s="12" t="str">
        <f ca="1">IFERROR(__xludf.DUMMYFUNCTION("""COMPUTED_VALUE"""),"台灣三洋")</f>
        <v>台灣三洋</v>
      </c>
      <c r="C719" s="12" t="str">
        <f ca="1">IFERROR(__xludf.DUMMYFUNCTION("""COMPUTED_VALUE"""),"台灣三洋")</f>
        <v>台灣三洋</v>
      </c>
      <c r="D719" s="12" t="str">
        <f ca="1">IFERROR(__xludf.DUMMYFUNCTION("""COMPUTED_VALUE"""),"台灣三洋15公斤定頻洗衣機SW-15NS6")</f>
        <v>台灣三洋15公斤定頻洗衣機SW-15NS6</v>
      </c>
      <c r="E719" s="12" t="str">
        <f ca="1">IFERROR(__xludf.DUMMYFUNCTION("""COMPUTED_VALUE"""),"SW-15NS6")</f>
        <v>SW-15NS6</v>
      </c>
      <c r="F719" s="12">
        <f ca="1">IFERROR(__xludf.DUMMYFUNCTION("""COMPUTED_VALUE"""),51075011)</f>
        <v>51075011</v>
      </c>
      <c r="G719" s="12" t="str">
        <f ca="1">IFERROR(__xludf.DUMMYFUNCTION("""COMPUTED_VALUE"""),"IGEM019G")</f>
        <v>IGEM019G</v>
      </c>
      <c r="H719" s="12">
        <f ca="1">IFERROR(__xludf.DUMMYFUNCTION("""COMPUTED_VALUE"""),18090)</f>
        <v>18090</v>
      </c>
      <c r="I719" s="14">
        <f ca="1">IFERROR(__xludf.DUMMYFUNCTION("""COMPUTED_VALUE"""),16300)</f>
        <v>16300</v>
      </c>
      <c r="J719" s="16">
        <f ca="1">IFERROR(__xludf.DUMMYFUNCTION("""COMPUTED_VALUE"""),44927)</f>
        <v>44927</v>
      </c>
      <c r="K719" s="12" t="str">
        <f ca="1">IFERROR(__xludf.DUMMYFUNCTION("""COMPUTED_VALUE"""),"回價")</f>
        <v>回價</v>
      </c>
      <c r="L719" s="12" t="str">
        <f ca="1">IFERROR(__xludf.DUMMYFUNCTION("""COMPUTED_VALUE"""),"上架中")</f>
        <v>上架中</v>
      </c>
      <c r="M719" s="12" t="str">
        <f ca="1">IFERROR(__xludf.DUMMYFUNCTION("""COMPUTED_VALUE"""),"2019/8/1新機上架")</f>
        <v>2019/8/1新機上架</v>
      </c>
      <c r="N719" s="12" t="str">
        <f ca="1">IFERROR(__xludf.DUMMYFUNCTION("""COMPUTED_VALUE"""),"直立定頻")</f>
        <v>直立定頻</v>
      </c>
      <c r="O719" s="12" t="str">
        <f ca="1">IFERROR(__xludf.DUMMYFUNCTION("""COMPUTED_VALUE"""),"香檳金")</f>
        <v>香檳金</v>
      </c>
      <c r="P719" s="12" t="str">
        <f ca="1">IFERROR(__xludf.DUMMYFUNCTION("""COMPUTED_VALUE"""),"15公斤")</f>
        <v>15公斤</v>
      </c>
      <c r="Q719" s="12" t="str">
        <f ca="1">IFERROR(__xludf.DUMMYFUNCTION("""COMPUTED_VALUE"""),"1040*675*675mm")</f>
        <v>1040*675*675mm</v>
      </c>
      <c r="R719" s="12" t="str">
        <f ca="1">IFERROR(__xludf.DUMMYFUNCTION("""COMPUTED_VALUE"""),"台灣")</f>
        <v>台灣</v>
      </c>
      <c r="S719" s="22" t="str">
        <f ca="1">IFERROR(__xludf.DUMMYFUNCTION("""COMPUTED_VALUE"""),"省水標章(金級)")</f>
        <v>省水標章(金級)</v>
      </c>
      <c r="T719" s="12"/>
      <c r="U719" s="22" t="str">
        <f ca="1">IFERROR(__xludf.DUMMYFUNCTION("""COMPUTED_VALUE"""),"1年")</f>
        <v>1年</v>
      </c>
      <c r="V719" s="12" t="str">
        <f ca="1">IFERROR(__xludf.DUMMYFUNCTION("""COMPUTED_VALUE"""),"機板、軸受組立、吊棒組立、洗衣馬達、脫水馬達(不含排水馬達)三年")</f>
        <v>機板、軸受組立、吊棒組立、洗衣馬達、脫水馬達(不含排水馬達)三年</v>
      </c>
      <c r="W719" s="12"/>
      <c r="X719" s="12"/>
      <c r="Y719" s="12"/>
      <c r="Z719" s="14"/>
      <c r="AA719" s="15" t="str">
        <f ca="1">IFERROR(__xludf.DUMMYFUNCTION("""COMPUTED_VALUE"""),"*超音波洗衣機*省力油壓緩降上蓋*全景式強化玻璃上蓋")</f>
        <v>*超音波洗衣機*省力油壓緩降上蓋*全景式強化玻璃上蓋</v>
      </c>
    </row>
    <row r="720" spans="1:27" ht="19.5" customHeight="1">
      <c r="A720" s="12" t="str">
        <f ca="1">IFERROR(__xludf.DUMMYFUNCTION("""COMPUTED_VALUE"""),"洗衣機")</f>
        <v>洗衣機</v>
      </c>
      <c r="B720" s="12" t="str">
        <f ca="1">IFERROR(__xludf.DUMMYFUNCTION("""COMPUTED_VALUE"""),"台灣三洋")</f>
        <v>台灣三洋</v>
      </c>
      <c r="C720" s="12" t="str">
        <f ca="1">IFERROR(__xludf.DUMMYFUNCTION("""COMPUTED_VALUE"""),"台灣三洋")</f>
        <v>台灣三洋</v>
      </c>
      <c r="D720" s="12" t="str">
        <f ca="1">IFERROR(__xludf.DUMMYFUNCTION("""COMPUTED_VALUE"""),"台灣三洋_6.5公斤定頻單槽洗衣機_ASW-68HTB")</f>
        <v>台灣三洋_6.5公斤定頻單槽洗衣機_ASW-68HTB</v>
      </c>
      <c r="E720" s="12" t="str">
        <f ca="1">IFERROR(__xludf.DUMMYFUNCTION("""COMPUTED_VALUE"""),"ASW-68HTB")</f>
        <v>ASW-68HTB</v>
      </c>
      <c r="F720" s="12">
        <f ca="1">IFERROR(__xludf.DUMMYFUNCTION("""COMPUTED_VALUE"""),51075074)</f>
        <v>51075074</v>
      </c>
      <c r="G720" s="12" t="str">
        <f ca="1">IFERROR(__xludf.DUMMYFUNCTION("""COMPUTED_VALUE"""),"IGEM0851")</f>
        <v>IGEM0851</v>
      </c>
      <c r="H720" s="13">
        <f ca="1">IFERROR(__xludf.DUMMYFUNCTION("""COMPUTED_VALUE"""),7490)</f>
        <v>7490</v>
      </c>
      <c r="I720" s="14">
        <f ca="1">IFERROR(__xludf.DUMMYFUNCTION("""COMPUTED_VALUE"""),6700)</f>
        <v>6700</v>
      </c>
      <c r="J720" s="16">
        <f ca="1">IFERROR(__xludf.DUMMYFUNCTION("""COMPUTED_VALUE"""),45108)</f>
        <v>45108</v>
      </c>
      <c r="K720" s="12" t="str">
        <f ca="1">IFERROR(__xludf.DUMMYFUNCTION("""COMPUTED_VALUE"""),"新機上架")</f>
        <v>新機上架</v>
      </c>
      <c r="L720" s="12" t="str">
        <f ca="1">IFERROR(__xludf.DUMMYFUNCTION("""COMPUTED_VALUE"""),"上架中")</f>
        <v>上架中</v>
      </c>
      <c r="M720" s="12"/>
      <c r="N720" s="12" t="str">
        <f ca="1">IFERROR(__xludf.DUMMYFUNCTION("""COMPUTED_VALUE"""),"直立定頻")</f>
        <v>直立定頻</v>
      </c>
      <c r="O720" s="12" t="str">
        <f ca="1">IFERROR(__xludf.DUMMYFUNCTION("""COMPUTED_VALUE"""),"白")</f>
        <v>白</v>
      </c>
      <c r="P720" s="12" t="str">
        <f ca="1">IFERROR(__xludf.DUMMYFUNCTION("""COMPUTED_VALUE"""),"6.5公斤")</f>
        <v>6.5公斤</v>
      </c>
      <c r="Q720" s="12" t="str">
        <f ca="1">IFERROR(__xludf.DUMMYFUNCTION("""COMPUTED_VALUE"""),"837*514*525mm")</f>
        <v>837*514*525mm</v>
      </c>
      <c r="R720" s="12" t="str">
        <f ca="1">IFERROR(__xludf.DUMMYFUNCTION("""COMPUTED_VALUE"""),"中國")</f>
        <v>中國</v>
      </c>
      <c r="S720" s="22" t="str">
        <f ca="1">IFERROR(__xludf.DUMMYFUNCTION("""COMPUTED_VALUE"""),"省水標章(金級)")</f>
        <v>省水標章(金級)</v>
      </c>
      <c r="T720" s="12"/>
      <c r="U720" s="22" t="str">
        <f ca="1">IFERROR(__xludf.DUMMYFUNCTION("""COMPUTED_VALUE"""),"1年")</f>
        <v>1年</v>
      </c>
      <c r="V720" s="12" t="str">
        <f ca="1">IFERROR(__xludf.DUMMYFUNCTION("""COMPUTED_VALUE"""),"1年")</f>
        <v>1年</v>
      </c>
      <c r="W720" s="12"/>
      <c r="X720" s="12"/>
      <c r="Y720" s="12"/>
      <c r="Z720" s="14"/>
      <c r="AA720" s="15" t="str">
        <f ca="1">IFERROR(__xludf.DUMMYFUNCTION("""COMPUTED_VALUE"""),"*槽洗淨功能*不鏽鋼晶鑽內槽*24小時預約洗衣*兒童安全鎖")</f>
        <v>*槽洗淨功能*不鏽鋼晶鑽內槽*24小時預約洗衣*兒童安全鎖</v>
      </c>
    </row>
    <row r="721" spans="1:27" ht="19.5" customHeight="1">
      <c r="A721" s="12" t="str">
        <f ca="1">IFERROR(__xludf.DUMMYFUNCTION("""COMPUTED_VALUE"""),"洗衣機")</f>
        <v>洗衣機</v>
      </c>
      <c r="B721" s="12" t="str">
        <f ca="1">IFERROR(__xludf.DUMMYFUNCTION("""COMPUTED_VALUE"""),"台灣三洋")</f>
        <v>台灣三洋</v>
      </c>
      <c r="C721" s="12" t="str">
        <f ca="1">IFERROR(__xludf.DUMMYFUNCTION("""COMPUTED_VALUE"""),"台灣三洋")</f>
        <v>台灣三洋</v>
      </c>
      <c r="D721" s="12" t="str">
        <f ca="1">IFERROR(__xludf.DUMMYFUNCTION("""COMPUTED_VALUE"""),"台灣三洋13公斤變頻洗衣機(不銹鋼)SW-13DVGS")</f>
        <v>台灣三洋13公斤變頻洗衣機(不銹鋼)SW-13DVGS</v>
      </c>
      <c r="E721" s="12" t="str">
        <f ca="1">IFERROR(__xludf.DUMMYFUNCTION("""COMPUTED_VALUE"""),"SW-13DVGS")</f>
        <v>SW-13DVGS</v>
      </c>
      <c r="F721" s="12">
        <f ca="1">IFERROR(__xludf.DUMMYFUNCTION("""COMPUTED_VALUE"""),51075030)</f>
        <v>51075030</v>
      </c>
      <c r="G721" s="12" t="str">
        <f ca="1">IFERROR(__xludf.DUMMYFUNCTION("""COMPUTED_VALUE"""),"IGEM025M")</f>
        <v>IGEM025M</v>
      </c>
      <c r="H721" s="12">
        <f ca="1">IFERROR(__xludf.DUMMYFUNCTION("""COMPUTED_VALUE"""),20490)</f>
        <v>20490</v>
      </c>
      <c r="I721" s="14">
        <f ca="1">IFERROR(__xludf.DUMMYFUNCTION("""COMPUTED_VALUE"""),18500)</f>
        <v>18500</v>
      </c>
      <c r="J721" s="21">
        <f ca="1">IFERROR(__xludf.DUMMYFUNCTION("""COMPUTED_VALUE"""),45017)</f>
        <v>45017</v>
      </c>
      <c r="K721" s="12" t="str">
        <f ca="1">IFERROR(__xludf.DUMMYFUNCTION("""COMPUTED_VALUE"""),"回價")</f>
        <v>回價</v>
      </c>
      <c r="L721" s="12" t="str">
        <f ca="1">IFERROR(__xludf.DUMMYFUNCTION("""COMPUTED_VALUE"""),"上架中")</f>
        <v>上架中</v>
      </c>
      <c r="M721" s="12"/>
      <c r="N721" s="12" t="str">
        <f ca="1">IFERROR(__xludf.DUMMYFUNCTION("""COMPUTED_VALUE"""),"直立變頻")</f>
        <v>直立變頻</v>
      </c>
      <c r="O721" s="12" t="str">
        <f ca="1">IFERROR(__xludf.DUMMYFUNCTION("""COMPUTED_VALUE"""),"不銹鋼(S)")</f>
        <v>不銹鋼(S)</v>
      </c>
      <c r="P721" s="12" t="str">
        <f ca="1">IFERROR(__xludf.DUMMYFUNCTION("""COMPUTED_VALUE"""),"13公斤")</f>
        <v>13公斤</v>
      </c>
      <c r="Q721" s="12" t="str">
        <f ca="1">IFERROR(__xludf.DUMMYFUNCTION("""COMPUTED_VALUE"""),"1030*550*615mm")</f>
        <v>1030*550*615mm</v>
      </c>
      <c r="R721" s="12" t="str">
        <f ca="1">IFERROR(__xludf.DUMMYFUNCTION("""COMPUTED_VALUE"""),"台灣")</f>
        <v>台灣</v>
      </c>
      <c r="S721" s="12" t="str">
        <f ca="1">IFERROR(__xludf.DUMMYFUNCTION("""COMPUTED_VALUE"""),"V/省水標章(金級)，環保標章")</f>
        <v>V/省水標章(金級)，環保標章</v>
      </c>
      <c r="T721" s="12"/>
      <c r="U721" s="12" t="str">
        <f ca="1">IFERROR(__xludf.DUMMYFUNCTION("""COMPUTED_VALUE"""),"1年")</f>
        <v>1年</v>
      </c>
      <c r="V721" s="12" t="str">
        <f ca="1">IFERROR(__xludf.DUMMYFUNCTION("""COMPUTED_VALUE"""),"機板、軸受組立、吊棒組立、洗衣馬達、脫水馬達(不含排水馬達)三年")</f>
        <v>機板、軸受組立、吊棒組立、洗衣馬達、脫水馬達(不含排水馬達)三年</v>
      </c>
      <c r="W721" s="12"/>
      <c r="X721" s="12"/>
      <c r="Y721" s="12"/>
      <c r="Z721" s="14"/>
      <c r="AA721" s="15" t="str">
        <f ca="1">IFERROR(__xludf.DUMMYFUNCTION("""COMPUTED_VALUE"""),"*3D環流槽洗淨*直驅式變頻馬達*4D鑽石內槽")</f>
        <v>*3D環流槽洗淨*直驅式變頻馬達*4D鑽石內槽</v>
      </c>
    </row>
    <row r="722" spans="1:27" ht="19.5" customHeight="1">
      <c r="A722" s="12" t="str">
        <f ca="1">IFERROR(__xludf.DUMMYFUNCTION("""COMPUTED_VALUE"""),"洗衣機")</f>
        <v>洗衣機</v>
      </c>
      <c r="B722" s="12" t="str">
        <f ca="1">IFERROR(__xludf.DUMMYFUNCTION("""COMPUTED_VALUE"""),"台灣三洋")</f>
        <v>台灣三洋</v>
      </c>
      <c r="C722" s="12" t="str">
        <f ca="1">IFERROR(__xludf.DUMMYFUNCTION("""COMPUTED_VALUE"""),"台灣三洋")</f>
        <v>台灣三洋</v>
      </c>
      <c r="D722" s="12" t="str">
        <f ca="1">IFERROR(__xludf.DUMMYFUNCTION("""COMPUTED_VALUE"""),"台灣三洋17公斤超音波洗衣機SW-18AS7")</f>
        <v>台灣三洋17公斤超音波洗衣機SW-18AS7</v>
      </c>
      <c r="E722" s="12" t="str">
        <f ca="1">IFERROR(__xludf.DUMMYFUNCTION("""COMPUTED_VALUE"""),"SW-18AS7")</f>
        <v>SW-18AS7</v>
      </c>
      <c r="F722" s="12">
        <f ca="1">IFERROR(__xludf.DUMMYFUNCTION("""COMPUTED_VALUE"""),51075052)</f>
        <v>51075052</v>
      </c>
      <c r="G722" s="12" t="str">
        <f ca="1">IFERROR(__xludf.DUMMYFUNCTION("""COMPUTED_VALUE"""),"IGEM060Y")</f>
        <v>IGEM060Y</v>
      </c>
      <c r="H722" s="12">
        <f ca="1">IFERROR(__xludf.DUMMYFUNCTION("""COMPUTED_VALUE"""),22490)</f>
        <v>22490</v>
      </c>
      <c r="I722" s="14">
        <f ca="1">IFERROR(__xludf.DUMMYFUNCTION("""COMPUTED_VALUE"""),20200)</f>
        <v>20200</v>
      </c>
      <c r="J722" s="21">
        <f ca="1">IFERROR(__xludf.DUMMYFUNCTION("""COMPUTED_VALUE"""),44927)</f>
        <v>44927</v>
      </c>
      <c r="K722" s="12" t="str">
        <f ca="1">IFERROR(__xludf.DUMMYFUNCTION("""COMPUTED_VALUE"""),"回價")</f>
        <v>回價</v>
      </c>
      <c r="L722" s="12" t="str">
        <f ca="1">IFERROR(__xludf.DUMMYFUNCTION("""COMPUTED_VALUE"""),"上架中")</f>
        <v>上架中</v>
      </c>
      <c r="M722" s="12" t="str">
        <f ca="1">IFERROR(__xludf.DUMMYFUNCTION("""COMPUTED_VALUE"""),"2022/4/19新機上架")</f>
        <v>2022/4/19新機上架</v>
      </c>
      <c r="N722" s="12" t="str">
        <f ca="1">IFERROR(__xludf.DUMMYFUNCTION("""COMPUTED_VALUE"""),"直立定頻")</f>
        <v>直立定頻</v>
      </c>
      <c r="O722" s="12" t="str">
        <f ca="1">IFERROR(__xludf.DUMMYFUNCTION("""COMPUTED_VALUE"""),"不鏽鋼")</f>
        <v>不鏽鋼</v>
      </c>
      <c r="P722" s="12" t="str">
        <f ca="1">IFERROR(__xludf.DUMMYFUNCTION("""COMPUTED_VALUE"""),"17公斤")</f>
        <v>17公斤</v>
      </c>
      <c r="Q722" s="12" t="str">
        <f ca="1">IFERROR(__xludf.DUMMYFUNCTION("""COMPUTED_VALUE"""),"高1060*寬640*深675mm")</f>
        <v>高1060*寬640*深675mm</v>
      </c>
      <c r="R722" s="12" t="str">
        <f ca="1">IFERROR(__xludf.DUMMYFUNCTION("""COMPUTED_VALUE"""),"台灣")</f>
        <v>台灣</v>
      </c>
      <c r="S722" s="22" t="str">
        <f ca="1">IFERROR(__xludf.DUMMYFUNCTION("""COMPUTED_VALUE"""),"省水標章(金級)")</f>
        <v>省水標章(金級)</v>
      </c>
      <c r="T722" s="12"/>
      <c r="U722" s="12" t="str">
        <f ca="1">IFERROR(__xludf.DUMMYFUNCTION("""COMPUTED_VALUE"""),"1年")</f>
        <v>1年</v>
      </c>
      <c r="V722" s="12" t="str">
        <f ca="1">IFERROR(__xludf.DUMMYFUNCTION("""COMPUTED_VALUE"""),"1年")</f>
        <v>1年</v>
      </c>
      <c r="W722" s="12"/>
      <c r="X722" s="12"/>
      <c r="Y722" s="12"/>
      <c r="Z722" s="14"/>
      <c r="AA722" s="15" t="str">
        <f ca="1">IFERROR(__xludf.DUMMYFUNCTION("""COMPUTED_VALUE"""),"*超音波洗淨*全景玻璃上蓋*省力油壓緩降*耐腐蝕不鏽鋼機身")</f>
        <v>*超音波洗淨*全景玻璃上蓋*省力油壓緩降*耐腐蝕不鏽鋼機身</v>
      </c>
    </row>
    <row r="723" spans="1:27" ht="19.5" customHeight="1">
      <c r="A723" s="12" t="str">
        <f ca="1">IFERROR(__xludf.DUMMYFUNCTION("""COMPUTED_VALUE"""),"洗衣機")</f>
        <v>洗衣機</v>
      </c>
      <c r="B723" s="12" t="str">
        <f ca="1">IFERROR(__xludf.DUMMYFUNCTION("""COMPUTED_VALUE"""),"台灣三洋")</f>
        <v>台灣三洋</v>
      </c>
      <c r="C723" s="12" t="str">
        <f ca="1">IFERROR(__xludf.DUMMYFUNCTION("""COMPUTED_VALUE"""),"台灣三洋")</f>
        <v>台灣三洋</v>
      </c>
      <c r="D723" s="12" t="str">
        <f ca="1">IFERROR(__xludf.DUMMYFUNCTION("""COMPUTED_VALUE"""),"台灣三洋_17公斤變頻單槽洗衣機_SW-V17A")</f>
        <v>台灣三洋_17公斤變頻單槽洗衣機_SW-V17A</v>
      </c>
      <c r="E723" s="12" t="str">
        <f ca="1">IFERROR(__xludf.DUMMYFUNCTION("""COMPUTED_VALUE"""),"SW-V17A")</f>
        <v>SW-V17A</v>
      </c>
      <c r="F723" s="12">
        <f ca="1">IFERROR(__xludf.DUMMYFUNCTION("""COMPUTED_VALUE"""),51075081)</f>
        <v>51075081</v>
      </c>
      <c r="G723" s="12" t="str">
        <f ca="1">IFERROR(__xludf.DUMMYFUNCTION("""COMPUTED_VALUE"""),"IGEM087K")</f>
        <v>IGEM087K</v>
      </c>
      <c r="H723" s="13">
        <f ca="1">IFERROR(__xludf.DUMMYFUNCTION("""COMPUTED_VALUE"""),24300)</f>
        <v>24300</v>
      </c>
      <c r="I723" s="14">
        <f ca="1">IFERROR(__xludf.DUMMYFUNCTION("""COMPUTED_VALUE"""),21900)</f>
        <v>21900</v>
      </c>
      <c r="J723" s="16">
        <f ca="1">IFERROR(__xludf.DUMMYFUNCTION("""COMPUTED_VALUE"""),45140)</f>
        <v>45140</v>
      </c>
      <c r="K723" s="12" t="str">
        <f ca="1">IFERROR(__xludf.DUMMYFUNCTION("""COMPUTED_VALUE"""),"新機上架")</f>
        <v>新機上架</v>
      </c>
      <c r="L723" s="12" t="str">
        <f ca="1">IFERROR(__xludf.DUMMYFUNCTION("""COMPUTED_VALUE"""),"上架中")</f>
        <v>上架中</v>
      </c>
      <c r="M723" s="12" t="str">
        <f ca="1">IFERROR(__xludf.DUMMYFUNCTION("""COMPUTED_VALUE"""),"8/2上架")</f>
        <v>8/2上架</v>
      </c>
      <c r="N723" s="12" t="str">
        <f ca="1">IFERROR(__xludf.DUMMYFUNCTION("""COMPUTED_VALUE"""),"直立變頻")</f>
        <v>直立變頻</v>
      </c>
      <c r="O723" s="12" t="str">
        <f ca="1">IFERROR(__xludf.DUMMYFUNCTION("""COMPUTED_VALUE"""),"玫瑰金")</f>
        <v>玫瑰金</v>
      </c>
      <c r="P723" s="12" t="str">
        <f ca="1">IFERROR(__xludf.DUMMYFUNCTION("""COMPUTED_VALUE"""),"17公斤")</f>
        <v>17公斤</v>
      </c>
      <c r="Q723" s="12" t="str">
        <f ca="1">IFERROR(__xludf.DUMMYFUNCTION("""COMPUTED_VALUE"""),"高1060*寬640*深675mm")</f>
        <v>高1060*寬640*深675mm</v>
      </c>
      <c r="R723" s="12" t="str">
        <f ca="1">IFERROR(__xludf.DUMMYFUNCTION("""COMPUTED_VALUE"""),"台灣")</f>
        <v>台灣</v>
      </c>
      <c r="S723" s="22" t="str">
        <f ca="1">IFERROR(__xludf.DUMMYFUNCTION("""COMPUTED_VALUE"""),"省水標章(金級)")</f>
        <v>省水標章(金級)</v>
      </c>
      <c r="T723" s="12"/>
      <c r="U723" s="12" t="str">
        <f ca="1">IFERROR(__xludf.DUMMYFUNCTION("""COMPUTED_VALUE"""),"1年")</f>
        <v>1年</v>
      </c>
      <c r="V723" s="12" t="str">
        <f ca="1">IFERROR(__xludf.DUMMYFUNCTION("""COMPUTED_VALUE"""),"1年")</f>
        <v>1年</v>
      </c>
      <c r="W723" s="12"/>
      <c r="X723" s="12"/>
      <c r="Y723" s="12"/>
      <c r="Z723" s="14"/>
      <c r="AA723" s="15" t="str">
        <f ca="1">IFERROR(__xludf.DUMMYFUNCTION("""COMPUTED_VALUE"""),"*雙渦輪迴轉盤，強勁雙漩渦水*超大玻璃觸碰面板*3D環流槽洗淨*直驅式變頻馬達，超音波洗衣科技")</f>
        <v>*雙渦輪迴轉盤，強勁雙漩渦水*超大玻璃觸碰面板*3D環流槽洗淨*直驅式變頻馬達，超音波洗衣科技</v>
      </c>
    </row>
    <row r="724" spans="1:27" ht="19.5" customHeight="1">
      <c r="A724" s="12" t="str">
        <f ca="1">IFERROR(__xludf.DUMMYFUNCTION("""COMPUTED_VALUE"""),"洗衣機")</f>
        <v>洗衣機</v>
      </c>
      <c r="B724" s="12" t="str">
        <f ca="1">IFERROR(__xludf.DUMMYFUNCTION("""COMPUTED_VALUE"""),"台灣三洋")</f>
        <v>台灣三洋</v>
      </c>
      <c r="C724" s="12" t="str">
        <f ca="1">IFERROR(__xludf.DUMMYFUNCTION("""COMPUTED_VALUE"""),"台灣三洋")</f>
        <v>台灣三洋</v>
      </c>
      <c r="D724" s="12" t="str">
        <f ca="1">IFERROR(__xludf.DUMMYFUNCTION("""COMPUTED_VALUE"""),"台灣三洋_17公斤變頻不鏽鋼單槽洗衣機_SW-V17SA")</f>
        <v>台灣三洋_17公斤變頻不鏽鋼單槽洗衣機_SW-V17SA</v>
      </c>
      <c r="E724" s="12" t="str">
        <f ca="1">IFERROR(__xludf.DUMMYFUNCTION("""COMPUTED_VALUE"""),"SW-V17SA")</f>
        <v>SW-V17SA</v>
      </c>
      <c r="F724" s="12">
        <f ca="1">IFERROR(__xludf.DUMMYFUNCTION("""COMPUTED_VALUE"""),51075082)</f>
        <v>51075082</v>
      </c>
      <c r="G724" s="12" t="str">
        <f ca="1">IFERROR(__xludf.DUMMYFUNCTION("""COMPUTED_VALUE"""),"IGEM087L")</f>
        <v>IGEM087L</v>
      </c>
      <c r="H724" s="13">
        <f ca="1">IFERROR(__xludf.DUMMYFUNCTION("""COMPUTED_VALUE"""),25300)</f>
        <v>25300</v>
      </c>
      <c r="I724" s="14">
        <f ca="1">IFERROR(__xludf.DUMMYFUNCTION("""COMPUTED_VALUE"""),22800)</f>
        <v>22800</v>
      </c>
      <c r="J724" s="16">
        <f ca="1">IFERROR(__xludf.DUMMYFUNCTION("""COMPUTED_VALUE"""),45292)</f>
        <v>45292</v>
      </c>
      <c r="K724" s="12" t="str">
        <f ca="1">IFERROR(__xludf.DUMMYFUNCTION("""COMPUTED_VALUE"""),"回價")</f>
        <v>回價</v>
      </c>
      <c r="L724" s="12" t="str">
        <f ca="1">IFERROR(__xludf.DUMMYFUNCTION("""COMPUTED_VALUE"""),"上架中")</f>
        <v>上架中</v>
      </c>
      <c r="M724" s="12" t="str">
        <f ca="1">IFERROR(__xludf.DUMMYFUNCTION("""COMPUTED_VALUE"""),"8/2上架")</f>
        <v>8/2上架</v>
      </c>
      <c r="N724" s="12" t="str">
        <f ca="1">IFERROR(__xludf.DUMMYFUNCTION("""COMPUTED_VALUE"""),"直立變頻")</f>
        <v>直立變頻</v>
      </c>
      <c r="O724" s="12" t="str">
        <f ca="1">IFERROR(__xludf.DUMMYFUNCTION("""COMPUTED_VALUE"""),"不鏽鋼")</f>
        <v>不鏽鋼</v>
      </c>
      <c r="P724" s="12" t="str">
        <f ca="1">IFERROR(__xludf.DUMMYFUNCTION("""COMPUTED_VALUE"""),"17公斤")</f>
        <v>17公斤</v>
      </c>
      <c r="Q724" s="12" t="str">
        <f ca="1">IFERROR(__xludf.DUMMYFUNCTION("""COMPUTED_VALUE"""),"高1060*寬640*深675mm")</f>
        <v>高1060*寬640*深675mm</v>
      </c>
      <c r="R724" s="12" t="str">
        <f ca="1">IFERROR(__xludf.DUMMYFUNCTION("""COMPUTED_VALUE"""),"台灣")</f>
        <v>台灣</v>
      </c>
      <c r="S724" s="22" t="str">
        <f ca="1">IFERROR(__xludf.DUMMYFUNCTION("""COMPUTED_VALUE"""),"省水標章(金級)")</f>
        <v>省水標章(金級)</v>
      </c>
      <c r="T724" s="12"/>
      <c r="U724" s="12" t="str">
        <f ca="1">IFERROR(__xludf.DUMMYFUNCTION("""COMPUTED_VALUE"""),"1年")</f>
        <v>1年</v>
      </c>
      <c r="V724" s="12" t="str">
        <f ca="1">IFERROR(__xludf.DUMMYFUNCTION("""COMPUTED_VALUE"""),"1年")</f>
        <v>1年</v>
      </c>
      <c r="W724" s="12"/>
      <c r="X724" s="12"/>
      <c r="Y724" s="12"/>
      <c r="Z724" s="14"/>
      <c r="AA724" s="15" t="str">
        <f ca="1">IFERROR(__xludf.DUMMYFUNCTION("""COMPUTED_VALUE"""),"*雙渦輪迴轉盤，強勁雙漩渦水*超大玻璃觸碰面板*3D環流槽洗淨*直驅式變頻馬達，超音波洗衣科技")</f>
        <v>*雙渦輪迴轉盤，強勁雙漩渦水*超大玻璃觸碰面板*3D環流槽洗淨*直驅式變頻馬達，超音波洗衣科技</v>
      </c>
    </row>
    <row r="725" spans="1:27" ht="19.5" customHeight="1">
      <c r="A725" s="12" t="str">
        <f ca="1">IFERROR(__xludf.DUMMYFUNCTION("""COMPUTED_VALUE"""),"洗衣機")</f>
        <v>洗衣機</v>
      </c>
      <c r="B725" s="12" t="str">
        <f ca="1">IFERROR(__xludf.DUMMYFUNCTION("""COMPUTED_VALUE"""),"台灣三洋")</f>
        <v>台灣三洋</v>
      </c>
      <c r="C725" s="12" t="str">
        <f ca="1">IFERROR(__xludf.DUMMYFUNCTION("""COMPUTED_VALUE"""),"台灣三洋")</f>
        <v>台灣三洋</v>
      </c>
      <c r="D725" s="12" t="str">
        <f ca="1">IFERROR(__xludf.DUMMYFUNCTION("""COMPUTED_VALUE"""),"台灣三洋_18公斤變頻單槽洗衣機_SW-V19A")</f>
        <v>台灣三洋_18公斤變頻單槽洗衣機_SW-V19A</v>
      </c>
      <c r="E725" s="12" t="str">
        <f ca="1">IFERROR(__xludf.DUMMYFUNCTION("""COMPUTED_VALUE"""),"SW-V19A")</f>
        <v>SW-V19A</v>
      </c>
      <c r="F725" s="12">
        <f ca="1">IFERROR(__xludf.DUMMYFUNCTION("""COMPUTED_VALUE"""),51075083)</f>
        <v>51075083</v>
      </c>
      <c r="G725" s="12" t="str">
        <f ca="1">IFERROR(__xludf.DUMMYFUNCTION("""COMPUTED_VALUE"""),"IGEM087M")</f>
        <v>IGEM087M</v>
      </c>
      <c r="H725" s="13">
        <f ca="1">IFERROR(__xludf.DUMMYFUNCTION("""COMPUTED_VALUE"""),25300)</f>
        <v>25300</v>
      </c>
      <c r="I725" s="14">
        <f ca="1">IFERROR(__xludf.DUMMYFUNCTION("""COMPUTED_VALUE"""),22800)</f>
        <v>22800</v>
      </c>
      <c r="J725" s="16">
        <f ca="1">IFERROR(__xludf.DUMMYFUNCTION("""COMPUTED_VALUE"""),45140)</f>
        <v>45140</v>
      </c>
      <c r="K725" s="12" t="str">
        <f ca="1">IFERROR(__xludf.DUMMYFUNCTION("""COMPUTED_VALUE"""),"新機上架")</f>
        <v>新機上架</v>
      </c>
      <c r="L725" s="12" t="str">
        <f ca="1">IFERROR(__xludf.DUMMYFUNCTION("""COMPUTED_VALUE"""),"上架中")</f>
        <v>上架中</v>
      </c>
      <c r="M725" s="12" t="str">
        <f ca="1">IFERROR(__xludf.DUMMYFUNCTION("""COMPUTED_VALUE"""),"8/2上架")</f>
        <v>8/2上架</v>
      </c>
      <c r="N725" s="12" t="str">
        <f ca="1">IFERROR(__xludf.DUMMYFUNCTION("""COMPUTED_VALUE"""),"直立變頻")</f>
        <v>直立變頻</v>
      </c>
      <c r="O725" s="12" t="str">
        <f ca="1">IFERROR(__xludf.DUMMYFUNCTION("""COMPUTED_VALUE"""),"玫瑰金")</f>
        <v>玫瑰金</v>
      </c>
      <c r="P725" s="12" t="str">
        <f ca="1">IFERROR(__xludf.DUMMYFUNCTION("""COMPUTED_VALUE"""),"18公斤")</f>
        <v>18公斤</v>
      </c>
      <c r="Q725" s="12" t="str">
        <f ca="1">IFERROR(__xludf.DUMMYFUNCTION("""COMPUTED_VALUE"""),"高1060*寬640*深675mm")</f>
        <v>高1060*寬640*深675mm</v>
      </c>
      <c r="R725" s="12" t="str">
        <f ca="1">IFERROR(__xludf.DUMMYFUNCTION("""COMPUTED_VALUE"""),"台灣")</f>
        <v>台灣</v>
      </c>
      <c r="S725" s="22" t="str">
        <f ca="1">IFERROR(__xludf.DUMMYFUNCTION("""COMPUTED_VALUE"""),"省水標章(金級)")</f>
        <v>省水標章(金級)</v>
      </c>
      <c r="T725" s="12"/>
      <c r="U725" s="12" t="str">
        <f ca="1">IFERROR(__xludf.DUMMYFUNCTION("""COMPUTED_VALUE"""),"1年")</f>
        <v>1年</v>
      </c>
      <c r="V725" s="12" t="str">
        <f ca="1">IFERROR(__xludf.DUMMYFUNCTION("""COMPUTED_VALUE"""),"1年")</f>
        <v>1年</v>
      </c>
      <c r="W725" s="12"/>
      <c r="X725" s="12"/>
      <c r="Y725" s="12"/>
      <c r="Z725" s="14"/>
      <c r="AA725" s="15" t="str">
        <f ca="1">IFERROR(__xludf.DUMMYFUNCTION("""COMPUTED_VALUE"""),"*雙渦輪迴轉盤，強勁雙漩渦水*超大玻璃觸碰面板*3D環流槽洗淨*直驅式變頻馬達，超音波洗衣科技")</f>
        <v>*雙渦輪迴轉盤，強勁雙漩渦水*超大玻璃觸碰面板*3D環流槽洗淨*直驅式變頻馬達，超音波洗衣科技</v>
      </c>
    </row>
    <row r="726" spans="1:27" ht="19.5" customHeight="1">
      <c r="A726" s="12" t="str">
        <f ca="1">IFERROR(__xludf.DUMMYFUNCTION("""COMPUTED_VALUE"""),"洗衣機")</f>
        <v>洗衣機</v>
      </c>
      <c r="B726" s="12" t="str">
        <f ca="1">IFERROR(__xludf.DUMMYFUNCTION("""COMPUTED_VALUE"""),"台灣三洋")</f>
        <v>台灣三洋</v>
      </c>
      <c r="C726" s="12" t="str">
        <f ca="1">IFERROR(__xludf.DUMMYFUNCTION("""COMPUTED_VALUE"""),"台灣三洋")</f>
        <v>台灣三洋</v>
      </c>
      <c r="D726" s="12" t="str">
        <f ca="1">IFERROR(__xludf.DUMMYFUNCTION("""COMPUTED_VALUE"""),"台灣三洋_18公斤變頻不鏽鋼單槽洗衣機_SW-V19SA")</f>
        <v>台灣三洋_18公斤變頻不鏽鋼單槽洗衣機_SW-V19SA</v>
      </c>
      <c r="E726" s="12" t="str">
        <f ca="1">IFERROR(__xludf.DUMMYFUNCTION("""COMPUTED_VALUE"""),"SW-V19SA")</f>
        <v>SW-V19SA</v>
      </c>
      <c r="F726" s="12">
        <f ca="1">IFERROR(__xludf.DUMMYFUNCTION("""COMPUTED_VALUE"""),51075084)</f>
        <v>51075084</v>
      </c>
      <c r="G726" s="12" t="str">
        <f ca="1">IFERROR(__xludf.DUMMYFUNCTION("""COMPUTED_VALUE"""),"IGEM087N")</f>
        <v>IGEM087N</v>
      </c>
      <c r="H726" s="13">
        <f ca="1">IFERROR(__xludf.DUMMYFUNCTION("""COMPUTED_VALUE"""),26300)</f>
        <v>26300</v>
      </c>
      <c r="I726" s="14">
        <f ca="1">IFERROR(__xludf.DUMMYFUNCTION("""COMPUTED_VALUE"""),23700)</f>
        <v>23700</v>
      </c>
      <c r="J726" s="16">
        <f ca="1">IFERROR(__xludf.DUMMYFUNCTION("""COMPUTED_VALUE"""),45292)</f>
        <v>45292</v>
      </c>
      <c r="K726" s="12" t="str">
        <f ca="1">IFERROR(__xludf.DUMMYFUNCTION("""COMPUTED_VALUE"""),"回價")</f>
        <v>回價</v>
      </c>
      <c r="L726" s="12" t="str">
        <f ca="1">IFERROR(__xludf.DUMMYFUNCTION("""COMPUTED_VALUE"""),"上架中")</f>
        <v>上架中</v>
      </c>
      <c r="M726" s="12" t="str">
        <f ca="1">IFERROR(__xludf.DUMMYFUNCTION("""COMPUTED_VALUE"""),"8/2上架")</f>
        <v>8/2上架</v>
      </c>
      <c r="N726" s="12" t="str">
        <f ca="1">IFERROR(__xludf.DUMMYFUNCTION("""COMPUTED_VALUE"""),"直立變頻")</f>
        <v>直立變頻</v>
      </c>
      <c r="O726" s="12" t="str">
        <f ca="1">IFERROR(__xludf.DUMMYFUNCTION("""COMPUTED_VALUE"""),"不鏽鋼")</f>
        <v>不鏽鋼</v>
      </c>
      <c r="P726" s="12" t="str">
        <f ca="1">IFERROR(__xludf.DUMMYFUNCTION("""COMPUTED_VALUE"""),"18公斤")</f>
        <v>18公斤</v>
      </c>
      <c r="Q726" s="12" t="str">
        <f ca="1">IFERROR(__xludf.DUMMYFUNCTION("""COMPUTED_VALUE"""),"高1060*寬640*深675mm")</f>
        <v>高1060*寬640*深675mm</v>
      </c>
      <c r="R726" s="12" t="str">
        <f ca="1">IFERROR(__xludf.DUMMYFUNCTION("""COMPUTED_VALUE"""),"台灣")</f>
        <v>台灣</v>
      </c>
      <c r="S726" s="22" t="str">
        <f ca="1">IFERROR(__xludf.DUMMYFUNCTION("""COMPUTED_VALUE"""),"省水標章(金級)")</f>
        <v>省水標章(金級)</v>
      </c>
      <c r="T726" s="12"/>
      <c r="U726" s="12" t="str">
        <f ca="1">IFERROR(__xludf.DUMMYFUNCTION("""COMPUTED_VALUE"""),"1年")</f>
        <v>1年</v>
      </c>
      <c r="V726" s="12" t="str">
        <f ca="1">IFERROR(__xludf.DUMMYFUNCTION("""COMPUTED_VALUE"""),"1年")</f>
        <v>1年</v>
      </c>
      <c r="W726" s="12"/>
      <c r="X726" s="12"/>
      <c r="Y726" s="12"/>
      <c r="Z726" s="14"/>
      <c r="AA726" s="15" t="str">
        <f ca="1">IFERROR(__xludf.DUMMYFUNCTION("""COMPUTED_VALUE"""),"*雙渦輪迴轉盤，強勁雙漩渦水*超大玻璃觸碰面板*3D環流槽洗淨*直驅式變頻馬達，超音波洗衣科技")</f>
        <v>*雙渦輪迴轉盤，強勁雙漩渦水*超大玻璃觸碰面板*3D環流槽洗淨*直驅式變頻馬達，超音波洗衣科技</v>
      </c>
    </row>
    <row r="727" spans="1:27" ht="19.5" customHeight="1">
      <c r="A727" s="12" t="str">
        <f ca="1">IFERROR(__xludf.DUMMYFUNCTION("""COMPUTED_VALUE"""),"洗衣機")</f>
        <v>洗衣機</v>
      </c>
      <c r="B727" s="12" t="str">
        <f ca="1">IFERROR(__xludf.DUMMYFUNCTION("""COMPUTED_VALUE"""),"台灣三洋")</f>
        <v>台灣三洋</v>
      </c>
      <c r="C727" s="12" t="str">
        <f ca="1">IFERROR(__xludf.DUMMYFUNCTION("""COMPUTED_VALUE"""),"台灣三洋")</f>
        <v>台灣三洋</v>
      </c>
      <c r="D727" s="12" t="str">
        <f ca="1">IFERROR(__xludf.DUMMYFUNCTION("""COMPUTED_VALUE"""),"台灣三洋7.5公斤乾衣機SD-85UA")</f>
        <v>台灣三洋7.5公斤乾衣機SD-85UA</v>
      </c>
      <c r="E727" s="12" t="str">
        <f ca="1">IFERROR(__xludf.DUMMYFUNCTION("""COMPUTED_VALUE"""),"SD-85UA")</f>
        <v>SD-85UA</v>
      </c>
      <c r="F727" s="12">
        <f ca="1">IFERROR(__xludf.DUMMYFUNCTION("""COMPUTED_VALUE"""),51075055)</f>
        <v>51075055</v>
      </c>
      <c r="G727" s="12" t="str">
        <f ca="1">IFERROR(__xludf.DUMMYFUNCTION("""COMPUTED_VALUE"""),"IGEM0611")</f>
        <v>IGEM0611</v>
      </c>
      <c r="H727" s="12">
        <f ca="1">IFERROR(__xludf.DUMMYFUNCTION("""COMPUTED_VALUE"""),9490)</f>
        <v>9490</v>
      </c>
      <c r="I727" s="14">
        <f ca="1">IFERROR(__xludf.DUMMYFUNCTION("""COMPUTED_VALUE"""),8500)</f>
        <v>8500</v>
      </c>
      <c r="J727" s="16">
        <f ca="1">IFERROR(__xludf.DUMMYFUNCTION("""COMPUTED_VALUE"""),45292)</f>
        <v>45292</v>
      </c>
      <c r="K727" s="12" t="str">
        <f ca="1">IFERROR(__xludf.DUMMYFUNCTION("""COMPUTED_VALUE"""),"回價")</f>
        <v>回價</v>
      </c>
      <c r="L727" s="12" t="str">
        <f ca="1">IFERROR(__xludf.DUMMYFUNCTION("""COMPUTED_VALUE"""),"上架中")</f>
        <v>上架中</v>
      </c>
      <c r="M727" s="12" t="str">
        <f ca="1">IFERROR(__xludf.DUMMYFUNCTION("""COMPUTED_VALUE"""),"2022/4/19新機上架")</f>
        <v>2022/4/19新機上架</v>
      </c>
      <c r="N727" s="12" t="str">
        <f ca="1">IFERROR(__xludf.DUMMYFUNCTION("""COMPUTED_VALUE"""),"乾衣機")</f>
        <v>乾衣機</v>
      </c>
      <c r="O727" s="12" t="str">
        <f ca="1">IFERROR(__xludf.DUMMYFUNCTION("""COMPUTED_VALUE"""),"白")</f>
        <v>白</v>
      </c>
      <c r="P727" s="12" t="str">
        <f ca="1">IFERROR(__xludf.DUMMYFUNCTION("""COMPUTED_VALUE"""),"7.5公斤")</f>
        <v>7.5公斤</v>
      </c>
      <c r="Q727" s="12" t="str">
        <f ca="1">IFERROR(__xludf.DUMMYFUNCTION("""COMPUTED_VALUE"""),"高740*寬660*深590mm")</f>
        <v>高740*寬660*深590mm</v>
      </c>
      <c r="R727" s="12" t="str">
        <f ca="1">IFERROR(__xludf.DUMMYFUNCTION("""COMPUTED_VALUE"""),"台灣")</f>
        <v>台灣</v>
      </c>
      <c r="S727" s="12"/>
      <c r="T727" s="12"/>
      <c r="U727" s="12" t="str">
        <f ca="1">IFERROR(__xludf.DUMMYFUNCTION("""COMPUTED_VALUE"""),"1年")</f>
        <v>1年</v>
      </c>
      <c r="V727" s="12" t="str">
        <f ca="1">IFERROR(__xludf.DUMMYFUNCTION("""COMPUTED_VALUE"""),"1年")</f>
        <v>1年</v>
      </c>
      <c r="W727" s="12"/>
      <c r="X727" s="12"/>
      <c r="Y727" s="12"/>
      <c r="Z727" s="14"/>
      <c r="AA727" s="15" t="str">
        <f ca="1">IFERROR(__xludf.DUMMYFUNCTION("""COMPUTED_VALUE"""),"*旋鈕式按鍵*冷熱風乾衣選擇*兩段溫控*便利烘物架")</f>
        <v>*旋鈕式按鍵*冷熱風乾衣選擇*兩段溫控*便利烘物架</v>
      </c>
    </row>
    <row r="728" spans="1:27" ht="19.5" customHeight="1">
      <c r="A728" s="12" t="str">
        <f ca="1">IFERROR(__xludf.DUMMYFUNCTION("""COMPUTED_VALUE"""),"洗衣機")</f>
        <v>洗衣機</v>
      </c>
      <c r="B728" s="12" t="str">
        <f ca="1">IFERROR(__xludf.DUMMYFUNCTION("""COMPUTED_VALUE"""),"大同")</f>
        <v>大同</v>
      </c>
      <c r="C728" s="12" t="str">
        <f ca="1">IFERROR(__xludf.DUMMYFUNCTION("""COMPUTED_VALUE"""),"大同")</f>
        <v>大同</v>
      </c>
      <c r="D728" s="12" t="str">
        <f ca="1">IFERROR(__xludf.DUMMYFUNCTION("""COMPUTED_VALUE"""),"大同_10KG變頻洗衣機_TAW-A100DBS")</f>
        <v>大同_10KG變頻洗衣機_TAW-A100DBS</v>
      </c>
      <c r="E728" s="12" t="str">
        <f ca="1">IFERROR(__xludf.DUMMYFUNCTION("""COMPUTED_VALUE"""),"TAW-A100DBS")</f>
        <v>TAW-A100DBS</v>
      </c>
      <c r="F728" s="12">
        <f ca="1">IFERROR(__xludf.DUMMYFUNCTION("""COMPUTED_VALUE"""),51012233)</f>
        <v>51012233</v>
      </c>
      <c r="G728" s="12" t="str">
        <f ca="1">IFERROR(__xludf.DUMMYFUNCTION("""COMPUTED_VALUE"""),"IGEM089U")</f>
        <v>IGEM089U</v>
      </c>
      <c r="H728" s="13">
        <f ca="1">IFERROR(__xludf.DUMMYFUNCTION("""COMPUTED_VALUE"""),11900)</f>
        <v>11900</v>
      </c>
      <c r="I728" s="14">
        <f ca="1">IFERROR(__xludf.DUMMYFUNCTION("""COMPUTED_VALUE"""),9900)</f>
        <v>9900</v>
      </c>
      <c r="J728" s="16">
        <f ca="1">IFERROR(__xludf.DUMMYFUNCTION("""COMPUTED_VALUE"""),45200)</f>
        <v>45200</v>
      </c>
      <c r="K728" s="12" t="str">
        <f ca="1">IFERROR(__xludf.DUMMYFUNCTION("""COMPUTED_VALUE"""),"新機上架")</f>
        <v>新機上架</v>
      </c>
      <c r="L728" s="12" t="str">
        <f ca="1">IFERROR(__xludf.DUMMYFUNCTION("""COMPUTED_VALUE"""),"上架中")</f>
        <v>上架中</v>
      </c>
      <c r="M728" s="12"/>
      <c r="N728" s="12" t="str">
        <f ca="1">IFERROR(__xludf.DUMMYFUNCTION("""COMPUTED_VALUE"""),"直立變頻")</f>
        <v>直立變頻</v>
      </c>
      <c r="O728" s="12" t="str">
        <f ca="1">IFERROR(__xludf.DUMMYFUNCTION("""COMPUTED_VALUE"""),"灰")</f>
        <v>灰</v>
      </c>
      <c r="P728" s="12" t="str">
        <f ca="1">IFERROR(__xludf.DUMMYFUNCTION("""COMPUTED_VALUE"""),"10KG")</f>
        <v>10KG</v>
      </c>
      <c r="Q728" s="12" t="str">
        <f ca="1">IFERROR(__xludf.DUMMYFUNCTION("""COMPUTED_VALUE"""),"920*555*565mm")</f>
        <v>920*555*565mm</v>
      </c>
      <c r="R728" s="12" t="str">
        <f ca="1">IFERROR(__xludf.DUMMYFUNCTION("""COMPUTED_VALUE"""),"中國")</f>
        <v>中國</v>
      </c>
      <c r="S728" s="12" t="str">
        <f ca="1">IFERROR(__xludf.DUMMYFUNCTION("""COMPUTED_VALUE"""),"V/省水標章(金級)")</f>
        <v>V/省水標章(金級)</v>
      </c>
      <c r="T728" s="12"/>
      <c r="U728" s="22" t="str">
        <f ca="1">IFERROR(__xludf.DUMMYFUNCTION("""COMPUTED_VALUE"""),"主機保固1年")</f>
        <v>主機保固1年</v>
      </c>
      <c r="V728" s="22" t="str">
        <f ca="1">IFERROR(__xludf.DUMMYFUNCTION("""COMPUTED_VALUE"""),"主機保固1年")</f>
        <v>主機保固1年</v>
      </c>
      <c r="W728" s="12"/>
      <c r="X728" s="12"/>
      <c r="Y728" s="12"/>
      <c r="Z728" s="14"/>
      <c r="AA728" s="15" t="str">
        <f ca="1">IFERROR(__xludf.DUMMYFUNCTION("""COMPUTED_VALUE"""),"*3D立體水流*8種行程、8段水位*緩降上蓋*DD直驅變頻馬達*IDD智慧控制系統")</f>
        <v>*3D立體水流*8種行程、8段水位*緩降上蓋*DD直驅變頻馬達*IDD智慧控制系統</v>
      </c>
    </row>
    <row r="729" spans="1:27" ht="19.5" customHeight="1">
      <c r="A729" s="12" t="str">
        <f ca="1">IFERROR(__xludf.DUMMYFUNCTION("""COMPUTED_VALUE"""),"洗衣機")</f>
        <v>洗衣機</v>
      </c>
      <c r="B729" s="12" t="str">
        <f ca="1">IFERROR(__xludf.DUMMYFUNCTION("""COMPUTED_VALUE"""),"大同")</f>
        <v>大同</v>
      </c>
      <c r="C729" s="12" t="str">
        <f ca="1">IFERROR(__xludf.DUMMYFUNCTION("""COMPUTED_VALUE"""),"大同")</f>
        <v>大同</v>
      </c>
      <c r="D729" s="12" t="str">
        <f ca="1">IFERROR(__xludf.DUMMYFUNCTION("""COMPUTED_VALUE"""),"大同_13KG DD變頻洗衣機_TAW-B130DCM")</f>
        <v>大同_13KG DD變頻洗衣機_TAW-B130DCM</v>
      </c>
      <c r="E729" s="12" t="str">
        <f ca="1">IFERROR(__xludf.DUMMYFUNCTION("""COMPUTED_VALUE"""),"TAW-B130DCM")</f>
        <v>TAW-B130DCM</v>
      </c>
      <c r="F729" s="12">
        <f ca="1">IFERROR(__xludf.DUMMYFUNCTION("""COMPUTED_VALUE"""),51012234)</f>
        <v>51012234</v>
      </c>
      <c r="G729" s="12" t="str">
        <f ca="1">IFERROR(__xludf.DUMMYFUNCTION("""COMPUTED_VALUE"""),"IGEM089V")</f>
        <v>IGEM089V</v>
      </c>
      <c r="H729" s="13">
        <f ca="1">IFERROR(__xludf.DUMMYFUNCTION("""COMPUTED_VALUE"""),17900)</f>
        <v>17900</v>
      </c>
      <c r="I729" s="14">
        <f ca="1">IFERROR(__xludf.DUMMYFUNCTION("""COMPUTED_VALUE"""),14580)</f>
        <v>14580</v>
      </c>
      <c r="J729" s="16">
        <f ca="1">IFERROR(__xludf.DUMMYFUNCTION("""COMPUTED_VALUE"""),45200)</f>
        <v>45200</v>
      </c>
      <c r="K729" s="12" t="str">
        <f ca="1">IFERROR(__xludf.DUMMYFUNCTION("""COMPUTED_VALUE"""),"新機上架")</f>
        <v>新機上架</v>
      </c>
      <c r="L729" s="12" t="str">
        <f ca="1">IFERROR(__xludf.DUMMYFUNCTION("""COMPUTED_VALUE"""),"上架中")</f>
        <v>上架中</v>
      </c>
      <c r="M729" s="12"/>
      <c r="N729" s="12" t="str">
        <f ca="1">IFERROR(__xludf.DUMMYFUNCTION("""COMPUTED_VALUE"""),"直立變頻")</f>
        <v>直立變頻</v>
      </c>
      <c r="O729" s="12" t="str">
        <f ca="1">IFERROR(__xludf.DUMMYFUNCTION("""COMPUTED_VALUE"""),"白")</f>
        <v>白</v>
      </c>
      <c r="P729" s="12" t="str">
        <f ca="1">IFERROR(__xludf.DUMMYFUNCTION("""COMPUTED_VALUE"""),"13KG")</f>
        <v>13KG</v>
      </c>
      <c r="Q729" s="12" t="str">
        <f ca="1">IFERROR(__xludf.DUMMYFUNCTION("""COMPUTED_VALUE"""),"1060*601*611mm")</f>
        <v>1060*601*611mm</v>
      </c>
      <c r="R729" s="12" t="str">
        <f ca="1">IFERROR(__xludf.DUMMYFUNCTION("""COMPUTED_VALUE"""),"中國")</f>
        <v>中國</v>
      </c>
      <c r="S729" s="12" t="str">
        <f ca="1">IFERROR(__xludf.DUMMYFUNCTION("""COMPUTED_VALUE"""),"V/省水標章(金級)")</f>
        <v>V/省水標章(金級)</v>
      </c>
      <c r="T729" s="12"/>
      <c r="U729" s="22" t="str">
        <f ca="1">IFERROR(__xludf.DUMMYFUNCTION("""COMPUTED_VALUE"""),"主機保固1年")</f>
        <v>主機保固1年</v>
      </c>
      <c r="V729" s="22" t="str">
        <f ca="1">IFERROR(__xludf.DUMMYFUNCTION("""COMPUTED_VALUE"""),"主機保固1年")</f>
        <v>主機保固1年</v>
      </c>
      <c r="W729" s="12"/>
      <c r="X729" s="12"/>
      <c r="Y729" s="12"/>
      <c r="Z729" s="14"/>
      <c r="AA729" s="15" t="str">
        <f ca="1">IFERROR(__xludf.DUMMYFUNCTION("""COMPUTED_VALUE"""),"*金級省水*FCS 快速淨洗系統*16 種行程+8 段水位*隱藏式底部進水，洗劑充分溶解*強力立體水流*緩降上蓋*不鏽鋼內槽*槽洗淨與冷風乾燥功能")</f>
        <v>*金級省水*FCS 快速淨洗系統*16 種行程+8 段水位*隱藏式底部進水，洗劑充分溶解*強力立體水流*緩降上蓋*不鏽鋼內槽*槽洗淨與冷風乾燥功能</v>
      </c>
    </row>
    <row r="730" spans="1:27" ht="19.5" customHeight="1">
      <c r="A730" s="12" t="str">
        <f ca="1">IFERROR(__xludf.DUMMYFUNCTION("""COMPUTED_VALUE"""),"洗衣機")</f>
        <v>洗衣機</v>
      </c>
      <c r="B730" s="12" t="str">
        <f ca="1">IFERROR(__xludf.DUMMYFUNCTION("""COMPUTED_VALUE"""),"大同")</f>
        <v>大同</v>
      </c>
      <c r="C730" s="12" t="str">
        <f ca="1">IFERROR(__xludf.DUMMYFUNCTION("""COMPUTED_VALUE"""),"大同")</f>
        <v>大同</v>
      </c>
      <c r="D730" s="12" t="str">
        <f ca="1">IFERROR(__xludf.DUMMYFUNCTION("""COMPUTED_VALUE"""),"大同_17KG DD變頻洗衣機_TAW-B170DCM")</f>
        <v>大同_17KG DD變頻洗衣機_TAW-B170DCM</v>
      </c>
      <c r="E730" s="12" t="str">
        <f ca="1">IFERROR(__xludf.DUMMYFUNCTION("""COMPUTED_VALUE"""),"TAW-B170DCM")</f>
        <v>TAW-B170DCM</v>
      </c>
      <c r="F730" s="12">
        <f ca="1">IFERROR(__xludf.DUMMYFUNCTION("""COMPUTED_VALUE"""),51012235)</f>
        <v>51012235</v>
      </c>
      <c r="G730" s="12" t="str">
        <f ca="1">IFERROR(__xludf.DUMMYFUNCTION("""COMPUTED_VALUE"""),"IGEM089W")</f>
        <v>IGEM089W</v>
      </c>
      <c r="H730" s="13">
        <f ca="1">IFERROR(__xludf.DUMMYFUNCTION("""COMPUTED_VALUE"""),21900)</f>
        <v>21900</v>
      </c>
      <c r="I730" s="14">
        <f ca="1">IFERROR(__xludf.DUMMYFUNCTION("""COMPUTED_VALUE"""),18400)</f>
        <v>18400</v>
      </c>
      <c r="J730" s="16">
        <f ca="1">IFERROR(__xludf.DUMMYFUNCTION("""COMPUTED_VALUE"""),45200)</f>
        <v>45200</v>
      </c>
      <c r="K730" s="12" t="str">
        <f ca="1">IFERROR(__xludf.DUMMYFUNCTION("""COMPUTED_VALUE"""),"新機上架")</f>
        <v>新機上架</v>
      </c>
      <c r="L730" s="12" t="str">
        <f ca="1">IFERROR(__xludf.DUMMYFUNCTION("""COMPUTED_VALUE"""),"上架中")</f>
        <v>上架中</v>
      </c>
      <c r="M730" s="12"/>
      <c r="N730" s="12" t="str">
        <f ca="1">IFERROR(__xludf.DUMMYFUNCTION("""COMPUTED_VALUE"""),"直立變頻")</f>
        <v>直立變頻</v>
      </c>
      <c r="O730" s="12" t="str">
        <f ca="1">IFERROR(__xludf.DUMMYFUNCTION("""COMPUTED_VALUE"""),"灰")</f>
        <v>灰</v>
      </c>
      <c r="P730" s="12" t="str">
        <f ca="1">IFERROR(__xludf.DUMMYFUNCTION("""COMPUTED_VALUE"""),"17KG")</f>
        <v>17KG</v>
      </c>
      <c r="Q730" s="12" t="str">
        <f ca="1">IFERROR(__xludf.DUMMYFUNCTION("""COMPUTED_VALUE"""),"1085*640*670mm")</f>
        <v>1085*640*670mm</v>
      </c>
      <c r="R730" s="12" t="str">
        <f ca="1">IFERROR(__xludf.DUMMYFUNCTION("""COMPUTED_VALUE"""),"中國")</f>
        <v>中國</v>
      </c>
      <c r="S730" s="12" t="str">
        <f ca="1">IFERROR(__xludf.DUMMYFUNCTION("""COMPUTED_VALUE"""),"V/省水標章(金級)")</f>
        <v>V/省水標章(金級)</v>
      </c>
      <c r="T730" s="12"/>
      <c r="U730" s="22" t="str">
        <f ca="1">IFERROR(__xludf.DUMMYFUNCTION("""COMPUTED_VALUE"""),"主機保固1年")</f>
        <v>主機保固1年</v>
      </c>
      <c r="V730" s="22" t="str">
        <f ca="1">IFERROR(__xludf.DUMMYFUNCTION("""COMPUTED_VALUE"""),"主機保固1年")</f>
        <v>主機保固1年</v>
      </c>
      <c r="W730" s="12"/>
      <c r="X730" s="12"/>
      <c r="Y730" s="12"/>
      <c r="Z730" s="14"/>
      <c r="AA730" s="15" t="str">
        <f ca="1">IFERROR(__xludf.DUMMYFUNCTION("""COMPUTED_VALUE"""),"*金級省水*FCS 快速淨洗系統*16 種行程+8 段水位*隱藏式底部進水，洗劑充分溶解*強力立體水流*緩降上蓋*不鏽鋼內槽*槽洗淨與冷風乾燥功能")</f>
        <v>*金級省水*FCS 快速淨洗系統*16 種行程+8 段水位*隱藏式底部進水，洗劑充分溶解*強力立體水流*緩降上蓋*不鏽鋼內槽*槽洗淨與冷風乾燥功能</v>
      </c>
    </row>
    <row r="731" spans="1:27" ht="19.5" customHeight="1">
      <c r="A731" s="12" t="str">
        <f ca="1">IFERROR(__xludf.DUMMYFUNCTION("""COMPUTED_VALUE"""),"洗衣機")</f>
        <v>洗衣機</v>
      </c>
      <c r="B731" s="12" t="str">
        <f ca="1">IFERROR(__xludf.DUMMYFUNCTION("""COMPUTED_VALUE"""),"大同")</f>
        <v>大同</v>
      </c>
      <c r="C731" s="12" t="str">
        <f ca="1">IFERROR(__xludf.DUMMYFUNCTION("""COMPUTED_VALUE"""),"PANASONIC")</f>
        <v>PANASONIC</v>
      </c>
      <c r="D731" s="12" t="str">
        <f ca="1">IFERROR(__xludf.DUMMYFUNCTION("""COMPUTED_VALUE"""),"Panasonic11KG直立式變頻洗衣機(炫銀灰色)NA-V110LB-L")</f>
        <v>Panasonic11KG直立式變頻洗衣機(炫銀灰色)NA-V110LB-L</v>
      </c>
      <c r="E731" s="12" t="str">
        <f ca="1">IFERROR(__xludf.DUMMYFUNCTION("""COMPUTED_VALUE"""),"NA-V110LB-L")</f>
        <v>NA-V110LB-L</v>
      </c>
      <c r="F731" s="12">
        <f ca="1">IFERROR(__xludf.DUMMYFUNCTION("""COMPUTED_VALUE"""),51089378)</f>
        <v>51089378</v>
      </c>
      <c r="G731" s="12" t="str">
        <f ca="1">IFERROR(__xludf.DUMMYFUNCTION("""COMPUTED_VALUE"""),"IGEM0486")</f>
        <v>IGEM0486</v>
      </c>
      <c r="H731" s="12">
        <f ca="1">IFERROR(__xludf.DUMMYFUNCTION("""COMPUTED_VALUE"""),15900)</f>
        <v>15900</v>
      </c>
      <c r="I731" s="14">
        <f ca="1">IFERROR(__xludf.DUMMYFUNCTION("""COMPUTED_VALUE"""),14787)</f>
        <v>14787</v>
      </c>
      <c r="J731" s="12"/>
      <c r="K731" s="12"/>
      <c r="L731" s="12" t="str">
        <f ca="1">IFERROR(__xludf.DUMMYFUNCTION("""COMPUTED_VALUE"""),"上架中")</f>
        <v>上架中</v>
      </c>
      <c r="M731" s="12" t="str">
        <f ca="1">IFERROR(__xludf.DUMMYFUNCTION("""COMPUTED_VALUE"""),"客訂機種，請先洽大同確認貨況")</f>
        <v>客訂機種，請先洽大同確認貨況</v>
      </c>
      <c r="N731" s="12" t="str">
        <f ca="1">IFERROR(__xludf.DUMMYFUNCTION("""COMPUTED_VALUE"""),"直立變頻")</f>
        <v>直立變頻</v>
      </c>
      <c r="O731" s="12" t="str">
        <f ca="1">IFERROR(__xludf.DUMMYFUNCTION("""COMPUTED_VALUE"""),"炫銀灰")</f>
        <v>炫銀灰</v>
      </c>
      <c r="P731" s="12" t="str">
        <f ca="1">IFERROR(__xludf.DUMMYFUNCTION("""COMPUTED_VALUE"""),"11kg")</f>
        <v>11kg</v>
      </c>
      <c r="Q731" s="12" t="str">
        <f ca="1">IFERROR(__xludf.DUMMYFUNCTION("""COMPUTED_VALUE"""),"高1015寬554深640(mm)")</f>
        <v>高1015寬554深640(mm)</v>
      </c>
      <c r="R731" s="12" t="str">
        <f ca="1">IFERROR(__xludf.DUMMYFUNCTION("""COMPUTED_VALUE"""),"台灣")</f>
        <v>台灣</v>
      </c>
      <c r="S731" s="12"/>
      <c r="T731" s="12"/>
      <c r="U731" s="22" t="str">
        <f ca="1">IFERROR(__xludf.DUMMYFUNCTION("""COMPUTED_VALUE"""),"1年")</f>
        <v>1年</v>
      </c>
      <c r="V731" s="12"/>
      <c r="W731" s="12" t="str">
        <f ca="1">IFERROR(__xludf.DUMMYFUNCTION("""COMPUTED_VALUE"""),"(10/1-114/2/28)隨貨送SP-2505-PR石墨烯多功能兩用靠墊
")</f>
        <v xml:space="preserve">(10/1-114/2/28)隨貨送SP-2505-PR石墨烯多功能兩用靠墊
</v>
      </c>
      <c r="X731" s="12"/>
      <c r="Y731" s="12"/>
      <c r="Z731" s="14"/>
      <c r="AA731" s="15" t="str">
        <f ca="1">IFERROR(__xludf.DUMMYFUNCTION("""COMPUTED_VALUE"""),"*NanoAG抗菌(抗菌99%,抗菌維持72小時)*雙效自動槽洗淨*健康洗淨系統-新一代出水口+新構造迴轉盤*泡洗淨-包覆衣物纖維除汙*ECONAVI機能")</f>
        <v>*NanoAG抗菌(抗菌99%,抗菌維持72小時)*雙效自動槽洗淨*健康洗淨系統-新一代出水口+新構造迴轉盤*泡洗淨-包覆衣物纖維除汙*ECONAVI機能</v>
      </c>
    </row>
    <row r="732" spans="1:27" ht="19.5" customHeight="1">
      <c r="A732" s="12" t="str">
        <f ca="1">IFERROR(__xludf.DUMMYFUNCTION("""COMPUTED_VALUE"""),"洗衣機")</f>
        <v>洗衣機</v>
      </c>
      <c r="B732" s="12" t="str">
        <f ca="1">IFERROR(__xludf.DUMMYFUNCTION("""COMPUTED_VALUE"""),"大同")</f>
        <v>大同</v>
      </c>
      <c r="C732" s="12" t="str">
        <f ca="1">IFERROR(__xludf.DUMMYFUNCTION("""COMPUTED_VALUE"""),"PANASONIC")</f>
        <v>PANASONIC</v>
      </c>
      <c r="D732" s="12" t="str">
        <f ca="1">IFERROR(__xludf.DUMMYFUNCTION("""COMPUTED_VALUE"""),"Panasonic11KG直立式變頻洗衣機(不銹鋼色)NA-V110LBS-S")</f>
        <v>Panasonic11KG直立式變頻洗衣機(不銹鋼色)NA-V110LBS-S</v>
      </c>
      <c r="E732" s="12" t="str">
        <f ca="1">IFERROR(__xludf.DUMMYFUNCTION("""COMPUTED_VALUE"""),"NA-V110LBS-S")</f>
        <v>NA-V110LBS-S</v>
      </c>
      <c r="F732" s="12">
        <f ca="1">IFERROR(__xludf.DUMMYFUNCTION("""COMPUTED_VALUE"""),51089379)</f>
        <v>51089379</v>
      </c>
      <c r="G732" s="12" t="str">
        <f ca="1">IFERROR(__xludf.DUMMYFUNCTION("""COMPUTED_VALUE"""),"IGEM0487")</f>
        <v>IGEM0487</v>
      </c>
      <c r="H732" s="12">
        <f ca="1">IFERROR(__xludf.DUMMYFUNCTION("""COMPUTED_VALUE"""),16900)</f>
        <v>16900</v>
      </c>
      <c r="I732" s="14">
        <f ca="1">IFERROR(__xludf.DUMMYFUNCTION("""COMPUTED_VALUE"""),15717)</f>
        <v>15717</v>
      </c>
      <c r="J732" s="12"/>
      <c r="K732" s="12"/>
      <c r="L732" s="12" t="str">
        <f ca="1">IFERROR(__xludf.DUMMYFUNCTION("""COMPUTED_VALUE"""),"上架中")</f>
        <v>上架中</v>
      </c>
      <c r="M732" s="12" t="str">
        <f ca="1">IFERROR(__xludf.DUMMYFUNCTION("""COMPUTED_VALUE"""),"客訂機種，請先洽大同確認貨況")</f>
        <v>客訂機種，請先洽大同確認貨況</v>
      </c>
      <c r="N732" s="12" t="str">
        <f ca="1">IFERROR(__xludf.DUMMYFUNCTION("""COMPUTED_VALUE"""),"直立變頻")</f>
        <v>直立變頻</v>
      </c>
      <c r="O732" s="12" t="str">
        <f ca="1">IFERROR(__xludf.DUMMYFUNCTION("""COMPUTED_VALUE"""),"不銹鋼")</f>
        <v>不銹鋼</v>
      </c>
      <c r="P732" s="12" t="str">
        <f ca="1">IFERROR(__xludf.DUMMYFUNCTION("""COMPUTED_VALUE"""),"11kg")</f>
        <v>11kg</v>
      </c>
      <c r="Q732" s="12" t="str">
        <f ca="1">IFERROR(__xludf.DUMMYFUNCTION("""COMPUTED_VALUE"""),"高1015寬554深640(mm)")</f>
        <v>高1015寬554深640(mm)</v>
      </c>
      <c r="R732" s="12" t="str">
        <f ca="1">IFERROR(__xludf.DUMMYFUNCTION("""COMPUTED_VALUE"""),"台灣")</f>
        <v>台灣</v>
      </c>
      <c r="S732" s="12"/>
      <c r="T732" s="12"/>
      <c r="U732" s="22" t="str">
        <f ca="1">IFERROR(__xludf.DUMMYFUNCTION("""COMPUTED_VALUE"""),"1年")</f>
        <v>1年</v>
      </c>
      <c r="V732" s="22" t="str">
        <f ca="1">IFERROR(__xludf.DUMMYFUNCTION("""COMPUTED_VALUE"""),"「緩衝懸吊組、印刷電路板/運轉組/享3年保證。
洗衣馬達/脫水馬達5年")</f>
        <v>「緩衝懸吊組、印刷電路板/運轉組/享3年保證。
洗衣馬達/脫水馬達5年</v>
      </c>
      <c r="W732" s="12" t="str">
        <f ca="1">IFERROR(__xludf.DUMMYFUNCTION("""COMPUTED_VALUE"""),"(10/1-114/2/28)隨貨送SP-2505-PR石墨烯多功能兩用靠墊
")</f>
        <v xml:space="preserve">(10/1-114/2/28)隨貨送SP-2505-PR石墨烯多功能兩用靠墊
</v>
      </c>
      <c r="X732" s="12"/>
      <c r="Y732" s="12"/>
      <c r="Z732" s="14"/>
      <c r="AA732" s="15" t="str">
        <f ca="1">IFERROR(__xludf.DUMMYFUNCTION("""COMPUTED_VALUE"""),"*NanoAG抗菌(抗菌99%,抗菌維持72小時)*雙效自動槽洗淨*健康洗淨系統-新一代出水口+新構造迴轉盤*泡洗淨-包覆衣物纖維除汙*ECONAVI機能")</f>
        <v>*NanoAG抗菌(抗菌99%,抗菌維持72小時)*雙效自動槽洗淨*健康洗淨系統-新一代出水口+新構造迴轉盤*泡洗淨-包覆衣物纖維除汙*ECONAVI機能</v>
      </c>
    </row>
    <row r="733" spans="1:27" ht="19.5" customHeight="1">
      <c r="A733" s="12" t="str">
        <f ca="1">IFERROR(__xludf.DUMMYFUNCTION("""COMPUTED_VALUE"""),"洗衣機")</f>
        <v>洗衣機</v>
      </c>
      <c r="B733" s="12" t="str">
        <f ca="1">IFERROR(__xludf.DUMMYFUNCTION("""COMPUTED_VALUE"""),"大同")</f>
        <v>大同</v>
      </c>
      <c r="C733" s="12" t="str">
        <f ca="1">IFERROR(__xludf.DUMMYFUNCTION("""COMPUTED_VALUE"""),"PANASONIC")</f>
        <v>PANASONIC</v>
      </c>
      <c r="D733" s="12" t="str">
        <f ca="1">IFERROR(__xludf.DUMMYFUNCTION("""COMPUTED_VALUE"""),"Panasonic12KG直立式變頻洗衣機(不銹鋼色)NA-V120LBS-S")</f>
        <v>Panasonic12KG直立式變頻洗衣機(不銹鋼色)NA-V120LBS-S</v>
      </c>
      <c r="E733" s="12" t="str">
        <f ca="1">IFERROR(__xludf.DUMMYFUNCTION("""COMPUTED_VALUE"""),"NA-V120LBS-S")</f>
        <v>NA-V120LBS-S</v>
      </c>
      <c r="F733" s="12">
        <f ca="1">IFERROR(__xludf.DUMMYFUNCTION("""COMPUTED_VALUE"""),51089380)</f>
        <v>51089380</v>
      </c>
      <c r="G733" s="12" t="str">
        <f ca="1">IFERROR(__xludf.DUMMYFUNCTION("""COMPUTED_VALUE"""),"IGEM0488")</f>
        <v>IGEM0488</v>
      </c>
      <c r="H733" s="12">
        <f ca="1">IFERROR(__xludf.DUMMYFUNCTION("""COMPUTED_VALUE"""),17900)</f>
        <v>17900</v>
      </c>
      <c r="I733" s="14">
        <f ca="1">IFERROR(__xludf.DUMMYFUNCTION("""COMPUTED_VALUE"""),16647)</f>
        <v>16647</v>
      </c>
      <c r="J733" s="12"/>
      <c r="K733" s="12"/>
      <c r="L733" s="12" t="str">
        <f ca="1">IFERROR(__xludf.DUMMYFUNCTION("""COMPUTED_VALUE"""),"上架中")</f>
        <v>上架中</v>
      </c>
      <c r="M733" s="12" t="str">
        <f ca="1">IFERROR(__xludf.DUMMYFUNCTION("""COMPUTED_VALUE"""),"客訂機種，請先洽大同確認貨況")</f>
        <v>客訂機種，請先洽大同確認貨況</v>
      </c>
      <c r="N733" s="12" t="str">
        <f ca="1">IFERROR(__xludf.DUMMYFUNCTION("""COMPUTED_VALUE"""),"直立變頻")</f>
        <v>直立變頻</v>
      </c>
      <c r="O733" s="12" t="str">
        <f ca="1">IFERROR(__xludf.DUMMYFUNCTION("""COMPUTED_VALUE"""),"不銹鋼")</f>
        <v>不銹鋼</v>
      </c>
      <c r="P733" s="12" t="str">
        <f ca="1">IFERROR(__xludf.DUMMYFUNCTION("""COMPUTED_VALUE"""),"12kg")</f>
        <v>12kg</v>
      </c>
      <c r="Q733" s="12" t="str">
        <f ca="1">IFERROR(__xludf.DUMMYFUNCTION("""COMPUTED_VALUE"""),"高1015寬554深640(mm)")</f>
        <v>高1015寬554深640(mm)</v>
      </c>
      <c r="R733" s="12" t="str">
        <f ca="1">IFERROR(__xludf.DUMMYFUNCTION("""COMPUTED_VALUE"""),"台灣")</f>
        <v>台灣</v>
      </c>
      <c r="S733" s="12"/>
      <c r="T733" s="12"/>
      <c r="U733" s="22" t="str">
        <f ca="1">IFERROR(__xludf.DUMMYFUNCTION("""COMPUTED_VALUE"""),"1年")</f>
        <v>1年</v>
      </c>
      <c r="V733" s="22" t="str">
        <f ca="1">IFERROR(__xludf.DUMMYFUNCTION("""COMPUTED_VALUE"""),"洗衣馬達/脫水馬達5年")</f>
        <v>洗衣馬達/脫水馬達5年</v>
      </c>
      <c r="W733" s="12" t="str">
        <f ca="1">IFERROR(__xludf.DUMMYFUNCTION("""COMPUTED_VALUE"""),"(10/1-114/2/28)隨貨送SP-2505-PR石墨烯多功能兩用靠墊
")</f>
        <v xml:space="preserve">(10/1-114/2/28)隨貨送SP-2505-PR石墨烯多功能兩用靠墊
</v>
      </c>
      <c r="X733" s="12"/>
      <c r="Y733" s="12"/>
      <c r="Z733" s="14"/>
      <c r="AA733" s="15" t="str">
        <f ca="1">IFERROR(__xludf.DUMMYFUNCTION("""COMPUTED_VALUE"""),"*NanoAG抗菌(抗菌99%,抗菌維持72小時)*雙效自動槽洗淨*健康洗淨系統-新一代出水口+新構造迴轉盤*泡洗淨-包覆衣物纖維除汙*不鏽鋼外觀*ECONAVI機能")</f>
        <v>*NanoAG抗菌(抗菌99%,抗菌維持72小時)*雙效自動槽洗淨*健康洗淨系統-新一代出水口+新構造迴轉盤*泡洗淨-包覆衣物纖維除汙*不鏽鋼外觀*ECONAVI機能</v>
      </c>
    </row>
    <row r="734" spans="1:27" ht="19.5" customHeight="1">
      <c r="A734" s="12" t="str">
        <f ca="1">IFERROR(__xludf.DUMMYFUNCTION("""COMPUTED_VALUE"""),"洗衣機")</f>
        <v>洗衣機</v>
      </c>
      <c r="B734" s="12" t="str">
        <f ca="1">IFERROR(__xludf.DUMMYFUNCTION("""COMPUTED_VALUE"""),"大同")</f>
        <v>大同</v>
      </c>
      <c r="C734" s="12" t="str">
        <f ca="1">IFERROR(__xludf.DUMMYFUNCTION("""COMPUTED_VALUE"""),"PANASONIC")</f>
        <v>PANASONIC</v>
      </c>
      <c r="D734" s="12" t="str">
        <f ca="1">IFERROR(__xludf.DUMMYFUNCTION("""COMPUTED_VALUE"""),"Panasonic13KG直立式變頻洗衣機(炫銀灰色)NA-V130LB-L")</f>
        <v>Panasonic13KG直立式變頻洗衣機(炫銀灰色)NA-V130LB-L</v>
      </c>
      <c r="E734" s="12" t="str">
        <f ca="1">IFERROR(__xludf.DUMMYFUNCTION("""COMPUTED_VALUE"""),"NA-V130LB-L")</f>
        <v>NA-V130LB-L</v>
      </c>
      <c r="F734" s="12">
        <f ca="1">IFERROR(__xludf.DUMMYFUNCTION("""COMPUTED_VALUE"""),51089381)</f>
        <v>51089381</v>
      </c>
      <c r="G734" s="12" t="str">
        <f ca="1">IFERROR(__xludf.DUMMYFUNCTION("""COMPUTED_VALUE"""),"IGEM0489")</f>
        <v>IGEM0489</v>
      </c>
      <c r="H734" s="12">
        <f ca="1">IFERROR(__xludf.DUMMYFUNCTION("""COMPUTED_VALUE"""),18900)</f>
        <v>18900</v>
      </c>
      <c r="I734" s="14">
        <f ca="1">IFERROR(__xludf.DUMMYFUNCTION("""COMPUTED_VALUE"""),17010)</f>
        <v>17010</v>
      </c>
      <c r="J734" s="12"/>
      <c r="K734" s="12"/>
      <c r="L734" s="12" t="str">
        <f ca="1">IFERROR(__xludf.DUMMYFUNCTION("""COMPUTED_VALUE"""),"上架中")</f>
        <v>上架中</v>
      </c>
      <c r="M734" s="12" t="str">
        <f ca="1">IFERROR(__xludf.DUMMYFUNCTION("""COMPUTED_VALUE"""),"正常供貨")</f>
        <v>正常供貨</v>
      </c>
      <c r="N734" s="12" t="str">
        <f ca="1">IFERROR(__xludf.DUMMYFUNCTION("""COMPUTED_VALUE"""),"直立變頻")</f>
        <v>直立變頻</v>
      </c>
      <c r="O734" s="12" t="str">
        <f ca="1">IFERROR(__xludf.DUMMYFUNCTION("""COMPUTED_VALUE"""),"炫銀灰")</f>
        <v>炫銀灰</v>
      </c>
      <c r="P734" s="12" t="str">
        <f ca="1">IFERROR(__xludf.DUMMYFUNCTION("""COMPUTED_VALUE"""),"13kg")</f>
        <v>13kg</v>
      </c>
      <c r="Q734" s="12" t="str">
        <f ca="1">IFERROR(__xludf.DUMMYFUNCTION("""COMPUTED_VALUE"""),"高1015寬554深640(mm)")</f>
        <v>高1015寬554深640(mm)</v>
      </c>
      <c r="R734" s="12" t="str">
        <f ca="1">IFERROR(__xludf.DUMMYFUNCTION("""COMPUTED_VALUE"""),"台灣")</f>
        <v>台灣</v>
      </c>
      <c r="S734" s="22" t="str">
        <f ca="1">IFERROR(__xludf.DUMMYFUNCTION("""COMPUTED_VALUE"""),"省水標章(金級)")</f>
        <v>省水標章(金級)</v>
      </c>
      <c r="T734" s="12"/>
      <c r="U734" s="22" t="str">
        <f ca="1">IFERROR(__xludf.DUMMYFUNCTION("""COMPUTED_VALUE"""),"1年")</f>
        <v>1年</v>
      </c>
      <c r="V734" s="22" t="str">
        <f ca="1">IFERROR(__xludf.DUMMYFUNCTION("""COMPUTED_VALUE"""),"洗衣馬達/脫水馬達5年")</f>
        <v>洗衣馬達/脫水馬達5年</v>
      </c>
      <c r="W734" s="12" t="str">
        <f ca="1">IFERROR(__xludf.DUMMYFUNCTION("""COMPUTED_VALUE"""),"(10/1-114/2/28)隨貨送SP-2505-PR石墨烯多功能兩用靠墊
")</f>
        <v xml:space="preserve">(10/1-114/2/28)隨貨送SP-2505-PR石墨烯多功能兩用靠墊
</v>
      </c>
      <c r="X734" s="12"/>
      <c r="Y734" s="12"/>
      <c r="Z734" s="14"/>
      <c r="AA734" s="15" t="str">
        <f ca="1">IFERROR(__xludf.DUMMYFUNCTION("""COMPUTED_VALUE"""),"*NanoAG抗菌(抗菌99%,抗菌維持72小時)*雙效自動槽洗淨*健康洗淨系統-新一代出水口+新構造迴轉盤*泡洗淨-包覆衣物纖維除汙*不鏽鋼外觀*ECONAVI機能")</f>
        <v>*NanoAG抗菌(抗菌99%,抗菌維持72小時)*雙效自動槽洗淨*健康洗淨系統-新一代出水口+新構造迴轉盤*泡洗淨-包覆衣物纖維除汙*不鏽鋼外觀*ECONAVI機能</v>
      </c>
    </row>
    <row r="735" spans="1:27" ht="19.5" customHeight="1">
      <c r="A735" s="12" t="str">
        <f ca="1">IFERROR(__xludf.DUMMYFUNCTION("""COMPUTED_VALUE"""),"洗衣機")</f>
        <v>洗衣機</v>
      </c>
      <c r="B735" s="12" t="str">
        <f ca="1">IFERROR(__xludf.DUMMYFUNCTION("""COMPUTED_VALUE"""),"大同")</f>
        <v>大同</v>
      </c>
      <c r="C735" s="12" t="str">
        <f ca="1">IFERROR(__xludf.DUMMYFUNCTION("""COMPUTED_VALUE"""),"PANASONIC")</f>
        <v>PANASONIC</v>
      </c>
      <c r="D735" s="12" t="str">
        <f ca="1">IFERROR(__xludf.DUMMYFUNCTION("""COMPUTED_VALUE"""),"Panasonic13KG直立式變頻洗衣機(不銹鋼色)NA-V130LBS-S")</f>
        <v>Panasonic13KG直立式變頻洗衣機(不銹鋼色)NA-V130LBS-S</v>
      </c>
      <c r="E735" s="12" t="str">
        <f ca="1">IFERROR(__xludf.DUMMYFUNCTION("""COMPUTED_VALUE"""),"NA-V130LBS-S")</f>
        <v>NA-V130LBS-S</v>
      </c>
      <c r="F735" s="12">
        <f ca="1">IFERROR(__xludf.DUMMYFUNCTION("""COMPUTED_VALUE"""),51089382)</f>
        <v>51089382</v>
      </c>
      <c r="G735" s="12" t="str">
        <f ca="1">IFERROR(__xludf.DUMMYFUNCTION("""COMPUTED_VALUE"""),"IGEM048Z")</f>
        <v>IGEM048Z</v>
      </c>
      <c r="H735" s="12">
        <f ca="1">IFERROR(__xludf.DUMMYFUNCTION("""COMPUTED_VALUE"""),19900)</f>
        <v>19900</v>
      </c>
      <c r="I735" s="14">
        <f ca="1">IFERROR(__xludf.DUMMYFUNCTION("""COMPUTED_VALUE"""),18507)</f>
        <v>18507</v>
      </c>
      <c r="J735" s="12"/>
      <c r="K735" s="12"/>
      <c r="L735" s="12" t="str">
        <f ca="1">IFERROR(__xludf.DUMMYFUNCTION("""COMPUTED_VALUE"""),"上架中")</f>
        <v>上架中</v>
      </c>
      <c r="M735" s="12" t="str">
        <f ca="1">IFERROR(__xludf.DUMMYFUNCTION("""COMPUTED_VALUE"""),"客訂機種，請先洽大同確認貨況")</f>
        <v>客訂機種，請先洽大同確認貨況</v>
      </c>
      <c r="N735" s="12" t="str">
        <f ca="1">IFERROR(__xludf.DUMMYFUNCTION("""COMPUTED_VALUE"""),"直立變頻")</f>
        <v>直立變頻</v>
      </c>
      <c r="O735" s="12" t="str">
        <f ca="1">IFERROR(__xludf.DUMMYFUNCTION("""COMPUTED_VALUE"""),"不銹鋼")</f>
        <v>不銹鋼</v>
      </c>
      <c r="P735" s="12" t="str">
        <f ca="1">IFERROR(__xludf.DUMMYFUNCTION("""COMPUTED_VALUE"""),"13kg")</f>
        <v>13kg</v>
      </c>
      <c r="Q735" s="12" t="str">
        <f ca="1">IFERROR(__xludf.DUMMYFUNCTION("""COMPUTED_VALUE"""),"高1015寬554深640(mm)")</f>
        <v>高1015寬554深640(mm)</v>
      </c>
      <c r="R735" s="12" t="str">
        <f ca="1">IFERROR(__xludf.DUMMYFUNCTION("""COMPUTED_VALUE"""),"台灣")</f>
        <v>台灣</v>
      </c>
      <c r="S735" s="12"/>
      <c r="T735" s="12"/>
      <c r="U735" s="22" t="str">
        <f ca="1">IFERROR(__xludf.DUMMYFUNCTION("""COMPUTED_VALUE"""),"1年")</f>
        <v>1年</v>
      </c>
      <c r="V735" s="22" t="str">
        <f ca="1">IFERROR(__xludf.DUMMYFUNCTION("""COMPUTED_VALUE"""),"洗衣馬達/脫水馬達5年")</f>
        <v>洗衣馬達/脫水馬達5年</v>
      </c>
      <c r="W735" s="12" t="str">
        <f ca="1">IFERROR(__xludf.DUMMYFUNCTION("""COMPUTED_VALUE"""),"(10/1-114/2/28)隨貨送SP-2505-PR石墨烯多功能兩用靠墊
")</f>
        <v xml:space="preserve">(10/1-114/2/28)隨貨送SP-2505-PR石墨烯多功能兩用靠墊
</v>
      </c>
      <c r="X735" s="12"/>
      <c r="Y735" s="12"/>
      <c r="Z735" s="14"/>
      <c r="AA735" s="15" t="str">
        <f ca="1">IFERROR(__xludf.DUMMYFUNCTION("""COMPUTED_VALUE"""),"*NanoAG抗菌(抗菌99%,抗菌維持72小時)*雙效自動槽洗淨*健康洗淨系統-新一代出水口+新構造迴轉盤*泡洗淨-包覆衣物纖維除汙*不鏽鋼外觀*ECONAVI機能")</f>
        <v>*NanoAG抗菌(抗菌99%,抗菌維持72小時)*雙效自動槽洗淨*健康洗淨系統-新一代出水口+新構造迴轉盤*泡洗淨-包覆衣物纖維除汙*不鏽鋼外觀*ECONAVI機能</v>
      </c>
    </row>
    <row r="736" spans="1:27" ht="19.5" customHeight="1">
      <c r="A736" s="12" t="str">
        <f ca="1">IFERROR(__xludf.DUMMYFUNCTION("""COMPUTED_VALUE"""),"洗衣機")</f>
        <v>洗衣機</v>
      </c>
      <c r="B736" s="12" t="str">
        <f ca="1">IFERROR(__xludf.DUMMYFUNCTION("""COMPUTED_VALUE"""),"大同")</f>
        <v>大同</v>
      </c>
      <c r="C736" s="12" t="str">
        <f ca="1">IFERROR(__xludf.DUMMYFUNCTION("""COMPUTED_VALUE"""),"PANASONIC")</f>
        <v>PANASONIC</v>
      </c>
      <c r="D736" s="12" t="str">
        <f ca="1">IFERROR(__xludf.DUMMYFUNCTION("""COMPUTED_VALUE"""),"PANASONIC_17公斤智能聯網變頻直立溫水洗衣機_NA-V170NMS-S")</f>
        <v>PANASONIC_17公斤智能聯網變頻直立溫水洗衣機_NA-V170NMS-S</v>
      </c>
      <c r="E736" s="12" t="str">
        <f ca="1">IFERROR(__xludf.DUMMYFUNCTION("""COMPUTED_VALUE"""),"NA-V170NMS-S")</f>
        <v>NA-V170NMS-S</v>
      </c>
      <c r="F736" s="12">
        <f ca="1">IFERROR(__xludf.DUMMYFUNCTION("""COMPUTED_VALUE"""),51012236)</f>
        <v>51012236</v>
      </c>
      <c r="G736" s="12" t="str">
        <f ca="1">IFERROR(__xludf.DUMMYFUNCTION("""COMPUTED_VALUE"""),"IGEM089X")</f>
        <v>IGEM089X</v>
      </c>
      <c r="H736" s="13">
        <f ca="1">IFERROR(__xludf.DUMMYFUNCTION("""COMPUTED_VALUE"""),25900)</f>
        <v>25900</v>
      </c>
      <c r="I736" s="14">
        <f ca="1">IFERROR(__xludf.DUMMYFUNCTION("""COMPUTED_VALUE"""),24087)</f>
        <v>24087</v>
      </c>
      <c r="J736" s="16">
        <f ca="1">IFERROR(__xludf.DUMMYFUNCTION("""COMPUTED_VALUE"""),45292)</f>
        <v>45292</v>
      </c>
      <c r="K736" s="12" t="str">
        <f ca="1">IFERROR(__xludf.DUMMYFUNCTION("""COMPUTED_VALUE"""),"回價")</f>
        <v>回價</v>
      </c>
      <c r="L736" s="12" t="str">
        <f ca="1">IFERROR(__xludf.DUMMYFUNCTION("""COMPUTED_VALUE"""),"上架中")</f>
        <v>上架中</v>
      </c>
      <c r="M736" s="12"/>
      <c r="N736" s="12" t="str">
        <f ca="1">IFERROR(__xludf.DUMMYFUNCTION("""COMPUTED_VALUE"""),"直立變頻")</f>
        <v>直立變頻</v>
      </c>
      <c r="O736" s="12" t="str">
        <f ca="1">IFERROR(__xludf.DUMMYFUNCTION("""COMPUTED_VALUE"""),"不銹鋼")</f>
        <v>不銹鋼</v>
      </c>
      <c r="P736" s="12" t="str">
        <f ca="1">IFERROR(__xludf.DUMMYFUNCTION("""COMPUTED_VALUE"""),"17kg")</f>
        <v>17kg</v>
      </c>
      <c r="Q736" s="12" t="str">
        <f ca="1">IFERROR(__xludf.DUMMYFUNCTION("""COMPUTED_VALUE"""),"高1075寬640深710(mm)")</f>
        <v>高1075寬640深710(mm)</v>
      </c>
      <c r="R736" s="12" t="str">
        <f ca="1">IFERROR(__xludf.DUMMYFUNCTION("""COMPUTED_VALUE"""),"台灣")</f>
        <v>台灣</v>
      </c>
      <c r="S736" s="22" t="str">
        <f ca="1">IFERROR(__xludf.DUMMYFUNCTION("""COMPUTED_VALUE"""),"V/省水標章(金級)")</f>
        <v>V/省水標章(金級)</v>
      </c>
      <c r="T736" s="12"/>
      <c r="U736" s="22" t="str">
        <f ca="1">IFERROR(__xludf.DUMMYFUNCTION("""COMPUTED_VALUE"""),"1年")</f>
        <v>1年</v>
      </c>
      <c r="V736" s="22" t="str">
        <f ca="1">IFERROR(__xludf.DUMMYFUNCTION("""COMPUTED_VALUE"""),"3年")</f>
        <v>3年</v>
      </c>
      <c r="W736" s="12"/>
      <c r="X736" s="12" t="str">
        <f ca="1">IFERROR(__xludf.DUMMYFUNCTION("""COMPUTED_VALUE"""),"(10/1-114/2/28)隨貨送SP-2505-PR石墨烯多功能兩用靠墊+SP-NA02-PR南僑水晶皂力淨")</f>
        <v>(10/1-114/2/28)隨貨送SP-2505-PR石墨烯多功能兩用靠墊+SP-NA02-PR南僑水晶皂力淨</v>
      </c>
      <c r="Y736" s="12"/>
      <c r="Z736" s="14"/>
      <c r="AA736" s="15" t="str">
        <f ca="1">IFERROR(__xludf.DUMMYFUNCTION("""COMPUTED_VALUE"""),"*洗衣/脫水 17kg*洗劑量自動精準投入*nanoAg抗菌銀離子*雙渦輪強淨水流*抗菌渦輪迴轉盤*溫水泡洗淨*ECONAVI智慧節能科技*雙效自動槽洗淨*IoT智慧健康家電")</f>
        <v>*洗衣/脫水 17kg*洗劑量自動精準投入*nanoAg抗菌銀離子*雙渦輪強淨水流*抗菌渦輪迴轉盤*溫水泡洗淨*ECONAVI智慧節能科技*雙效自動槽洗淨*IoT智慧健康家電</v>
      </c>
    </row>
    <row r="737" spans="1:27" ht="19.5" customHeight="1">
      <c r="A737" s="12" t="str">
        <f ca="1">IFERROR(__xludf.DUMMYFUNCTION("""COMPUTED_VALUE"""),"洗衣機")</f>
        <v>洗衣機</v>
      </c>
      <c r="B737" s="12" t="str">
        <f ca="1">IFERROR(__xludf.DUMMYFUNCTION("""COMPUTED_VALUE"""),"大同")</f>
        <v>大同</v>
      </c>
      <c r="C737" s="12" t="str">
        <f ca="1">IFERROR(__xludf.DUMMYFUNCTION("""COMPUTED_VALUE"""),"Panasonic")</f>
        <v>Panasonic</v>
      </c>
      <c r="D737" s="12" t="str">
        <f ca="1">IFERROR(__xludf.DUMMYFUNCTION("""COMPUTED_VALUE"""),"Panasonic_15公斤智能聯網變頻直立溫水洗衣機(玫瑰金)_NA-V150NM-PN")</f>
        <v>Panasonic_15公斤智能聯網變頻直立溫水洗衣機(玫瑰金)_NA-V150NM-PN</v>
      </c>
      <c r="E737" s="12" t="str">
        <f ca="1">IFERROR(__xludf.DUMMYFUNCTION("""COMPUTED_VALUE"""),"NA-V150NM-PN")</f>
        <v>NA-V150NM-PN</v>
      </c>
      <c r="F737" s="12">
        <f ca="1">IFERROR(__xludf.DUMMYFUNCTION("""COMPUTED_VALUE"""),51081344)</f>
        <v>51081344</v>
      </c>
      <c r="G737" s="12" t="str">
        <f ca="1">IFERROR(__xludf.DUMMYFUNCTION("""COMPUTED_VALUE"""),"IGEM091A")</f>
        <v>IGEM091A</v>
      </c>
      <c r="H737" s="13">
        <f ca="1">IFERROR(__xludf.DUMMYFUNCTION("""COMPUTED_VALUE"""),22900)</f>
        <v>22900</v>
      </c>
      <c r="I737" s="14">
        <f ca="1">IFERROR(__xludf.DUMMYFUNCTION("""COMPUTED_VALUE"""),21300)</f>
        <v>21300</v>
      </c>
      <c r="J737" s="16">
        <f ca="1">IFERROR(__xludf.DUMMYFUNCTION("""COMPUTED_VALUE"""),45615)</f>
        <v>45615</v>
      </c>
      <c r="K737" s="12" t="str">
        <f ca="1">IFERROR(__xludf.DUMMYFUNCTION("""COMPUTED_VALUE"""),"永久降價")</f>
        <v>永久降價</v>
      </c>
      <c r="L737" s="12" t="str">
        <f ca="1">IFERROR(__xludf.DUMMYFUNCTION("""COMPUTED_VALUE"""),"上架中")</f>
        <v>上架中</v>
      </c>
      <c r="M737" s="12" t="str">
        <f ca="1">IFERROR(__xludf.DUMMYFUNCTION("""COMPUTED_VALUE"""),"客訂機種，請先洽大同確認貨況")</f>
        <v>客訂機種，請先洽大同確認貨況</v>
      </c>
      <c r="N737" s="12" t="str">
        <f ca="1">IFERROR(__xludf.DUMMYFUNCTION("""COMPUTED_VALUE"""),"直立變頻")</f>
        <v>直立變頻</v>
      </c>
      <c r="O737" s="12" t="str">
        <f ca="1">IFERROR(__xludf.DUMMYFUNCTION("""COMPUTED_VALUE"""),"不銹鋼")</f>
        <v>不銹鋼</v>
      </c>
      <c r="P737" s="12" t="str">
        <f ca="1">IFERROR(__xludf.DUMMYFUNCTION("""COMPUTED_VALUE"""),"15kg")</f>
        <v>15kg</v>
      </c>
      <c r="Q737" s="12" t="str">
        <f ca="1">IFERROR(__xludf.DUMMYFUNCTION("""COMPUTED_VALUE"""),"高1075寬640深710(mm)")</f>
        <v>高1075寬640深710(mm)</v>
      </c>
      <c r="R737" s="12" t="str">
        <f ca="1">IFERROR(__xludf.DUMMYFUNCTION("""COMPUTED_VALUE"""),"台灣")</f>
        <v>台灣</v>
      </c>
      <c r="S737" s="22" t="str">
        <f ca="1">IFERROR(__xludf.DUMMYFUNCTION("""COMPUTED_VALUE"""),"V/省水標章(金級)")</f>
        <v>V/省水標章(金級)</v>
      </c>
      <c r="T737" s="12"/>
      <c r="U737" s="22" t="str">
        <f ca="1">IFERROR(__xludf.DUMMYFUNCTION("""COMPUTED_VALUE"""),"1年")</f>
        <v>1年</v>
      </c>
      <c r="V737" s="22" t="str">
        <f ca="1">IFERROR(__xludf.DUMMYFUNCTION("""COMPUTED_VALUE"""),"3年")</f>
        <v>3年</v>
      </c>
      <c r="W737" s="12"/>
      <c r="X737" s="12"/>
      <c r="Y737" s="12"/>
      <c r="Z737" s="14"/>
      <c r="AA737" s="15" t="str">
        <f ca="1">IFERROR(__xludf.DUMMYFUNCTION("""COMPUTED_VALUE"""),"*洗衣/脫水 15kg*洗劑量自動精準投入*nanoAg抗菌銀離子*雙渦輪強淨水流*抗菌渦輪迴轉盤*溫水泡洗淨*ECONAVI智慧節能科技*雙效自動槽洗淨*IoT智慧健康家電")</f>
        <v>*洗衣/脫水 15kg*洗劑量自動精準投入*nanoAg抗菌銀離子*雙渦輪強淨水流*抗菌渦輪迴轉盤*溫水泡洗淨*ECONAVI智慧節能科技*雙效自動槽洗淨*IoT智慧健康家電</v>
      </c>
    </row>
    <row r="738" spans="1:27" ht="19.5" customHeight="1">
      <c r="A738" s="12" t="str">
        <f ca="1">IFERROR(__xludf.DUMMYFUNCTION("""COMPUTED_VALUE"""),"洗衣機")</f>
        <v>洗衣機</v>
      </c>
      <c r="B738" s="12" t="str">
        <f ca="1">IFERROR(__xludf.DUMMYFUNCTION("""COMPUTED_VALUE"""),"大同")</f>
        <v>大同</v>
      </c>
      <c r="C738" s="12" t="str">
        <f ca="1">IFERROR(__xludf.DUMMYFUNCTION("""COMPUTED_VALUE"""),"Panasonic")</f>
        <v>Panasonic</v>
      </c>
      <c r="D738" s="12" t="str">
        <f ca="1">IFERROR(__xludf.DUMMYFUNCTION("""COMPUTED_VALUE"""),"Panasonic_15公斤智能聯網變頻直立溫水洗衣機(不銹鋼)_NA-V150NMS-S")</f>
        <v>Panasonic_15公斤智能聯網變頻直立溫水洗衣機(不銹鋼)_NA-V150NMS-S</v>
      </c>
      <c r="E738" s="12" t="str">
        <f ca="1">IFERROR(__xludf.DUMMYFUNCTION("""COMPUTED_VALUE"""),"NA-V150NMS-S")</f>
        <v>NA-V150NMS-S</v>
      </c>
      <c r="F738" s="12">
        <f ca="1">IFERROR(__xludf.DUMMYFUNCTION("""COMPUTED_VALUE"""),51081345)</f>
        <v>51081345</v>
      </c>
      <c r="G738" s="12" t="str">
        <f ca="1">IFERROR(__xludf.DUMMYFUNCTION("""COMPUTED_VALUE"""),"IGEM091B")</f>
        <v>IGEM091B</v>
      </c>
      <c r="H738" s="13">
        <f ca="1">IFERROR(__xludf.DUMMYFUNCTION("""COMPUTED_VALUE"""),23900)</f>
        <v>23900</v>
      </c>
      <c r="I738" s="14">
        <f ca="1">IFERROR(__xludf.DUMMYFUNCTION("""COMPUTED_VALUE"""),22200)</f>
        <v>22200</v>
      </c>
      <c r="J738" s="16">
        <f ca="1">IFERROR(__xludf.DUMMYFUNCTION("""COMPUTED_VALUE"""),45615)</f>
        <v>45615</v>
      </c>
      <c r="K738" s="12" t="str">
        <f ca="1">IFERROR(__xludf.DUMMYFUNCTION("""COMPUTED_VALUE"""),"永久降價")</f>
        <v>永久降價</v>
      </c>
      <c r="L738" s="12" t="str">
        <f ca="1">IFERROR(__xludf.DUMMYFUNCTION("""COMPUTED_VALUE"""),"上架中")</f>
        <v>上架中</v>
      </c>
      <c r="M738" s="12" t="str">
        <f ca="1">IFERROR(__xludf.DUMMYFUNCTION("""COMPUTED_VALUE"""),"客訂機種，請先洽大同確認貨況")</f>
        <v>客訂機種，請先洽大同確認貨況</v>
      </c>
      <c r="N738" s="12" t="str">
        <f ca="1">IFERROR(__xludf.DUMMYFUNCTION("""COMPUTED_VALUE"""),"直立變頻")</f>
        <v>直立變頻</v>
      </c>
      <c r="O738" s="12" t="str">
        <f ca="1">IFERROR(__xludf.DUMMYFUNCTION("""COMPUTED_VALUE"""),"不銹鋼")</f>
        <v>不銹鋼</v>
      </c>
      <c r="P738" s="12" t="str">
        <f ca="1">IFERROR(__xludf.DUMMYFUNCTION("""COMPUTED_VALUE"""),"15kg")</f>
        <v>15kg</v>
      </c>
      <c r="Q738" s="12" t="str">
        <f ca="1">IFERROR(__xludf.DUMMYFUNCTION("""COMPUTED_VALUE"""),"高1075寬640深710(mm)")</f>
        <v>高1075寬640深710(mm)</v>
      </c>
      <c r="R738" s="12" t="str">
        <f ca="1">IFERROR(__xludf.DUMMYFUNCTION("""COMPUTED_VALUE"""),"台灣")</f>
        <v>台灣</v>
      </c>
      <c r="S738" s="22" t="str">
        <f ca="1">IFERROR(__xludf.DUMMYFUNCTION("""COMPUTED_VALUE"""),"V/省水標章(金級)")</f>
        <v>V/省水標章(金級)</v>
      </c>
      <c r="T738" s="12"/>
      <c r="U738" s="22" t="str">
        <f ca="1">IFERROR(__xludf.DUMMYFUNCTION("""COMPUTED_VALUE"""),"1年")</f>
        <v>1年</v>
      </c>
      <c r="V738" s="22" t="str">
        <f ca="1">IFERROR(__xludf.DUMMYFUNCTION("""COMPUTED_VALUE"""),"3年")</f>
        <v>3年</v>
      </c>
      <c r="W738" s="12"/>
      <c r="X738" s="12"/>
      <c r="Y738" s="12"/>
      <c r="Z738" s="14"/>
      <c r="AA738" s="15" t="str">
        <f ca="1">IFERROR(__xludf.DUMMYFUNCTION("""COMPUTED_VALUE"""),"*洗衣/脫水 15kg*洗劑量自動精準投入*nanoAg抗菌銀離子*雙渦輪強淨水流*抗菌渦輪迴轉盤*溫水泡洗淨*ECONAVI智慧節能科技*雙效自動槽洗淨*IoT智慧健康家電")</f>
        <v>*洗衣/脫水 15kg*洗劑量自動精準投入*nanoAg抗菌銀離子*雙渦輪強淨水流*抗菌渦輪迴轉盤*溫水泡洗淨*ECONAVI智慧節能科技*雙效自動槽洗淨*IoT智慧健康家電</v>
      </c>
    </row>
    <row r="739" spans="1:27" ht="19.5" customHeight="1">
      <c r="A739" s="12" t="str">
        <f ca="1">IFERROR(__xludf.DUMMYFUNCTION("""COMPUTED_VALUE"""),"洗衣機")</f>
        <v>洗衣機</v>
      </c>
      <c r="B739" s="12" t="str">
        <f ca="1">IFERROR(__xludf.DUMMYFUNCTION("""COMPUTED_VALUE"""),"大同")</f>
        <v>大同</v>
      </c>
      <c r="C739" s="12" t="str">
        <f ca="1">IFERROR(__xludf.DUMMYFUNCTION("""COMPUTED_VALUE"""),"Panasonic")</f>
        <v>Panasonic</v>
      </c>
      <c r="D739" s="12" t="str">
        <f ca="1">IFERROR(__xludf.DUMMYFUNCTION("""COMPUTED_VALUE"""),"Panasonic_17公斤智能聯網變頻直立溫水洗衣機(玫瑰金)_NA-V170NM-PN")</f>
        <v>Panasonic_17公斤智能聯網變頻直立溫水洗衣機(玫瑰金)_NA-V170NM-PN</v>
      </c>
      <c r="E739" s="12" t="str">
        <f ca="1">IFERROR(__xludf.DUMMYFUNCTION("""COMPUTED_VALUE"""),"NA-V170NM-PN")</f>
        <v>NA-V170NM-PN</v>
      </c>
      <c r="F739" s="12">
        <f ca="1">IFERROR(__xludf.DUMMYFUNCTION("""COMPUTED_VALUE"""),51081346)</f>
        <v>51081346</v>
      </c>
      <c r="G739" s="12" t="str">
        <f ca="1">IFERROR(__xludf.DUMMYFUNCTION("""COMPUTED_VALUE"""),"IGEM091C")</f>
        <v>IGEM091C</v>
      </c>
      <c r="H739" s="13">
        <f ca="1">IFERROR(__xludf.DUMMYFUNCTION("""COMPUTED_VALUE"""),24900)</f>
        <v>24900</v>
      </c>
      <c r="I739" s="14">
        <f ca="1">IFERROR(__xludf.DUMMYFUNCTION("""COMPUTED_VALUE"""),23100)</f>
        <v>23100</v>
      </c>
      <c r="J739" s="16">
        <f ca="1">IFERROR(__xludf.DUMMYFUNCTION("""COMPUTED_VALUE"""),45615)</f>
        <v>45615</v>
      </c>
      <c r="K739" s="12" t="str">
        <f ca="1">IFERROR(__xludf.DUMMYFUNCTION("""COMPUTED_VALUE"""),"永久降價")</f>
        <v>永久降價</v>
      </c>
      <c r="L739" s="12" t="str">
        <f ca="1">IFERROR(__xludf.DUMMYFUNCTION("""COMPUTED_VALUE"""),"上架中")</f>
        <v>上架中</v>
      </c>
      <c r="M739" s="12" t="str">
        <f ca="1">IFERROR(__xludf.DUMMYFUNCTION("""COMPUTED_VALUE"""),"客訂機種，請先洽大同確認貨況")</f>
        <v>客訂機種，請先洽大同確認貨況</v>
      </c>
      <c r="N739" s="12" t="str">
        <f ca="1">IFERROR(__xludf.DUMMYFUNCTION("""COMPUTED_VALUE"""),"直立變頻")</f>
        <v>直立變頻</v>
      </c>
      <c r="O739" s="12" t="str">
        <f ca="1">IFERROR(__xludf.DUMMYFUNCTION("""COMPUTED_VALUE"""),"玫瑰金")</f>
        <v>玫瑰金</v>
      </c>
      <c r="P739" s="12" t="str">
        <f ca="1">IFERROR(__xludf.DUMMYFUNCTION("""COMPUTED_VALUE"""),"17kg")</f>
        <v>17kg</v>
      </c>
      <c r="Q739" s="12" t="str">
        <f ca="1">IFERROR(__xludf.DUMMYFUNCTION("""COMPUTED_VALUE"""),"高1075寬640深710(mm)")</f>
        <v>高1075寬640深710(mm)</v>
      </c>
      <c r="R739" s="12" t="str">
        <f ca="1">IFERROR(__xludf.DUMMYFUNCTION("""COMPUTED_VALUE"""),"台灣")</f>
        <v>台灣</v>
      </c>
      <c r="S739" s="22" t="str">
        <f ca="1">IFERROR(__xludf.DUMMYFUNCTION("""COMPUTED_VALUE"""),"V/省水標章(金級)")</f>
        <v>V/省水標章(金級)</v>
      </c>
      <c r="T739" s="12"/>
      <c r="U739" s="22" t="str">
        <f ca="1">IFERROR(__xludf.DUMMYFUNCTION("""COMPUTED_VALUE"""),"1年")</f>
        <v>1年</v>
      </c>
      <c r="V739" s="22" t="str">
        <f ca="1">IFERROR(__xludf.DUMMYFUNCTION("""COMPUTED_VALUE"""),"3年")</f>
        <v>3年</v>
      </c>
      <c r="W739" s="12"/>
      <c r="X739" s="12"/>
      <c r="Y739" s="12"/>
      <c r="Z739" s="14"/>
      <c r="AA739" s="15" t="str">
        <f ca="1">IFERROR(__xludf.DUMMYFUNCTION("""COMPUTED_VALUE"""),"*洗衣/脫水 17kg*洗劑量自動精準投入*nanoAg抗菌銀離子*雙渦輪強淨水流*抗菌渦輪迴轉盤*溫水泡洗淨*ECONAVI智慧節能科技*雙效自動槽洗淨*IoT智慧健康家電")</f>
        <v>*洗衣/脫水 17kg*洗劑量自動精準投入*nanoAg抗菌銀離子*雙渦輪強淨水流*抗菌渦輪迴轉盤*溫水泡洗淨*ECONAVI智慧節能科技*雙效自動槽洗淨*IoT智慧健康家電</v>
      </c>
    </row>
    <row r="740" spans="1:27" ht="19.5" customHeight="1">
      <c r="A740" s="12" t="str">
        <f ca="1">IFERROR(__xludf.DUMMYFUNCTION("""COMPUTED_VALUE"""),"洗衣機")</f>
        <v>洗衣機</v>
      </c>
      <c r="B740" s="12" t="str">
        <f ca="1">IFERROR(__xludf.DUMMYFUNCTION("""COMPUTED_VALUE"""),"大同")</f>
        <v>大同</v>
      </c>
      <c r="C740" s="12" t="str">
        <f ca="1">IFERROR(__xludf.DUMMYFUNCTION("""COMPUTED_VALUE"""),"Panasonic")</f>
        <v>Panasonic</v>
      </c>
      <c r="D740" s="12" t="str">
        <f ca="1">IFERROR(__xludf.DUMMYFUNCTION("""COMPUTED_VALUE"""),"Panasonic_19公斤智能聯網變頻直立溫水洗衣機(玫瑰金)_NA-V190NM-PN")</f>
        <v>Panasonic_19公斤智能聯網變頻直立溫水洗衣機(玫瑰金)_NA-V190NM-PN</v>
      </c>
      <c r="E740" s="12" t="str">
        <f ca="1">IFERROR(__xludf.DUMMYFUNCTION("""COMPUTED_VALUE"""),"NA-V190NM-PN")</f>
        <v>NA-V190NM-PN</v>
      </c>
      <c r="F740" s="12">
        <f ca="1">IFERROR(__xludf.DUMMYFUNCTION("""COMPUTED_VALUE"""),51081347)</f>
        <v>51081347</v>
      </c>
      <c r="G740" s="12" t="str">
        <f ca="1">IFERROR(__xludf.DUMMYFUNCTION("""COMPUTED_VALUE"""),"IGEM091D")</f>
        <v>IGEM091D</v>
      </c>
      <c r="H740" s="13">
        <f ca="1">IFERROR(__xludf.DUMMYFUNCTION("""COMPUTED_VALUE"""),26900)</f>
        <v>26900</v>
      </c>
      <c r="I740" s="14">
        <f ca="1">IFERROR(__xludf.DUMMYFUNCTION("""COMPUTED_VALUE"""),25000)</f>
        <v>25000</v>
      </c>
      <c r="J740" s="16">
        <f ca="1">IFERROR(__xludf.DUMMYFUNCTION("""COMPUTED_VALUE"""),45615)</f>
        <v>45615</v>
      </c>
      <c r="K740" s="12" t="str">
        <f ca="1">IFERROR(__xludf.DUMMYFUNCTION("""COMPUTED_VALUE"""),"永久降價")</f>
        <v>永久降價</v>
      </c>
      <c r="L740" s="12" t="str">
        <f ca="1">IFERROR(__xludf.DUMMYFUNCTION("""COMPUTED_VALUE"""),"上架中")</f>
        <v>上架中</v>
      </c>
      <c r="M740" s="12" t="str">
        <f ca="1">IFERROR(__xludf.DUMMYFUNCTION("""COMPUTED_VALUE"""),"客訂機種，請先洽大同確認貨況")</f>
        <v>客訂機種，請先洽大同確認貨況</v>
      </c>
      <c r="N740" s="12" t="str">
        <f ca="1">IFERROR(__xludf.DUMMYFUNCTION("""COMPUTED_VALUE"""),"直立變頻")</f>
        <v>直立變頻</v>
      </c>
      <c r="O740" s="12" t="str">
        <f ca="1">IFERROR(__xludf.DUMMYFUNCTION("""COMPUTED_VALUE"""),"玫瑰金")</f>
        <v>玫瑰金</v>
      </c>
      <c r="P740" s="12" t="str">
        <f ca="1">IFERROR(__xludf.DUMMYFUNCTION("""COMPUTED_VALUE"""),"19kg")</f>
        <v>19kg</v>
      </c>
      <c r="Q740" s="12" t="str">
        <f ca="1">IFERROR(__xludf.DUMMYFUNCTION("""COMPUTED_VALUE"""),"高1075寬640深710(mm)")</f>
        <v>高1075寬640深710(mm)</v>
      </c>
      <c r="R740" s="12" t="str">
        <f ca="1">IFERROR(__xludf.DUMMYFUNCTION("""COMPUTED_VALUE"""),"台灣")</f>
        <v>台灣</v>
      </c>
      <c r="S740" s="22" t="str">
        <f ca="1">IFERROR(__xludf.DUMMYFUNCTION("""COMPUTED_VALUE"""),"V/省水標章(金級)")</f>
        <v>V/省水標章(金級)</v>
      </c>
      <c r="T740" s="12"/>
      <c r="U740" s="22" t="str">
        <f ca="1">IFERROR(__xludf.DUMMYFUNCTION("""COMPUTED_VALUE"""),"1年")</f>
        <v>1年</v>
      </c>
      <c r="V740" s="22" t="str">
        <f ca="1">IFERROR(__xludf.DUMMYFUNCTION("""COMPUTED_VALUE"""),"3年")</f>
        <v>3年</v>
      </c>
      <c r="W740" s="12"/>
      <c r="X740" s="12"/>
      <c r="Y740" s="12"/>
      <c r="Z740" s="14"/>
      <c r="AA740" s="15" t="str">
        <f ca="1">IFERROR(__xludf.DUMMYFUNCTION("""COMPUTED_VALUE"""),"*洗衣/脫水 19kg*洗劑量自動精準投入*nanoAg抗菌銀離子*雙渦輪強淨水流*抗菌渦輪迴轉盤*溫水泡洗淨*ECONAVI智慧節能科技*雙效自動槽洗淨*IoT智慧健康家電")</f>
        <v>*洗衣/脫水 19kg*洗劑量自動精準投入*nanoAg抗菌銀離子*雙渦輪強淨水流*抗菌渦輪迴轉盤*溫水泡洗淨*ECONAVI智慧節能科技*雙效自動槽洗淨*IoT智慧健康家電</v>
      </c>
    </row>
    <row r="741" spans="1:27" ht="19.5" customHeight="1">
      <c r="A741" s="12" t="str">
        <f ca="1">IFERROR(__xludf.DUMMYFUNCTION("""COMPUTED_VALUE"""),"洗衣機")</f>
        <v>洗衣機</v>
      </c>
      <c r="B741" s="12" t="str">
        <f ca="1">IFERROR(__xludf.DUMMYFUNCTION("""COMPUTED_VALUE"""),"大同")</f>
        <v>大同</v>
      </c>
      <c r="C741" s="12" t="str">
        <f ca="1">IFERROR(__xludf.DUMMYFUNCTION("""COMPUTED_VALUE"""),"Panasonic")</f>
        <v>Panasonic</v>
      </c>
      <c r="D741" s="12" t="str">
        <f ca="1">IFERROR(__xludf.DUMMYFUNCTION("""COMPUTED_VALUE"""),"Panasonic_19公斤智能聯網變頻直立溫水洗衣機(不銹鋼)_NA-V190NMS-S")</f>
        <v>Panasonic_19公斤智能聯網變頻直立溫水洗衣機(不銹鋼)_NA-V190NMS-S</v>
      </c>
      <c r="E741" s="12" t="str">
        <f ca="1">IFERROR(__xludf.DUMMYFUNCTION("""COMPUTED_VALUE"""),"NA-V190NMS-S")</f>
        <v>NA-V190NMS-S</v>
      </c>
      <c r="F741" s="12">
        <f ca="1">IFERROR(__xludf.DUMMYFUNCTION("""COMPUTED_VALUE"""),51081348)</f>
        <v>51081348</v>
      </c>
      <c r="G741" s="12" t="str">
        <f ca="1">IFERROR(__xludf.DUMMYFUNCTION("""COMPUTED_VALUE"""),"IGEM091E")</f>
        <v>IGEM091E</v>
      </c>
      <c r="H741" s="13">
        <f ca="1">IFERROR(__xludf.DUMMYFUNCTION("""COMPUTED_VALUE"""),27900)</f>
        <v>27900</v>
      </c>
      <c r="I741" s="14">
        <f ca="1">IFERROR(__xludf.DUMMYFUNCTION("""COMPUTED_VALUE"""),25900)</f>
        <v>25900</v>
      </c>
      <c r="J741" s="16">
        <f ca="1">IFERROR(__xludf.DUMMYFUNCTION("""COMPUTED_VALUE"""),45615)</f>
        <v>45615</v>
      </c>
      <c r="K741" s="12" t="str">
        <f ca="1">IFERROR(__xludf.DUMMYFUNCTION("""COMPUTED_VALUE"""),"永久降價")</f>
        <v>永久降價</v>
      </c>
      <c r="L741" s="12" t="str">
        <f ca="1">IFERROR(__xludf.DUMMYFUNCTION("""COMPUTED_VALUE"""),"上架中")</f>
        <v>上架中</v>
      </c>
      <c r="M741" s="12" t="str">
        <f ca="1">IFERROR(__xludf.DUMMYFUNCTION("""COMPUTED_VALUE"""),"客訂機種，請先洽大同確認貨況")</f>
        <v>客訂機種，請先洽大同確認貨況</v>
      </c>
      <c r="N741" s="12" t="str">
        <f ca="1">IFERROR(__xludf.DUMMYFUNCTION("""COMPUTED_VALUE"""),"直立變頻")</f>
        <v>直立變頻</v>
      </c>
      <c r="O741" s="12" t="str">
        <f ca="1">IFERROR(__xludf.DUMMYFUNCTION("""COMPUTED_VALUE"""),"不銹鋼")</f>
        <v>不銹鋼</v>
      </c>
      <c r="P741" s="12" t="str">
        <f ca="1">IFERROR(__xludf.DUMMYFUNCTION("""COMPUTED_VALUE"""),"19kg")</f>
        <v>19kg</v>
      </c>
      <c r="Q741" s="12" t="str">
        <f ca="1">IFERROR(__xludf.DUMMYFUNCTION("""COMPUTED_VALUE"""),"高1075寬640深710(mm)")</f>
        <v>高1075寬640深710(mm)</v>
      </c>
      <c r="R741" s="12" t="str">
        <f ca="1">IFERROR(__xludf.DUMMYFUNCTION("""COMPUTED_VALUE"""),"台灣")</f>
        <v>台灣</v>
      </c>
      <c r="S741" s="22" t="str">
        <f ca="1">IFERROR(__xludf.DUMMYFUNCTION("""COMPUTED_VALUE"""),"V/省水標章(金級)")</f>
        <v>V/省水標章(金級)</v>
      </c>
      <c r="T741" s="12"/>
      <c r="U741" s="22" t="str">
        <f ca="1">IFERROR(__xludf.DUMMYFUNCTION("""COMPUTED_VALUE"""),"1年")</f>
        <v>1年</v>
      </c>
      <c r="V741" s="22" t="str">
        <f ca="1">IFERROR(__xludf.DUMMYFUNCTION("""COMPUTED_VALUE"""),"3年")</f>
        <v>3年</v>
      </c>
      <c r="W741" s="12"/>
      <c r="X741" s="12"/>
      <c r="Y741" s="12"/>
      <c r="Z741" s="14"/>
      <c r="AA741" s="15" t="str">
        <f ca="1">IFERROR(__xludf.DUMMYFUNCTION("""COMPUTED_VALUE"""),"*洗衣/脫水 19kg*洗劑量自動精準投入*nanoAg抗菌銀離子*雙渦輪強淨水流*抗菌渦輪迴轉盤*溫水泡洗淨*ECONAVI智慧節能科技*雙效自動槽洗淨*IoT智慧健康家電")</f>
        <v>*洗衣/脫水 19kg*洗劑量自動精準投入*nanoAg抗菌銀離子*雙渦輪強淨水流*抗菌渦輪迴轉盤*溫水泡洗淨*ECONAVI智慧節能科技*雙效自動槽洗淨*IoT智慧健康家電</v>
      </c>
    </row>
    <row r="742" spans="1:27" ht="19.5" customHeight="1">
      <c r="A742" s="12" t="str">
        <f ca="1">IFERROR(__xludf.DUMMYFUNCTION("""COMPUTED_VALUE"""),"洗衣機")</f>
        <v>洗衣機</v>
      </c>
      <c r="B742" s="12" t="str">
        <f ca="1">IFERROR(__xludf.DUMMYFUNCTION("""COMPUTED_VALUE"""),"大同")</f>
        <v>大同</v>
      </c>
      <c r="C742" s="12" t="str">
        <f ca="1">IFERROR(__xludf.DUMMYFUNCTION("""COMPUTED_VALUE"""),"Panasonic")</f>
        <v>Panasonic</v>
      </c>
      <c r="D742" s="12" t="str">
        <f ca="1">IFERROR(__xludf.DUMMYFUNCTION("""COMPUTED_VALUE"""),"Panasonic_20公斤智能聯網變頻直立溫水洗衣機(不銹鋼)_NA-V200NMS-S")</f>
        <v>Panasonic_20公斤智能聯網變頻直立溫水洗衣機(不銹鋼)_NA-V200NMS-S</v>
      </c>
      <c r="E742" s="12" t="str">
        <f ca="1">IFERROR(__xludf.DUMMYFUNCTION("""COMPUTED_VALUE"""),"NA-V200NMS-S")</f>
        <v>NA-V200NMS-S</v>
      </c>
      <c r="F742" s="12">
        <f ca="1">IFERROR(__xludf.DUMMYFUNCTION("""COMPUTED_VALUE"""),51081349)</f>
        <v>51081349</v>
      </c>
      <c r="G742" s="12" t="str">
        <f ca="1">IFERROR(__xludf.DUMMYFUNCTION("""COMPUTED_VALUE"""),"IGEM091F")</f>
        <v>IGEM091F</v>
      </c>
      <c r="H742" s="13">
        <f ca="1">IFERROR(__xludf.DUMMYFUNCTION("""COMPUTED_VALUE"""),29900)</f>
        <v>29900</v>
      </c>
      <c r="I742" s="14">
        <f ca="1">IFERROR(__xludf.DUMMYFUNCTION("""COMPUTED_VALUE"""),27800)</f>
        <v>27800</v>
      </c>
      <c r="J742" s="16">
        <f ca="1">IFERROR(__xludf.DUMMYFUNCTION("""COMPUTED_VALUE"""),45615)</f>
        <v>45615</v>
      </c>
      <c r="K742" s="12" t="str">
        <f ca="1">IFERROR(__xludf.DUMMYFUNCTION("""COMPUTED_VALUE"""),"永久降價")</f>
        <v>永久降價</v>
      </c>
      <c r="L742" s="12" t="str">
        <f ca="1">IFERROR(__xludf.DUMMYFUNCTION("""COMPUTED_VALUE"""),"上架中")</f>
        <v>上架中</v>
      </c>
      <c r="M742" s="12" t="str">
        <f ca="1">IFERROR(__xludf.DUMMYFUNCTION("""COMPUTED_VALUE"""),"客訂機種，請先洽大同確認貨況")</f>
        <v>客訂機種，請先洽大同確認貨況</v>
      </c>
      <c r="N742" s="12" t="str">
        <f ca="1">IFERROR(__xludf.DUMMYFUNCTION("""COMPUTED_VALUE"""),"直立變頻")</f>
        <v>直立變頻</v>
      </c>
      <c r="O742" s="12" t="str">
        <f ca="1">IFERROR(__xludf.DUMMYFUNCTION("""COMPUTED_VALUE"""),"不銹鋼")</f>
        <v>不銹鋼</v>
      </c>
      <c r="P742" s="12" t="str">
        <f ca="1">IFERROR(__xludf.DUMMYFUNCTION("""COMPUTED_VALUE"""),"20kg")</f>
        <v>20kg</v>
      </c>
      <c r="Q742" s="12" t="str">
        <f ca="1">IFERROR(__xludf.DUMMYFUNCTION("""COMPUTED_VALUE"""),"高1081寬679深752(mm)")</f>
        <v>高1081寬679深752(mm)</v>
      </c>
      <c r="R742" s="12" t="str">
        <f ca="1">IFERROR(__xludf.DUMMYFUNCTION("""COMPUTED_VALUE"""),"台灣")</f>
        <v>台灣</v>
      </c>
      <c r="S742" s="22" t="str">
        <f ca="1">IFERROR(__xludf.DUMMYFUNCTION("""COMPUTED_VALUE"""),"V/省水標章(金級)")</f>
        <v>V/省水標章(金級)</v>
      </c>
      <c r="T742" s="12"/>
      <c r="U742" s="22" t="str">
        <f ca="1">IFERROR(__xludf.DUMMYFUNCTION("""COMPUTED_VALUE"""),"1年")</f>
        <v>1年</v>
      </c>
      <c r="V742" s="22" t="str">
        <f ca="1">IFERROR(__xludf.DUMMYFUNCTION("""COMPUTED_VALUE"""),"3年")</f>
        <v>3年</v>
      </c>
      <c r="W742" s="12"/>
      <c r="X742" s="12"/>
      <c r="Y742" s="12"/>
      <c r="Z742" s="14"/>
      <c r="AA742" s="15" t="str">
        <f ca="1">IFERROR(__xludf.DUMMYFUNCTION("""COMPUTED_VALUE"""),"*洗衣/脫水 20kg*洗劑量自動精準投入*nanoAg抗菌銀離子*雙渦輪強淨水流*抗菌渦輪迴轉盤*溫水泡洗淨*ECONAVI智慧節能科技*雙效自動槽洗淨* IoT智慧健康家電")</f>
        <v>*洗衣/脫水 20kg*洗劑量自動精準投入*nanoAg抗菌銀離子*雙渦輪強淨水流*抗菌渦輪迴轉盤*溫水泡洗淨*ECONAVI智慧節能科技*雙效自動槽洗淨* IoT智慧健康家電</v>
      </c>
    </row>
    <row r="743" spans="1:27" ht="19.5" customHeight="1">
      <c r="A743" s="12" t="str">
        <f ca="1">IFERROR(__xludf.DUMMYFUNCTION("""COMPUTED_VALUE"""),"洗衣機")</f>
        <v>洗衣機</v>
      </c>
      <c r="B743" s="12" t="str">
        <f ca="1">IFERROR(__xludf.DUMMYFUNCTION("""COMPUTED_VALUE"""),"未來創意生活")</f>
        <v>未來創意生活</v>
      </c>
      <c r="C743" s="12" t="str">
        <f ca="1">IFERROR(__xludf.DUMMYFUNCTION("""COMPUTED_VALUE"""),"TOSHIBA")</f>
        <v>TOSHIBA</v>
      </c>
      <c r="D743" s="12" t="str">
        <f ca="1">IFERROR(__xludf.DUMMYFUNCTION("""COMPUTED_VALUE"""),"TOSHIBA東芝12kg滾筒式變頻洗脫烘洗衣機TWD-BJ130M4G")</f>
        <v>TOSHIBA東芝12kg滾筒式變頻洗脫烘洗衣機TWD-BJ130M4G</v>
      </c>
      <c r="E743" s="12" t="str">
        <f ca="1">IFERROR(__xludf.DUMMYFUNCTION("""COMPUTED_VALUE"""),"TWD-BJ130M4G")</f>
        <v>TWD-BJ130M4G</v>
      </c>
      <c r="F743" s="12">
        <f ca="1">IFERROR(__xludf.DUMMYFUNCTION("""COMPUTED_VALUE"""),51093008)</f>
        <v>51093008</v>
      </c>
      <c r="G743" s="12" t="str">
        <f ca="1">IFERROR(__xludf.DUMMYFUNCTION("""COMPUTED_VALUE"""),"IGEM052O")</f>
        <v>IGEM052O</v>
      </c>
      <c r="H743" s="12">
        <f ca="1">IFERROR(__xludf.DUMMYFUNCTION("""COMPUTED_VALUE"""),25900)</f>
        <v>25900</v>
      </c>
      <c r="I743" s="14">
        <f ca="1">IFERROR(__xludf.DUMMYFUNCTION("""COMPUTED_VALUE"""),20900)</f>
        <v>20900</v>
      </c>
      <c r="J743" s="16">
        <f ca="1">IFERROR(__xludf.DUMMYFUNCTION("""COMPUTED_VALUE"""),45601)</f>
        <v>45601</v>
      </c>
      <c r="K743" s="12" t="str">
        <f ca="1">IFERROR(__xludf.DUMMYFUNCTION("""COMPUTED_VALUE"""),"缺貨")</f>
        <v>缺貨</v>
      </c>
      <c r="L743" s="12" t="str">
        <f ca="1">IFERROR(__xludf.DUMMYFUNCTION("""COMPUTED_VALUE"""),"缺貨")</f>
        <v>缺貨</v>
      </c>
      <c r="M743" s="12" t="str">
        <f ca="1">IFERROR(__xludf.DUMMYFUNCTION("""COMPUTED_VALUE"""),"11/5缺貨，預計114/2月到貨")</f>
        <v>11/5缺貨，預計114/2月到貨</v>
      </c>
      <c r="N743" s="12" t="str">
        <f ca="1">IFERROR(__xludf.DUMMYFUNCTION("""COMPUTED_VALUE"""),"洗脫烘滾筒")</f>
        <v>洗脫烘滾筒</v>
      </c>
      <c r="O743" s="12" t="str">
        <f ca="1">IFERROR(__xludf.DUMMYFUNCTION("""COMPUTED_VALUE"""),"白")</f>
        <v>白</v>
      </c>
      <c r="P743" s="12" t="str">
        <f ca="1">IFERROR(__xludf.DUMMYFUNCTION("""COMPUTED_VALUE"""),"12kg")</f>
        <v>12kg</v>
      </c>
      <c r="Q743" s="12" t="str">
        <f ca="1">IFERROR(__xludf.DUMMYFUNCTION("""COMPUTED_VALUE"""),"850*595*615mm")</f>
        <v>850*595*615mm</v>
      </c>
      <c r="R743" s="12" t="str">
        <f ca="1">IFERROR(__xludf.DUMMYFUNCTION("""COMPUTED_VALUE"""),"中國")</f>
        <v>中國</v>
      </c>
      <c r="S743" s="22" t="str">
        <f ca="1">IFERROR(__xludf.DUMMYFUNCTION("""COMPUTED_VALUE"""),"省水標章(金級)")</f>
        <v>省水標章(金級)</v>
      </c>
      <c r="T743" s="12"/>
      <c r="U743" s="22" t="str">
        <f ca="1">IFERROR(__xludf.DUMMYFUNCTION("""COMPUTED_VALUE"""),"1年")</f>
        <v>1年</v>
      </c>
      <c r="V743" s="22" t="str">
        <f ca="1">IFERROR(__xludf.DUMMYFUNCTION("""COMPUTED_VALUE"""),"10年")</f>
        <v>10年</v>
      </c>
      <c r="W743" s="12"/>
      <c r="X743" s="12"/>
      <c r="Y743" s="12"/>
      <c r="Z743" s="14"/>
      <c r="AA743" s="15" t="str">
        <f ca="1">IFERROR(__xludf.DUMMYFUNCTION("""COMPUTED_VALUE"""),"*溫水+TheGREATWaves沖浪洗淨技術*AirDry冷凝式烘衣技術*槽內LED科技照明燈*高溫槽清洗(高溫殺菌保持潔淨)")</f>
        <v>*溫水+TheGREATWaves沖浪洗淨技術*AirDry冷凝式烘衣技術*槽內LED科技照明燈*高溫槽清洗(高溫殺菌保持潔淨)</v>
      </c>
    </row>
    <row r="744" spans="1:27" ht="19.5" customHeight="1">
      <c r="A744" s="12" t="str">
        <f ca="1">IFERROR(__xludf.DUMMYFUNCTION("""COMPUTED_VALUE"""),"洗衣機")</f>
        <v>洗衣機</v>
      </c>
      <c r="B744" s="12" t="str">
        <f ca="1">IFERROR(__xludf.DUMMYFUNCTION("""COMPUTED_VALUE"""),"未來創意生活")</f>
        <v>未來創意生活</v>
      </c>
      <c r="C744" s="12" t="str">
        <f ca="1">IFERROR(__xludf.DUMMYFUNCTION("""COMPUTED_VALUE"""),"TOSHIBA")</f>
        <v>TOSHIBA</v>
      </c>
      <c r="D744" s="12" t="str">
        <f ca="1">IFERROR(__xludf.DUMMYFUNCTION("""COMPUTED_VALUE"""),"TOSHIBA東芝17kg直立式變頻洗衣機AW-DMUH17WAG")</f>
        <v>TOSHIBA東芝17kg直立式變頻洗衣機AW-DMUH17WAG</v>
      </c>
      <c r="E744" s="12" t="str">
        <f ca="1">IFERROR(__xludf.DUMMYFUNCTION("""COMPUTED_VALUE"""),"AW-DMUH17WAG")</f>
        <v>AW-DMUH17WAG</v>
      </c>
      <c r="F744" s="12">
        <f ca="1">IFERROR(__xludf.DUMMYFUNCTION("""COMPUTED_VALUE"""),51093009)</f>
        <v>51093009</v>
      </c>
      <c r="G744" s="12" t="str">
        <f ca="1">IFERROR(__xludf.DUMMYFUNCTION("""COMPUTED_VALUE"""),"IGEM052P")</f>
        <v>IGEM052P</v>
      </c>
      <c r="H744" s="12">
        <f ca="1">IFERROR(__xludf.DUMMYFUNCTION("""COMPUTED_VALUE"""),32900)</f>
        <v>32900</v>
      </c>
      <c r="I744" s="14">
        <f ca="1">IFERROR(__xludf.DUMMYFUNCTION("""COMPUTED_VALUE"""),24900)</f>
        <v>24900</v>
      </c>
      <c r="J744" s="16">
        <f ca="1">IFERROR(__xludf.DUMMYFUNCTION("""COMPUTED_VALUE"""),45506)</f>
        <v>45506</v>
      </c>
      <c r="K744" s="12" t="str">
        <f ca="1">IFERROR(__xludf.DUMMYFUNCTION("""COMPUTED_VALUE"""),"永久降價")</f>
        <v>永久降價</v>
      </c>
      <c r="L744" s="12" t="str">
        <f ca="1">IFERROR(__xludf.DUMMYFUNCTION("""COMPUTED_VALUE"""),"缺貨")</f>
        <v>缺貨</v>
      </c>
      <c r="M744" s="12" t="str">
        <f ca="1">IFERROR(__xludf.DUMMYFUNCTION("""COMPUTED_VALUE"""),"1/13缺貨")</f>
        <v>1/13缺貨</v>
      </c>
      <c r="N744" s="12" t="str">
        <f ca="1">IFERROR(__xludf.DUMMYFUNCTION("""COMPUTED_VALUE"""),"直立變頻")</f>
        <v>直立變頻</v>
      </c>
      <c r="O744" s="12" t="str">
        <f ca="1">IFERROR(__xludf.DUMMYFUNCTION("""COMPUTED_VALUE"""),"髮絲銀")</f>
        <v>髮絲銀</v>
      </c>
      <c r="P744" s="12" t="str">
        <f ca="1">IFERROR(__xludf.DUMMYFUNCTION("""COMPUTED_VALUE"""),"17KG")</f>
        <v>17KG</v>
      </c>
      <c r="Q744" s="12" t="str">
        <f ca="1">IFERROR(__xludf.DUMMYFUNCTION("""COMPUTED_VALUE"""),"1061*640*640mm")</f>
        <v>1061*640*640mm</v>
      </c>
      <c r="R744" s="12" t="str">
        <f ca="1">IFERROR(__xludf.DUMMYFUNCTION("""COMPUTED_VALUE"""),"泰國")</f>
        <v>泰國</v>
      </c>
      <c r="S744" s="12" t="str">
        <f ca="1">IFERROR(__xludf.DUMMYFUNCTION("""COMPUTED_VALUE"""),"V/省水標章(金級)")</f>
        <v>V/省水標章(金級)</v>
      </c>
      <c r="T744" s="12"/>
      <c r="U744" s="22" t="str">
        <f ca="1">IFERROR(__xludf.DUMMYFUNCTION("""COMPUTED_VALUE"""),"1年")</f>
        <v>1年</v>
      </c>
      <c r="V744" s="22" t="str">
        <f ca="1">IFERROR(__xludf.DUMMYFUNCTION("""COMPUTED_VALUE"""),"10年")</f>
        <v>10年</v>
      </c>
      <c r="W744" s="12"/>
      <c r="X744" s="12"/>
      <c r="Y744" s="12"/>
      <c r="Z744" s="14"/>
      <c r="AA744" s="15" t="str">
        <f ca="1">IFERROR(__xludf.DUMMYFUNCTION("""COMPUTED_VALUE"""),"*超微奈米泡泡洗淨*晶鑽鍍膜*SDD超變頻直驅馬達*安全式緩降玻璃上蓋")</f>
        <v>*超微奈米泡泡洗淨*晶鑽鍍膜*SDD超變頻直驅馬達*安全式緩降玻璃上蓋</v>
      </c>
    </row>
    <row r="745" spans="1:27" ht="19.5" customHeight="1">
      <c r="A745" s="12" t="str">
        <f ca="1">IFERROR(__xludf.DUMMYFUNCTION("""COMPUTED_VALUE"""),"洗衣機")</f>
        <v>洗衣機</v>
      </c>
      <c r="B745" s="12" t="str">
        <f ca="1">IFERROR(__xludf.DUMMYFUNCTION("""COMPUTED_VALUE"""),"順發")</f>
        <v>順發</v>
      </c>
      <c r="C745" s="12" t="str">
        <f ca="1">IFERROR(__xludf.DUMMYFUNCTION("""COMPUTED_VALUE"""),"HITACHI")</f>
        <v>HITACHI</v>
      </c>
      <c r="D745" s="12" t="str">
        <f ca="1">IFERROR(__xludf.DUMMYFUNCTION("""COMPUTED_VALUE"""),"日立 BD120GVWH 12KG變頻滾筒洗脫洗衣機(月光白)_765H26")</f>
        <v>日立 BD120GVWH 12KG變頻滾筒洗脫洗衣機(月光白)_765H26</v>
      </c>
      <c r="E745" s="12" t="str">
        <f ca="1">IFERROR(__xludf.DUMMYFUNCTION("""COMPUTED_VALUE"""),"BD120GVWH")</f>
        <v>BD120GVWH</v>
      </c>
      <c r="F745" s="12">
        <f ca="1">IFERROR(__xludf.DUMMYFUNCTION("""COMPUTED_VALUE"""),51095615)</f>
        <v>51095615</v>
      </c>
      <c r="G745" s="12" t="str">
        <f ca="1">IFERROR(__xludf.DUMMYFUNCTION("""COMPUTED_VALUE"""),"IGEM075O")</f>
        <v>IGEM075O</v>
      </c>
      <c r="H745" s="13">
        <f ca="1">IFERROR(__xludf.DUMMYFUNCTION("""COMPUTED_VALUE"""),27900)</f>
        <v>27900</v>
      </c>
      <c r="I745" s="14">
        <f ca="1">IFERROR(__xludf.DUMMYFUNCTION("""COMPUTED_VALUE"""),25668)</f>
        <v>25668</v>
      </c>
      <c r="J745" s="16">
        <f ca="1">IFERROR(__xludf.DUMMYFUNCTION("""COMPUTED_VALUE"""),44986)</f>
        <v>44986</v>
      </c>
      <c r="K745" s="12" t="str">
        <f ca="1">IFERROR(__xludf.DUMMYFUNCTION("""COMPUTED_VALUE"""),"新機上架")</f>
        <v>新機上架</v>
      </c>
      <c r="L745" s="12" t="str">
        <f ca="1">IFERROR(__xludf.DUMMYFUNCTION("""COMPUTED_VALUE"""),"上架中")</f>
        <v>上架中</v>
      </c>
      <c r="M745" s="12"/>
      <c r="N745" s="12" t="str">
        <f ca="1">IFERROR(__xludf.DUMMYFUNCTION("""COMPUTED_VALUE"""),"洗脫滾筒")</f>
        <v>洗脫滾筒</v>
      </c>
      <c r="O745" s="12" t="str">
        <f ca="1">IFERROR(__xludf.DUMMYFUNCTION("""COMPUTED_VALUE"""),"月光白")</f>
        <v>月光白</v>
      </c>
      <c r="P745" s="24" t="str">
        <f ca="1">IFERROR(__xludf.DUMMYFUNCTION("""COMPUTED_VALUE"""),"12kg")</f>
        <v>12kg</v>
      </c>
      <c r="Q745" s="24" t="str">
        <f ca="1">IFERROR(__xludf.DUMMYFUNCTION("""COMPUTED_VALUE"""),"850*600*650(mm)")</f>
        <v>850*600*650(mm)</v>
      </c>
      <c r="R745" s="12" t="str">
        <f ca="1">IFERROR(__xludf.DUMMYFUNCTION("""COMPUTED_VALUE"""),"泰國")</f>
        <v>泰國</v>
      </c>
      <c r="S745" s="12" t="str">
        <f ca="1">IFERROR(__xludf.DUMMYFUNCTION("""COMPUTED_VALUE"""),"省水標章(金級)")</f>
        <v>省水標章(金級)</v>
      </c>
      <c r="T745" s="12"/>
      <c r="U745" s="12" t="str">
        <f ca="1">IFERROR(__xludf.DUMMYFUNCTION("""COMPUTED_VALUE"""),"1年")</f>
        <v>1年</v>
      </c>
      <c r="V745" s="12"/>
      <c r="W745" s="12"/>
      <c r="X745" s="12" t="str">
        <f ca="1">IFERROR(__xludf.DUMMYFUNCTION("""COMPUTED_VALUE"""),"(114/1/1~2/28)隨貨送卡洛斯陶瓷不沾鴛鴦鍋-30cm(市價1590)")</f>
        <v>(114/1/1~2/28)隨貨送卡洛斯陶瓷不沾鴛鴦鍋-30cm(市價1590)</v>
      </c>
      <c r="Y745" s="12"/>
      <c r="Z745" s="14"/>
      <c r="AA745" s="15" t="str">
        <f ca="1">IFERROR(__xludf.DUMMYFUNCTION("""COMPUTED_VALUE"""),"*85cm高可安置於櫥下 *轉角導圓與環境自在相容  *全平面無縫的極簡線條 *每分鐘1600轉高轉速 *沉靜皎潔月光白")</f>
        <v>*85cm高可安置於櫥下 *轉角導圓與環境自在相容  *全平面無縫的極簡線條 *每分鐘1600轉高轉速 *沉靜皎潔月光白</v>
      </c>
    </row>
    <row r="746" spans="1:27" ht="19.5" customHeight="1">
      <c r="A746" s="12" t="str">
        <f ca="1">IFERROR(__xludf.DUMMYFUNCTION("""COMPUTED_VALUE"""),"洗衣機")</f>
        <v>洗衣機</v>
      </c>
      <c r="B746" s="12" t="str">
        <f ca="1">IFERROR(__xludf.DUMMYFUNCTION("""COMPUTED_VALUE"""),"順發")</f>
        <v>順發</v>
      </c>
      <c r="C746" s="12" t="str">
        <f ca="1">IFERROR(__xludf.DUMMYFUNCTION("""COMPUTED_VALUE"""),"HITACHI")</f>
        <v>HITACHI</v>
      </c>
      <c r="D746" s="12" t="str">
        <f ca="1">IFERROR(__xludf.DUMMYFUNCTION("""COMPUTED_VALUE"""),"Hitachi_11.5KG滾筒變頻洗脫烘洗衣機(左開)_765H28_BDSV115GJW")</f>
        <v>Hitachi_11.5KG滾筒變頻洗脫烘洗衣機(左開)_765H28_BDSV115GJW</v>
      </c>
      <c r="E746" s="12" t="str">
        <f ca="1">IFERROR(__xludf.DUMMYFUNCTION("""COMPUTED_VALUE"""),"BDSV115GJW")</f>
        <v>BDSV115GJW</v>
      </c>
      <c r="F746" s="12">
        <f ca="1">IFERROR(__xludf.DUMMYFUNCTION("""COMPUTED_VALUE"""),51095730)</f>
        <v>51095730</v>
      </c>
      <c r="G746" s="12" t="str">
        <f ca="1">IFERROR(__xludf.DUMMYFUNCTION("""COMPUTED_VALUE"""),"IGEM093R")</f>
        <v>IGEM093R</v>
      </c>
      <c r="H746" s="12">
        <f ca="1">IFERROR(__xludf.DUMMYFUNCTION("""COMPUTED_VALUE"""),59400)</f>
        <v>59400</v>
      </c>
      <c r="I746" s="14">
        <f ca="1">IFERROR(__xludf.DUMMYFUNCTION("""COMPUTED_VALUE"""),54648)</f>
        <v>54648</v>
      </c>
      <c r="J746" s="16">
        <f ca="1">IFERROR(__xludf.DUMMYFUNCTION("""COMPUTED_VALUE"""),45323)</f>
        <v>45323</v>
      </c>
      <c r="K746" s="12" t="str">
        <f ca="1">IFERROR(__xludf.DUMMYFUNCTION("""COMPUTED_VALUE"""),"回價")</f>
        <v>回價</v>
      </c>
      <c r="L746" s="12" t="str">
        <f ca="1">IFERROR(__xludf.DUMMYFUNCTION("""COMPUTED_VALUE"""),"上架中")</f>
        <v>上架中</v>
      </c>
      <c r="M746" s="12" t="str">
        <f ca="1">IFERROR(__xludf.DUMMYFUNCTION("""COMPUTED_VALUE"""),"12/1新機上架")</f>
        <v>12/1新機上架</v>
      </c>
      <c r="N746" s="12" t="str">
        <f ca="1">IFERROR(__xludf.DUMMYFUNCTION("""COMPUTED_VALUE"""),"洗脫烘滾筒")</f>
        <v>洗脫烘滾筒</v>
      </c>
      <c r="O746" s="12" t="str">
        <f ca="1">IFERROR(__xludf.DUMMYFUNCTION("""COMPUTED_VALUE"""),"星燦白")</f>
        <v>星燦白</v>
      </c>
      <c r="P746" s="24" t="str">
        <f ca="1">IFERROR(__xludf.DUMMYFUNCTION("""COMPUTED_VALUE"""),"11.5KG")</f>
        <v>11.5KG</v>
      </c>
      <c r="Q746" s="24" t="str">
        <f ca="1">IFERROR(__xludf.DUMMYFUNCTION("""COMPUTED_VALUE"""),"630x715x1050(mm)")</f>
        <v>630x715x1050(mm)</v>
      </c>
      <c r="R746" s="12" t="str">
        <f ca="1">IFERROR(__xludf.DUMMYFUNCTION("""COMPUTED_VALUE"""),"日本")</f>
        <v>日本</v>
      </c>
      <c r="S746" s="12" t="str">
        <f ca="1">IFERROR(__xludf.DUMMYFUNCTION("""COMPUTED_VALUE"""),"V")</f>
        <v>V</v>
      </c>
      <c r="T746" s="12"/>
      <c r="U746" s="12" t="str">
        <f ca="1">IFERROR(__xludf.DUMMYFUNCTION("""COMPUTED_VALUE"""),"1年")</f>
        <v>1年</v>
      </c>
      <c r="V746" s="12" t="str">
        <f ca="1">IFERROR(__xludf.DUMMYFUNCTION("""COMPUTED_VALUE"""),"5年")</f>
        <v>5年</v>
      </c>
      <c r="W746" s="12"/>
      <c r="X746" s="12" t="str">
        <f ca="1">IFERROR(__xludf.DUMMYFUNCTION("""COMPUTED_VALUE"""),"(114/1/1~2/28)隨貨送卡洛斯陶瓷不沾鴛鴦鍋-30cm(市價1590)")</f>
        <v>(114/1/1~2/28)隨貨送卡洛斯陶瓷不沾鴛鴦鍋-30cm(市價1590)</v>
      </c>
      <c r="Y746" s="12"/>
      <c r="Z746" s="14"/>
      <c r="AA746" s="15" t="str">
        <f ca="1">IFERROR(__xludf.DUMMYFUNCTION("""COMPUTED_VALUE"""),"*快洗快烘程 95分鐘*大水流+溫風「抗蟎行程」*全新進化「蒸氣風熨斗」*溫水槽洗淨行程*易清潔+除菌材質「異物濾網*一拉傾倒 不銹鋼塗裝「烘乾濾網」")</f>
        <v>*快洗快烘程 95分鐘*大水流+溫風「抗蟎行程」*全新進化「蒸氣風熨斗」*溫水槽洗淨行程*易清潔+除菌材質「異物濾網*一拉傾倒 不銹鋼塗裝「烘乾濾網」</v>
      </c>
    </row>
    <row r="747" spans="1:27" ht="19.5" customHeight="1">
      <c r="A747" s="12" t="str">
        <f ca="1">IFERROR(__xludf.DUMMYFUNCTION("""COMPUTED_VALUE"""),"洗衣機")</f>
        <v>洗衣機</v>
      </c>
      <c r="B747" s="12" t="str">
        <f ca="1">IFERROR(__xludf.DUMMYFUNCTION("""COMPUTED_VALUE"""),"順發")</f>
        <v>順發</v>
      </c>
      <c r="C747" s="12" t="str">
        <f ca="1">IFERROR(__xludf.DUMMYFUNCTION("""COMPUTED_VALUE"""),"HITACHI")</f>
        <v>HITACHI</v>
      </c>
      <c r="D747" s="12" t="str">
        <f ca="1">IFERROR(__xludf.DUMMYFUNCTION("""COMPUTED_VALUE"""),"Hitachi_11.5KG滾筒變頻洗脫烘洗衣機(右開)_765H27_BDSV115GJRW")</f>
        <v>Hitachi_11.5KG滾筒變頻洗脫烘洗衣機(右開)_765H27_BDSV115GJRW</v>
      </c>
      <c r="E747" s="12" t="str">
        <f ca="1">IFERROR(__xludf.DUMMYFUNCTION("""COMPUTED_VALUE"""),"BDSV115GJRW")</f>
        <v>BDSV115GJRW</v>
      </c>
      <c r="F747" s="12">
        <f ca="1">IFERROR(__xludf.DUMMYFUNCTION("""COMPUTED_VALUE"""),51095731)</f>
        <v>51095731</v>
      </c>
      <c r="G747" s="12" t="str">
        <f ca="1">IFERROR(__xludf.DUMMYFUNCTION("""COMPUTED_VALUE"""),"IGEM093S")</f>
        <v>IGEM093S</v>
      </c>
      <c r="H747" s="12">
        <f ca="1">IFERROR(__xludf.DUMMYFUNCTION("""COMPUTED_VALUE"""),60400)</f>
        <v>60400</v>
      </c>
      <c r="I747" s="14">
        <f ca="1">IFERROR(__xludf.DUMMYFUNCTION("""COMPUTED_VALUE"""),55568)</f>
        <v>55568</v>
      </c>
      <c r="J747" s="16">
        <f ca="1">IFERROR(__xludf.DUMMYFUNCTION("""COMPUTED_VALUE"""),45323)</f>
        <v>45323</v>
      </c>
      <c r="K747" s="12" t="str">
        <f ca="1">IFERROR(__xludf.DUMMYFUNCTION("""COMPUTED_VALUE"""),"回價")</f>
        <v>回價</v>
      </c>
      <c r="L747" s="12" t="str">
        <f ca="1">IFERROR(__xludf.DUMMYFUNCTION("""COMPUTED_VALUE"""),"上架中")</f>
        <v>上架中</v>
      </c>
      <c r="M747" s="12" t="str">
        <f ca="1">IFERROR(__xludf.DUMMYFUNCTION("""COMPUTED_VALUE"""),"12/1新機上架")</f>
        <v>12/1新機上架</v>
      </c>
      <c r="N747" s="12" t="str">
        <f ca="1">IFERROR(__xludf.DUMMYFUNCTION("""COMPUTED_VALUE"""),"洗脫烘滾筒")</f>
        <v>洗脫烘滾筒</v>
      </c>
      <c r="O747" s="12" t="str">
        <f ca="1">IFERROR(__xludf.DUMMYFUNCTION("""COMPUTED_VALUE"""),"星燦白")</f>
        <v>星燦白</v>
      </c>
      <c r="P747" s="24" t="str">
        <f ca="1">IFERROR(__xludf.DUMMYFUNCTION("""COMPUTED_VALUE"""),"11.5KG")</f>
        <v>11.5KG</v>
      </c>
      <c r="Q747" s="24" t="str">
        <f ca="1">IFERROR(__xludf.DUMMYFUNCTION("""COMPUTED_VALUE"""),"630x715x1050(mm)")</f>
        <v>630x715x1050(mm)</v>
      </c>
      <c r="R747" s="12" t="str">
        <f ca="1">IFERROR(__xludf.DUMMYFUNCTION("""COMPUTED_VALUE"""),"日本")</f>
        <v>日本</v>
      </c>
      <c r="S747" s="12" t="str">
        <f ca="1">IFERROR(__xludf.DUMMYFUNCTION("""COMPUTED_VALUE"""),"V")</f>
        <v>V</v>
      </c>
      <c r="T747" s="12"/>
      <c r="U747" s="12" t="str">
        <f ca="1">IFERROR(__xludf.DUMMYFUNCTION("""COMPUTED_VALUE"""),"1年")</f>
        <v>1年</v>
      </c>
      <c r="V747" s="12" t="str">
        <f ca="1">IFERROR(__xludf.DUMMYFUNCTION("""COMPUTED_VALUE"""),"5年")</f>
        <v>5年</v>
      </c>
      <c r="W747" s="12"/>
      <c r="X747" s="12" t="str">
        <f ca="1">IFERROR(__xludf.DUMMYFUNCTION("""COMPUTED_VALUE"""),"(114/1/1~2/28)隨貨送卡洛斯陶瓷不沾鴛鴦鍋-30cm(市價1590)")</f>
        <v>(114/1/1~2/28)隨貨送卡洛斯陶瓷不沾鴛鴦鍋-30cm(市價1590)</v>
      </c>
      <c r="Y747" s="12"/>
      <c r="Z747" s="14"/>
      <c r="AA747" s="15" t="str">
        <f ca="1">IFERROR(__xludf.DUMMYFUNCTION("""COMPUTED_VALUE"""),"*快洗快烘程 95分鐘*大水流+溫風「抗蟎行程」*全新進化「蒸氣風熨斗」*溫水槽洗淨行程*易清潔+除菌材質「異物濾網*一拉傾倒 不銹鋼塗裝「烘乾濾網」")</f>
        <v>*快洗快烘程 95分鐘*大水流+溫風「抗蟎行程」*全新進化「蒸氣風熨斗」*溫水槽洗淨行程*易清潔+除菌材質「異物濾網*一拉傾倒 不銹鋼塗裝「烘乾濾網」</v>
      </c>
    </row>
    <row r="748" spans="1:27" ht="19.5" customHeight="1">
      <c r="A748" s="12" t="str">
        <f ca="1">IFERROR(__xludf.DUMMYFUNCTION("""COMPUTED_VALUE"""),"洗衣機")</f>
        <v>洗衣機</v>
      </c>
      <c r="B748" s="12" t="str">
        <f ca="1">IFERROR(__xludf.DUMMYFUNCTION("""COMPUTED_VALUE"""),"順發")</f>
        <v>順發</v>
      </c>
      <c r="C748" s="12" t="str">
        <f ca="1">IFERROR(__xludf.DUMMYFUNCTION("""COMPUTED_VALUE"""),"HITACHI")</f>
        <v>HITACHI</v>
      </c>
      <c r="D748" s="12" t="str">
        <f ca="1">IFERROR(__xludf.DUMMYFUNCTION("""COMPUTED_VALUE"""),"Hitachi_11KG滾筒變頻洗脫烘洗衣機(星燦白)_765H29_BDSG110GJW")</f>
        <v>Hitachi_11KG滾筒變頻洗脫烘洗衣機(星燦白)_765H29_BDSG110GJW</v>
      </c>
      <c r="E748" s="12" t="str">
        <f ca="1">IFERROR(__xludf.DUMMYFUNCTION("""COMPUTED_VALUE"""),"BDSG110GJW")</f>
        <v>BDSG110GJW</v>
      </c>
      <c r="F748" s="12">
        <f ca="1">IFERROR(__xludf.DUMMYFUNCTION("""COMPUTED_VALUE"""),51095732)</f>
        <v>51095732</v>
      </c>
      <c r="G748" s="12" t="str">
        <f ca="1">IFERROR(__xludf.DUMMYFUNCTION("""COMPUTED_VALUE"""),"IGEM093T")</f>
        <v>IGEM093T</v>
      </c>
      <c r="H748" s="12">
        <f ca="1">IFERROR(__xludf.DUMMYFUNCTION("""COMPUTED_VALUE"""),48900)</f>
        <v>48900</v>
      </c>
      <c r="I748" s="14">
        <f ca="1">IFERROR(__xludf.DUMMYFUNCTION("""COMPUTED_VALUE"""),40900)</f>
        <v>40900</v>
      </c>
      <c r="J748" s="16">
        <f ca="1">IFERROR(__xludf.DUMMYFUNCTION("""COMPUTED_VALUE"""),45597)</f>
        <v>45597</v>
      </c>
      <c r="K748" s="12" t="str">
        <f ca="1">IFERROR(__xludf.DUMMYFUNCTION("""COMPUTED_VALUE"""),"短促")</f>
        <v>短促</v>
      </c>
      <c r="L748" s="12" t="str">
        <f ca="1">IFERROR(__xludf.DUMMYFUNCTION("""COMPUTED_VALUE"""),"上架中")</f>
        <v>上架中</v>
      </c>
      <c r="M748" s="12" t="str">
        <f ca="1">IFERROR(__xludf.DUMMYFUNCTION("""COMPUTED_VALUE"""),"12/1新機上架")</f>
        <v>12/1新機上架</v>
      </c>
      <c r="N748" s="12" t="str">
        <f ca="1">IFERROR(__xludf.DUMMYFUNCTION("""COMPUTED_VALUE"""),"洗脫烘滾筒")</f>
        <v>洗脫烘滾筒</v>
      </c>
      <c r="O748" s="12" t="str">
        <f ca="1">IFERROR(__xludf.DUMMYFUNCTION("""COMPUTED_VALUE"""),"星燦白")</f>
        <v>星燦白</v>
      </c>
      <c r="P748" s="24" t="str">
        <f ca="1">IFERROR(__xludf.DUMMYFUNCTION("""COMPUTED_VALUE"""),"11KG")</f>
        <v>11KG</v>
      </c>
      <c r="Q748" s="24" t="str">
        <f ca="1">IFERROR(__xludf.DUMMYFUNCTION("""COMPUTED_VALUE"""),"630x715x1050(mm)")</f>
        <v>630x715x1050(mm)</v>
      </c>
      <c r="R748" s="12" t="str">
        <f ca="1">IFERROR(__xludf.DUMMYFUNCTION("""COMPUTED_VALUE"""),"日本")</f>
        <v>日本</v>
      </c>
      <c r="S748" s="12" t="str">
        <f ca="1">IFERROR(__xludf.DUMMYFUNCTION("""COMPUTED_VALUE"""),"省水標章(金級)")</f>
        <v>省水標章(金級)</v>
      </c>
      <c r="T748" s="12"/>
      <c r="U748" s="12" t="str">
        <f ca="1">IFERROR(__xludf.DUMMYFUNCTION("""COMPUTED_VALUE"""),"1年")</f>
        <v>1年</v>
      </c>
      <c r="V748" s="12" t="str">
        <f ca="1">IFERROR(__xludf.DUMMYFUNCTION("""COMPUTED_VALUE"""),"5年")</f>
        <v>5年</v>
      </c>
      <c r="W748" s="12" t="str">
        <f ca="1">IFERROR(__xludf.DUMMYFUNCTION("""COMPUTED_VALUE"""),"(9/21~114/1/31)線上申請送即享券$2,000元")</f>
        <v>(9/21~114/1/31)線上申請送即享券$2,000元</v>
      </c>
      <c r="X748" s="12" t="str">
        <f ca="1">IFERROR(__xludf.DUMMYFUNCTION("""COMPUTED_VALUE"""),"(114/1/1~2/28)隨貨送卡洛斯陶瓷不沾鴛鴦鍋-30cm(市價1590)")</f>
        <v>(114/1/1~2/28)隨貨送卡洛斯陶瓷不沾鴛鴦鍋-30cm(市價1590)</v>
      </c>
      <c r="Y748" s="12"/>
      <c r="Z748" s="14"/>
      <c r="AA748" s="15" t="str">
        <f ca="1">IFERROR(__xludf.DUMMYFUNCTION("""COMPUTED_VALUE"""),"*快洗快烘程 120分鐘*烘衣管道自動清潔系統*易清潔+除菌材質「異物濾網」*一拉傾倒 不銹鋼塗裝「烘乾濾網」")</f>
        <v>*快洗快烘程 120分鐘*烘衣管道自動清潔系統*易清潔+除菌材質「異物濾網」*一拉傾倒 不銹鋼塗裝「烘乾濾網」</v>
      </c>
    </row>
    <row r="749" spans="1:27" ht="19.5" customHeight="1">
      <c r="A749" s="12" t="str">
        <f ca="1">IFERROR(__xludf.DUMMYFUNCTION("""COMPUTED_VALUE"""),"洗衣機")</f>
        <v>洗衣機</v>
      </c>
      <c r="B749" s="12" t="str">
        <f ca="1">IFERROR(__xludf.DUMMYFUNCTION("""COMPUTED_VALUE"""),"順發")</f>
        <v>順發</v>
      </c>
      <c r="C749" s="12" t="str">
        <f ca="1">IFERROR(__xludf.DUMMYFUNCTION("""COMPUTED_VALUE"""),"HITACHI")</f>
        <v>HITACHI</v>
      </c>
      <c r="D749" s="12" t="str">
        <f ca="1">IFERROR(__xludf.DUMMYFUNCTION("""COMPUTED_VALUE"""),"Hitachi_日立12KG變頻洗脫烘滾筒左開_765H31_BDSX120HJW")</f>
        <v>Hitachi_日立12KG變頻洗脫烘滾筒左開_765H31_BDSX120HJW</v>
      </c>
      <c r="E749" s="12" t="str">
        <f ca="1">IFERROR(__xludf.DUMMYFUNCTION("""COMPUTED_VALUE"""),"BDSX120HJW")</f>
        <v>BDSX120HJW</v>
      </c>
      <c r="F749" s="12">
        <f ca="1">IFERROR(__xludf.DUMMYFUNCTION("""COMPUTED_VALUE"""),51095828)</f>
        <v>51095828</v>
      </c>
      <c r="G749" s="12" t="str">
        <f ca="1">IFERROR(__xludf.DUMMYFUNCTION("""COMPUTED_VALUE"""),"IGEM1088")</f>
        <v>IGEM1088</v>
      </c>
      <c r="H749" s="13">
        <f ca="1">IFERROR(__xludf.DUMMYFUNCTION("""COMPUTED_VALUE"""),69900)</f>
        <v>69900</v>
      </c>
      <c r="I749" s="14">
        <f ca="1">IFERROR(__xludf.DUMMYFUNCTION("""COMPUTED_VALUE"""),64308)</f>
        <v>64308</v>
      </c>
      <c r="J749" s="12"/>
      <c r="K749" s="12"/>
      <c r="L749" s="12" t="str">
        <f ca="1">IFERROR(__xludf.DUMMYFUNCTION("""COMPUTED_VALUE"""),"上架中")</f>
        <v>上架中</v>
      </c>
      <c r="M749" s="12" t="str">
        <f ca="1">IFERROR(__xludf.DUMMYFUNCTION("""COMPUTED_VALUE"""),"客訂商品，請先洽順發溝通貨況")</f>
        <v>客訂商品，請先洽順發溝通貨況</v>
      </c>
      <c r="N749" s="12" t="str">
        <f ca="1">IFERROR(__xludf.DUMMYFUNCTION("""COMPUTED_VALUE"""),"洗脫烘滾筒")</f>
        <v>洗脫烘滾筒</v>
      </c>
      <c r="O749" s="12" t="str">
        <f ca="1">IFERROR(__xludf.DUMMYFUNCTION("""COMPUTED_VALUE"""),"星燦白")</f>
        <v>星燦白</v>
      </c>
      <c r="P749" s="24" t="str">
        <f ca="1">IFERROR(__xludf.DUMMYFUNCTION("""COMPUTED_VALUE"""),"12KG")</f>
        <v>12KG</v>
      </c>
      <c r="Q749" s="24" t="str">
        <f ca="1">IFERROR(__xludf.DUMMYFUNCTION("""COMPUTED_VALUE"""),"1050*630*716mm")</f>
        <v>1050*630*716mm</v>
      </c>
      <c r="R749" s="12" t="str">
        <f ca="1">IFERROR(__xludf.DUMMYFUNCTION("""COMPUTED_VALUE"""),"日本")</f>
        <v>日本</v>
      </c>
      <c r="S749" s="12"/>
      <c r="T749" s="12"/>
      <c r="U749" s="12" t="str">
        <f ca="1">IFERROR(__xludf.DUMMYFUNCTION("""COMPUTED_VALUE"""),"1年")</f>
        <v>1年</v>
      </c>
      <c r="V749" s="12" t="str">
        <f ca="1">IFERROR(__xludf.DUMMYFUNCTION("""COMPUTED_VALUE"""),"5年")</f>
        <v>5年</v>
      </c>
      <c r="W749" s="12"/>
      <c r="X749" s="12" t="str">
        <f ca="1">IFERROR(__xludf.DUMMYFUNCTION("""COMPUTED_VALUE"""),"(114/1/1~2/28)隨貨送卡洛斯陶瓷不沾鴛鴦鍋-30cm(市價1590)")</f>
        <v>(114/1/1~2/28)隨貨送卡洛斯陶瓷不沾鴛鴦鍋-30cm(市價1590)</v>
      </c>
      <c r="Y749" s="12"/>
      <c r="Z749" s="14"/>
      <c r="AA749" s="15" t="str">
        <f ca="1">IFERROR(__xludf.DUMMYFUNCTION("""COMPUTED_VALUE"""),"*全新自主環淨科技 省去清潔與保養*AI智能感測洗衣 省去繁瑣聰明洗衣*洗劑自動投入 洗衣輕鬆便利*4段溫控洗淨高效抗敏除菌*65℃低溫風熨斗*Air Wash風速淨 守護衣物除菌除病毒*IoT智能遠端操控洗衣*槽速洗12分鐘 快速保養筒槽")</f>
        <v>*全新自主環淨科技 省去清潔與保養*AI智能感測洗衣 省去繁瑣聰明洗衣*洗劑自動投入 洗衣輕鬆便利*4段溫控洗淨高效抗敏除菌*65℃低溫風熨斗*Air Wash風速淨 守護衣物除菌除病毒*IoT智能遠端操控洗衣*槽速洗12分鐘 快速保養筒槽</v>
      </c>
    </row>
    <row r="750" spans="1:27" ht="19.5" customHeight="1">
      <c r="A750" s="12" t="str">
        <f ca="1">IFERROR(__xludf.DUMMYFUNCTION("""COMPUTED_VALUE"""),"洗衣機")</f>
        <v>洗衣機</v>
      </c>
      <c r="B750" s="12" t="str">
        <f ca="1">IFERROR(__xludf.DUMMYFUNCTION("""COMPUTED_VALUE"""),"順發")</f>
        <v>順發</v>
      </c>
      <c r="C750" s="12" t="str">
        <f ca="1">IFERROR(__xludf.DUMMYFUNCTION("""COMPUTED_VALUE"""),"HITACHI")</f>
        <v>HITACHI</v>
      </c>
      <c r="D750" s="12" t="str">
        <f ca="1">IFERROR(__xludf.DUMMYFUNCTION("""COMPUTED_VALUE"""),"Hitachi_日立12KG變頻洗脫烘滾筒右開_765H30_BDSX120HJRW")</f>
        <v>Hitachi_日立12KG變頻洗脫烘滾筒右開_765H30_BDSX120HJRW</v>
      </c>
      <c r="E750" s="12" t="str">
        <f ca="1">IFERROR(__xludf.DUMMYFUNCTION("""COMPUTED_VALUE"""),"BDSX120HJRW")</f>
        <v>BDSX120HJRW</v>
      </c>
      <c r="F750" s="12">
        <f ca="1">IFERROR(__xludf.DUMMYFUNCTION("""COMPUTED_VALUE"""),51095829)</f>
        <v>51095829</v>
      </c>
      <c r="G750" s="12" t="str">
        <f ca="1">IFERROR(__xludf.DUMMYFUNCTION("""COMPUTED_VALUE"""),"IGEM1089")</f>
        <v>IGEM1089</v>
      </c>
      <c r="H750" s="13">
        <f ca="1">IFERROR(__xludf.DUMMYFUNCTION("""COMPUTED_VALUE"""),70900)</f>
        <v>70900</v>
      </c>
      <c r="I750" s="14">
        <f ca="1">IFERROR(__xludf.DUMMYFUNCTION("""COMPUTED_VALUE"""),65228)</f>
        <v>65228</v>
      </c>
      <c r="J750" s="12"/>
      <c r="K750" s="12"/>
      <c r="L750" s="12" t="str">
        <f ca="1">IFERROR(__xludf.DUMMYFUNCTION("""COMPUTED_VALUE"""),"上架中")</f>
        <v>上架中</v>
      </c>
      <c r="M750" s="12" t="str">
        <f ca="1">IFERROR(__xludf.DUMMYFUNCTION("""COMPUTED_VALUE"""),"客訂商品，請先洽順發溝通貨況")</f>
        <v>客訂商品，請先洽順發溝通貨況</v>
      </c>
      <c r="N750" s="12" t="str">
        <f ca="1">IFERROR(__xludf.DUMMYFUNCTION("""COMPUTED_VALUE"""),"洗脫烘滾筒")</f>
        <v>洗脫烘滾筒</v>
      </c>
      <c r="O750" s="12" t="str">
        <f ca="1">IFERROR(__xludf.DUMMYFUNCTION("""COMPUTED_VALUE"""),"星燦白")</f>
        <v>星燦白</v>
      </c>
      <c r="P750" s="24" t="str">
        <f ca="1">IFERROR(__xludf.DUMMYFUNCTION("""COMPUTED_VALUE"""),"12KG")</f>
        <v>12KG</v>
      </c>
      <c r="Q750" s="24" t="str">
        <f ca="1">IFERROR(__xludf.DUMMYFUNCTION("""COMPUTED_VALUE"""),"1050*630*716mm")</f>
        <v>1050*630*716mm</v>
      </c>
      <c r="R750" s="12" t="str">
        <f ca="1">IFERROR(__xludf.DUMMYFUNCTION("""COMPUTED_VALUE"""),"日本")</f>
        <v>日本</v>
      </c>
      <c r="S750" s="12"/>
      <c r="T750" s="12"/>
      <c r="U750" s="12" t="str">
        <f ca="1">IFERROR(__xludf.DUMMYFUNCTION("""COMPUTED_VALUE"""),"1年")</f>
        <v>1年</v>
      </c>
      <c r="V750" s="12" t="str">
        <f ca="1">IFERROR(__xludf.DUMMYFUNCTION("""COMPUTED_VALUE"""),"5年")</f>
        <v>5年</v>
      </c>
      <c r="W750" s="12"/>
      <c r="X750" s="12" t="str">
        <f ca="1">IFERROR(__xludf.DUMMYFUNCTION("""COMPUTED_VALUE"""),"(114/1/1~2/28)隨貨送卡洛斯陶瓷不沾鴛鴦鍋-30cm(市價1590)")</f>
        <v>(114/1/1~2/28)隨貨送卡洛斯陶瓷不沾鴛鴦鍋-30cm(市價1590)</v>
      </c>
      <c r="Y750" s="12"/>
      <c r="Z750" s="14"/>
      <c r="AA750" s="15" t="str">
        <f ca="1">IFERROR(__xludf.DUMMYFUNCTION("""COMPUTED_VALUE"""),"*全新自主環淨科技 省去清潔與保養*AI智能感測洗衣 省去繁瑣聰明洗衣*洗劑自動投入 洗衣輕鬆便利*4段溫控洗淨高效抗敏除菌*65℃低溫風熨斗*Air Wash風速淨 守護衣物除菌除病毒*IoT智能遠端操控洗衣*槽速洗12分鐘 快速保養筒槽")</f>
        <v>*全新自主環淨科技 省去清潔與保養*AI智能感測洗衣 省去繁瑣聰明洗衣*洗劑自動投入 洗衣輕鬆便利*4段溫控洗淨高效抗敏除菌*65℃低溫風熨斗*Air Wash風速淨 守護衣物除菌除病毒*IoT智能遠端操控洗衣*槽速洗12分鐘 快速保養筒槽</v>
      </c>
    </row>
    <row r="751" spans="1:27" ht="19.5" customHeight="1">
      <c r="A751" s="12" t="str">
        <f ca="1">IFERROR(__xludf.DUMMYFUNCTION("""COMPUTED_VALUE"""),"洗衣機")</f>
        <v>洗衣機</v>
      </c>
      <c r="B751" s="12" t="str">
        <f ca="1">IFERROR(__xludf.DUMMYFUNCTION("""COMPUTED_VALUE"""),"神腦")</f>
        <v>神腦</v>
      </c>
      <c r="C751" s="12" t="str">
        <f ca="1">IFERROR(__xludf.DUMMYFUNCTION("""COMPUTED_VALUE"""),"LG")</f>
        <v>LG</v>
      </c>
      <c r="D751" s="12" t="str">
        <f ca="1">IFERROR(__xludf.DUMMYFUNCTION("""COMPUTED_VALUE"""),"LG_LG蒸善美12kg變頻洗衣機(星辰銀)_WT-SD129HVG")</f>
        <v>LG_LG蒸善美12kg變頻洗衣機(星辰銀)_WT-SD129HVG</v>
      </c>
      <c r="E751" s="12" t="str">
        <f ca="1">IFERROR(__xludf.DUMMYFUNCTION("""COMPUTED_VALUE"""),"WT-SD129HVG")</f>
        <v>WT-SD129HVG</v>
      </c>
      <c r="F751" s="12">
        <f ca="1">IFERROR(__xludf.DUMMYFUNCTION("""COMPUTED_VALUE"""),51016597)</f>
        <v>51016597</v>
      </c>
      <c r="G751" s="12" t="str">
        <f ca="1">IFERROR(__xludf.DUMMYFUNCTION("""COMPUTED_VALUE"""),"IGEM1179")</f>
        <v>IGEM1179</v>
      </c>
      <c r="H751" s="13">
        <f ca="1">IFERROR(__xludf.DUMMYFUNCTION("""COMPUTED_VALUE"""),17900)</f>
        <v>17900</v>
      </c>
      <c r="I751" s="14">
        <f ca="1">IFERROR(__xludf.DUMMYFUNCTION("""COMPUTED_VALUE"""),17000)</f>
        <v>17000</v>
      </c>
      <c r="J751" s="16">
        <f ca="1">IFERROR(__xludf.DUMMYFUNCTION("""COMPUTED_VALUE"""),45658)</f>
        <v>45658</v>
      </c>
      <c r="K751" s="12" t="str">
        <f ca="1">IFERROR(__xludf.DUMMYFUNCTION("""COMPUTED_VALUE"""),"新機上架")</f>
        <v>新機上架</v>
      </c>
      <c r="L751" s="12" t="str">
        <f ca="1">IFERROR(__xludf.DUMMYFUNCTION("""COMPUTED_VALUE"""),"上架中")</f>
        <v>上架中</v>
      </c>
      <c r="M751" s="12" t="str">
        <f ca="1">IFERROR(__xludf.DUMMYFUNCTION("""COMPUTED_VALUE"""),"2025/1/1上架")</f>
        <v>2025/1/1上架</v>
      </c>
      <c r="N751" s="12" t="str">
        <f ca="1">IFERROR(__xludf.DUMMYFUNCTION("""COMPUTED_VALUE"""),"直立變頻")</f>
        <v>直立變頻</v>
      </c>
      <c r="O751" s="12" t="str">
        <f ca="1">IFERROR(__xludf.DUMMYFUNCTION("""COMPUTED_VALUE"""),"星辰銀")</f>
        <v>星辰銀</v>
      </c>
      <c r="P751" s="24" t="str">
        <f ca="1">IFERROR(__xludf.DUMMYFUNCTION("""COMPUTED_VALUE"""),"12KG")</f>
        <v>12KG</v>
      </c>
      <c r="Q751" s="24" t="str">
        <f ca="1">IFERROR(__xludf.DUMMYFUNCTION("""COMPUTED_VALUE"""),"945x540x540mm")</f>
        <v>945x540x540mm</v>
      </c>
      <c r="R751" s="12" t="str">
        <f ca="1">IFERROR(__xludf.DUMMYFUNCTION("""COMPUTED_VALUE"""),"泰國")</f>
        <v>泰國</v>
      </c>
      <c r="S751" s="12" t="str">
        <f ca="1">IFERROR(__xludf.DUMMYFUNCTION("""COMPUTED_VALUE"""),"V/省水標章(金級)")</f>
        <v>V/省水標章(金級)</v>
      </c>
      <c r="T751" s="12"/>
      <c r="U751" s="12" t="str">
        <f ca="1">IFERROR(__xludf.DUMMYFUNCTION("""COMPUTED_VALUE"""),"1年")</f>
        <v>1年</v>
      </c>
      <c r="V751" s="12" t="str">
        <f ca="1">IFERROR(__xludf.DUMMYFUNCTION("""COMPUTED_VALUE"""),"10年")</f>
        <v>10年</v>
      </c>
      <c r="W751" s="12"/>
      <c r="X751" s="12"/>
      <c r="Y751" s="12"/>
      <c r="Z751" s="14"/>
      <c r="AA751" s="15" t="str">
        <f ca="1">IFERROR(__xludf.DUMMYFUNCTION("""COMPUTED_VALUE"""),"*TurboWash3D™第3代DD洗衣機*Steam™蒸氣洗*全自動筒槽清潔*極窄(54公分)大容量")</f>
        <v>*TurboWash3D™第3代DD洗衣機*Steam™蒸氣洗*全自動筒槽清潔*極窄(54公分)大容量</v>
      </c>
    </row>
    <row r="752" spans="1:27" ht="19.5" customHeight="1">
      <c r="A752" s="12" t="str">
        <f ca="1">IFERROR(__xludf.DUMMYFUNCTION("""COMPUTED_VALUE"""),"洗衣機")</f>
        <v>洗衣機</v>
      </c>
      <c r="B752" s="12" t="str">
        <f ca="1">IFERROR(__xludf.DUMMYFUNCTION("""COMPUTED_VALUE"""),"神腦")</f>
        <v>神腦</v>
      </c>
      <c r="C752" s="12" t="str">
        <f ca="1">IFERROR(__xludf.DUMMYFUNCTION("""COMPUTED_VALUE"""),"LG")</f>
        <v>LG</v>
      </c>
      <c r="D752" s="12" t="str">
        <f ca="1">IFERROR(__xludf.DUMMYFUNCTION("""COMPUTED_VALUE"""),"LG_9KG蒸洗脫烘滾筒洗衣機(冰瓷白)_WD-S90VDW")</f>
        <v>LG_9KG蒸洗脫烘滾筒洗衣機(冰瓷白)_WD-S90VDW</v>
      </c>
      <c r="E752" s="12" t="str">
        <f ca="1">IFERROR(__xludf.DUMMYFUNCTION("""COMPUTED_VALUE"""),"WD-S90VDW")</f>
        <v>WD-S90VDW</v>
      </c>
      <c r="F752" s="12">
        <f ca="1">IFERROR(__xludf.DUMMYFUNCTION("""COMPUTED_VALUE"""),51016598)</f>
        <v>51016598</v>
      </c>
      <c r="G752" s="12" t="str">
        <f ca="1">IFERROR(__xludf.DUMMYFUNCTION("""COMPUTED_VALUE"""),"IGEM117A")</f>
        <v>IGEM117A</v>
      </c>
      <c r="H752" s="13">
        <f ca="1">IFERROR(__xludf.DUMMYFUNCTION("""COMPUTED_VALUE"""),28900)</f>
        <v>28900</v>
      </c>
      <c r="I752" s="14">
        <f ca="1">IFERROR(__xludf.DUMMYFUNCTION("""COMPUTED_VALUE"""),19900)</f>
        <v>19900</v>
      </c>
      <c r="J752" s="16">
        <f ca="1">IFERROR(__xludf.DUMMYFUNCTION("""COMPUTED_VALUE"""),45658)</f>
        <v>45658</v>
      </c>
      <c r="K752" s="12" t="str">
        <f ca="1">IFERROR(__xludf.DUMMYFUNCTION("""COMPUTED_VALUE"""),"新機上架")</f>
        <v>新機上架</v>
      </c>
      <c r="L752" s="12" t="str">
        <f ca="1">IFERROR(__xludf.DUMMYFUNCTION("""COMPUTED_VALUE"""),"上架中")</f>
        <v>上架中</v>
      </c>
      <c r="M752" s="12" t="str">
        <f ca="1">IFERROR(__xludf.DUMMYFUNCTION("""COMPUTED_VALUE"""),"2025/1/1上架")</f>
        <v>2025/1/1上架</v>
      </c>
      <c r="N752" s="12" t="str">
        <f ca="1">IFERROR(__xludf.DUMMYFUNCTION("""COMPUTED_VALUE"""),"滾筒")</f>
        <v>滾筒</v>
      </c>
      <c r="O752" s="12" t="str">
        <f ca="1">IFERROR(__xludf.DUMMYFUNCTION("""COMPUTED_VALUE"""),"冰瓷白")</f>
        <v>冰瓷白</v>
      </c>
      <c r="P752" s="24" t="str">
        <f ca="1">IFERROR(__xludf.DUMMYFUNCTION("""COMPUTED_VALUE"""),"9KG")</f>
        <v>9KG</v>
      </c>
      <c r="Q752" s="24" t="str">
        <f ca="1">IFERROR(__xludf.DUMMYFUNCTION("""COMPUTED_VALUE"""),"850x600x615mm")</f>
        <v>850x600x615mm</v>
      </c>
      <c r="R752" s="12" t="str">
        <f ca="1">IFERROR(__xludf.DUMMYFUNCTION("""COMPUTED_VALUE"""),"中國")</f>
        <v>中國</v>
      </c>
      <c r="S752" s="12" t="str">
        <f ca="1">IFERROR(__xludf.DUMMYFUNCTION("""COMPUTED_VALUE"""),"普級")</f>
        <v>普級</v>
      </c>
      <c r="T752" s="12"/>
      <c r="U752" s="12" t="str">
        <f ca="1">IFERROR(__xludf.DUMMYFUNCTION("""COMPUTED_VALUE"""),"1年")</f>
        <v>1年</v>
      </c>
      <c r="V752" s="12" t="str">
        <f ca="1">IFERROR(__xludf.DUMMYFUNCTION("""COMPUTED_VALUE"""),"10年")</f>
        <v>10年</v>
      </c>
      <c r="W752" s="12"/>
      <c r="X752" s="12"/>
      <c r="Y752" s="12"/>
      <c r="Z752" s="14"/>
      <c r="AA752" s="15" t="str">
        <f ca="1">IFERROR(__xludf.DUMMYFUNCTION("""COMPUTED_VALUE"""),"*AI DD™ AI智慧直驅變頻馬達*蒸氣洗衣 99.9%殺菌除蟎*TURBOWASH 勁速洗*6 MOTION DD智慧模擬手洗")</f>
        <v>*AI DD™ AI智慧直驅變頻馬達*蒸氣洗衣 99.9%殺菌除蟎*TURBOWASH 勁速洗*6 MOTION DD智慧模擬手洗</v>
      </c>
    </row>
    <row r="753" spans="1:27" ht="19.5" customHeight="1">
      <c r="A753" s="12" t="str">
        <f ca="1">IFERROR(__xludf.DUMMYFUNCTION("""COMPUTED_VALUE"""),"洗衣機")</f>
        <v>洗衣機</v>
      </c>
      <c r="B753" s="12" t="str">
        <f ca="1">IFERROR(__xludf.DUMMYFUNCTION("""COMPUTED_VALUE"""),"神腦")</f>
        <v>神腦</v>
      </c>
      <c r="C753" s="12" t="str">
        <f ca="1">IFERROR(__xludf.DUMMYFUNCTION("""COMPUTED_VALUE"""),"LG")</f>
        <v>LG</v>
      </c>
      <c r="D753" s="12" t="str">
        <f ca="1">IFERROR(__xludf.DUMMYFUNCTION("""COMPUTED_VALUE"""),"LG_13kg 窄版蒸洗脫烘WiFi變頻AI滾筒洗衣機(冰瓷白)_WD-S13VDW")</f>
        <v>LG_13kg 窄版蒸洗脫烘WiFi變頻AI滾筒洗衣機(冰瓷白)_WD-S13VDW</v>
      </c>
      <c r="E753" s="12" t="str">
        <f ca="1">IFERROR(__xludf.DUMMYFUNCTION("""COMPUTED_VALUE"""),"WD-S13VDW")</f>
        <v>WD-S13VDW</v>
      </c>
      <c r="F753" s="12">
        <f ca="1">IFERROR(__xludf.DUMMYFUNCTION("""COMPUTED_VALUE"""),51016599)</f>
        <v>51016599</v>
      </c>
      <c r="G753" s="12" t="str">
        <f ca="1">IFERROR(__xludf.DUMMYFUNCTION("""COMPUTED_VALUE"""),"IGEM117B")</f>
        <v>IGEM117B</v>
      </c>
      <c r="H753" s="13">
        <f ca="1">IFERROR(__xludf.DUMMYFUNCTION("""COMPUTED_VALUE"""),36900)</f>
        <v>36900</v>
      </c>
      <c r="I753" s="14">
        <f ca="1">IFERROR(__xludf.DUMMYFUNCTION("""COMPUTED_VALUE"""),34000)</f>
        <v>34000</v>
      </c>
      <c r="J753" s="16">
        <f ca="1">IFERROR(__xludf.DUMMYFUNCTION("""COMPUTED_VALUE"""),45658)</f>
        <v>45658</v>
      </c>
      <c r="K753" s="12" t="str">
        <f ca="1">IFERROR(__xludf.DUMMYFUNCTION("""COMPUTED_VALUE"""),"新機上架")</f>
        <v>新機上架</v>
      </c>
      <c r="L753" s="12" t="str">
        <f ca="1">IFERROR(__xludf.DUMMYFUNCTION("""COMPUTED_VALUE"""),"上架中")</f>
        <v>上架中</v>
      </c>
      <c r="M753" s="12" t="str">
        <f ca="1">IFERROR(__xludf.DUMMYFUNCTION("""COMPUTED_VALUE"""),"2025/1/1上架")</f>
        <v>2025/1/1上架</v>
      </c>
      <c r="N753" s="12" t="str">
        <f ca="1">IFERROR(__xludf.DUMMYFUNCTION("""COMPUTED_VALUE"""),"滾筒")</f>
        <v>滾筒</v>
      </c>
      <c r="O753" s="12" t="str">
        <f ca="1">IFERROR(__xludf.DUMMYFUNCTION("""COMPUTED_VALUE"""),"冰瓷白")</f>
        <v>冰瓷白</v>
      </c>
      <c r="P753" s="24" t="str">
        <f ca="1">IFERROR(__xludf.DUMMYFUNCTION("""COMPUTED_VALUE"""),"13KG")</f>
        <v>13KG</v>
      </c>
      <c r="Q753" s="24" t="str">
        <f ca="1">IFERROR(__xludf.DUMMYFUNCTION("""COMPUTED_VALUE"""),"850x600x615mm")</f>
        <v>850x600x615mm</v>
      </c>
      <c r="R753" s="12" t="str">
        <f ca="1">IFERROR(__xludf.DUMMYFUNCTION("""COMPUTED_VALUE"""),"中國")</f>
        <v>中國</v>
      </c>
      <c r="S753" s="12" t="str">
        <f ca="1">IFERROR(__xludf.DUMMYFUNCTION("""COMPUTED_VALUE"""),"金級")</f>
        <v>金級</v>
      </c>
      <c r="T753" s="12"/>
      <c r="U753" s="12" t="str">
        <f ca="1">IFERROR(__xludf.DUMMYFUNCTION("""COMPUTED_VALUE"""),"1年")</f>
        <v>1年</v>
      </c>
      <c r="V753" s="12" t="str">
        <f ca="1">IFERROR(__xludf.DUMMYFUNCTION("""COMPUTED_VALUE"""),"10年")</f>
        <v>10年</v>
      </c>
      <c r="W753" s="12"/>
      <c r="X753" s="12"/>
      <c r="Y753" s="12"/>
      <c r="Z753" s="14"/>
      <c r="AA753" s="15" t="str">
        <f ca="1">IFERROR(__xludf.DUMMYFUNCTION("""COMPUTED_VALUE"""),"*容量彈性加大 x 密封保存不變*金級省水標章與節能標章*全不鏽鋼筒槽與攪拌翼")</f>
        <v>*容量彈性加大 x 密封保存不變*金級省水標章與節能標章*全不鏽鋼筒槽與攪拌翼</v>
      </c>
    </row>
    <row r="754" spans="1:27" ht="19.5" customHeight="1">
      <c r="A754" s="12" t="str">
        <f ca="1">IFERROR(__xludf.DUMMYFUNCTION("""COMPUTED_VALUE"""),"洗衣機")</f>
        <v>洗衣機</v>
      </c>
      <c r="B754" s="12" t="str">
        <f ca="1">IFERROR(__xludf.DUMMYFUNCTION("""COMPUTED_VALUE"""),"神腦")</f>
        <v>神腦</v>
      </c>
      <c r="C754" s="12" t="str">
        <f ca="1">IFERROR(__xludf.DUMMYFUNCTION("""COMPUTED_VALUE"""),"LG")</f>
        <v>LG</v>
      </c>
      <c r="D754" s="12" t="str">
        <f ca="1">IFERROR(__xludf.DUMMYFUNCTION("""COMPUTED_VALUE"""),"LG_13kg 窄版蒸洗脫WiFi變頻AI滾筒洗衣機(冰瓷白)_WD-S13VBW")</f>
        <v>LG_13kg 窄版蒸洗脫WiFi變頻AI滾筒洗衣機(冰瓷白)_WD-S13VBW</v>
      </c>
      <c r="E754" s="12" t="str">
        <f ca="1">IFERROR(__xludf.DUMMYFUNCTION("""COMPUTED_VALUE"""),"WD-S13VBW")</f>
        <v>WD-S13VBW</v>
      </c>
      <c r="F754" s="12">
        <f ca="1">IFERROR(__xludf.DUMMYFUNCTION("""COMPUTED_VALUE"""),51016600)</f>
        <v>51016600</v>
      </c>
      <c r="G754" s="12" t="str">
        <f ca="1">IFERROR(__xludf.DUMMYFUNCTION("""COMPUTED_VALUE"""),"IGEM117C")</f>
        <v>IGEM117C</v>
      </c>
      <c r="H754" s="13">
        <f ca="1">IFERROR(__xludf.DUMMYFUNCTION("""COMPUTED_VALUE"""),30900)</f>
        <v>30900</v>
      </c>
      <c r="I754" s="14">
        <f ca="1">IFERROR(__xludf.DUMMYFUNCTION("""COMPUTED_VALUE"""),27900)</f>
        <v>27900</v>
      </c>
      <c r="J754" s="16">
        <f ca="1">IFERROR(__xludf.DUMMYFUNCTION("""COMPUTED_VALUE"""),45658)</f>
        <v>45658</v>
      </c>
      <c r="K754" s="12" t="str">
        <f ca="1">IFERROR(__xludf.DUMMYFUNCTION("""COMPUTED_VALUE"""),"新機上架")</f>
        <v>新機上架</v>
      </c>
      <c r="L754" s="12" t="str">
        <f ca="1">IFERROR(__xludf.DUMMYFUNCTION("""COMPUTED_VALUE"""),"上架中")</f>
        <v>上架中</v>
      </c>
      <c r="M754" s="12" t="str">
        <f ca="1">IFERROR(__xludf.DUMMYFUNCTION("""COMPUTED_VALUE"""),"2025/1/1上架")</f>
        <v>2025/1/1上架</v>
      </c>
      <c r="N754" s="12" t="str">
        <f ca="1">IFERROR(__xludf.DUMMYFUNCTION("""COMPUTED_VALUE"""),"滾筒")</f>
        <v>滾筒</v>
      </c>
      <c r="O754" s="12" t="str">
        <f ca="1">IFERROR(__xludf.DUMMYFUNCTION("""COMPUTED_VALUE"""),"冰瓷白")</f>
        <v>冰瓷白</v>
      </c>
      <c r="P754" s="24" t="str">
        <f ca="1">IFERROR(__xludf.DUMMYFUNCTION("""COMPUTED_VALUE"""),"13KG")</f>
        <v>13KG</v>
      </c>
      <c r="Q754" s="24" t="str">
        <f ca="1">IFERROR(__xludf.DUMMYFUNCTION("""COMPUTED_VALUE"""),"850x600x615mm")</f>
        <v>850x600x615mm</v>
      </c>
      <c r="R754" s="12" t="str">
        <f ca="1">IFERROR(__xludf.DUMMYFUNCTION("""COMPUTED_VALUE"""),"中國")</f>
        <v>中國</v>
      </c>
      <c r="S754" s="12" t="str">
        <f ca="1">IFERROR(__xludf.DUMMYFUNCTION("""COMPUTED_VALUE"""),"金級")</f>
        <v>金級</v>
      </c>
      <c r="T754" s="12"/>
      <c r="U754" s="12" t="str">
        <f ca="1">IFERROR(__xludf.DUMMYFUNCTION("""COMPUTED_VALUE"""),"1年")</f>
        <v>1年</v>
      </c>
      <c r="V754" s="12" t="str">
        <f ca="1">IFERROR(__xludf.DUMMYFUNCTION("""COMPUTED_VALUE"""),"10年")</f>
        <v>10年</v>
      </c>
      <c r="W754" s="12"/>
      <c r="X754" s="12"/>
      <c r="Y754" s="12"/>
      <c r="Z754" s="14"/>
      <c r="AA754" s="15" t="str">
        <f ca="1">IFERROR(__xludf.DUMMYFUNCTION("""COMPUTED_VALUE"""),"*天然蒸氣60°C 可99.9%殺菌除蟎*TurboWash™ 360˚ 勁速洗: 洗滌更快速*全不鏽鋼筒槽與攪拌翼：更耐用、髒汙細菌不殘留")</f>
        <v>*天然蒸氣60°C 可99.9%殺菌除蟎*TurboWash™ 360˚ 勁速洗: 洗滌更快速*全不鏽鋼筒槽與攪拌翼：更耐用、髒汙細菌不殘留</v>
      </c>
    </row>
    <row r="755" spans="1:27" ht="19.5" customHeight="1">
      <c r="A755" s="12" t="str">
        <f ca="1">IFERROR(__xludf.DUMMYFUNCTION("""COMPUTED_VALUE"""),"洗衣機")</f>
        <v>洗衣機</v>
      </c>
      <c r="B755" s="12" t="str">
        <f ca="1">IFERROR(__xludf.DUMMYFUNCTION("""COMPUTED_VALUE"""),"神腦")</f>
        <v>神腦</v>
      </c>
      <c r="C755" s="12" t="str">
        <f ca="1">IFERROR(__xludf.DUMMYFUNCTION("""COMPUTED_VALUE"""),"LG")</f>
        <v>LG</v>
      </c>
      <c r="D755" s="12" t="str">
        <f ca="1">IFERROR(__xludf.DUMMYFUNCTION("""COMPUTED_VALUE"""),"LG_2kg 蒸洗脫WiFi MiniWash迷你洗衣機 (冰瓷白)_WT-SD201AHW")</f>
        <v>LG_2kg 蒸洗脫WiFi MiniWash迷你洗衣機 (冰瓷白)_WT-SD201AHW</v>
      </c>
      <c r="E755" s="12" t="str">
        <f ca="1">IFERROR(__xludf.DUMMYFUNCTION("""COMPUTED_VALUE"""),"WT-SD201AHW")</f>
        <v>WT-SD201AHW</v>
      </c>
      <c r="F755" s="12">
        <f ca="1">IFERROR(__xludf.DUMMYFUNCTION("""COMPUTED_VALUE"""),51016601)</f>
        <v>51016601</v>
      </c>
      <c r="G755" s="12" t="str">
        <f ca="1">IFERROR(__xludf.DUMMYFUNCTION("""COMPUTED_VALUE"""),"IGEM117D")</f>
        <v>IGEM117D</v>
      </c>
      <c r="H755" s="13">
        <f ca="1">IFERROR(__xludf.DUMMYFUNCTION("""COMPUTED_VALUE"""),19900)</f>
        <v>19900</v>
      </c>
      <c r="I755" s="14">
        <f ca="1">IFERROR(__xludf.DUMMYFUNCTION("""COMPUTED_VALUE"""),19900)</f>
        <v>19900</v>
      </c>
      <c r="J755" s="16">
        <f ca="1">IFERROR(__xludf.DUMMYFUNCTION("""COMPUTED_VALUE"""),45658)</f>
        <v>45658</v>
      </c>
      <c r="K755" s="12" t="str">
        <f ca="1">IFERROR(__xludf.DUMMYFUNCTION("""COMPUTED_VALUE"""),"新機上架")</f>
        <v>新機上架</v>
      </c>
      <c r="L755" s="12" t="str">
        <f ca="1">IFERROR(__xludf.DUMMYFUNCTION("""COMPUTED_VALUE"""),"上架中")</f>
        <v>上架中</v>
      </c>
      <c r="M755" s="12" t="str">
        <f ca="1">IFERROR(__xludf.DUMMYFUNCTION("""COMPUTED_VALUE"""),"2025/1/1上架")</f>
        <v>2025/1/1上架</v>
      </c>
      <c r="N755" s="12" t="str">
        <f ca="1">IFERROR(__xludf.DUMMYFUNCTION("""COMPUTED_VALUE"""),"滾筒")</f>
        <v>滾筒</v>
      </c>
      <c r="O755" s="12" t="str">
        <f ca="1">IFERROR(__xludf.DUMMYFUNCTION("""COMPUTED_VALUE"""),"冰瓷白")</f>
        <v>冰瓷白</v>
      </c>
      <c r="P755" s="24" t="str">
        <f ca="1">IFERROR(__xludf.DUMMYFUNCTION("""COMPUTED_VALUE"""),"2KG")</f>
        <v>2KG</v>
      </c>
      <c r="Q755" s="24" t="str">
        <f ca="1">IFERROR(__xludf.DUMMYFUNCTION("""COMPUTED_VALUE"""),"365*595*654mm")</f>
        <v>365*595*654mm</v>
      </c>
      <c r="R755" s="12" t="str">
        <f ca="1">IFERROR(__xludf.DUMMYFUNCTION("""COMPUTED_VALUE"""),"韓國")</f>
        <v>韓國</v>
      </c>
      <c r="S755" s="12" t="str">
        <f ca="1">IFERROR(__xludf.DUMMYFUNCTION("""COMPUTED_VALUE"""),"普級")</f>
        <v>普級</v>
      </c>
      <c r="T755" s="13" t="str">
        <f ca="1">IFERROR(__xludf.DUMMYFUNCTION("""COMPUTED_VALUE"""),"
")</f>
        <v xml:space="preserve">
</v>
      </c>
      <c r="U755" s="12" t="str">
        <f ca="1">IFERROR(__xludf.DUMMYFUNCTION("""COMPUTED_VALUE"""),"1年")</f>
        <v>1年</v>
      </c>
      <c r="V755" s="12" t="str">
        <f ca="1">IFERROR(__xludf.DUMMYFUNCTION("""COMPUTED_VALUE"""),"10年")</f>
        <v>10年</v>
      </c>
      <c r="W755" s="12"/>
      <c r="X755" s="12"/>
      <c r="Y755" s="12"/>
      <c r="Z755" s="14"/>
      <c r="AA755" s="15" t="str">
        <f ca="1">IFERROR(__xludf.DUMMYFUNCTION("""COMPUTED_VALUE"""),"*8種洗衣行程 (包含SPA蒸氣行程)*洗劑/衣物柔軟精投入孔*中央棉絮濾網/3-motion DD*遠端遙控 WIFI")</f>
        <v>*8種洗衣行程 (包含SPA蒸氣行程)*洗劑/衣物柔軟精投入孔*中央棉絮濾網/3-motion DD*遠端遙控 WIFI</v>
      </c>
    </row>
    <row r="756" spans="1:27" ht="19.5" customHeight="1">
      <c r="A756" s="12" t="str">
        <f ca="1">IFERROR(__xludf.DUMMYFUNCTION("""COMPUTED_VALUE"""),"洗衣機")</f>
        <v>洗衣機</v>
      </c>
      <c r="B756" s="12" t="str">
        <f ca="1">IFERROR(__xludf.DUMMYFUNCTION("""COMPUTED_VALUE"""),"神腦")</f>
        <v>神腦</v>
      </c>
      <c r="C756" s="12" t="str">
        <f ca="1">IFERROR(__xludf.DUMMYFUNCTION("""COMPUTED_VALUE"""),"LG")</f>
        <v>LG</v>
      </c>
      <c r="D756" s="12" t="str">
        <f ca="1">IFERROR(__xludf.DUMMYFUNCTION("""COMPUTED_VALUE"""),"LG_LG13kg+2kgTWINWash雙能洗WiFi變頻AI滾筒洗衣機(蒸洗脫烘)冰瓷白_WD-S13VDW+WT-SD201AHW")</f>
        <v>LG_LG13kg+2kgTWINWash雙能洗WiFi變頻AI滾筒洗衣機(蒸洗脫烘)冰瓷白_WD-S13VDW+WT-SD201AHW</v>
      </c>
      <c r="E756" s="12" t="str">
        <f ca="1">IFERROR(__xludf.DUMMYFUNCTION("""COMPUTED_VALUE"""),"WD-S13VDW+WT-SD201AHW")</f>
        <v>WD-S13VDW+WT-SD201AHW</v>
      </c>
      <c r="F756" s="12">
        <f ca="1">IFERROR(__xludf.DUMMYFUNCTION("""COMPUTED_VALUE"""),51016602)</f>
        <v>51016602</v>
      </c>
      <c r="G756" s="12" t="str">
        <f ca="1">IFERROR(__xludf.DUMMYFUNCTION("""COMPUTED_VALUE"""),"IGEM117E")</f>
        <v>IGEM117E</v>
      </c>
      <c r="H756" s="13">
        <f ca="1">IFERROR(__xludf.DUMMYFUNCTION("""COMPUTED_VALUE"""),56800)</f>
        <v>56800</v>
      </c>
      <c r="I756" s="14">
        <f ca="1">IFERROR(__xludf.DUMMYFUNCTION("""COMPUTED_VALUE"""),51900)</f>
        <v>51900</v>
      </c>
      <c r="J756" s="16">
        <f ca="1">IFERROR(__xludf.DUMMYFUNCTION("""COMPUTED_VALUE"""),45658)</f>
        <v>45658</v>
      </c>
      <c r="K756" s="12" t="str">
        <f ca="1">IFERROR(__xludf.DUMMYFUNCTION("""COMPUTED_VALUE"""),"新機上架")</f>
        <v>新機上架</v>
      </c>
      <c r="L756" s="12" t="str">
        <f ca="1">IFERROR(__xludf.DUMMYFUNCTION("""COMPUTED_VALUE"""),"上架中")</f>
        <v>上架中</v>
      </c>
      <c r="M756" s="12" t="str">
        <f ca="1">IFERROR(__xludf.DUMMYFUNCTION("""COMPUTED_VALUE"""),"2025/1/1上架")</f>
        <v>2025/1/1上架</v>
      </c>
      <c r="N756" s="12" t="str">
        <f ca="1">IFERROR(__xludf.DUMMYFUNCTION("""COMPUTED_VALUE"""),"滾筒")</f>
        <v>滾筒</v>
      </c>
      <c r="O756" s="12" t="str">
        <f ca="1">IFERROR(__xludf.DUMMYFUNCTION("""COMPUTED_VALUE"""),"冰瓷白")</f>
        <v>冰瓷白</v>
      </c>
      <c r="P756" s="24" t="str">
        <f ca="1">IFERROR(__xludf.DUMMYFUNCTION("""COMPUTED_VALUE"""),"13KG+2KG")</f>
        <v>13KG+2KG</v>
      </c>
      <c r="Q756" s="24" t="str">
        <f ca="1">IFERROR(__xludf.DUMMYFUNCTION("""COMPUTED_VALUE"""),"850x600x615mm
365*595*654mm")</f>
        <v>850x600x615mm
365*595*654mm</v>
      </c>
      <c r="R756" s="12"/>
      <c r="S756" s="12" t="str">
        <f ca="1">IFERROR(__xludf.DUMMYFUNCTION("""COMPUTED_VALUE"""),"金級+普級")</f>
        <v>金級+普級</v>
      </c>
      <c r="T756" s="12"/>
      <c r="U756" s="12" t="str">
        <f ca="1">IFERROR(__xludf.DUMMYFUNCTION("""COMPUTED_VALUE"""),"1年")</f>
        <v>1年</v>
      </c>
      <c r="V756" s="12" t="str">
        <f ca="1">IFERROR(__xludf.DUMMYFUNCTION("""COMPUTED_VALUE"""),"10年")</f>
        <v>10年</v>
      </c>
      <c r="W756" s="12"/>
      <c r="X756" s="12"/>
      <c r="Y756" s="12"/>
      <c r="Z756" s="14"/>
      <c r="AA756" s="15" t="str">
        <f ca="1">IFERROR(__xludf.DUMMYFUNCTION("""COMPUTED_VALUE"""),"*節省時間*節省空間*更衛生")</f>
        <v>*節省時間*節省空間*更衛生</v>
      </c>
    </row>
    <row r="757" spans="1:27" ht="19.5" customHeight="1">
      <c r="A757" s="12" t="str">
        <f ca="1">IFERROR(__xludf.DUMMYFUNCTION("""COMPUTED_VALUE"""),"洗衣機")</f>
        <v>洗衣機</v>
      </c>
      <c r="B757" s="12" t="str">
        <f ca="1">IFERROR(__xludf.DUMMYFUNCTION("""COMPUTED_VALUE"""),"神腦")</f>
        <v>神腦</v>
      </c>
      <c r="C757" s="12" t="str">
        <f ca="1">IFERROR(__xludf.DUMMYFUNCTION("""COMPUTED_VALUE"""),"LG")</f>
        <v>LG</v>
      </c>
      <c r="D757" s="12" t="str">
        <f ca="1">IFERROR(__xludf.DUMMYFUNCTION("""COMPUTED_VALUE"""),"LG_LG13kg+2kgTWINWash雙能洗WiFi變頻AI滾筒洗衣機(蒸洗脫)冰瓷白_WD-S13VBW+WT-SD201AHW")</f>
        <v>LG_LG13kg+2kgTWINWash雙能洗WiFi變頻AI滾筒洗衣機(蒸洗脫)冰瓷白_WD-S13VBW+WT-SD201AHW</v>
      </c>
      <c r="E757" s="12" t="str">
        <f ca="1">IFERROR(__xludf.DUMMYFUNCTION("""COMPUTED_VALUE"""),"WD-S13VBW+WT-SD201AHW")</f>
        <v>WD-S13VBW+WT-SD201AHW</v>
      </c>
      <c r="F757" s="12">
        <f ca="1">IFERROR(__xludf.DUMMYFUNCTION("""COMPUTED_VALUE"""),51016603)</f>
        <v>51016603</v>
      </c>
      <c r="G757" s="12" t="str">
        <f ca="1">IFERROR(__xludf.DUMMYFUNCTION("""COMPUTED_VALUE"""),"IGEM117F")</f>
        <v>IGEM117F</v>
      </c>
      <c r="H757" s="13">
        <f ca="1">IFERROR(__xludf.DUMMYFUNCTION("""COMPUTED_VALUE"""),50800)</f>
        <v>50800</v>
      </c>
      <c r="I757" s="14">
        <f ca="1">IFERROR(__xludf.DUMMYFUNCTION("""COMPUTED_VALUE"""),45900)</f>
        <v>45900</v>
      </c>
      <c r="J757" s="16">
        <f ca="1">IFERROR(__xludf.DUMMYFUNCTION("""COMPUTED_VALUE"""),45658)</f>
        <v>45658</v>
      </c>
      <c r="K757" s="12" t="str">
        <f ca="1">IFERROR(__xludf.DUMMYFUNCTION("""COMPUTED_VALUE"""),"新機上架")</f>
        <v>新機上架</v>
      </c>
      <c r="L757" s="12" t="str">
        <f ca="1">IFERROR(__xludf.DUMMYFUNCTION("""COMPUTED_VALUE"""),"上架中")</f>
        <v>上架中</v>
      </c>
      <c r="M757" s="12" t="str">
        <f ca="1">IFERROR(__xludf.DUMMYFUNCTION("""COMPUTED_VALUE"""),"2025/1/1上架")</f>
        <v>2025/1/1上架</v>
      </c>
      <c r="N757" s="12" t="str">
        <f ca="1">IFERROR(__xludf.DUMMYFUNCTION("""COMPUTED_VALUE"""),"滾筒")</f>
        <v>滾筒</v>
      </c>
      <c r="O757" s="12" t="str">
        <f ca="1">IFERROR(__xludf.DUMMYFUNCTION("""COMPUTED_VALUE"""),"冰瓷白")</f>
        <v>冰瓷白</v>
      </c>
      <c r="P757" s="24" t="str">
        <f ca="1">IFERROR(__xludf.DUMMYFUNCTION("""COMPUTED_VALUE"""),"13KG+2KG")</f>
        <v>13KG+2KG</v>
      </c>
      <c r="Q757" s="24" t="str">
        <f ca="1">IFERROR(__xludf.DUMMYFUNCTION("""COMPUTED_VALUE"""),"850x600x615mm
365*595*654mm")</f>
        <v>850x600x615mm
365*595*654mm</v>
      </c>
      <c r="R757" s="12"/>
      <c r="S757" s="12" t="str">
        <f ca="1">IFERROR(__xludf.DUMMYFUNCTION("""COMPUTED_VALUE"""),"金級+普級")</f>
        <v>金級+普級</v>
      </c>
      <c r="T757" s="12"/>
      <c r="U757" s="12" t="str">
        <f ca="1">IFERROR(__xludf.DUMMYFUNCTION("""COMPUTED_VALUE"""),"1年")</f>
        <v>1年</v>
      </c>
      <c r="V757" s="12" t="str">
        <f ca="1">IFERROR(__xludf.DUMMYFUNCTION("""COMPUTED_VALUE"""),"10年")</f>
        <v>10年</v>
      </c>
      <c r="W757" s="12"/>
      <c r="X757" s="12"/>
      <c r="Y757" s="12"/>
      <c r="Z757" s="14"/>
      <c r="AA757" s="15" t="str">
        <f ca="1">IFERROR(__xludf.DUMMYFUNCTION("""COMPUTED_VALUE"""),"*節省時間*節省空間*更衛生")</f>
        <v>*節省時間*節省空間*更衛生</v>
      </c>
    </row>
    <row r="758" spans="1:27" ht="19.5" customHeight="1">
      <c r="A758" s="12" t="str">
        <f ca="1">IFERROR(__xludf.DUMMYFUNCTION("""COMPUTED_VALUE"""),"洗衣機")</f>
        <v>洗衣機</v>
      </c>
      <c r="B758" s="12" t="str">
        <f ca="1">IFERROR(__xludf.DUMMYFUNCTION("""COMPUTED_VALUE"""),"神腦")</f>
        <v>神腦</v>
      </c>
      <c r="C758" s="12" t="str">
        <f ca="1">IFERROR(__xludf.DUMMYFUNCTION("""COMPUTED_VALUE"""),"LG")</f>
        <v>LG</v>
      </c>
      <c r="D758" s="12" t="str">
        <f ca="1">IFERROR(__xludf.DUMMYFUNCTION("""COMPUTED_VALUE"""),"LG_19k洗衣+16kg乾衣 WashTower AI智控WiFi滾筒洗乾衣機(冰瓷白)_WD-S1916W")</f>
        <v>LG_19k洗衣+16kg乾衣 WashTower AI智控WiFi滾筒洗乾衣機(冰瓷白)_WD-S1916W</v>
      </c>
      <c r="E758" s="12" t="str">
        <f ca="1">IFERROR(__xludf.DUMMYFUNCTION("""COMPUTED_VALUE"""),"WD-S1916W")</f>
        <v>WD-S1916W</v>
      </c>
      <c r="F758" s="12">
        <f ca="1">IFERROR(__xludf.DUMMYFUNCTION("""COMPUTED_VALUE"""),51016604)</f>
        <v>51016604</v>
      </c>
      <c r="G758" s="12" t="str">
        <f ca="1">IFERROR(__xludf.DUMMYFUNCTION("""COMPUTED_VALUE"""),"IGEM117G")</f>
        <v>IGEM117G</v>
      </c>
      <c r="H758" s="13">
        <f ca="1">IFERROR(__xludf.DUMMYFUNCTION("""COMPUTED_VALUE"""),109000)</f>
        <v>109000</v>
      </c>
      <c r="I758" s="14">
        <f ca="1">IFERROR(__xludf.DUMMYFUNCTION("""COMPUTED_VALUE"""),92900)</f>
        <v>92900</v>
      </c>
      <c r="J758" s="16">
        <f ca="1">IFERROR(__xludf.DUMMYFUNCTION("""COMPUTED_VALUE"""),45658)</f>
        <v>45658</v>
      </c>
      <c r="K758" s="12" t="str">
        <f ca="1">IFERROR(__xludf.DUMMYFUNCTION("""COMPUTED_VALUE"""),"新機上架")</f>
        <v>新機上架</v>
      </c>
      <c r="L758" s="12" t="str">
        <f ca="1">IFERROR(__xludf.DUMMYFUNCTION("""COMPUTED_VALUE"""),"上架中")</f>
        <v>上架中</v>
      </c>
      <c r="M758" s="12" t="str">
        <f ca="1">IFERROR(__xludf.DUMMYFUNCTION("""COMPUTED_VALUE"""),"2025/1/1上架")</f>
        <v>2025/1/1上架</v>
      </c>
      <c r="N758" s="12" t="str">
        <f ca="1">IFERROR(__xludf.DUMMYFUNCTION("""COMPUTED_VALUE"""),"滾筒")</f>
        <v>滾筒</v>
      </c>
      <c r="O758" s="12" t="str">
        <f ca="1">IFERROR(__xludf.DUMMYFUNCTION("""COMPUTED_VALUE"""),"冰瓷白")</f>
        <v>冰瓷白</v>
      </c>
      <c r="P758" s="24" t="str">
        <f ca="1">IFERROR(__xludf.DUMMYFUNCTION("""COMPUTED_VALUE"""),"19KG+16KG")</f>
        <v>19KG+16KG</v>
      </c>
      <c r="Q758" s="24" t="str">
        <f ca="1">IFERROR(__xludf.DUMMYFUNCTION("""COMPUTED_VALUE"""),"1890x700x770mm")</f>
        <v>1890x700x770mm</v>
      </c>
      <c r="R758" s="12" t="str">
        <f ca="1">IFERROR(__xludf.DUMMYFUNCTION("""COMPUTED_VALUE"""),"韓國")</f>
        <v>韓國</v>
      </c>
      <c r="S758" s="12" t="str">
        <f ca="1">IFERROR(__xludf.DUMMYFUNCTION("""COMPUTED_VALUE"""),"金級")</f>
        <v>金級</v>
      </c>
      <c r="T758" s="12"/>
      <c r="U758" s="12" t="str">
        <f ca="1">IFERROR(__xludf.DUMMYFUNCTION("""COMPUTED_VALUE"""),"1年")</f>
        <v>1年</v>
      </c>
      <c r="V758" s="12" t="str">
        <f ca="1">IFERROR(__xludf.DUMMYFUNCTION("""COMPUTED_VALUE"""),"10年")</f>
        <v>10年</v>
      </c>
      <c r="W758" s="12"/>
      <c r="X758" s="12"/>
      <c r="Y758" s="12"/>
      <c r="Z758" s="14"/>
      <c r="AA758" s="15" t="str">
        <f ca="1">IFERROR(__xludf.DUMMYFUNCTION("""COMPUTED_VALUE"""),"*垂直流線式一體成型設計／全觸控中央控制面板*AIDD™人工智慧智選最適洗衣行程*Smart Pairing™ 智慧行程配對 洗乾衣行程傳輸配對")</f>
        <v>*垂直流線式一體成型設計／全觸控中央控制面板*AIDD™人工智慧智選最適洗衣行程*Smart Pairing™ 智慧行程配對 洗乾衣行程傳輸配對</v>
      </c>
    </row>
    <row r="759" spans="1:27" ht="19.5" customHeight="1">
      <c r="A759" s="12" t="str">
        <f ca="1">IFERROR(__xludf.DUMMYFUNCTION("""COMPUTED_VALUE"""),"洗衣機")</f>
        <v>洗衣機</v>
      </c>
      <c r="B759" s="12" t="str">
        <f ca="1">IFERROR(__xludf.DUMMYFUNCTION("""COMPUTED_VALUE"""),"神腦")</f>
        <v>神腦</v>
      </c>
      <c r="C759" s="12" t="str">
        <f ca="1">IFERROR(__xludf.DUMMYFUNCTION("""COMPUTED_VALUE"""),"LG")</f>
        <v>LG</v>
      </c>
      <c r="D759" s="12" t="str">
        <f ca="1">IFERROR(__xludf.DUMMYFUNCTION("""COMPUTED_VALUE"""),"LG_19k洗衣+16kg乾衣 WashTower AI智控WiFi滾筒洗乾衣機(尊爵黑)_WD-S1916B")</f>
        <v>LG_19k洗衣+16kg乾衣 WashTower AI智控WiFi滾筒洗乾衣機(尊爵黑)_WD-S1916B</v>
      </c>
      <c r="E759" s="12" t="str">
        <f ca="1">IFERROR(__xludf.DUMMYFUNCTION("""COMPUTED_VALUE"""),"WD-S1916B")</f>
        <v>WD-S1916B</v>
      </c>
      <c r="F759" s="12">
        <f ca="1">IFERROR(__xludf.DUMMYFUNCTION("""COMPUTED_VALUE"""),51016605)</f>
        <v>51016605</v>
      </c>
      <c r="G759" s="12" t="str">
        <f ca="1">IFERROR(__xludf.DUMMYFUNCTION("""COMPUTED_VALUE"""),"IGEM117H")</f>
        <v>IGEM117H</v>
      </c>
      <c r="H759" s="13">
        <f ca="1">IFERROR(__xludf.DUMMYFUNCTION("""COMPUTED_VALUE"""),109000)</f>
        <v>109000</v>
      </c>
      <c r="I759" s="14">
        <f ca="1">IFERROR(__xludf.DUMMYFUNCTION("""COMPUTED_VALUE"""),92900)</f>
        <v>92900</v>
      </c>
      <c r="J759" s="16">
        <f ca="1">IFERROR(__xludf.DUMMYFUNCTION("""COMPUTED_VALUE"""),45658)</f>
        <v>45658</v>
      </c>
      <c r="K759" s="12" t="str">
        <f ca="1">IFERROR(__xludf.DUMMYFUNCTION("""COMPUTED_VALUE"""),"新機上架")</f>
        <v>新機上架</v>
      </c>
      <c r="L759" s="12" t="str">
        <f ca="1">IFERROR(__xludf.DUMMYFUNCTION("""COMPUTED_VALUE"""),"上架中")</f>
        <v>上架中</v>
      </c>
      <c r="M759" s="12" t="str">
        <f ca="1">IFERROR(__xludf.DUMMYFUNCTION("""COMPUTED_VALUE"""),"2025/1/1上架")</f>
        <v>2025/1/1上架</v>
      </c>
      <c r="N759" s="12" t="str">
        <f ca="1">IFERROR(__xludf.DUMMYFUNCTION("""COMPUTED_VALUE"""),"滾筒")</f>
        <v>滾筒</v>
      </c>
      <c r="O759" s="12" t="str">
        <f ca="1">IFERROR(__xludf.DUMMYFUNCTION("""COMPUTED_VALUE"""),"尊爵黑")</f>
        <v>尊爵黑</v>
      </c>
      <c r="P759" s="24" t="str">
        <f ca="1">IFERROR(__xludf.DUMMYFUNCTION("""COMPUTED_VALUE"""),"19KG+16KG")</f>
        <v>19KG+16KG</v>
      </c>
      <c r="Q759" s="24" t="str">
        <f ca="1">IFERROR(__xludf.DUMMYFUNCTION("""COMPUTED_VALUE"""),"1890x700x770mm")</f>
        <v>1890x700x770mm</v>
      </c>
      <c r="R759" s="12" t="str">
        <f ca="1">IFERROR(__xludf.DUMMYFUNCTION("""COMPUTED_VALUE"""),"韓國")</f>
        <v>韓國</v>
      </c>
      <c r="S759" s="12" t="str">
        <f ca="1">IFERROR(__xludf.DUMMYFUNCTION("""COMPUTED_VALUE"""),"金級")</f>
        <v>金級</v>
      </c>
      <c r="T759" s="12"/>
      <c r="U759" s="12" t="str">
        <f ca="1">IFERROR(__xludf.DUMMYFUNCTION("""COMPUTED_VALUE"""),"1年")</f>
        <v>1年</v>
      </c>
      <c r="V759" s="12" t="str">
        <f ca="1">IFERROR(__xludf.DUMMYFUNCTION("""COMPUTED_VALUE"""),"10年")</f>
        <v>10年</v>
      </c>
      <c r="W759" s="12"/>
      <c r="X759" s="12"/>
      <c r="Y759" s="12"/>
      <c r="Z759" s="14"/>
      <c r="AA759" s="15" t="str">
        <f ca="1">IFERROR(__xludf.DUMMYFUNCTION("""COMPUTED_VALUE"""),"*垂直流線式一體成型設計／全觸控中央控制面板*AIDD™人工智慧智選最適洗衣行程*Smart Pairing™ 智慧行程配對 洗乾衣行程傳輸配對")</f>
        <v>*垂直流線式一體成型設計／全觸控中央控制面板*AIDD™人工智慧智選最適洗衣行程*Smart Pairing™ 智慧行程配對 洗乾衣行程傳輸配對</v>
      </c>
    </row>
    <row r="760" spans="1:27" ht="19.5" customHeight="1">
      <c r="A760" s="12" t="str">
        <f ca="1">IFERROR(__xludf.DUMMYFUNCTION("""COMPUTED_VALUE"""),"洗衣機")</f>
        <v>洗衣機</v>
      </c>
      <c r="B760" s="12" t="str">
        <f ca="1">IFERROR(__xludf.DUMMYFUNCTION("""COMPUTED_VALUE"""),"神腦")</f>
        <v>神腦</v>
      </c>
      <c r="C760" s="12" t="str">
        <f ca="1">IFERROR(__xludf.DUMMYFUNCTION("""COMPUTED_VALUE"""),"LG")</f>
        <v>LG</v>
      </c>
      <c r="D760" s="12" t="str">
        <f ca="1">IFERROR(__xludf.DUMMYFUNCTION("""COMPUTED_VALUE"""),"LG_17公斤直立式變頻聯網AIDD蒸氣洗衣機(曜石黑)_WT-VD17HM")</f>
        <v>LG_17公斤直立式變頻聯網AIDD蒸氣洗衣機(曜石黑)_WT-VD17HM</v>
      </c>
      <c r="E760" s="12" t="str">
        <f ca="1">IFERROR(__xludf.DUMMYFUNCTION("""COMPUTED_VALUE"""),"WT-VD17HM")</f>
        <v>WT-VD17HM</v>
      </c>
      <c r="F760" s="12">
        <f ca="1">IFERROR(__xludf.DUMMYFUNCTION("""COMPUTED_VALUE"""),51016606)</f>
        <v>51016606</v>
      </c>
      <c r="G760" s="12" t="str">
        <f ca="1">IFERROR(__xludf.DUMMYFUNCTION("""COMPUTED_VALUE"""),"IGEM117I")</f>
        <v>IGEM117I</v>
      </c>
      <c r="H760" s="13">
        <f ca="1">IFERROR(__xludf.DUMMYFUNCTION("""COMPUTED_VALUE"""),23900)</f>
        <v>23900</v>
      </c>
      <c r="I760" s="14">
        <f ca="1">IFERROR(__xludf.DUMMYFUNCTION("""COMPUTED_VALUE"""),22705)</f>
        <v>22705</v>
      </c>
      <c r="J760" s="16">
        <f ca="1">IFERROR(__xludf.DUMMYFUNCTION("""COMPUTED_VALUE"""),45658)</f>
        <v>45658</v>
      </c>
      <c r="K760" s="12" t="str">
        <f ca="1">IFERROR(__xludf.DUMMYFUNCTION("""COMPUTED_VALUE"""),"新機上架")</f>
        <v>新機上架</v>
      </c>
      <c r="L760" s="12" t="str">
        <f ca="1">IFERROR(__xludf.DUMMYFUNCTION("""COMPUTED_VALUE"""),"上架中")</f>
        <v>上架中</v>
      </c>
      <c r="M760" s="12" t="str">
        <f ca="1">IFERROR(__xludf.DUMMYFUNCTION("""COMPUTED_VALUE"""),"2025/1/1上架")</f>
        <v>2025/1/1上架</v>
      </c>
      <c r="N760" s="12" t="str">
        <f ca="1">IFERROR(__xludf.DUMMYFUNCTION("""COMPUTED_VALUE"""),"直立變頻")</f>
        <v>直立變頻</v>
      </c>
      <c r="O760" s="12" t="str">
        <f ca="1">IFERROR(__xludf.DUMMYFUNCTION("""COMPUTED_VALUE"""),"曜石黑")</f>
        <v>曜石黑</v>
      </c>
      <c r="P760" s="24" t="str">
        <f ca="1">IFERROR(__xludf.DUMMYFUNCTION("""COMPUTED_VALUE"""),"17KG")</f>
        <v>17KG</v>
      </c>
      <c r="Q760" s="24" t="str">
        <f ca="1">IFERROR(__xludf.DUMMYFUNCTION("""COMPUTED_VALUE"""),"1040x632x670mm")</f>
        <v>1040x632x670mm</v>
      </c>
      <c r="R760" s="12" t="str">
        <f ca="1">IFERROR(__xludf.DUMMYFUNCTION("""COMPUTED_VALUE"""),"泰國")</f>
        <v>泰國</v>
      </c>
      <c r="S760" s="12" t="str">
        <f ca="1">IFERROR(__xludf.DUMMYFUNCTION("""COMPUTED_VALUE"""),"金級")</f>
        <v>金級</v>
      </c>
      <c r="T760" s="12"/>
      <c r="U760" s="12" t="str">
        <f ca="1">IFERROR(__xludf.DUMMYFUNCTION("""COMPUTED_VALUE"""),"1年")</f>
        <v>1年</v>
      </c>
      <c r="V760" s="12" t="str">
        <f ca="1">IFERROR(__xludf.DUMMYFUNCTION("""COMPUTED_VALUE"""),"10年")</f>
        <v>10年</v>
      </c>
      <c r="W760" s="12"/>
      <c r="X760" s="12"/>
      <c r="Y760" s="12"/>
      <c r="Z760" s="14"/>
      <c r="AA760" s="15" t="str">
        <f ca="1">IFERROR(__xludf.DUMMYFUNCTION("""COMPUTED_VALUE"""),"*AI 智慧感測 提供最適洗程*過濾更多棉絮，保持衣物潔淨*勁速洗 39分鐘即可完成洗衣")</f>
        <v>*AI 智慧感測 提供最適洗程*過濾更多棉絮，保持衣物潔淨*勁速洗 39分鐘即可完成洗衣</v>
      </c>
    </row>
    <row r="761" spans="1:27" ht="19.5" customHeight="1">
      <c r="A761" s="12" t="str">
        <f ca="1">IFERROR(__xludf.DUMMYFUNCTION("""COMPUTED_VALUE"""),"洗衣機")</f>
        <v>洗衣機</v>
      </c>
      <c r="B761" s="12" t="str">
        <f ca="1">IFERROR(__xludf.DUMMYFUNCTION("""COMPUTED_VALUE"""),"神腦")</f>
        <v>神腦</v>
      </c>
      <c r="C761" s="12" t="str">
        <f ca="1">IFERROR(__xludf.DUMMYFUNCTION("""COMPUTED_VALUE"""),"LG")</f>
        <v>LG</v>
      </c>
      <c r="D761" s="12" t="str">
        <f ca="1">IFERROR(__xludf.DUMMYFUNCTION("""COMPUTED_VALUE"""),"LG_19公斤直立式變頻聯網AIDD蒸氣洗衣機(極光黑)_WT-VD19HB")</f>
        <v>LG_19公斤直立式變頻聯網AIDD蒸氣洗衣機(極光黑)_WT-VD19HB</v>
      </c>
      <c r="E761" s="12" t="str">
        <f ca="1">IFERROR(__xludf.DUMMYFUNCTION("""COMPUTED_VALUE"""),"WT-VD19HB")</f>
        <v>WT-VD19HB</v>
      </c>
      <c r="F761" s="12">
        <f ca="1">IFERROR(__xludf.DUMMYFUNCTION("""COMPUTED_VALUE"""),51016607)</f>
        <v>51016607</v>
      </c>
      <c r="G761" s="12" t="str">
        <f ca="1">IFERROR(__xludf.DUMMYFUNCTION("""COMPUTED_VALUE"""),"IGEM117J")</f>
        <v>IGEM117J</v>
      </c>
      <c r="H761" s="13">
        <f ca="1">IFERROR(__xludf.DUMMYFUNCTION("""COMPUTED_VALUE"""),27900)</f>
        <v>27900</v>
      </c>
      <c r="I761" s="14">
        <f ca="1">IFERROR(__xludf.DUMMYFUNCTION("""COMPUTED_VALUE"""),24900)</f>
        <v>24900</v>
      </c>
      <c r="J761" s="16">
        <f ca="1">IFERROR(__xludf.DUMMYFUNCTION("""COMPUTED_VALUE"""),45658)</f>
        <v>45658</v>
      </c>
      <c r="K761" s="12" t="str">
        <f ca="1">IFERROR(__xludf.DUMMYFUNCTION("""COMPUTED_VALUE"""),"新機上架")</f>
        <v>新機上架</v>
      </c>
      <c r="L761" s="12" t="str">
        <f ca="1">IFERROR(__xludf.DUMMYFUNCTION("""COMPUTED_VALUE"""),"上架中")</f>
        <v>上架中</v>
      </c>
      <c r="M761" s="12" t="str">
        <f ca="1">IFERROR(__xludf.DUMMYFUNCTION("""COMPUTED_VALUE"""),"2025/1/1上架")</f>
        <v>2025/1/1上架</v>
      </c>
      <c r="N761" s="12" t="str">
        <f ca="1">IFERROR(__xludf.DUMMYFUNCTION("""COMPUTED_VALUE"""),"直立變頻")</f>
        <v>直立變頻</v>
      </c>
      <c r="O761" s="12" t="str">
        <f ca="1">IFERROR(__xludf.DUMMYFUNCTION("""COMPUTED_VALUE"""),"極光黑")</f>
        <v>極光黑</v>
      </c>
      <c r="P761" s="24" t="str">
        <f ca="1">IFERROR(__xludf.DUMMYFUNCTION("""COMPUTED_VALUE"""),"19KG")</f>
        <v>19KG</v>
      </c>
      <c r="Q761" s="24" t="str">
        <f ca="1">IFERROR(__xludf.DUMMYFUNCTION("""COMPUTED_VALUE"""),"1040x632x670mm")</f>
        <v>1040x632x670mm</v>
      </c>
      <c r="R761" s="12" t="str">
        <f ca="1">IFERROR(__xludf.DUMMYFUNCTION("""COMPUTED_VALUE"""),"泰國")</f>
        <v>泰國</v>
      </c>
      <c r="S761" s="12" t="str">
        <f ca="1">IFERROR(__xludf.DUMMYFUNCTION("""COMPUTED_VALUE"""),"金級")</f>
        <v>金級</v>
      </c>
      <c r="T761" s="12"/>
      <c r="U761" s="12" t="str">
        <f ca="1">IFERROR(__xludf.DUMMYFUNCTION("""COMPUTED_VALUE"""),"1年")</f>
        <v>1年</v>
      </c>
      <c r="V761" s="12" t="str">
        <f ca="1">IFERROR(__xludf.DUMMYFUNCTION("""COMPUTED_VALUE"""),"10年")</f>
        <v>10年</v>
      </c>
      <c r="W761" s="12"/>
      <c r="X761" s="12"/>
      <c r="Y761" s="12"/>
      <c r="Z761" s="14"/>
      <c r="AA761" s="15" t="str">
        <f ca="1">IFERROR(__xludf.DUMMYFUNCTION("""COMPUTED_VALUE"""),"*AIDD 智慧直驅變頻馬達設計*TurboWash™ 勁速洗*IoT 智慧聯網 遠端操控")</f>
        <v>*AIDD 智慧直驅變頻馬達設計*TurboWash™ 勁速洗*IoT 智慧聯網 遠端操控</v>
      </c>
    </row>
    <row r="762" spans="1:27" ht="19.5" customHeight="1">
      <c r="A762" s="12" t="str">
        <f ca="1">IFERROR(__xludf.DUMMYFUNCTION("""COMPUTED_VALUE"""),"洗衣機")</f>
        <v>洗衣機</v>
      </c>
      <c r="B762" s="12" t="str">
        <f ca="1">IFERROR(__xludf.DUMMYFUNCTION("""COMPUTED_VALUE"""),"神腦")</f>
        <v>神腦</v>
      </c>
      <c r="C762" s="12" t="str">
        <f ca="1">IFERROR(__xludf.DUMMYFUNCTION("""COMPUTED_VALUE"""),"LG")</f>
        <v>LG</v>
      </c>
      <c r="D762" s="12" t="str">
        <f ca="1">IFERROR(__xludf.DUMMYFUNCTION("""COMPUTED_VALUE"""),"LG_21公斤直立式變頻聯網AIDD蒸氣洗衣機(極光黑)_WT-VD21HB")</f>
        <v>LG_21公斤直立式變頻聯網AIDD蒸氣洗衣機(極光黑)_WT-VD21HB</v>
      </c>
      <c r="E762" s="12" t="str">
        <f ca="1">IFERROR(__xludf.DUMMYFUNCTION("""COMPUTED_VALUE"""),"WT-VD21HB")</f>
        <v>WT-VD21HB</v>
      </c>
      <c r="F762" s="12">
        <f ca="1">IFERROR(__xludf.DUMMYFUNCTION("""COMPUTED_VALUE"""),51016608)</f>
        <v>51016608</v>
      </c>
      <c r="G762" s="12" t="str">
        <f ca="1">IFERROR(__xludf.DUMMYFUNCTION("""COMPUTED_VALUE"""),"IGEM117K")</f>
        <v>IGEM117K</v>
      </c>
      <c r="H762" s="13">
        <f ca="1">IFERROR(__xludf.DUMMYFUNCTION("""COMPUTED_VALUE"""),29900)</f>
        <v>29900</v>
      </c>
      <c r="I762" s="14">
        <f ca="1">IFERROR(__xludf.DUMMYFUNCTION("""COMPUTED_VALUE"""),28405)</f>
        <v>28405</v>
      </c>
      <c r="J762" s="16">
        <f ca="1">IFERROR(__xludf.DUMMYFUNCTION("""COMPUTED_VALUE"""),45658)</f>
        <v>45658</v>
      </c>
      <c r="K762" s="12" t="str">
        <f ca="1">IFERROR(__xludf.DUMMYFUNCTION("""COMPUTED_VALUE"""),"新機上架")</f>
        <v>新機上架</v>
      </c>
      <c r="L762" s="12" t="str">
        <f ca="1">IFERROR(__xludf.DUMMYFUNCTION("""COMPUTED_VALUE"""),"上架中")</f>
        <v>上架中</v>
      </c>
      <c r="M762" s="12" t="str">
        <f ca="1">IFERROR(__xludf.DUMMYFUNCTION("""COMPUTED_VALUE"""),"2025/1/1上架")</f>
        <v>2025/1/1上架</v>
      </c>
      <c r="N762" s="12" t="str">
        <f ca="1">IFERROR(__xludf.DUMMYFUNCTION("""COMPUTED_VALUE"""),"直立變頻")</f>
        <v>直立變頻</v>
      </c>
      <c r="O762" s="12" t="str">
        <f ca="1">IFERROR(__xludf.DUMMYFUNCTION("""COMPUTED_VALUE"""),"極光黑")</f>
        <v>極光黑</v>
      </c>
      <c r="P762" s="24" t="str">
        <f ca="1">IFERROR(__xludf.DUMMYFUNCTION("""COMPUTED_VALUE"""),"21KG")</f>
        <v>21KG</v>
      </c>
      <c r="Q762" s="24" t="str">
        <f ca="1">IFERROR(__xludf.DUMMYFUNCTION("""COMPUTED_VALUE"""),"1070x690x730mm")</f>
        <v>1070x690x730mm</v>
      </c>
      <c r="R762" s="12" t="str">
        <f ca="1">IFERROR(__xludf.DUMMYFUNCTION("""COMPUTED_VALUE"""),"泰國")</f>
        <v>泰國</v>
      </c>
      <c r="S762" s="12" t="str">
        <f ca="1">IFERROR(__xludf.DUMMYFUNCTION("""COMPUTED_VALUE"""),"金級")</f>
        <v>金級</v>
      </c>
      <c r="T762" s="12"/>
      <c r="U762" s="12" t="str">
        <f ca="1">IFERROR(__xludf.DUMMYFUNCTION("""COMPUTED_VALUE"""),"1年")</f>
        <v>1年</v>
      </c>
      <c r="V762" s="12" t="str">
        <f ca="1">IFERROR(__xludf.DUMMYFUNCTION("""COMPUTED_VALUE"""),"10年")</f>
        <v>10年</v>
      </c>
      <c r="W762" s="12"/>
      <c r="X762" s="12"/>
      <c r="Y762" s="12"/>
      <c r="Z762" s="14"/>
      <c r="AA762" s="15" t="str">
        <f ca="1">IFERROR(__xludf.DUMMYFUNCTION("""COMPUTED_VALUE"""),"*更安靜、更耐用*30分鐘即可完成洗衣省時更節能*60°C天然蒸氣 去除99.9%過敏原*智慧液晶面板，深度學習管理常用行程")</f>
        <v>*更安靜、更耐用*30分鐘即可完成洗衣省時更節能*60°C天然蒸氣 去除99.9%過敏原*智慧液晶面板，深度學習管理常用行程</v>
      </c>
    </row>
    <row r="763" spans="1:27" ht="19.5" customHeight="1">
      <c r="A763" s="12" t="str">
        <f ca="1">IFERROR(__xludf.DUMMYFUNCTION("""COMPUTED_VALUE"""),"洗衣機")</f>
        <v>洗衣機</v>
      </c>
      <c r="B763" s="12" t="str">
        <f ca="1">IFERROR(__xludf.DUMMYFUNCTION("""COMPUTED_VALUE"""),"神腦")</f>
        <v>神腦</v>
      </c>
      <c r="C763" s="12" t="str">
        <f ca="1">IFERROR(__xludf.DUMMYFUNCTION("""COMPUTED_VALUE"""),"LG")</f>
        <v>LG</v>
      </c>
      <c r="D763" s="12" t="str">
        <f ca="1">IFERROR(__xludf.DUMMYFUNCTION("""COMPUTED_VALUE"""),"LG_23公斤直立式變頻聯網AIDD蒸氣洗衣機(極光黑)_WT-VD23HB")</f>
        <v>LG_23公斤直立式變頻聯網AIDD蒸氣洗衣機(極光黑)_WT-VD23HB</v>
      </c>
      <c r="E763" s="12" t="str">
        <f ca="1">IFERROR(__xludf.DUMMYFUNCTION("""COMPUTED_VALUE"""),"WT-VD23HB")</f>
        <v>WT-VD23HB</v>
      </c>
      <c r="F763" s="12">
        <f ca="1">IFERROR(__xludf.DUMMYFUNCTION("""COMPUTED_VALUE"""),51016609)</f>
        <v>51016609</v>
      </c>
      <c r="G763" s="12" t="str">
        <f ca="1">IFERROR(__xludf.DUMMYFUNCTION("""COMPUTED_VALUE"""),"IGEM117L")</f>
        <v>IGEM117L</v>
      </c>
      <c r="H763" s="13">
        <f ca="1">IFERROR(__xludf.DUMMYFUNCTION("""COMPUTED_VALUE"""),31900)</f>
        <v>31900</v>
      </c>
      <c r="I763" s="14">
        <f ca="1">IFERROR(__xludf.DUMMYFUNCTION("""COMPUTED_VALUE"""),28710)</f>
        <v>28710</v>
      </c>
      <c r="J763" s="16">
        <f ca="1">IFERROR(__xludf.DUMMYFUNCTION("""COMPUTED_VALUE"""),45658)</f>
        <v>45658</v>
      </c>
      <c r="K763" s="12" t="str">
        <f ca="1">IFERROR(__xludf.DUMMYFUNCTION("""COMPUTED_VALUE"""),"新機上架")</f>
        <v>新機上架</v>
      </c>
      <c r="L763" s="12" t="str">
        <f ca="1">IFERROR(__xludf.DUMMYFUNCTION("""COMPUTED_VALUE"""),"上架中")</f>
        <v>上架中</v>
      </c>
      <c r="M763" s="12" t="str">
        <f ca="1">IFERROR(__xludf.DUMMYFUNCTION("""COMPUTED_VALUE"""),"2025/1/1上架")</f>
        <v>2025/1/1上架</v>
      </c>
      <c r="N763" s="12" t="str">
        <f ca="1">IFERROR(__xludf.DUMMYFUNCTION("""COMPUTED_VALUE"""),"直立變頻")</f>
        <v>直立變頻</v>
      </c>
      <c r="O763" s="12" t="str">
        <f ca="1">IFERROR(__xludf.DUMMYFUNCTION("""COMPUTED_VALUE"""),"極光黑")</f>
        <v>極光黑</v>
      </c>
      <c r="P763" s="24" t="str">
        <f ca="1">IFERROR(__xludf.DUMMYFUNCTION("""COMPUTED_VALUE"""),"23KG")</f>
        <v>23KG</v>
      </c>
      <c r="Q763" s="24" t="str">
        <f ca="1">IFERROR(__xludf.DUMMYFUNCTION("""COMPUTED_VALUE"""),"1070x690x730mm")</f>
        <v>1070x690x730mm</v>
      </c>
      <c r="R763" s="12" t="str">
        <f ca="1">IFERROR(__xludf.DUMMYFUNCTION("""COMPUTED_VALUE"""),"泰國")</f>
        <v>泰國</v>
      </c>
      <c r="S763" s="12" t="str">
        <f ca="1">IFERROR(__xludf.DUMMYFUNCTION("""COMPUTED_VALUE"""),"金級")</f>
        <v>金級</v>
      </c>
      <c r="T763" s="12"/>
      <c r="U763" s="12" t="str">
        <f ca="1">IFERROR(__xludf.DUMMYFUNCTION("""COMPUTED_VALUE"""),"1年")</f>
        <v>1年</v>
      </c>
      <c r="V763" s="12" t="str">
        <f ca="1">IFERROR(__xludf.DUMMYFUNCTION("""COMPUTED_VALUE"""),"10年")</f>
        <v>10年</v>
      </c>
      <c r="W763" s="12"/>
      <c r="X763" s="12"/>
      <c r="Y763" s="12"/>
      <c r="Z763" s="14"/>
      <c r="AA763" s="15" t="str">
        <f ca="1">IFERROR(__xludf.DUMMYFUNCTION("""COMPUTED_VALUE"""),"*更安靜、更耐用*30分鐘即可完成洗衣省時更節能*60°C天然蒸氣 去除99.9%過敏原*智慧液晶面板，深度學習管理常用行程")</f>
        <v>*更安靜、更耐用*30分鐘即可完成洗衣省時更節能*60°C天然蒸氣 去除99.9%過敏原*智慧液晶面板，深度學習管理常用行程</v>
      </c>
    </row>
    <row r="764" spans="1:27" ht="19.5" customHeight="1">
      <c r="A764" s="12" t="str">
        <f ca="1">IFERROR(__xludf.DUMMYFUNCTION("""COMPUTED_VALUE"""),"洗衣機")</f>
        <v>洗衣機</v>
      </c>
      <c r="B764" s="12" t="str">
        <f ca="1">IFERROR(__xludf.DUMMYFUNCTION("""COMPUTED_VALUE"""),"神腦")</f>
        <v>神腦</v>
      </c>
      <c r="C764" s="12" t="str">
        <f ca="1">IFERROR(__xludf.DUMMYFUNCTION("""COMPUTED_VALUE"""),"LG")</f>
        <v>LG</v>
      </c>
      <c r="D764" s="12" t="str">
        <f ca="1">IFERROR(__xludf.DUMMYFUNCTION("""COMPUTED_VALUE"""),"LG_10公斤免曬衣乾衣機(冰瓷白)_WR-100VW")</f>
        <v>LG_10公斤免曬衣乾衣機(冰瓷白)_WR-100VW</v>
      </c>
      <c r="E764" s="12" t="str">
        <f ca="1">IFERROR(__xludf.DUMMYFUNCTION("""COMPUTED_VALUE"""),"WR-100VW")</f>
        <v>WR-100VW</v>
      </c>
      <c r="F764" s="12">
        <f ca="1">IFERROR(__xludf.DUMMYFUNCTION("""COMPUTED_VALUE"""),51016610)</f>
        <v>51016610</v>
      </c>
      <c r="G764" s="12" t="str">
        <f ca="1">IFERROR(__xludf.DUMMYFUNCTION("""COMPUTED_VALUE"""),"IGEM117M")</f>
        <v>IGEM117M</v>
      </c>
      <c r="H764" s="13">
        <f ca="1">IFERROR(__xludf.DUMMYFUNCTION("""COMPUTED_VALUE"""),39900)</f>
        <v>39900</v>
      </c>
      <c r="I764" s="14">
        <f ca="1">IFERROR(__xludf.DUMMYFUNCTION("""COMPUTED_VALUE"""),33900)</f>
        <v>33900</v>
      </c>
      <c r="J764" s="16">
        <f ca="1">IFERROR(__xludf.DUMMYFUNCTION("""COMPUTED_VALUE"""),45658)</f>
        <v>45658</v>
      </c>
      <c r="K764" s="12" t="str">
        <f ca="1">IFERROR(__xludf.DUMMYFUNCTION("""COMPUTED_VALUE"""),"新機上架")</f>
        <v>新機上架</v>
      </c>
      <c r="L764" s="12" t="str">
        <f ca="1">IFERROR(__xludf.DUMMYFUNCTION("""COMPUTED_VALUE"""),"上架中")</f>
        <v>上架中</v>
      </c>
      <c r="M764" s="12" t="str">
        <f ca="1">IFERROR(__xludf.DUMMYFUNCTION("""COMPUTED_VALUE"""),"2025/1/1上架")</f>
        <v>2025/1/1上架</v>
      </c>
      <c r="N764" s="12" t="str">
        <f ca="1">IFERROR(__xludf.DUMMYFUNCTION("""COMPUTED_VALUE"""),"乾衣機")</f>
        <v>乾衣機</v>
      </c>
      <c r="O764" s="12" t="str">
        <f ca="1">IFERROR(__xludf.DUMMYFUNCTION("""COMPUTED_VALUE"""),"冰瓷白")</f>
        <v>冰瓷白</v>
      </c>
      <c r="P764" s="24" t="str">
        <f ca="1">IFERROR(__xludf.DUMMYFUNCTION("""COMPUTED_VALUE"""),"10KG")</f>
        <v>10KG</v>
      </c>
      <c r="Q764" s="24" t="str">
        <f ca="1">IFERROR(__xludf.DUMMYFUNCTION("""COMPUTED_VALUE"""),"850x600x690mm")</f>
        <v>850x600x690mm</v>
      </c>
      <c r="R764" s="12" t="str">
        <f ca="1">IFERROR(__xludf.DUMMYFUNCTION("""COMPUTED_VALUE"""),"中國")</f>
        <v>中國</v>
      </c>
      <c r="S764" s="12"/>
      <c r="T764" s="12"/>
      <c r="U764" s="12" t="str">
        <f ca="1">IFERROR(__xludf.DUMMYFUNCTION("""COMPUTED_VALUE"""),"1年")</f>
        <v>1年</v>
      </c>
      <c r="V764" s="12" t="str">
        <f ca="1">IFERROR(__xludf.DUMMYFUNCTION("""COMPUTED_VALUE"""),"10年")</f>
        <v>10年</v>
      </c>
      <c r="W764" s="12"/>
      <c r="X764" s="12"/>
      <c r="Y764" s="12"/>
      <c r="Z764" s="14"/>
      <c r="AA764" s="15" t="str">
        <f ca="1">IFERROR(__xludf.DUMMYFUNCTION("""COMPUTED_VALUE"""),"*溫和除濕式乾衣*60度殺菌行程*雙重極細密濾網，濾除棉絮毛髮*內建WIFI，支援滾筒洗衣機智慧行程配對")</f>
        <v>*溫和除濕式乾衣*60度殺菌行程*雙重極細密濾網，濾除棉絮毛髮*內建WIFI，支援滾筒洗衣機智慧行程配對</v>
      </c>
    </row>
    <row r="765" spans="1:27" ht="19.5" customHeight="1">
      <c r="A765" s="12" t="str">
        <f ca="1">IFERROR(__xludf.DUMMYFUNCTION("""COMPUTED_VALUE"""),"洗衣機")</f>
        <v>洗衣機</v>
      </c>
      <c r="B765" s="12" t="str">
        <f ca="1">IFERROR(__xludf.DUMMYFUNCTION("""COMPUTED_VALUE"""),"神腦")</f>
        <v>神腦</v>
      </c>
      <c r="C765" s="12" t="str">
        <f ca="1">IFERROR(__xludf.DUMMYFUNCTION("""COMPUTED_VALUE"""),"LG")</f>
        <v>LG</v>
      </c>
      <c r="D765" s="12" t="str">
        <f ca="1">IFERROR(__xludf.DUMMYFUNCTION("""COMPUTED_VALUE"""),"LG_10公斤免曬衣乾衣機(尊爵黑)_WR-100VB")</f>
        <v>LG_10公斤免曬衣乾衣機(尊爵黑)_WR-100VB</v>
      </c>
      <c r="E765" s="12" t="str">
        <f ca="1">IFERROR(__xludf.DUMMYFUNCTION("""COMPUTED_VALUE"""),"WR-100VB")</f>
        <v>WR-100VB</v>
      </c>
      <c r="F765" s="12">
        <f ca="1">IFERROR(__xludf.DUMMYFUNCTION("""COMPUTED_VALUE"""),51016611)</f>
        <v>51016611</v>
      </c>
      <c r="G765" s="12" t="str">
        <f ca="1">IFERROR(__xludf.DUMMYFUNCTION("""COMPUTED_VALUE"""),"IGEM117N")</f>
        <v>IGEM117N</v>
      </c>
      <c r="H765" s="13">
        <f ca="1">IFERROR(__xludf.DUMMYFUNCTION("""COMPUTED_VALUE"""),39900)</f>
        <v>39900</v>
      </c>
      <c r="I765" s="14">
        <f ca="1">IFERROR(__xludf.DUMMYFUNCTION("""COMPUTED_VALUE"""),33900)</f>
        <v>33900</v>
      </c>
      <c r="J765" s="16">
        <f ca="1">IFERROR(__xludf.DUMMYFUNCTION("""COMPUTED_VALUE"""),45658)</f>
        <v>45658</v>
      </c>
      <c r="K765" s="12" t="str">
        <f ca="1">IFERROR(__xludf.DUMMYFUNCTION("""COMPUTED_VALUE"""),"新機上架")</f>
        <v>新機上架</v>
      </c>
      <c r="L765" s="12" t="str">
        <f ca="1">IFERROR(__xludf.DUMMYFUNCTION("""COMPUTED_VALUE"""),"上架中")</f>
        <v>上架中</v>
      </c>
      <c r="M765" s="12" t="str">
        <f ca="1">IFERROR(__xludf.DUMMYFUNCTION("""COMPUTED_VALUE"""),"2025/1/1上架")</f>
        <v>2025/1/1上架</v>
      </c>
      <c r="N765" s="12" t="str">
        <f ca="1">IFERROR(__xludf.DUMMYFUNCTION("""COMPUTED_VALUE"""),"乾衣機")</f>
        <v>乾衣機</v>
      </c>
      <c r="O765" s="12" t="str">
        <f ca="1">IFERROR(__xludf.DUMMYFUNCTION("""COMPUTED_VALUE"""),"尊爵黑")</f>
        <v>尊爵黑</v>
      </c>
      <c r="P765" s="24" t="str">
        <f ca="1">IFERROR(__xludf.DUMMYFUNCTION("""COMPUTED_VALUE"""),"10KG")</f>
        <v>10KG</v>
      </c>
      <c r="Q765" s="24" t="str">
        <f ca="1">IFERROR(__xludf.DUMMYFUNCTION("""COMPUTED_VALUE"""),"850x600x690mm")</f>
        <v>850x600x690mm</v>
      </c>
      <c r="R765" s="12" t="str">
        <f ca="1">IFERROR(__xludf.DUMMYFUNCTION("""COMPUTED_VALUE"""),"中國")</f>
        <v>中國</v>
      </c>
      <c r="S765" s="12"/>
      <c r="T765" s="12"/>
      <c r="U765" s="12" t="str">
        <f ca="1">IFERROR(__xludf.DUMMYFUNCTION("""COMPUTED_VALUE"""),"1年")</f>
        <v>1年</v>
      </c>
      <c r="V765" s="12" t="str">
        <f ca="1">IFERROR(__xludf.DUMMYFUNCTION("""COMPUTED_VALUE"""),"10年")</f>
        <v>10年</v>
      </c>
      <c r="W765" s="12"/>
      <c r="X765" s="12"/>
      <c r="Y765" s="12"/>
      <c r="Z765" s="14"/>
      <c r="AA765" s="15" t="str">
        <f ca="1">IFERROR(__xludf.DUMMYFUNCTION("""COMPUTED_VALUE"""),"*溫和除濕式乾衣*60度殺菌行程*雙重極細密濾網，濾除棉絮毛髮*內建WIFI，支援滾筒洗衣機智慧行程配對")</f>
        <v>*溫和除濕式乾衣*60度殺菌行程*雙重極細密濾網，濾除棉絮毛髮*內建WIFI，支援滾筒洗衣機智慧行程配對</v>
      </c>
    </row>
    <row r="766" spans="1:27" ht="19.5" customHeight="1">
      <c r="A766" s="12" t="str">
        <f ca="1">IFERROR(__xludf.DUMMYFUNCTION("""COMPUTED_VALUE"""),"洗衣機")</f>
        <v>洗衣機</v>
      </c>
      <c r="B766" s="12" t="str">
        <f ca="1">IFERROR(__xludf.DUMMYFUNCTION("""COMPUTED_VALUE"""),"神腦")</f>
        <v>神腦</v>
      </c>
      <c r="C766" s="12" t="str">
        <f ca="1">IFERROR(__xludf.DUMMYFUNCTION("""COMPUTED_VALUE"""),"LG")</f>
        <v>LG</v>
      </c>
      <c r="D766" s="12" t="str">
        <f ca="1">IFERROR(__xludf.DUMMYFUNCTION("""COMPUTED_VALUE"""),"LG_15公斤AIDD變頻蒸洗脫聯網滾筒洗衣機(冰瓷白)_WD-S15NW")</f>
        <v>LG_15公斤AIDD變頻蒸洗脫聯網滾筒洗衣機(冰瓷白)_WD-S15NW</v>
      </c>
      <c r="E766" s="12" t="str">
        <f ca="1">IFERROR(__xludf.DUMMYFUNCTION("""COMPUTED_VALUE"""),"WD-S15NW")</f>
        <v>WD-S15NW</v>
      </c>
      <c r="F766" s="12">
        <f ca="1">IFERROR(__xludf.DUMMYFUNCTION("""COMPUTED_VALUE"""),51016613)</f>
        <v>51016613</v>
      </c>
      <c r="G766" s="12" t="str">
        <f ca="1">IFERROR(__xludf.DUMMYFUNCTION("""COMPUTED_VALUE"""),"IGEM117P")</f>
        <v>IGEM117P</v>
      </c>
      <c r="H766" s="13">
        <f ca="1">IFERROR(__xludf.DUMMYFUNCTION("""COMPUTED_VALUE"""),34900)</f>
        <v>34900</v>
      </c>
      <c r="I766" s="14">
        <f ca="1">IFERROR(__xludf.DUMMYFUNCTION("""COMPUTED_VALUE"""),31410)</f>
        <v>31410</v>
      </c>
      <c r="J766" s="16">
        <f ca="1">IFERROR(__xludf.DUMMYFUNCTION("""COMPUTED_VALUE"""),45658)</f>
        <v>45658</v>
      </c>
      <c r="K766" s="12" t="str">
        <f ca="1">IFERROR(__xludf.DUMMYFUNCTION("""COMPUTED_VALUE"""),"新機上架")</f>
        <v>新機上架</v>
      </c>
      <c r="L766" s="12" t="str">
        <f ca="1">IFERROR(__xludf.DUMMYFUNCTION("""COMPUTED_VALUE"""),"上架中")</f>
        <v>上架中</v>
      </c>
      <c r="M766" s="12" t="str">
        <f ca="1">IFERROR(__xludf.DUMMYFUNCTION("""COMPUTED_VALUE"""),"2025/1/1上架")</f>
        <v>2025/1/1上架</v>
      </c>
      <c r="N766" s="12" t="str">
        <f ca="1">IFERROR(__xludf.DUMMYFUNCTION("""COMPUTED_VALUE"""),"滾筒")</f>
        <v>滾筒</v>
      </c>
      <c r="O766" s="12" t="str">
        <f ca="1">IFERROR(__xludf.DUMMYFUNCTION("""COMPUTED_VALUE"""),"冰瓷白")</f>
        <v>冰瓷白</v>
      </c>
      <c r="P766" s="24" t="str">
        <f ca="1">IFERROR(__xludf.DUMMYFUNCTION("""COMPUTED_VALUE"""),"15KG")</f>
        <v>15KG</v>
      </c>
      <c r="Q766" s="24" t="str">
        <f ca="1">IFERROR(__xludf.DUMMYFUNCTION("""COMPUTED_VALUE"""),"950x650x645mm")</f>
        <v>950x650x645mm</v>
      </c>
      <c r="R766" s="12" t="str">
        <f ca="1">IFERROR(__xludf.DUMMYFUNCTION("""COMPUTED_VALUE"""),"中國")</f>
        <v>中國</v>
      </c>
      <c r="S766" s="12" t="str">
        <f ca="1">IFERROR(__xludf.DUMMYFUNCTION("""COMPUTED_VALUE"""),"金級")</f>
        <v>金級</v>
      </c>
      <c r="T766" s="12"/>
      <c r="U766" s="12" t="str">
        <f ca="1">IFERROR(__xludf.DUMMYFUNCTION("""COMPUTED_VALUE"""),"1年")</f>
        <v>1年</v>
      </c>
      <c r="V766" s="12" t="str">
        <f ca="1">IFERROR(__xludf.DUMMYFUNCTION("""COMPUTED_VALUE"""),"10年")</f>
        <v>10年</v>
      </c>
      <c r="W766" s="12"/>
      <c r="X766" s="12"/>
      <c r="Y766" s="12"/>
      <c r="Z766" s="14"/>
      <c r="AA766" s="15" t="str">
        <f ca="1">IFERROR(__xludf.DUMMYFUNCTION("""COMPUTED_VALUE"""),"*淺版設計 安裝不受限*AIDD 直驅變頻馬達設計*全不鏽鋼筒槽 &amp; 攪拌翼*蒸氣洗衣 99.9%殺菌除螨*6 Motion 模擬媽媽手洗6道洗程")</f>
        <v>*淺版設計 安裝不受限*AIDD 直驅變頻馬達設計*全不鏽鋼筒槽 &amp; 攪拌翼*蒸氣洗衣 99.9%殺菌除螨*6 Motion 模擬媽媽手洗6道洗程</v>
      </c>
    </row>
    <row r="767" spans="1:27" ht="19.5" customHeight="1">
      <c r="A767" s="12" t="str">
        <f ca="1">IFERROR(__xludf.DUMMYFUNCTION("""COMPUTED_VALUE"""),"洗衣機")</f>
        <v>洗衣機</v>
      </c>
      <c r="B767" s="12" t="str">
        <f ca="1">IFERROR(__xludf.DUMMYFUNCTION("""COMPUTED_VALUE"""),"神腦")</f>
        <v>神腦</v>
      </c>
      <c r="C767" s="12" t="str">
        <f ca="1">IFERROR(__xludf.DUMMYFUNCTION("""COMPUTED_VALUE"""),"LG")</f>
        <v>LG</v>
      </c>
      <c r="D767" s="12" t="str">
        <f ca="1">IFERROR(__xludf.DUMMYFUNCTION("""COMPUTED_VALUE"""),"LG_18公斤AIDD變頻蒸洗脫聯網滾筒洗衣機(冰瓷白)_WD-S18NW")</f>
        <v>LG_18公斤AIDD變頻蒸洗脫聯網滾筒洗衣機(冰瓷白)_WD-S18NW</v>
      </c>
      <c r="E767" s="12" t="str">
        <f ca="1">IFERROR(__xludf.DUMMYFUNCTION("""COMPUTED_VALUE"""),"WD-S18NW")</f>
        <v>WD-S18NW</v>
      </c>
      <c r="F767" s="12">
        <f ca="1">IFERROR(__xludf.DUMMYFUNCTION("""COMPUTED_VALUE"""),51016614)</f>
        <v>51016614</v>
      </c>
      <c r="G767" s="12" t="str">
        <f ca="1">IFERROR(__xludf.DUMMYFUNCTION("""COMPUTED_VALUE"""),"IGEM117Q")</f>
        <v>IGEM117Q</v>
      </c>
      <c r="H767" s="13">
        <f ca="1">IFERROR(__xludf.DUMMYFUNCTION("""COMPUTED_VALUE"""),37900)</f>
        <v>37900</v>
      </c>
      <c r="I767" s="14">
        <f ca="1">IFERROR(__xludf.DUMMYFUNCTION("""COMPUTED_VALUE"""),34110)</f>
        <v>34110</v>
      </c>
      <c r="J767" s="16">
        <f ca="1">IFERROR(__xludf.DUMMYFUNCTION("""COMPUTED_VALUE"""),45658)</f>
        <v>45658</v>
      </c>
      <c r="K767" s="12" t="str">
        <f ca="1">IFERROR(__xludf.DUMMYFUNCTION("""COMPUTED_VALUE"""),"新機上架")</f>
        <v>新機上架</v>
      </c>
      <c r="L767" s="12" t="str">
        <f ca="1">IFERROR(__xludf.DUMMYFUNCTION("""COMPUTED_VALUE"""),"上架中")</f>
        <v>上架中</v>
      </c>
      <c r="M767" s="12" t="str">
        <f ca="1">IFERROR(__xludf.DUMMYFUNCTION("""COMPUTED_VALUE"""),"2025/1/1上架")</f>
        <v>2025/1/1上架</v>
      </c>
      <c r="N767" s="12" t="str">
        <f ca="1">IFERROR(__xludf.DUMMYFUNCTION("""COMPUTED_VALUE"""),"滾筒")</f>
        <v>滾筒</v>
      </c>
      <c r="O767" s="12" t="str">
        <f ca="1">IFERROR(__xludf.DUMMYFUNCTION("""COMPUTED_VALUE"""),"冰瓷白")</f>
        <v>冰瓷白</v>
      </c>
      <c r="P767" s="24" t="str">
        <f ca="1">IFERROR(__xludf.DUMMYFUNCTION("""COMPUTED_VALUE"""),"18KG")</f>
        <v>18KG</v>
      </c>
      <c r="Q767" s="24" t="str">
        <f ca="1">IFERROR(__xludf.DUMMYFUNCTION("""COMPUTED_VALUE"""),"950*650*780mm")</f>
        <v>950*650*780mm</v>
      </c>
      <c r="R767" s="12" t="str">
        <f ca="1">IFERROR(__xludf.DUMMYFUNCTION("""COMPUTED_VALUE"""),"中國")</f>
        <v>中國</v>
      </c>
      <c r="S767" s="12" t="str">
        <f ca="1">IFERROR(__xludf.DUMMYFUNCTION("""COMPUTED_VALUE"""),"金級")</f>
        <v>金級</v>
      </c>
      <c r="T767" s="12"/>
      <c r="U767" s="12" t="str">
        <f ca="1">IFERROR(__xludf.DUMMYFUNCTION("""COMPUTED_VALUE"""),"1年")</f>
        <v>1年</v>
      </c>
      <c r="V767" s="12" t="str">
        <f ca="1">IFERROR(__xludf.DUMMYFUNCTION("""COMPUTED_VALUE"""),"10年")</f>
        <v>10年</v>
      </c>
      <c r="W767" s="12"/>
      <c r="X767" s="12"/>
      <c r="Y767" s="12"/>
      <c r="Z767" s="14"/>
      <c r="AA767" s="15" t="str">
        <f ca="1">IFERROR(__xludf.DUMMYFUNCTION("""COMPUTED_VALUE"""),"*窄版小體積超大容量*AIDD 直驅變頻馬達設計*全不鏽鋼筒槽 &amp; 攪拌翼*蒸氣洗衣 99.9%殺菌除螨""")</f>
        <v>*窄版小體積超大容量*AIDD 直驅變頻馬達設計*全不鏽鋼筒槽 &amp; 攪拌翼*蒸氣洗衣 99.9%殺菌除螨"</v>
      </c>
    </row>
    <row r="768" spans="1:27" ht="19.5" customHeight="1">
      <c r="A768" s="12" t="str">
        <f ca="1">IFERROR(__xludf.DUMMYFUNCTION("""COMPUTED_VALUE"""),"洗衣機")</f>
        <v>洗衣機</v>
      </c>
      <c r="B768" s="12" t="str">
        <f ca="1">IFERROR(__xludf.DUMMYFUNCTION("""COMPUTED_VALUE"""),"神腦")</f>
        <v>神腦</v>
      </c>
      <c r="C768" s="12" t="str">
        <f ca="1">IFERROR(__xludf.DUMMYFUNCTION("""COMPUTED_VALUE"""),"LG")</f>
        <v>LG</v>
      </c>
      <c r="D768" s="12" t="str">
        <f ca="1">IFERROR(__xludf.DUMMYFUNCTION("""COMPUTED_VALUE"""),"LG_22公斤AIDD變頻蒸洗脫聯網滾筒洗衣機(冰瓷白)_WD-S22FW")</f>
        <v>LG_22公斤AIDD變頻蒸洗脫聯網滾筒洗衣機(冰瓷白)_WD-S22FW</v>
      </c>
      <c r="E768" s="12" t="str">
        <f ca="1">IFERROR(__xludf.DUMMYFUNCTION("""COMPUTED_VALUE"""),"WD-S22FW")</f>
        <v>WD-S22FW</v>
      </c>
      <c r="F768" s="12">
        <f ca="1">IFERROR(__xludf.DUMMYFUNCTION("""COMPUTED_VALUE"""),51016615)</f>
        <v>51016615</v>
      </c>
      <c r="G768" s="12" t="str">
        <f ca="1">IFERROR(__xludf.DUMMYFUNCTION("""COMPUTED_VALUE"""),"IGEM117R")</f>
        <v>IGEM117R</v>
      </c>
      <c r="H768" s="13">
        <f ca="1">IFERROR(__xludf.DUMMYFUNCTION("""COMPUTED_VALUE"""),46900)</f>
        <v>46900</v>
      </c>
      <c r="I768" s="14">
        <f ca="1">IFERROR(__xludf.DUMMYFUNCTION("""COMPUTED_VALUE"""),42210)</f>
        <v>42210</v>
      </c>
      <c r="J768" s="16">
        <f ca="1">IFERROR(__xludf.DUMMYFUNCTION("""COMPUTED_VALUE"""),45658)</f>
        <v>45658</v>
      </c>
      <c r="K768" s="12" t="str">
        <f ca="1">IFERROR(__xludf.DUMMYFUNCTION("""COMPUTED_VALUE"""),"新機上架")</f>
        <v>新機上架</v>
      </c>
      <c r="L768" s="12" t="str">
        <f ca="1">IFERROR(__xludf.DUMMYFUNCTION("""COMPUTED_VALUE"""),"上架中")</f>
        <v>上架中</v>
      </c>
      <c r="M768" s="12" t="str">
        <f ca="1">IFERROR(__xludf.DUMMYFUNCTION("""COMPUTED_VALUE"""),"2025/1/1上架")</f>
        <v>2025/1/1上架</v>
      </c>
      <c r="N768" s="12" t="str">
        <f ca="1">IFERROR(__xludf.DUMMYFUNCTION("""COMPUTED_VALUE"""),"滾筒")</f>
        <v>滾筒</v>
      </c>
      <c r="O768" s="12" t="str">
        <f ca="1">IFERROR(__xludf.DUMMYFUNCTION("""COMPUTED_VALUE"""),"冰瓷白")</f>
        <v>冰瓷白</v>
      </c>
      <c r="P768" s="24" t="str">
        <f ca="1">IFERROR(__xludf.DUMMYFUNCTION("""COMPUTED_VALUE"""),"22KG")</f>
        <v>22KG</v>
      </c>
      <c r="Q768" s="24" t="str">
        <f ca="1">IFERROR(__xludf.DUMMYFUNCTION("""COMPUTED_VALUE"""),"990*700*840mm")</f>
        <v>990*700*840mm</v>
      </c>
      <c r="R768" s="12" t="str">
        <f ca="1">IFERROR(__xludf.DUMMYFUNCTION("""COMPUTED_VALUE"""),"越南")</f>
        <v>越南</v>
      </c>
      <c r="S768" s="12" t="str">
        <f ca="1">IFERROR(__xludf.DUMMYFUNCTION("""COMPUTED_VALUE"""),"金級")</f>
        <v>金級</v>
      </c>
      <c r="T768" s="12"/>
      <c r="U768" s="12" t="str">
        <f ca="1">IFERROR(__xludf.DUMMYFUNCTION("""COMPUTED_VALUE"""),"1年")</f>
        <v>1年</v>
      </c>
      <c r="V768" s="12" t="str">
        <f ca="1">IFERROR(__xludf.DUMMYFUNCTION("""COMPUTED_VALUE"""),"10年")</f>
        <v>10年</v>
      </c>
      <c r="W768" s="12"/>
      <c r="X768" s="12"/>
      <c r="Y768" s="12"/>
      <c r="Z768" s="14"/>
      <c r="AA768" s="15" t="str">
        <f ca="1">IFERROR(__xludf.DUMMYFUNCTION("""COMPUTED_VALUE"""),"*業界最大 加量不加寬*蒸氣洗衣 99.9%殺菌除螨*LCD旋鈕面板*洗劑自動精準投入
")</f>
        <v xml:space="preserve">*業界最大 加量不加寬*蒸氣洗衣 99.9%殺菌除螨*LCD旋鈕面板*洗劑自動精準投入
</v>
      </c>
    </row>
    <row r="769" spans="1:27" ht="19.5" customHeight="1">
      <c r="A769" s="12" t="str">
        <f ca="1">IFERROR(__xludf.DUMMYFUNCTION("""COMPUTED_VALUE"""),"洗衣機")</f>
        <v>洗衣機</v>
      </c>
      <c r="B769" s="12" t="str">
        <f ca="1">IFERROR(__xludf.DUMMYFUNCTION("""COMPUTED_VALUE"""),"神腦")</f>
        <v>神腦</v>
      </c>
      <c r="C769" s="12" t="str">
        <f ca="1">IFERROR(__xludf.DUMMYFUNCTION("""COMPUTED_VALUE"""),"LG")</f>
        <v>LG</v>
      </c>
      <c r="D769" s="12" t="str">
        <f ca="1">IFERROR(__xludf.DUMMYFUNCTION("""COMPUTED_VALUE"""),"LG_Styler蒸氣電子衣櫥(奢華鏡面)_E523MR")</f>
        <v>LG_Styler蒸氣電子衣櫥(奢華鏡面)_E523MR</v>
      </c>
      <c r="E769" s="12" t="str">
        <f ca="1">IFERROR(__xludf.DUMMYFUNCTION("""COMPUTED_VALUE"""),"E523MR")</f>
        <v>E523MR</v>
      </c>
      <c r="F769" s="12">
        <f ca="1">IFERROR(__xludf.DUMMYFUNCTION("""COMPUTED_VALUE"""),51016612)</f>
        <v>51016612</v>
      </c>
      <c r="G769" s="12" t="str">
        <f ca="1">IFERROR(__xludf.DUMMYFUNCTION("""COMPUTED_VALUE"""),"IGEM117O")</f>
        <v>IGEM117O</v>
      </c>
      <c r="H769" s="13">
        <f ca="1">IFERROR(__xludf.DUMMYFUNCTION("""COMPUTED_VALUE"""),62900)</f>
        <v>62900</v>
      </c>
      <c r="I769" s="14">
        <f ca="1">IFERROR(__xludf.DUMMYFUNCTION("""COMPUTED_VALUE"""),42655)</f>
        <v>42655</v>
      </c>
      <c r="J769" s="16">
        <f ca="1">IFERROR(__xludf.DUMMYFUNCTION("""COMPUTED_VALUE"""),45658)</f>
        <v>45658</v>
      </c>
      <c r="K769" s="12" t="str">
        <f ca="1">IFERROR(__xludf.DUMMYFUNCTION("""COMPUTED_VALUE"""),"新機上架")</f>
        <v>新機上架</v>
      </c>
      <c r="L769" s="12" t="str">
        <f ca="1">IFERROR(__xludf.DUMMYFUNCTION("""COMPUTED_VALUE"""),"上架中")</f>
        <v>上架中</v>
      </c>
      <c r="M769" s="12" t="str">
        <f ca="1">IFERROR(__xludf.DUMMYFUNCTION("""COMPUTED_VALUE"""),"2025/1/1上架")</f>
        <v>2025/1/1上架</v>
      </c>
      <c r="N769" s="12" t="str">
        <f ca="1">IFERROR(__xludf.DUMMYFUNCTION("""COMPUTED_VALUE"""),"電子衣櫥")</f>
        <v>電子衣櫥</v>
      </c>
      <c r="O769" s="12" t="str">
        <f ca="1">IFERROR(__xludf.DUMMYFUNCTION("""COMPUTED_VALUE"""),"奢華鏡面")</f>
        <v>奢華鏡面</v>
      </c>
      <c r="P769" s="12"/>
      <c r="Q769" s="24" t="str">
        <f ca="1">IFERROR(__xludf.DUMMYFUNCTION("""COMPUTED_VALUE"""),"1850x445x585mm")</f>
        <v>1850x445x585mm</v>
      </c>
      <c r="R769" s="12" t="str">
        <f ca="1">IFERROR(__xludf.DUMMYFUNCTION("""COMPUTED_VALUE"""),"中國")</f>
        <v>中國</v>
      </c>
      <c r="S769" s="12" t="str">
        <f ca="1">IFERROR(__xludf.DUMMYFUNCTION("""COMPUTED_VALUE"""),"BAF 認證")</f>
        <v>BAF 認證</v>
      </c>
      <c r="T769" s="12"/>
      <c r="U769" s="12" t="str">
        <f ca="1">IFERROR(__xludf.DUMMYFUNCTION("""COMPUTED_VALUE"""),"1年")</f>
        <v>1年</v>
      </c>
      <c r="V769" s="12" t="str">
        <f ca="1">IFERROR(__xludf.DUMMYFUNCTION("""COMPUTED_VALUE"""),"10年")</f>
        <v>10年</v>
      </c>
      <c r="W769" s="12"/>
      <c r="X769" s="12"/>
      <c r="Y769" s="12"/>
      <c r="Z769" s="14"/>
      <c r="AA769" s="15" t="str">
        <f ca="1">IFERROR(__xludf.DUMMYFUNCTION("""COMPUTED_VALUE"""),"*蒸氣60°殺菌除蟎 99.9%*低溫烘乾保護衣料更蓬鬆*11坪室內空間輕鬆除溼")</f>
        <v>*蒸氣60°殺菌除蟎 99.9%*低溫烘乾保護衣料更蓬鬆*11坪室內空間輕鬆除溼</v>
      </c>
    </row>
    <row r="770" spans="1:27" ht="19.5" customHeight="1">
      <c r="A770" s="12" t="str">
        <f ca="1">IFERROR(__xludf.DUMMYFUNCTION("""COMPUTED_VALUE"""),"洗衣機")</f>
        <v>洗衣機</v>
      </c>
      <c r="B770" s="12" t="str">
        <f ca="1">IFERROR(__xludf.DUMMYFUNCTION("""COMPUTED_VALUE"""),"順發")</f>
        <v>順發</v>
      </c>
      <c r="C770" s="12" t="str">
        <f ca="1">IFERROR(__xludf.DUMMYFUNCTION("""COMPUTED_VALUE"""),"Whirlpool")</f>
        <v>Whirlpool</v>
      </c>
      <c r="D770" s="12" t="str">
        <f ca="1">IFERROR(__xludf.DUMMYFUNCTION("""COMPUTED_VALUE"""),"Whirlpool_17公斤洗脫滾筒洗衣機_765496_8TWFW5620HW")</f>
        <v>Whirlpool_17公斤洗脫滾筒洗衣機_765496_8TWFW5620HW</v>
      </c>
      <c r="E770" s="12" t="str">
        <f ca="1">IFERROR(__xludf.DUMMYFUNCTION("""COMPUTED_VALUE"""),"8TWFW5620HW")</f>
        <v>8TWFW5620HW</v>
      </c>
      <c r="F770" s="12">
        <f ca="1">IFERROR(__xludf.DUMMYFUNCTION("""COMPUTED_VALUE"""),51095920)</f>
        <v>51095920</v>
      </c>
      <c r="G770" s="12" t="str">
        <f ca="1">IFERROR(__xludf.DUMMYFUNCTION("""COMPUTED_VALUE"""),"IGEM118D")</f>
        <v>IGEM118D</v>
      </c>
      <c r="H770" s="13">
        <f ca="1">IFERROR(__xludf.DUMMYFUNCTION("""COMPUTED_VALUE"""),35000)</f>
        <v>35000</v>
      </c>
      <c r="I770" s="14">
        <f ca="1">IFERROR(__xludf.DUMMYFUNCTION("""COMPUTED_VALUE"""),29500)</f>
        <v>29500</v>
      </c>
      <c r="J770" s="16">
        <f ca="1">IFERROR(__xludf.DUMMYFUNCTION("""COMPUTED_VALUE"""),45658)</f>
        <v>45658</v>
      </c>
      <c r="K770" s="12" t="str">
        <f ca="1">IFERROR(__xludf.DUMMYFUNCTION("""COMPUTED_VALUE"""),"新機上架")</f>
        <v>新機上架</v>
      </c>
      <c r="L770" s="12" t="str">
        <f ca="1">IFERROR(__xludf.DUMMYFUNCTION("""COMPUTED_VALUE"""),"上架中")</f>
        <v>上架中</v>
      </c>
      <c r="M770" s="12" t="str">
        <f ca="1">IFERROR(__xludf.DUMMYFUNCTION("""COMPUTED_VALUE"""),"2025/1/1上架")</f>
        <v>2025/1/1上架</v>
      </c>
      <c r="N770" s="12" t="str">
        <f ca="1">IFERROR(__xludf.DUMMYFUNCTION("""COMPUTED_VALUE"""),"滾筒")</f>
        <v>滾筒</v>
      </c>
      <c r="O770" s="12" t="str">
        <f ca="1">IFERROR(__xludf.DUMMYFUNCTION("""COMPUTED_VALUE"""),"白")</f>
        <v>白</v>
      </c>
      <c r="P770" s="24" t="str">
        <f ca="1">IFERROR(__xludf.DUMMYFUNCTION("""COMPUTED_VALUE"""),"17KG")</f>
        <v>17KG</v>
      </c>
      <c r="Q770" s="24" t="str">
        <f ca="1">IFERROR(__xludf.DUMMYFUNCTION("""COMPUTED_VALUE"""),"982*686*802mm")</f>
        <v>982*686*802mm</v>
      </c>
      <c r="R770" s="12" t="str">
        <f ca="1">IFERROR(__xludf.DUMMYFUNCTION("""COMPUTED_VALUE"""),"美國")</f>
        <v>美國</v>
      </c>
      <c r="S770" s="12" t="str">
        <f ca="1">IFERROR(__xludf.DUMMYFUNCTION("""COMPUTED_VALUE"""),"金級")</f>
        <v>金級</v>
      </c>
      <c r="T770" s="12"/>
      <c r="U770" s="12" t="str">
        <f ca="1">IFERROR(__xludf.DUMMYFUNCTION("""COMPUTED_VALUE"""),"1年")</f>
        <v>1年</v>
      </c>
      <c r="V770" s="12" t="str">
        <f ca="1">IFERROR(__xludf.DUMMYFUNCTION("""COMPUTED_VALUE"""),"5年")</f>
        <v>5年</v>
      </c>
      <c r="W770" s="12"/>
      <c r="X770" s="12"/>
      <c r="Y770" s="12"/>
      <c r="Z770" s="14"/>
      <c r="AA770" s="15" t="str">
        <f ca="1">IFERROR(__xludf.DUMMYFUNCTION("""COMPUTED_VALUE"""),"*洗衣容量 17kg *Load &amp; Go洗劑精算科技*DD直驅變頻馬達* 6點制震懸吊* 冷熱雙效洗淨力* 領先業界大容量溫熱水洗* 99.9%無與倫比的除菌體驗*37種洗衣行程組合")</f>
        <v>*洗衣容量 17kg *Load &amp; Go洗劑精算科技*DD直驅變頻馬達* 6點制震懸吊* 冷熱雙效洗淨力* 領先業界大容量溫熱水洗* 99.9%無與倫比的除菌體驗*37種洗衣行程組合</v>
      </c>
    </row>
    <row r="771" spans="1:27" ht="19.5" customHeight="1">
      <c r="A771" s="12" t="str">
        <f ca="1">IFERROR(__xludf.DUMMYFUNCTION("""COMPUTED_VALUE"""),"洗衣機")</f>
        <v>洗衣機</v>
      </c>
      <c r="B771" s="12" t="str">
        <f ca="1">IFERROR(__xludf.DUMMYFUNCTION("""COMPUTED_VALUE"""),"順發")</f>
        <v>順發</v>
      </c>
      <c r="C771" s="12" t="str">
        <f ca="1">IFERROR(__xludf.DUMMYFUNCTION("""COMPUTED_VALUE"""),"Whirlpool")</f>
        <v>Whirlpool</v>
      </c>
      <c r="D771" s="12" t="str">
        <f ca="1">IFERROR(__xludf.DUMMYFUNCTION("""COMPUTED_VALUE"""),"Whirlpool_17公斤蒸洗脫滾筒洗衣機_765495_8TWFW8620HW")</f>
        <v>Whirlpool_17公斤蒸洗脫滾筒洗衣機_765495_8TWFW8620HW</v>
      </c>
      <c r="E771" s="12" t="str">
        <f ca="1">IFERROR(__xludf.DUMMYFUNCTION("""COMPUTED_VALUE"""),"8TWFW8620HW")</f>
        <v>8TWFW8620HW</v>
      </c>
      <c r="F771" s="12">
        <f ca="1">IFERROR(__xludf.DUMMYFUNCTION("""COMPUTED_VALUE"""),51095921)</f>
        <v>51095921</v>
      </c>
      <c r="G771" s="12" t="str">
        <f ca="1">IFERROR(__xludf.DUMMYFUNCTION("""COMPUTED_VALUE"""),"IGEM118E")</f>
        <v>IGEM118E</v>
      </c>
      <c r="H771" s="13">
        <f ca="1">IFERROR(__xludf.DUMMYFUNCTION("""COMPUTED_VALUE"""),42200)</f>
        <v>42200</v>
      </c>
      <c r="I771" s="14">
        <f ca="1">IFERROR(__xludf.DUMMYFUNCTION("""COMPUTED_VALUE"""),38900)</f>
        <v>38900</v>
      </c>
      <c r="J771" s="16">
        <f ca="1">IFERROR(__xludf.DUMMYFUNCTION("""COMPUTED_VALUE"""),45658)</f>
        <v>45658</v>
      </c>
      <c r="K771" s="12" t="str">
        <f ca="1">IFERROR(__xludf.DUMMYFUNCTION("""COMPUTED_VALUE"""),"新機上架")</f>
        <v>新機上架</v>
      </c>
      <c r="L771" s="12" t="str">
        <f ca="1">IFERROR(__xludf.DUMMYFUNCTION("""COMPUTED_VALUE"""),"上架中")</f>
        <v>上架中</v>
      </c>
      <c r="M771" s="12" t="str">
        <f ca="1">IFERROR(__xludf.DUMMYFUNCTION("""COMPUTED_VALUE"""),"2025/1/1上架")</f>
        <v>2025/1/1上架</v>
      </c>
      <c r="N771" s="12" t="str">
        <f ca="1">IFERROR(__xludf.DUMMYFUNCTION("""COMPUTED_VALUE"""),"滾筒")</f>
        <v>滾筒</v>
      </c>
      <c r="O771" s="12" t="str">
        <f ca="1">IFERROR(__xludf.DUMMYFUNCTION("""COMPUTED_VALUE"""),"白")</f>
        <v>白</v>
      </c>
      <c r="P771" s="24" t="str">
        <f ca="1">IFERROR(__xludf.DUMMYFUNCTION("""COMPUTED_VALUE"""),"17KG")</f>
        <v>17KG</v>
      </c>
      <c r="Q771" s="24" t="str">
        <f ca="1">IFERROR(__xludf.DUMMYFUNCTION("""COMPUTED_VALUE"""),"982*686*844mm")</f>
        <v>982*686*844mm</v>
      </c>
      <c r="R771" s="12" t="str">
        <f ca="1">IFERROR(__xludf.DUMMYFUNCTION("""COMPUTED_VALUE"""),"美國")</f>
        <v>美國</v>
      </c>
      <c r="S771" s="12" t="str">
        <f ca="1">IFERROR(__xludf.DUMMYFUNCTION("""COMPUTED_VALUE"""),"金級")</f>
        <v>金級</v>
      </c>
      <c r="T771" s="12"/>
      <c r="U771" s="12" t="str">
        <f ca="1">IFERROR(__xludf.DUMMYFUNCTION("""COMPUTED_VALUE"""),"1年")</f>
        <v>1年</v>
      </c>
      <c r="V771" s="12" t="str">
        <f ca="1">IFERROR(__xludf.DUMMYFUNCTION("""COMPUTED_VALUE"""),"5年")</f>
        <v>5年</v>
      </c>
      <c r="W771" s="12"/>
      <c r="X771" s="12"/>
      <c r="Y771" s="12"/>
      <c r="Z771" s="14"/>
      <c r="AA771" s="15" t="str">
        <f ca="1">IFERROR(__xludf.DUMMYFUNCTION("""COMPUTED_VALUE"""),"*洗衣容量 17kg* Load &amp; Go洗劑精算科技* DD直驅變頻馬達* 99.9%無與倫比的除菌體驗*Fan Fresh 12小時自動冷風清新* Steam Clean蒸氣深層洗淨*內建水溫加熱器*5段水溫/5段轉速/3段髒度選擇* 冷熱雙效洗淨力* 14種洗衣行程* 3D立體水波紋不鏽鋼內槽")</f>
        <v>*洗衣容量 17kg* Load &amp; Go洗劑精算科技* DD直驅變頻馬達* 99.9%無與倫比的除菌體驗*Fan Fresh 12小時自動冷風清新* Steam Clean蒸氣深層洗淨*內建水溫加熱器*5段水溫/5段轉速/3段髒度選擇* 冷熱雙效洗淨力* 14種洗衣行程* 3D立體水波紋不鏽鋼內槽</v>
      </c>
    </row>
    <row r="772" spans="1:27" ht="19.5" customHeight="1">
      <c r="A772" s="12" t="str">
        <f ca="1">IFERROR(__xludf.DUMMYFUNCTION("""COMPUTED_VALUE"""),"洗衣機")</f>
        <v>洗衣機</v>
      </c>
      <c r="B772" s="12" t="str">
        <f ca="1">IFERROR(__xludf.DUMMYFUNCTION("""COMPUTED_VALUE"""),"順發")</f>
        <v>順發</v>
      </c>
      <c r="C772" s="12" t="str">
        <f ca="1">IFERROR(__xludf.DUMMYFUNCTION("""COMPUTED_VALUE"""),"Whirlpool")</f>
        <v>Whirlpool</v>
      </c>
      <c r="D772" s="12" t="str">
        <f ca="1">IFERROR(__xludf.DUMMYFUNCTION("""COMPUTED_VALUE"""),"Whirlpool_16公斤瓦斯型滾筒乾衣機_766115_8TWGD5620HW(天然瓦斯型)")</f>
        <v>Whirlpool_16公斤瓦斯型滾筒乾衣機_766115_8TWGD5620HW(天然瓦斯型)</v>
      </c>
      <c r="E772" s="12" t="str">
        <f ca="1">IFERROR(__xludf.DUMMYFUNCTION("""COMPUTED_VALUE"""),"8TWGD5620HW(天然瓦斯型)")</f>
        <v>8TWGD5620HW(天然瓦斯型)</v>
      </c>
      <c r="F772" s="12">
        <f ca="1">IFERROR(__xludf.DUMMYFUNCTION("""COMPUTED_VALUE"""),51095922)</f>
        <v>51095922</v>
      </c>
      <c r="G772" s="12" t="str">
        <f ca="1">IFERROR(__xludf.DUMMYFUNCTION("""COMPUTED_VALUE"""),"IGEM118F")</f>
        <v>IGEM118F</v>
      </c>
      <c r="H772" s="13">
        <f ca="1">IFERROR(__xludf.DUMMYFUNCTION("""COMPUTED_VALUE"""),37900)</f>
        <v>37900</v>
      </c>
      <c r="I772" s="14">
        <f ca="1">IFERROR(__xludf.DUMMYFUNCTION("""COMPUTED_VALUE"""),33000)</f>
        <v>33000</v>
      </c>
      <c r="J772" s="16">
        <f ca="1">IFERROR(__xludf.DUMMYFUNCTION("""COMPUTED_VALUE"""),45658)</f>
        <v>45658</v>
      </c>
      <c r="K772" s="12" t="str">
        <f ca="1">IFERROR(__xludf.DUMMYFUNCTION("""COMPUTED_VALUE"""),"新機上架")</f>
        <v>新機上架</v>
      </c>
      <c r="L772" s="12" t="str">
        <f ca="1">IFERROR(__xludf.DUMMYFUNCTION("""COMPUTED_VALUE"""),"上架中")</f>
        <v>上架中</v>
      </c>
      <c r="M772" s="12" t="str">
        <f ca="1">IFERROR(__xludf.DUMMYFUNCTION("""COMPUTED_VALUE"""),"2025/1/1上架")</f>
        <v>2025/1/1上架</v>
      </c>
      <c r="N772" s="12" t="str">
        <f ca="1">IFERROR(__xludf.DUMMYFUNCTION("""COMPUTED_VALUE"""),"滾筒")</f>
        <v>滾筒</v>
      </c>
      <c r="O772" s="12" t="str">
        <f ca="1">IFERROR(__xludf.DUMMYFUNCTION("""COMPUTED_VALUE"""),"白")</f>
        <v>白</v>
      </c>
      <c r="P772" s="24" t="str">
        <f ca="1">IFERROR(__xludf.DUMMYFUNCTION("""COMPUTED_VALUE"""),"16KG")</f>
        <v>16KG</v>
      </c>
      <c r="Q772" s="24" t="str">
        <f ca="1">IFERROR(__xludf.DUMMYFUNCTION("""COMPUTED_VALUE"""),"968*686*787mm")</f>
        <v>968*686*787mm</v>
      </c>
      <c r="R772" s="12" t="str">
        <f ca="1">IFERROR(__xludf.DUMMYFUNCTION("""COMPUTED_VALUE"""),"美國")</f>
        <v>美國</v>
      </c>
      <c r="S772" s="12"/>
      <c r="T772" s="12"/>
      <c r="U772" s="12" t="str">
        <f ca="1">IFERROR(__xludf.DUMMYFUNCTION("""COMPUTED_VALUE"""),"1年")</f>
        <v>1年</v>
      </c>
      <c r="V772" s="12" t="str">
        <f ca="1">IFERROR(__xludf.DUMMYFUNCTION("""COMPUTED_VALUE"""),"3年")</f>
        <v>3年</v>
      </c>
      <c r="W772" s="12"/>
      <c r="X772" s="12"/>
      <c r="Y772" s="12"/>
      <c r="Z772" s="14"/>
      <c r="AA772" s="15" t="str">
        <f ca="1">IFERROR(__xludf.DUMMYFUNCTION("""COMPUTED_VALUE"""),"*烘衣容量 16kg*6th Sense第六感智慧乾衣科技*衣物濕度精準偵測設計*內桶材質 抗菌防鏽塗層*20分鐘快速烘乾(5kg)*150分鐘除皺防護*35種乾衣行程組合*4種乾衣溫度/3種乾衣程度選擇*消毒殺菌行程
")</f>
        <v xml:space="preserve">*烘衣容量 16kg*6th Sense第六感智慧乾衣科技*衣物濕度精準偵測設計*內桶材質 抗菌防鏽塗層*20分鐘快速烘乾(5kg)*150分鐘除皺防護*35種乾衣行程組合*4種乾衣溫度/3種乾衣程度選擇*消毒殺菌行程
</v>
      </c>
    </row>
    <row r="773" spans="1:27" ht="19.5" customHeight="1">
      <c r="A773" s="12" t="str">
        <f ca="1">IFERROR(__xludf.DUMMYFUNCTION("""COMPUTED_VALUE"""),"洗衣機")</f>
        <v>洗衣機</v>
      </c>
      <c r="B773" s="12" t="str">
        <f ca="1">IFERROR(__xludf.DUMMYFUNCTION("""COMPUTED_VALUE"""),"順發")</f>
        <v>順發</v>
      </c>
      <c r="C773" s="12" t="str">
        <f ca="1">IFERROR(__xludf.DUMMYFUNCTION("""COMPUTED_VALUE"""),"Whirlpool")</f>
        <v>Whirlpool</v>
      </c>
      <c r="D773" s="12" t="str">
        <f ca="1">IFERROR(__xludf.DUMMYFUNCTION("""COMPUTED_VALUE"""),"Whirlpool_15公斤電力型滾筒乾衣機_766116_8TWED5620HW(電力型)")</f>
        <v>Whirlpool_15公斤電力型滾筒乾衣機_766116_8TWED5620HW(電力型)</v>
      </c>
      <c r="E773" s="12" t="str">
        <f ca="1">IFERROR(__xludf.DUMMYFUNCTION("""COMPUTED_VALUE"""),"8TWED5620HW(電力型)")</f>
        <v>8TWED5620HW(電力型)</v>
      </c>
      <c r="F773" s="12">
        <f ca="1">IFERROR(__xludf.DUMMYFUNCTION("""COMPUTED_VALUE"""),51095923)</f>
        <v>51095923</v>
      </c>
      <c r="G773" s="12" t="str">
        <f ca="1">IFERROR(__xludf.DUMMYFUNCTION("""COMPUTED_VALUE"""),"IGEM118G")</f>
        <v>IGEM118G</v>
      </c>
      <c r="H773" s="13">
        <f ca="1">IFERROR(__xludf.DUMMYFUNCTION("""COMPUTED_VALUE"""),35000)</f>
        <v>35000</v>
      </c>
      <c r="I773" s="14">
        <f ca="1">IFERROR(__xludf.DUMMYFUNCTION("""COMPUTED_VALUE"""),31000)</f>
        <v>31000</v>
      </c>
      <c r="J773" s="16">
        <f ca="1">IFERROR(__xludf.DUMMYFUNCTION("""COMPUTED_VALUE"""),45658)</f>
        <v>45658</v>
      </c>
      <c r="K773" s="12" t="str">
        <f ca="1">IFERROR(__xludf.DUMMYFUNCTION("""COMPUTED_VALUE"""),"新機上架")</f>
        <v>新機上架</v>
      </c>
      <c r="L773" s="12" t="str">
        <f ca="1">IFERROR(__xludf.DUMMYFUNCTION("""COMPUTED_VALUE"""),"上架中")</f>
        <v>上架中</v>
      </c>
      <c r="M773" s="12" t="str">
        <f ca="1">IFERROR(__xludf.DUMMYFUNCTION("""COMPUTED_VALUE"""),"2025/1/1上架")</f>
        <v>2025/1/1上架</v>
      </c>
      <c r="N773" s="12" t="str">
        <f ca="1">IFERROR(__xludf.DUMMYFUNCTION("""COMPUTED_VALUE"""),"滾筒")</f>
        <v>滾筒</v>
      </c>
      <c r="O773" s="12" t="str">
        <f ca="1">IFERROR(__xludf.DUMMYFUNCTION("""COMPUTED_VALUE"""),"白")</f>
        <v>白</v>
      </c>
      <c r="P773" s="24" t="str">
        <f ca="1">IFERROR(__xludf.DUMMYFUNCTION("""COMPUTED_VALUE"""),"15KG")</f>
        <v>15KG</v>
      </c>
      <c r="Q773" s="24" t="str">
        <f ca="1">IFERROR(__xludf.DUMMYFUNCTION("""COMPUTED_VALUE"""),"968*686*787mm")</f>
        <v>968*686*787mm</v>
      </c>
      <c r="R773" s="12" t="str">
        <f ca="1">IFERROR(__xludf.DUMMYFUNCTION("""COMPUTED_VALUE"""),"美國")</f>
        <v>美國</v>
      </c>
      <c r="S773" s="12"/>
      <c r="T773" s="12"/>
      <c r="U773" s="12"/>
      <c r="V773" s="12" t="str">
        <f ca="1">IFERROR(__xludf.DUMMYFUNCTION("""COMPUTED_VALUE"""),"3年")</f>
        <v>3年</v>
      </c>
      <c r="W773" s="12"/>
      <c r="X773" s="12"/>
      <c r="Y773" s="12"/>
      <c r="Z773" s="14"/>
      <c r="AA773" s="15" t="str">
        <f ca="1">IFERROR(__xludf.DUMMYFUNCTION("""COMPUTED_VALUE"""),"*烘衣容量 15kg *消秏功率:630W *6th Sense第六感智慧乾衣科技*衣物濕度精準偵測設計*內桶材質 抗菌防鏽塗層*20分鐘快速烘乾(5kg)*150分鐘除皺防護*35種乾衣行程組合*4種乾衣溫度/3種乾衣程度選擇*消毒殺菌行程")</f>
        <v>*烘衣容量 15kg *消秏功率:630W *6th Sense第六感智慧乾衣科技*衣物濕度精準偵測設計*內桶材質 抗菌防鏽塗層*20分鐘快速烘乾(5kg)*150分鐘除皺防護*35種乾衣行程組合*4種乾衣溫度/3種乾衣程度選擇*消毒殺菌行程</v>
      </c>
    </row>
    <row r="774" spans="1:27" ht="19.5" customHeight="1">
      <c r="A774" s="12" t="str">
        <f ca="1">IFERROR(__xludf.DUMMYFUNCTION("""COMPUTED_VALUE"""),"洗衣機")</f>
        <v>洗衣機</v>
      </c>
      <c r="B774" s="12" t="str">
        <f ca="1">IFERROR(__xludf.DUMMYFUNCTION("""COMPUTED_VALUE"""),"順發")</f>
        <v>順發</v>
      </c>
      <c r="C774" s="12" t="str">
        <f ca="1">IFERROR(__xludf.DUMMYFUNCTION("""COMPUTED_VALUE"""),"Whirlpool")</f>
        <v>Whirlpool</v>
      </c>
      <c r="D774" s="12" t="str">
        <f ca="1">IFERROR(__xludf.DUMMYFUNCTION("""COMPUTED_VALUE"""),"Whirlpool_16公斤瓦斯型滾筒乾衣機_766117_8TWGD8620HW(天然瓦斯型)")</f>
        <v>Whirlpool_16公斤瓦斯型滾筒乾衣機_766117_8TWGD8620HW(天然瓦斯型)</v>
      </c>
      <c r="E774" s="12" t="str">
        <f ca="1">IFERROR(__xludf.DUMMYFUNCTION("""COMPUTED_VALUE"""),"8TWGD8620HW(天然瓦斯型)")</f>
        <v>8TWGD8620HW(天然瓦斯型)</v>
      </c>
      <c r="F774" s="12">
        <f ca="1">IFERROR(__xludf.DUMMYFUNCTION("""COMPUTED_VALUE"""),51095924)</f>
        <v>51095924</v>
      </c>
      <c r="G774" s="12" t="str">
        <f ca="1">IFERROR(__xludf.DUMMYFUNCTION("""COMPUTED_VALUE"""),"IGEM118H")</f>
        <v>IGEM118H</v>
      </c>
      <c r="H774" s="13">
        <f ca="1">IFERROR(__xludf.DUMMYFUNCTION("""COMPUTED_VALUE"""),45700)</f>
        <v>45700</v>
      </c>
      <c r="I774" s="14">
        <f ca="1">IFERROR(__xludf.DUMMYFUNCTION("""COMPUTED_VALUE"""),38900)</f>
        <v>38900</v>
      </c>
      <c r="J774" s="16">
        <f ca="1">IFERROR(__xludf.DUMMYFUNCTION("""COMPUTED_VALUE"""),45658)</f>
        <v>45658</v>
      </c>
      <c r="K774" s="12" t="str">
        <f ca="1">IFERROR(__xludf.DUMMYFUNCTION("""COMPUTED_VALUE"""),"新機上架")</f>
        <v>新機上架</v>
      </c>
      <c r="L774" s="12" t="str">
        <f ca="1">IFERROR(__xludf.DUMMYFUNCTION("""COMPUTED_VALUE"""),"上架中")</f>
        <v>上架中</v>
      </c>
      <c r="M774" s="12" t="str">
        <f ca="1">IFERROR(__xludf.DUMMYFUNCTION("""COMPUTED_VALUE"""),"2025/1/1上架")</f>
        <v>2025/1/1上架</v>
      </c>
      <c r="N774" s="12" t="str">
        <f ca="1">IFERROR(__xludf.DUMMYFUNCTION("""COMPUTED_VALUE"""),"滾筒")</f>
        <v>滾筒</v>
      </c>
      <c r="O774" s="12" t="str">
        <f ca="1">IFERROR(__xludf.DUMMYFUNCTION("""COMPUTED_VALUE"""),"白")</f>
        <v>白</v>
      </c>
      <c r="P774" s="24" t="str">
        <f ca="1">IFERROR(__xludf.DUMMYFUNCTION("""COMPUTED_VALUE"""),"16KG")</f>
        <v>16KG</v>
      </c>
      <c r="Q774" s="24" t="str">
        <f ca="1">IFERROR(__xludf.DUMMYFUNCTION("""COMPUTED_VALUE"""),"968*686*788mm")</f>
        <v>968*686*788mm</v>
      </c>
      <c r="R774" s="12" t="str">
        <f ca="1">IFERROR(__xludf.DUMMYFUNCTION("""COMPUTED_VALUE"""),"美國")</f>
        <v>美國</v>
      </c>
      <c r="S774" s="12"/>
      <c r="T774" s="12"/>
      <c r="U774" s="12" t="str">
        <f ca="1">IFERROR(__xludf.DUMMYFUNCTION("""COMPUTED_VALUE"""),"1年")</f>
        <v>1年</v>
      </c>
      <c r="V774" s="12" t="str">
        <f ca="1">IFERROR(__xludf.DUMMYFUNCTION("""COMPUTED_VALUE"""),"3年")</f>
        <v>3年</v>
      </c>
      <c r="W774" s="12"/>
      <c r="X774" s="12"/>
      <c r="Y774" s="12"/>
      <c r="Z774" s="14"/>
      <c r="AA774" s="15" t="str">
        <f ca="1">IFERROR(__xludf.DUMMYFUNCTION("""COMPUTED_VALUE"""),"*烘衣容量 16kg*6th Sense第六感智慧乾衣科技 *衣物濕度精準偵測設計*內桶不銹鋼材質*20分鐘快速烘乾(5kg)*蒸氣清新除皺/除靜電*35種乾衣行程組合*5種乾衣溫度/3種乾衣程度選擇*消毒殺菌行程
")</f>
        <v xml:space="preserve">*烘衣容量 16kg*6th Sense第六感智慧乾衣科技 *衣物濕度精準偵測設計*內桶不銹鋼材質*20分鐘快速烘乾(5kg)*蒸氣清新除皺/除靜電*35種乾衣行程組合*5種乾衣溫度/3種乾衣程度選擇*消毒殺菌行程
</v>
      </c>
    </row>
    <row r="775" spans="1:27" ht="19.5" customHeight="1">
      <c r="A775" s="12" t="str">
        <f ca="1">IFERROR(__xludf.DUMMYFUNCTION("""COMPUTED_VALUE"""),"洗衣機")</f>
        <v>洗衣機</v>
      </c>
      <c r="B775" s="12" t="str">
        <f ca="1">IFERROR(__xludf.DUMMYFUNCTION("""COMPUTED_VALUE"""),"順發")</f>
        <v>順發</v>
      </c>
      <c r="C775" s="12" t="str">
        <f ca="1">IFERROR(__xludf.DUMMYFUNCTION("""COMPUTED_VALUE"""),"Whirlpool")</f>
        <v>Whirlpool</v>
      </c>
      <c r="D775" s="12" t="str">
        <f ca="1">IFERROR(__xludf.DUMMYFUNCTION("""COMPUTED_VALUE"""),"Whirlpool_16公斤瓦斯型滾筒乾衣機_766115_8TWGD5620HW(桶裝瓦斯型)")</f>
        <v>Whirlpool_16公斤瓦斯型滾筒乾衣機_766115_8TWGD5620HW(桶裝瓦斯型)</v>
      </c>
      <c r="E775" s="12" t="str">
        <f ca="1">IFERROR(__xludf.DUMMYFUNCTION("""COMPUTED_VALUE"""),"8TWGD5620HW(桶裝瓦斯型)")</f>
        <v>8TWGD5620HW(桶裝瓦斯型)</v>
      </c>
      <c r="F775" s="12">
        <f ca="1">IFERROR(__xludf.DUMMYFUNCTION("""COMPUTED_VALUE"""),51095926)</f>
        <v>51095926</v>
      </c>
      <c r="G775" s="12" t="str">
        <f ca="1">IFERROR(__xludf.DUMMYFUNCTION("""COMPUTED_VALUE"""),"IGEM118J")</f>
        <v>IGEM118J</v>
      </c>
      <c r="H775" s="13">
        <f ca="1">IFERROR(__xludf.DUMMYFUNCTION("""COMPUTED_VALUE"""),37900)</f>
        <v>37900</v>
      </c>
      <c r="I775" s="14">
        <f ca="1">IFERROR(__xludf.DUMMYFUNCTION("""COMPUTED_VALUE"""),33000)</f>
        <v>33000</v>
      </c>
      <c r="J775" s="16">
        <f ca="1">IFERROR(__xludf.DUMMYFUNCTION("""COMPUTED_VALUE"""),45658)</f>
        <v>45658</v>
      </c>
      <c r="K775" s="12" t="str">
        <f ca="1">IFERROR(__xludf.DUMMYFUNCTION("""COMPUTED_VALUE"""),"新機上架")</f>
        <v>新機上架</v>
      </c>
      <c r="L775" s="12" t="str">
        <f ca="1">IFERROR(__xludf.DUMMYFUNCTION("""COMPUTED_VALUE"""),"上架中")</f>
        <v>上架中</v>
      </c>
      <c r="M775" s="12" t="str">
        <f ca="1">IFERROR(__xludf.DUMMYFUNCTION("""COMPUTED_VALUE"""),"2025/1/1上架")</f>
        <v>2025/1/1上架</v>
      </c>
      <c r="N775" s="12" t="str">
        <f ca="1">IFERROR(__xludf.DUMMYFUNCTION("""COMPUTED_VALUE"""),"滾筒")</f>
        <v>滾筒</v>
      </c>
      <c r="O775" s="12" t="str">
        <f ca="1">IFERROR(__xludf.DUMMYFUNCTION("""COMPUTED_VALUE"""),"白")</f>
        <v>白</v>
      </c>
      <c r="P775" s="24" t="str">
        <f ca="1">IFERROR(__xludf.DUMMYFUNCTION("""COMPUTED_VALUE"""),"16KG")</f>
        <v>16KG</v>
      </c>
      <c r="Q775" s="24" t="str">
        <f ca="1">IFERROR(__xludf.DUMMYFUNCTION("""COMPUTED_VALUE"""),"968*686*787mm")</f>
        <v>968*686*787mm</v>
      </c>
      <c r="R775" s="12" t="str">
        <f ca="1">IFERROR(__xludf.DUMMYFUNCTION("""COMPUTED_VALUE"""),"美國")</f>
        <v>美國</v>
      </c>
      <c r="S775" s="12"/>
      <c r="T775" s="12"/>
      <c r="U775" s="12" t="str">
        <f ca="1">IFERROR(__xludf.DUMMYFUNCTION("""COMPUTED_VALUE"""),"1年")</f>
        <v>1年</v>
      </c>
      <c r="V775" s="12" t="str">
        <f ca="1">IFERROR(__xludf.DUMMYFUNCTION("""COMPUTED_VALUE"""),"3年")</f>
        <v>3年</v>
      </c>
      <c r="W775" s="12"/>
      <c r="X775" s="12"/>
      <c r="Y775" s="12"/>
      <c r="Z775" s="14"/>
      <c r="AA775" s="15" t="str">
        <f ca="1">IFERROR(__xludf.DUMMYFUNCTION("""COMPUTED_VALUE"""),"*烘衣容量 16kg*6th Sense第六感智慧乾衣科技*衣物濕度精準偵測設計*內桶材質 抗菌防鏽塗層*20分鐘快速烘乾(5kg)*150分鐘除皺防護*35種乾衣行程組合*4種乾衣溫度/3種乾衣程度選擇*消毒殺菌行程")</f>
        <v>*烘衣容量 16kg*6th Sense第六感智慧乾衣科技*衣物濕度精準偵測設計*內桶材質 抗菌防鏽塗層*20分鐘快速烘乾(5kg)*150分鐘除皺防護*35種乾衣行程組合*4種乾衣溫度/3種乾衣程度選擇*消毒殺菌行程</v>
      </c>
    </row>
    <row r="776" spans="1:27" ht="19.5" customHeight="1">
      <c r="A776" s="12" t="str">
        <f ca="1">IFERROR(__xludf.DUMMYFUNCTION("""COMPUTED_VALUE"""),"洗衣機")</f>
        <v>洗衣機</v>
      </c>
      <c r="B776" s="12" t="str">
        <f ca="1">IFERROR(__xludf.DUMMYFUNCTION("""COMPUTED_VALUE"""),"順發")</f>
        <v>順發</v>
      </c>
      <c r="C776" s="12" t="str">
        <f ca="1">IFERROR(__xludf.DUMMYFUNCTION("""COMPUTED_VALUE"""),"Whirlpool")</f>
        <v>Whirlpool</v>
      </c>
      <c r="D776" s="12" t="str">
        <f ca="1">IFERROR(__xludf.DUMMYFUNCTION("""COMPUTED_VALUE"""),"Whirlpool_16公斤瓦斯型滾筒乾衣機_766117_8TWGD8620HW(桶裝瓦斯型)")</f>
        <v>Whirlpool_16公斤瓦斯型滾筒乾衣機_766117_8TWGD8620HW(桶裝瓦斯型)</v>
      </c>
      <c r="E776" s="12" t="str">
        <f ca="1">IFERROR(__xludf.DUMMYFUNCTION("""COMPUTED_VALUE"""),"8TWGD8620HW(桶裝瓦斯型)")</f>
        <v>8TWGD8620HW(桶裝瓦斯型)</v>
      </c>
      <c r="F776" s="12">
        <f ca="1">IFERROR(__xludf.DUMMYFUNCTION("""COMPUTED_VALUE"""),51095927)</f>
        <v>51095927</v>
      </c>
      <c r="G776" s="12" t="str">
        <f ca="1">IFERROR(__xludf.DUMMYFUNCTION("""COMPUTED_VALUE"""),"IGEM118K")</f>
        <v>IGEM118K</v>
      </c>
      <c r="H776" s="13">
        <f ca="1">IFERROR(__xludf.DUMMYFUNCTION("""COMPUTED_VALUE"""),45700)</f>
        <v>45700</v>
      </c>
      <c r="I776" s="14">
        <f ca="1">IFERROR(__xludf.DUMMYFUNCTION("""COMPUTED_VALUE"""),38900)</f>
        <v>38900</v>
      </c>
      <c r="J776" s="16">
        <f ca="1">IFERROR(__xludf.DUMMYFUNCTION("""COMPUTED_VALUE"""),45658)</f>
        <v>45658</v>
      </c>
      <c r="K776" s="12" t="str">
        <f ca="1">IFERROR(__xludf.DUMMYFUNCTION("""COMPUTED_VALUE"""),"新機上架")</f>
        <v>新機上架</v>
      </c>
      <c r="L776" s="12" t="str">
        <f ca="1">IFERROR(__xludf.DUMMYFUNCTION("""COMPUTED_VALUE"""),"上架中")</f>
        <v>上架中</v>
      </c>
      <c r="M776" s="12" t="str">
        <f ca="1">IFERROR(__xludf.DUMMYFUNCTION("""COMPUTED_VALUE"""),"2025/1/1上架")</f>
        <v>2025/1/1上架</v>
      </c>
      <c r="N776" s="12" t="str">
        <f ca="1">IFERROR(__xludf.DUMMYFUNCTION("""COMPUTED_VALUE"""),"滾筒")</f>
        <v>滾筒</v>
      </c>
      <c r="O776" s="12" t="str">
        <f ca="1">IFERROR(__xludf.DUMMYFUNCTION("""COMPUTED_VALUE"""),"白")</f>
        <v>白</v>
      </c>
      <c r="P776" s="24" t="str">
        <f ca="1">IFERROR(__xludf.DUMMYFUNCTION("""COMPUTED_VALUE"""),"16KG")</f>
        <v>16KG</v>
      </c>
      <c r="Q776" s="24" t="str">
        <f ca="1">IFERROR(__xludf.DUMMYFUNCTION("""COMPUTED_VALUE"""),"968*686*787mm")</f>
        <v>968*686*787mm</v>
      </c>
      <c r="R776" s="12" t="str">
        <f ca="1">IFERROR(__xludf.DUMMYFUNCTION("""COMPUTED_VALUE"""),"美國")</f>
        <v>美國</v>
      </c>
      <c r="S776" s="12"/>
      <c r="T776" s="12"/>
      <c r="U776" s="12" t="str">
        <f ca="1">IFERROR(__xludf.DUMMYFUNCTION("""COMPUTED_VALUE"""),"1年")</f>
        <v>1年</v>
      </c>
      <c r="V776" s="12" t="str">
        <f ca="1">IFERROR(__xludf.DUMMYFUNCTION("""COMPUTED_VALUE"""),"3年")</f>
        <v>3年</v>
      </c>
      <c r="W776" s="12"/>
      <c r="X776" s="12"/>
      <c r="Y776" s="12"/>
      <c r="Z776" s="14"/>
      <c r="AA776" s="15" t="str">
        <f ca="1">IFERROR(__xludf.DUMMYFUNCTION("""COMPUTED_VALUE"""),"*烘衣容量 16kg*6th Sense第六感智慧乾衣科技*衣物濕度精準偵測設計*內桶不銹鋼材質*20分鐘快速烘乾(5kg)*蒸氣清新除皺/除靜電*35種乾衣行程組合*5種乾衣溫度/3種乾衣程度選擇*消毒殺菌行程")</f>
        <v>*烘衣容量 16kg*6th Sense第六感智慧乾衣科技*衣物濕度精準偵測設計*內桶不銹鋼材質*20分鐘快速烘乾(5kg)*蒸氣清新除皺/除靜電*35種乾衣行程組合*5種乾衣溫度/3種乾衣程度選擇*消毒殺菌行程</v>
      </c>
    </row>
    <row r="777" spans="1:27" ht="19.5" customHeight="1">
      <c r="A777" s="12" t="str">
        <f ca="1">IFERROR(__xludf.DUMMYFUNCTION("""COMPUTED_VALUE"""),"除濕機")</f>
        <v>除濕機</v>
      </c>
      <c r="B777" s="12" t="str">
        <f ca="1">IFERROR(__xludf.DUMMYFUNCTION("""COMPUTED_VALUE"""),"大同")</f>
        <v>大同</v>
      </c>
      <c r="C777" s="12" t="str">
        <f ca="1">IFERROR(__xludf.DUMMYFUNCTION("""COMPUTED_VALUE"""),"PANASONIC")</f>
        <v>PANASONIC</v>
      </c>
      <c r="D777" s="12" t="str">
        <f ca="1">IFERROR(__xludf.DUMMYFUNCTION("""COMPUTED_VALUE"""),"PANASONIC除濕機(CW/6公升)F-Y12EB")</f>
        <v>PANASONIC除濕機(CW/6公升)F-Y12EB</v>
      </c>
      <c r="E777" s="12" t="str">
        <f ca="1">IFERROR(__xludf.DUMMYFUNCTION("""COMPUTED_VALUE"""),"F-Y12EB")</f>
        <v>F-Y12EB</v>
      </c>
      <c r="F777" s="12">
        <f ca="1">IFERROR(__xludf.DUMMYFUNCTION("""COMPUTED_VALUE"""),51083036)</f>
        <v>51083036</v>
      </c>
      <c r="G777" s="12" t="str">
        <f ca="1">IFERROR(__xludf.DUMMYFUNCTION("""COMPUTED_VALUE"""),"IGEM00AW")</f>
        <v>IGEM00AW</v>
      </c>
      <c r="H777" s="12">
        <f ca="1">IFERROR(__xludf.DUMMYFUNCTION("""COMPUTED_VALUE"""),7790)</f>
        <v>7790</v>
      </c>
      <c r="I777" s="14">
        <f ca="1">IFERROR(__xludf.DUMMYFUNCTION("""COMPUTED_VALUE"""),7050)</f>
        <v>7050</v>
      </c>
      <c r="J777" s="16">
        <f ca="1">IFERROR(__xludf.DUMMYFUNCTION("""COMPUTED_VALUE"""),45292)</f>
        <v>45292</v>
      </c>
      <c r="K777" s="12" t="str">
        <f ca="1">IFERROR(__xludf.DUMMYFUNCTION("""COMPUTED_VALUE"""),"永久降價")</f>
        <v>永久降價</v>
      </c>
      <c r="L777" s="12" t="str">
        <f ca="1">IFERROR(__xludf.DUMMYFUNCTION("""COMPUTED_VALUE"""),"上架中")</f>
        <v>上架中</v>
      </c>
      <c r="M777" s="12" t="str">
        <f ca="1">IFERROR(__xludf.DUMMYFUNCTION("""COMPUTED_VALUE"""),"2024/1/1 永久降價，2022/12/19回價+少量到貨，12/1下架，9/22 7台、9/7少量到貨5台、2021/4/1-4/30短促。")</f>
        <v>2024/1/1 永久降價，2022/12/19回價+少量到貨，12/1下架，9/22 7台、9/7少量到貨5台、2021/4/1-4/30短促。</v>
      </c>
      <c r="N777" s="12" t="str">
        <f ca="1">IFERROR(__xludf.DUMMYFUNCTION("""COMPUTED_VALUE"""),"除濕機")</f>
        <v>除濕機</v>
      </c>
      <c r="O777" s="12" t="str">
        <f ca="1">IFERROR(__xludf.DUMMYFUNCTION("""COMPUTED_VALUE"""),"白")</f>
        <v>白</v>
      </c>
      <c r="P777" s="24" t="str">
        <f ca="1">IFERROR(__xludf.DUMMYFUNCTION("""COMPUTED_VALUE"""),"8坪")</f>
        <v>8坪</v>
      </c>
      <c r="Q777" s="12" t="str">
        <f ca="1">IFERROR(__xludf.DUMMYFUNCTION("""COMPUTED_VALUE"""),"580*300*251mm")</f>
        <v>580*300*251mm</v>
      </c>
      <c r="R777" s="12" t="str">
        <f ca="1">IFERROR(__xludf.DUMMYFUNCTION("""COMPUTED_VALUE"""),"台灣")</f>
        <v>台灣</v>
      </c>
      <c r="S777" s="12" t="str">
        <f ca="1">IFERROR(__xludf.DUMMYFUNCTION("""COMPUTED_VALUE"""),"V")</f>
        <v>V</v>
      </c>
      <c r="T777" s="13" t="str">
        <f ca="1">IFERROR(__xludf.DUMMYFUNCTION("""COMPUTED_VALUE"""),"1級能效")</f>
        <v>1級能效</v>
      </c>
      <c r="U777" s="22" t="str">
        <f ca="1">IFERROR(__xludf.DUMMYFUNCTION("""COMPUTED_VALUE"""),"3年")</f>
        <v>3年</v>
      </c>
      <c r="V777" s="22" t="str">
        <f ca="1">IFERROR(__xludf.DUMMYFUNCTION("""COMPUTED_VALUE"""),"5年")</f>
        <v>5年</v>
      </c>
      <c r="W777" s="12"/>
      <c r="X777" s="12"/>
      <c r="Y777" s="12">
        <f ca="1">IFERROR(__xludf.DUMMYFUNCTION("""COMPUTED_VALUE"""),6.09)</f>
        <v>6.09</v>
      </c>
      <c r="Z777" s="14">
        <f ca="1">IFERROR(__xludf.DUMMYFUNCTION("""COMPUTED_VALUE"""),500)</f>
        <v>500</v>
      </c>
      <c r="AA777" s="15" t="str">
        <f ca="1">IFERROR(__xludf.DUMMYFUNCTION("""COMPUTED_VALUE"""),"*15項安全裝置*4合1超密度濾網*水箱2.5L")</f>
        <v>*15項安全裝置*4合1超密度濾網*水箱2.5L</v>
      </c>
    </row>
    <row r="778" spans="1:27" ht="19.5" customHeight="1">
      <c r="A778" s="12" t="str">
        <f ca="1">IFERROR(__xludf.DUMMYFUNCTION("""COMPUTED_VALUE"""),"除濕機")</f>
        <v>除濕機</v>
      </c>
      <c r="B778" s="12" t="str">
        <f ca="1">IFERROR(__xludf.DUMMYFUNCTION("""COMPUTED_VALUE"""),"大同")</f>
        <v>大同</v>
      </c>
      <c r="C778" s="12" t="str">
        <f ca="1">IFERROR(__xludf.DUMMYFUNCTION("""COMPUTED_VALUE"""),"PANASONIC")</f>
        <v>PANASONIC</v>
      </c>
      <c r="D778" s="12" t="str">
        <f ca="1">IFERROR(__xludf.DUMMYFUNCTION("""COMPUTED_VALUE"""),"PANASONIC12公升除濕機_F-Y24GX")</f>
        <v>PANASONIC12公升除濕機_F-Y24GX</v>
      </c>
      <c r="E778" s="12" t="str">
        <f ca="1">IFERROR(__xludf.DUMMYFUNCTION("""COMPUTED_VALUE"""),"F-Y24GX")</f>
        <v>F-Y24GX</v>
      </c>
      <c r="F778" s="12">
        <f ca="1">IFERROR(__xludf.DUMMYFUNCTION("""COMPUTED_VALUE"""),51089262)</f>
        <v>51089262</v>
      </c>
      <c r="G778" s="12" t="str">
        <f ca="1">IFERROR(__xludf.DUMMYFUNCTION("""COMPUTED_VALUE"""),"IGEM01L7")</f>
        <v>IGEM01L7</v>
      </c>
      <c r="H778" s="12">
        <f ca="1">IFERROR(__xludf.DUMMYFUNCTION("""COMPUTED_VALUE"""),13790)</f>
        <v>13790</v>
      </c>
      <c r="I778" s="14">
        <f ca="1">IFERROR(__xludf.DUMMYFUNCTION("""COMPUTED_VALUE"""),12600)</f>
        <v>12600</v>
      </c>
      <c r="J778" s="21">
        <f ca="1">IFERROR(__xludf.DUMMYFUNCTION("""COMPUTED_VALUE"""),45659)</f>
        <v>45659</v>
      </c>
      <c r="K778" s="12" t="str">
        <f ca="1">IFERROR(__xludf.DUMMYFUNCTION("""COMPUTED_VALUE"""),"回價")</f>
        <v>回價</v>
      </c>
      <c r="L778" s="12" t="str">
        <f ca="1">IFERROR(__xludf.DUMMYFUNCTION("""COMPUTED_VALUE"""),"上架中")</f>
        <v>上架中</v>
      </c>
      <c r="M778" s="12" t="str">
        <f ca="1">IFERROR(__xludf.DUMMYFUNCTION("""COMPUTED_VALUE"""),"2025/1/2回價，2024/12/1短促，2024/8/1回價，2024/7/1短促，4/1回價，2/15短促，2024/1/1 回價，12/1短促，2023/1/1回價，2022/12/1短促，11/1短促，10/1短促，9/22 到3台 9/7少量到4台、8/8缺貨，7/7少量到8台。5月缺貨回價、2/14缺貨、預計1月初到貨、2021/12/22缺貨、2021/7/1-8/31短促、2020/12/7到貨")</f>
        <v>2025/1/2回價，2024/12/1短促，2024/8/1回價，2024/7/1短促，4/1回價，2/15短促，2024/1/1 回價，12/1短促，2023/1/1回價，2022/12/1短促，11/1短促，10/1短促，9/22 到3台 9/7少量到4台、8/8缺貨，7/7少量到8台。5月缺貨回價、2/14缺貨、預計1月初到貨、2021/12/22缺貨、2021/7/1-8/31短促、2020/12/7到貨</v>
      </c>
      <c r="N778" s="12" t="str">
        <f ca="1">IFERROR(__xludf.DUMMYFUNCTION("""COMPUTED_VALUE"""),"除濕機")</f>
        <v>除濕機</v>
      </c>
      <c r="O778" s="12" t="str">
        <f ca="1">IFERROR(__xludf.DUMMYFUNCTION("""COMPUTED_VALUE"""),"白")</f>
        <v>白</v>
      </c>
      <c r="P778" s="24" t="str">
        <f ca="1">IFERROR(__xludf.DUMMYFUNCTION("""COMPUTED_VALUE"""),"15坪")</f>
        <v>15坪</v>
      </c>
      <c r="Q778" s="12" t="str">
        <f ca="1">IFERROR(__xludf.DUMMYFUNCTION("""COMPUTED_VALUE"""),"650*370*310mm")</f>
        <v>650*370*310mm</v>
      </c>
      <c r="R778" s="12" t="str">
        <f ca="1">IFERROR(__xludf.DUMMYFUNCTION("""COMPUTED_VALUE"""),"台灣")</f>
        <v>台灣</v>
      </c>
      <c r="S778" s="12" t="str">
        <f ca="1">IFERROR(__xludf.DUMMYFUNCTION("""COMPUTED_VALUE"""),"V")</f>
        <v>V</v>
      </c>
      <c r="T778" s="13" t="str">
        <f ca="1">IFERROR(__xludf.DUMMYFUNCTION("""COMPUTED_VALUE"""),"1級能效")</f>
        <v>1級能效</v>
      </c>
      <c r="U778" s="12" t="str">
        <f ca="1">IFERROR(__xludf.DUMMYFUNCTION("""COMPUTED_VALUE"""),"3年")</f>
        <v>3年</v>
      </c>
      <c r="V778" s="22" t="str">
        <f ca="1">IFERROR(__xludf.DUMMYFUNCTION("""COMPUTED_VALUE"""),"5年")</f>
        <v>5年</v>
      </c>
      <c r="W778" s="12" t="str">
        <f ca="1">IFERROR(__xludf.DUMMYFUNCTION("""COMPUTED_VALUE"""),"(10/1-114/2/28)隨貨送SP-2017曬衣架")</f>
        <v>(10/1-114/2/28)隨貨送SP-2017曬衣架</v>
      </c>
      <c r="X778" s="12"/>
      <c r="Y778" s="12">
        <f ca="1">IFERROR(__xludf.DUMMYFUNCTION("""COMPUTED_VALUE"""),12)</f>
        <v>12</v>
      </c>
      <c r="Z778" s="14" t="str">
        <f ca="1">IFERROR(__xludf.DUMMYFUNCTION("""COMPUTED_VALUE"""),"1200")</f>
        <v>1200</v>
      </c>
      <c r="AA778" s="15" t="str">
        <f ca="1">IFERROR(__xludf.DUMMYFUNCTION("""COMPUTED_VALUE"""),"*W-HEXS雙重除濕系統*nanoe™X健康科技*ECONAVI智慧節能科技*濕度數值設定*定時功能：1~12h*超廣角+下吹出風*前方+上方濕度雙顯示*25項安全裝置*奈米銀抗菌抗敏清淨濾網*全平面觸控按鍵""")</f>
        <v>*W-HEXS雙重除濕系統*nanoe™X健康科技*ECONAVI智慧節能科技*濕度數值設定*定時功能：1~12h*超廣角+下吹出風*前方+上方濕度雙顯示*25項安全裝置*奈米銀抗菌抗敏清淨濾網*全平面觸控按鍵"</v>
      </c>
    </row>
    <row r="779" spans="1:27" ht="19.5" customHeight="1">
      <c r="A779" s="12" t="str">
        <f ca="1">IFERROR(__xludf.DUMMYFUNCTION("""COMPUTED_VALUE"""),"除濕機")</f>
        <v>除濕機</v>
      </c>
      <c r="B779" s="12" t="str">
        <f ca="1">IFERROR(__xludf.DUMMYFUNCTION("""COMPUTED_VALUE"""),"大同")</f>
        <v>大同</v>
      </c>
      <c r="C779" s="12" t="str">
        <f ca="1">IFERROR(__xludf.DUMMYFUNCTION("""COMPUTED_VALUE"""),"PANASONIC")</f>
        <v>PANASONIC</v>
      </c>
      <c r="D779" s="12" t="str">
        <f ca="1">IFERROR(__xludf.DUMMYFUNCTION("""COMPUTED_VALUE"""),"Panasonic10L清淨型除濕機F-Y20JH")</f>
        <v>Panasonic10L清淨型除濕機F-Y20JH</v>
      </c>
      <c r="E779" s="12" t="str">
        <f ca="1">IFERROR(__xludf.DUMMYFUNCTION("""COMPUTED_VALUE"""),"F-Y20JH")</f>
        <v>F-Y20JH</v>
      </c>
      <c r="F779" s="12">
        <f ca="1">IFERROR(__xludf.DUMMYFUNCTION("""COMPUTED_VALUE"""),51089351)</f>
        <v>51089351</v>
      </c>
      <c r="G779" s="12" t="str">
        <f ca="1">IFERROR(__xludf.DUMMYFUNCTION("""COMPUTED_VALUE"""),"IGEM030Q")</f>
        <v>IGEM030Q</v>
      </c>
      <c r="H779" s="12">
        <f ca="1">IFERROR(__xludf.DUMMYFUNCTION("""COMPUTED_VALUE"""),14390)</f>
        <v>14390</v>
      </c>
      <c r="I779" s="14">
        <f ca="1">IFERROR(__xludf.DUMMYFUNCTION("""COMPUTED_VALUE"""),13640)</f>
        <v>13640</v>
      </c>
      <c r="J779" s="16">
        <f ca="1">IFERROR(__xludf.DUMMYFUNCTION("""COMPUTED_VALUE"""),45292)</f>
        <v>45292</v>
      </c>
      <c r="K779" s="12" t="str">
        <f ca="1">IFERROR(__xludf.DUMMYFUNCTION("""COMPUTED_VALUE"""),"短促")</f>
        <v>短促</v>
      </c>
      <c r="L779" s="12" t="str">
        <f ca="1">IFERROR(__xludf.DUMMYFUNCTION("""COMPUTED_VALUE"""),"上架中")</f>
        <v>上架中</v>
      </c>
      <c r="M779" s="12" t="str">
        <f ca="1">IFERROR(__xludf.DUMMYFUNCTION("""COMPUTED_VALUE"""),"2024/1/1短促，3/1短促，2022/12/19少量到貨，2022/12/1下架，2022/10/7少量到貨，2022/9/22到貨1台、2022/7/7到貨1台。2022/5月缺貨回價、2022/2/14缺貨、2022/1月少量到10台、2021/12/23缺貨、預計一月初到貨，實際到貨日期依原廠通知為準7/1-7/31短促、2021/1/1新機上架")</f>
        <v>2024/1/1短促，3/1短促，2022/12/19少量到貨，2022/12/1下架，2022/10/7少量到貨，2022/9/22到貨1台、2022/7/7到貨1台。2022/5月缺貨回價、2022/2/14缺貨、2022/1月少量到10台、2021/12/23缺貨、預計一月初到貨，實際到貨日期依原廠通知為準7/1-7/31短促、2021/1/1新機上架</v>
      </c>
      <c r="N779" s="12" t="str">
        <f ca="1">IFERROR(__xludf.DUMMYFUNCTION("""COMPUTED_VALUE"""),"除濕機")</f>
        <v>除濕機</v>
      </c>
      <c r="O779" s="12" t="str">
        <f ca="1">IFERROR(__xludf.DUMMYFUNCTION("""COMPUTED_VALUE"""),"白色")</f>
        <v>白色</v>
      </c>
      <c r="P779" s="12"/>
      <c r="Q779" s="12" t="str">
        <f ca="1">IFERROR(__xludf.DUMMYFUNCTION("""COMPUTED_VALUE"""),"650*370*322mm")</f>
        <v>650*370*322mm</v>
      </c>
      <c r="R779" s="12" t="str">
        <f ca="1">IFERROR(__xludf.DUMMYFUNCTION("""COMPUTED_VALUE"""),"台灣")</f>
        <v>台灣</v>
      </c>
      <c r="S779" s="12" t="str">
        <f ca="1">IFERROR(__xludf.DUMMYFUNCTION("""COMPUTED_VALUE"""),"V")</f>
        <v>V</v>
      </c>
      <c r="T779" s="13" t="str">
        <f ca="1">IFERROR(__xludf.DUMMYFUNCTION("""COMPUTED_VALUE"""),"1級能效")</f>
        <v>1級能效</v>
      </c>
      <c r="U779" s="22" t="str">
        <f ca="1">IFERROR(__xludf.DUMMYFUNCTION("""COMPUTED_VALUE"""),"3年")</f>
        <v>3年</v>
      </c>
      <c r="V779" s="22" t="str">
        <f ca="1">IFERROR(__xludf.DUMMYFUNCTION("""COMPUTED_VALUE"""),"5年")</f>
        <v>5年</v>
      </c>
      <c r="W779" s="12" t="str">
        <f ca="1">IFERROR(__xludf.DUMMYFUNCTION("""COMPUTED_VALUE"""),"(10/1-114/2/28)隨貨送SP-2017曬衣架")</f>
        <v>(10/1-114/2/28)隨貨送SP-2017曬衣架</v>
      </c>
      <c r="X779" s="12"/>
      <c r="Y779" s="12">
        <f ca="1">IFERROR(__xludf.DUMMYFUNCTION("""COMPUTED_VALUE"""),10)</f>
        <v>10</v>
      </c>
      <c r="Z779" s="14" t="str">
        <f ca="1">IFERROR(__xludf.DUMMYFUNCTION("""COMPUTED_VALUE"""),"900")</f>
        <v>900</v>
      </c>
      <c r="AA779" s="15" t="str">
        <f ca="1">IFERROR(__xludf.DUMMYFUNCTION("""COMPUTED_VALUE"""),"*全彩液晶螢幕*PM2.5/1.0異味顯示*內建WIFI模組*聲控智慧操作*W-HEXS雙重除濕系統")</f>
        <v>*全彩液晶螢幕*PM2.5/1.0異味顯示*內建WIFI模組*聲控智慧操作*W-HEXS雙重除濕系統</v>
      </c>
    </row>
    <row r="780" spans="1:27" ht="19.5" customHeight="1">
      <c r="A780" s="12" t="str">
        <f ca="1">IFERROR(__xludf.DUMMYFUNCTION("""COMPUTED_VALUE"""),"除濕機")</f>
        <v>除濕機</v>
      </c>
      <c r="B780" s="12" t="str">
        <f ca="1">IFERROR(__xludf.DUMMYFUNCTION("""COMPUTED_VALUE"""),"大同")</f>
        <v>大同</v>
      </c>
      <c r="C780" s="12" t="str">
        <f ca="1">IFERROR(__xludf.DUMMYFUNCTION("""COMPUTED_VALUE"""),"PANASONIC")</f>
        <v>PANASONIC</v>
      </c>
      <c r="D780" s="12" t="str">
        <f ca="1">IFERROR(__xludf.DUMMYFUNCTION("""COMPUTED_VALUE"""),"Panasonic13L清淨型除濕機F-Y26JH")</f>
        <v>Panasonic13L清淨型除濕機F-Y26JH</v>
      </c>
      <c r="E780" s="12" t="str">
        <f ca="1">IFERROR(__xludf.DUMMYFUNCTION("""COMPUTED_VALUE"""),"F-Y26JH")</f>
        <v>F-Y26JH</v>
      </c>
      <c r="F780" s="12">
        <f ca="1">IFERROR(__xludf.DUMMYFUNCTION("""COMPUTED_VALUE"""),51089352)</f>
        <v>51089352</v>
      </c>
      <c r="G780" s="12" t="str">
        <f ca="1">IFERROR(__xludf.DUMMYFUNCTION("""COMPUTED_VALUE"""),"IGEM030R")</f>
        <v>IGEM030R</v>
      </c>
      <c r="H780" s="12">
        <f ca="1">IFERROR(__xludf.DUMMYFUNCTION("""COMPUTED_VALUE"""),17390)</f>
        <v>17390</v>
      </c>
      <c r="I780" s="14">
        <f ca="1">IFERROR(__xludf.DUMMYFUNCTION("""COMPUTED_VALUE"""),15600)</f>
        <v>15600</v>
      </c>
      <c r="J780" s="16">
        <f ca="1">IFERROR(__xludf.DUMMYFUNCTION("""COMPUTED_VALUE"""),45292)</f>
        <v>45292</v>
      </c>
      <c r="K780" s="12" t="str">
        <f ca="1">IFERROR(__xludf.DUMMYFUNCTION("""COMPUTED_VALUE"""),"短促")</f>
        <v>短促</v>
      </c>
      <c r="L780" s="12" t="str">
        <f ca="1">IFERROR(__xludf.DUMMYFUNCTION("""COMPUTED_VALUE"""),"上架中")</f>
        <v>上架中</v>
      </c>
      <c r="M780" s="12" t="str">
        <f ca="1">IFERROR(__xludf.DUMMYFUNCTION("""COMPUTED_VALUE"""),"2024/1/1短促，12/1回價，3/1短促，1/18短促，2022/12/19回價+少量到貨，2022/12/1下架，2022/11/1短促，2022/10/7少量到貨，2022/9/7少量貨1台、2022/9/1缺貨、2022/7/7到貨1台。2022/5月缺貨回價、2021/7/1-7/31短促、2021/4/1-4/30短促。2021/1/1新機上架")</f>
        <v>2024/1/1短促，12/1回價，3/1短促，1/18短促，2022/12/19回價+少量到貨，2022/12/1下架，2022/11/1短促，2022/10/7少量到貨，2022/9/7少量貨1台、2022/9/1缺貨、2022/7/7到貨1台。2022/5月缺貨回價、2021/7/1-7/31短促、2021/4/1-4/30短促。2021/1/1新機上架</v>
      </c>
      <c r="N780" s="12" t="str">
        <f ca="1">IFERROR(__xludf.DUMMYFUNCTION("""COMPUTED_VALUE"""),"除濕機")</f>
        <v>除濕機</v>
      </c>
      <c r="O780" s="12" t="str">
        <f ca="1">IFERROR(__xludf.DUMMYFUNCTION("""COMPUTED_VALUE"""),"白色")</f>
        <v>白色</v>
      </c>
      <c r="P780" s="12"/>
      <c r="Q780" s="12" t="str">
        <f ca="1">IFERROR(__xludf.DUMMYFUNCTION("""COMPUTED_VALUE"""),"650*370*322mm")</f>
        <v>650*370*322mm</v>
      </c>
      <c r="R780" s="12" t="str">
        <f ca="1">IFERROR(__xludf.DUMMYFUNCTION("""COMPUTED_VALUE"""),"台灣")</f>
        <v>台灣</v>
      </c>
      <c r="S780" s="12" t="str">
        <f ca="1">IFERROR(__xludf.DUMMYFUNCTION("""COMPUTED_VALUE"""),"V")</f>
        <v>V</v>
      </c>
      <c r="T780" s="13" t="str">
        <f ca="1">IFERROR(__xludf.DUMMYFUNCTION("""COMPUTED_VALUE"""),"1級能效")</f>
        <v>1級能效</v>
      </c>
      <c r="U780" s="22" t="str">
        <f ca="1">IFERROR(__xludf.DUMMYFUNCTION("""COMPUTED_VALUE"""),"3年")</f>
        <v>3年</v>
      </c>
      <c r="V780" s="22" t="str">
        <f ca="1">IFERROR(__xludf.DUMMYFUNCTION("""COMPUTED_VALUE"""),"5年")</f>
        <v>5年</v>
      </c>
      <c r="W780" s="12" t="str">
        <f ca="1">IFERROR(__xludf.DUMMYFUNCTION("""COMPUTED_VALUE"""),"(10/1-114/2/28)隨貨送SP-2017曬衣架")</f>
        <v>(10/1-114/2/28)隨貨送SP-2017曬衣架</v>
      </c>
      <c r="X780" s="12"/>
      <c r="Y780" s="12">
        <f ca="1">IFERROR(__xludf.DUMMYFUNCTION("""COMPUTED_VALUE"""),13)</f>
        <v>13</v>
      </c>
      <c r="Z780" s="14" t="str">
        <f ca="1">IFERROR(__xludf.DUMMYFUNCTION("""COMPUTED_VALUE"""),"1200")</f>
        <v>1200</v>
      </c>
      <c r="AA780" s="15" t="str">
        <f ca="1">IFERROR(__xludf.DUMMYFUNCTION("""COMPUTED_VALUE"""),"*LED全彩液晶螢幕*PM2.5/1.0/異味顯示*AI舒適、聲控智慧操作*W-HEXS雙重除濕系統")</f>
        <v>*LED全彩液晶螢幕*PM2.5/1.0/異味顯示*AI舒適、聲控智慧操作*W-HEXS雙重除濕系統</v>
      </c>
    </row>
    <row r="781" spans="1:27" ht="19.5" customHeight="1">
      <c r="A781" s="12" t="str">
        <f ca="1">IFERROR(__xludf.DUMMYFUNCTION("""COMPUTED_VALUE"""),"空氣清淨機")</f>
        <v>空氣清淨機</v>
      </c>
      <c r="B781" s="12" t="str">
        <f ca="1">IFERROR(__xludf.DUMMYFUNCTION("""COMPUTED_VALUE"""),"旺德")</f>
        <v>旺德</v>
      </c>
      <c r="C781" s="12" t="str">
        <f ca="1">IFERROR(__xludf.DUMMYFUNCTION("""COMPUTED_VALUE"""),"SABA")</f>
        <v>SABA</v>
      </c>
      <c r="D781" s="12" t="str">
        <f ca="1">IFERROR(__xludf.DUMMYFUNCTION("""COMPUTED_VALUE"""),"SABA無線免耗材清淨機(曜石黑)SA-HX06U")</f>
        <v>SABA無線免耗材清淨機(曜石黑)SA-HX06U</v>
      </c>
      <c r="E781" s="12" t="str">
        <f ca="1">IFERROR(__xludf.DUMMYFUNCTION("""COMPUTED_VALUE"""),"SA-HX06U-B")</f>
        <v>SA-HX06U-B</v>
      </c>
      <c r="F781" s="12">
        <f ca="1">IFERROR(__xludf.DUMMYFUNCTION("""COMPUTED_VALUE"""),51092121)</f>
        <v>51092121</v>
      </c>
      <c r="G781" s="12" t="str">
        <f ca="1">IFERROR(__xludf.DUMMYFUNCTION("""COMPUTED_VALUE"""),"IGEM094K")</f>
        <v>IGEM094K</v>
      </c>
      <c r="H781" s="13">
        <f ca="1">IFERROR(__xludf.DUMMYFUNCTION("""COMPUTED_VALUE"""),3990)</f>
        <v>3990</v>
      </c>
      <c r="I781" s="18">
        <f ca="1">IFERROR(__xludf.DUMMYFUNCTION("""COMPUTED_VALUE"""),3490)</f>
        <v>3490</v>
      </c>
      <c r="J781" s="16">
        <f ca="1">IFERROR(__xludf.DUMMYFUNCTION("""COMPUTED_VALUE"""),45658)</f>
        <v>45658</v>
      </c>
      <c r="K781" s="12" t="str">
        <f ca="1">IFERROR(__xludf.DUMMYFUNCTION("""COMPUTED_VALUE"""),"缺貨")</f>
        <v>缺貨</v>
      </c>
      <c r="L781" s="12" t="str">
        <f ca="1">IFERROR(__xludf.DUMMYFUNCTION("""COMPUTED_VALUE"""),"缺貨")</f>
        <v>缺貨</v>
      </c>
      <c r="M781" s="12" t="str">
        <f ca="1">IFERROR(__xludf.DUMMYFUNCTION("""COMPUTED_VALUE"""),"2025/1/1缺貨，2023/11/28新機上架")</f>
        <v>2025/1/1缺貨，2023/11/28新機上架</v>
      </c>
      <c r="N781" s="12" t="str">
        <f ca="1">IFERROR(__xludf.DUMMYFUNCTION("""COMPUTED_VALUE"""),"空氣清淨機")</f>
        <v>空氣清淨機</v>
      </c>
      <c r="O781" s="12" t="str">
        <f ca="1">IFERROR(__xludf.DUMMYFUNCTION("""COMPUTED_VALUE"""),"曜石黑")</f>
        <v>曜石黑</v>
      </c>
      <c r="P781" s="12"/>
      <c r="Q781" s="12" t="str">
        <f ca="1">IFERROR(__xludf.DUMMYFUNCTION("""COMPUTED_VALUE"""),"187X187X196(mm)")</f>
        <v>187X187X196(mm)</v>
      </c>
      <c r="R781" s="12" t="str">
        <f ca="1">IFERROR(__xludf.DUMMYFUNCTION("""COMPUTED_VALUE"""),"中國")</f>
        <v>中國</v>
      </c>
      <c r="S781" s="12"/>
      <c r="T781" s="12"/>
      <c r="U781" s="12" t="str">
        <f ca="1">IFERROR(__xludf.DUMMYFUNCTION("""COMPUTED_VALUE"""),"1年")</f>
        <v>1年</v>
      </c>
      <c r="V781" s="12"/>
      <c r="W781" s="12"/>
      <c r="X781" s="12"/>
      <c r="Y781" s="12"/>
      <c r="Z781" s="14"/>
      <c r="AA781" s="15" t="str">
        <f ca="1">IFERROR(__xludf.DUMMYFUNCTION("""COMPUTED_VALUE"""),"*免耗材 可水洗濾網，環保又省錢*靜電吸附 電離分解有害氣體*一鍵三段，直覺操作*低噪音 更安靜*大容量電池，充滿電18小時持久續行")</f>
        <v>*免耗材 可水洗濾網，環保又省錢*靜電吸附 電離分解有害氣體*一鍵三段，直覺操作*低噪音 更安靜*大容量電池，充滿電18小時持久續行</v>
      </c>
    </row>
    <row r="782" spans="1:27" ht="19.5" customHeight="1">
      <c r="A782" s="12" t="str">
        <f ca="1">IFERROR(__xludf.DUMMYFUNCTION("""COMPUTED_VALUE"""),"空氣清淨機")</f>
        <v>空氣清淨機</v>
      </c>
      <c r="B782" s="12" t="str">
        <f ca="1">IFERROR(__xludf.DUMMYFUNCTION("""COMPUTED_VALUE"""),"旺德")</f>
        <v>旺德</v>
      </c>
      <c r="C782" s="12" t="str">
        <f ca="1">IFERROR(__xludf.DUMMYFUNCTION("""COMPUTED_VALUE"""),"SABA")</f>
        <v>SABA</v>
      </c>
      <c r="D782" s="12" t="str">
        <f ca="1">IFERROR(__xludf.DUMMYFUNCTION("""COMPUTED_VALUE"""),"SABA無線免耗材清淨機(簡約白)SA-HX06U")</f>
        <v>SABA無線免耗材清淨機(簡約白)SA-HX06U</v>
      </c>
      <c r="E782" s="12" t="str">
        <f ca="1">IFERROR(__xludf.DUMMYFUNCTION("""COMPUTED_VALUE"""),"SA-HX06U-W")</f>
        <v>SA-HX06U-W</v>
      </c>
      <c r="F782" s="12">
        <f ca="1">IFERROR(__xludf.DUMMYFUNCTION("""COMPUTED_VALUE"""),51092122)</f>
        <v>51092122</v>
      </c>
      <c r="G782" s="12" t="str">
        <f ca="1">IFERROR(__xludf.DUMMYFUNCTION("""COMPUTED_VALUE"""),"IGEM094L")</f>
        <v>IGEM094L</v>
      </c>
      <c r="H782" s="13">
        <f ca="1">IFERROR(__xludf.DUMMYFUNCTION("""COMPUTED_VALUE"""),3990)</f>
        <v>3990</v>
      </c>
      <c r="I782" s="18">
        <f ca="1">IFERROR(__xludf.DUMMYFUNCTION("""COMPUTED_VALUE"""),3490)</f>
        <v>3490</v>
      </c>
      <c r="J782" s="16">
        <f ca="1">IFERROR(__xludf.DUMMYFUNCTION("""COMPUTED_VALUE"""),45658)</f>
        <v>45658</v>
      </c>
      <c r="K782" s="12" t="str">
        <f ca="1">IFERROR(__xludf.DUMMYFUNCTION("""COMPUTED_VALUE"""),"缺貨")</f>
        <v>缺貨</v>
      </c>
      <c r="L782" s="12" t="str">
        <f ca="1">IFERROR(__xludf.DUMMYFUNCTION("""COMPUTED_VALUE"""),"缺貨")</f>
        <v>缺貨</v>
      </c>
      <c r="M782" s="12" t="str">
        <f ca="1">IFERROR(__xludf.DUMMYFUNCTION("""COMPUTED_VALUE"""),"2025/1/1缺貨，2023/11/28新機上架")</f>
        <v>2025/1/1缺貨，2023/11/28新機上架</v>
      </c>
      <c r="N782" s="12" t="str">
        <f ca="1">IFERROR(__xludf.DUMMYFUNCTION("""COMPUTED_VALUE"""),"空氣清淨機")</f>
        <v>空氣清淨機</v>
      </c>
      <c r="O782" s="12" t="str">
        <f ca="1">IFERROR(__xludf.DUMMYFUNCTION("""COMPUTED_VALUE"""),"簡約白")</f>
        <v>簡約白</v>
      </c>
      <c r="P782" s="12"/>
      <c r="Q782" s="12" t="str">
        <f ca="1">IFERROR(__xludf.DUMMYFUNCTION("""COMPUTED_VALUE"""),"187X187X196(mm)")</f>
        <v>187X187X196(mm)</v>
      </c>
      <c r="R782" s="12" t="str">
        <f ca="1">IFERROR(__xludf.DUMMYFUNCTION("""COMPUTED_VALUE"""),"中國")</f>
        <v>中國</v>
      </c>
      <c r="S782" s="12"/>
      <c r="T782" s="12"/>
      <c r="U782" s="12" t="str">
        <f ca="1">IFERROR(__xludf.DUMMYFUNCTION("""COMPUTED_VALUE"""),"1年")</f>
        <v>1年</v>
      </c>
      <c r="V782" s="12"/>
      <c r="W782" s="12"/>
      <c r="X782" s="12"/>
      <c r="Y782" s="12"/>
      <c r="Z782" s="14"/>
      <c r="AA782" s="15" t="str">
        <f ca="1">IFERROR(__xludf.DUMMYFUNCTION("""COMPUTED_VALUE"""),"*免耗材 可水洗濾網，環保又省錢*靜電吸附 電離分解有害氣體*一鍵三段，直覺操作*低噪音 更安靜*大容量電池，充滿電18小時持久續行")</f>
        <v>*免耗材 可水洗濾網，環保又省錢*靜電吸附 電離分解有害氣體*一鍵三段，直覺操作*低噪音 更安靜*大容量電池，充滿電18小時持久續行</v>
      </c>
    </row>
    <row r="783" spans="1:27" ht="19.5" customHeight="1">
      <c r="A783" s="12" t="str">
        <f ca="1">IFERROR(__xludf.DUMMYFUNCTION("""COMPUTED_VALUE"""),"空氣清淨機")</f>
        <v>空氣清淨機</v>
      </c>
      <c r="B783" s="12" t="str">
        <f ca="1">IFERROR(__xludf.DUMMYFUNCTION("""COMPUTED_VALUE"""),"旺德")</f>
        <v>旺德</v>
      </c>
      <c r="C783" s="12" t="str">
        <f ca="1">IFERROR(__xludf.DUMMYFUNCTION("""COMPUTED_VALUE"""),"SABA")</f>
        <v>SABA</v>
      </c>
      <c r="D783" s="12" t="str">
        <f ca="1">IFERROR(__xludf.DUMMYFUNCTION("""COMPUTED_VALUE"""),"SABA 無線免耗材清淨機 SA-HX06U 曜石黑")</f>
        <v>SABA 無線免耗材清淨機 SA-HX06U 曜石黑</v>
      </c>
      <c r="E783" s="12" t="str">
        <f ca="1">IFERROR(__xludf.DUMMYFUNCTION("""COMPUTED_VALUE"""),"SA-HX06U(黑)")</f>
        <v>SA-HX06U(黑)</v>
      </c>
      <c r="F783" s="12">
        <f ca="1">IFERROR(__xludf.DUMMYFUNCTION("""COMPUTED_VALUE"""),51092142)</f>
        <v>51092142</v>
      </c>
      <c r="G783" s="12" t="str">
        <f ca="1">IFERROR(__xludf.DUMMYFUNCTION("""COMPUTED_VALUE"""),"IGEM1122")</f>
        <v>IGEM1122</v>
      </c>
      <c r="H783" s="13">
        <f ca="1">IFERROR(__xludf.DUMMYFUNCTION("""COMPUTED_VALUE"""),3290)</f>
        <v>3290</v>
      </c>
      <c r="I783" s="14">
        <f ca="1">IFERROR(__xludf.DUMMYFUNCTION("""COMPUTED_VALUE"""),3290)</f>
        <v>3290</v>
      </c>
      <c r="J783" s="16">
        <f ca="1">IFERROR(__xludf.DUMMYFUNCTION("""COMPUTED_VALUE"""),45627)</f>
        <v>45627</v>
      </c>
      <c r="K783" s="12"/>
      <c r="L783" s="12" t="str">
        <f ca="1">IFERROR(__xludf.DUMMYFUNCTION("""COMPUTED_VALUE"""),"上架中")</f>
        <v>上架中</v>
      </c>
      <c r="M783" s="12" t="str">
        <f ca="1">IFERROR(__xludf.DUMMYFUNCTION("""COMPUTED_VALUE"""),"2024/11/1新機上架")</f>
        <v>2024/11/1新機上架</v>
      </c>
      <c r="N783" s="12" t="str">
        <f ca="1">IFERROR(__xludf.DUMMYFUNCTION("""COMPUTED_VALUE"""),"空氣清淨機")</f>
        <v>空氣清淨機</v>
      </c>
      <c r="O783" s="12" t="str">
        <f ca="1">IFERROR(__xludf.DUMMYFUNCTION("""COMPUTED_VALUE""")," 曜石黑")</f>
        <v xml:space="preserve"> 曜石黑</v>
      </c>
      <c r="P783" s="12" t="str">
        <f ca="1">IFERROR(__xludf.DUMMYFUNCTION("""COMPUTED_VALUE"""),"額定電壓：DC 5V / 2A
 電池容量：5000 mAH鋰電池(充電時間約5hr、使用時間最高18hr、充飽電的狀態)
 材質：ABS 
 USB線長度：100 cm")</f>
        <v>額定電壓：DC 5V / 2A
 電池容量：5000 mAH鋰電池(充電時間約5hr、使用時間最高18hr、充飽電的狀態)
 材質：ABS 
 USB線長度：100 cm</v>
      </c>
      <c r="Q783" s="12" t="str">
        <f ca="1">IFERROR(__xludf.DUMMYFUNCTION("""COMPUTED_VALUE"""),"187*187*196(mm)")</f>
        <v>187*187*196(mm)</v>
      </c>
      <c r="R783" s="12" t="str">
        <f ca="1">IFERROR(__xludf.DUMMYFUNCTION("""COMPUTED_VALUE"""),"中國")</f>
        <v>中國</v>
      </c>
      <c r="S783" s="12"/>
      <c r="T783" s="12"/>
      <c r="U783" s="12"/>
      <c r="V783" s="12"/>
      <c r="W783" s="12"/>
      <c r="X783" s="12"/>
      <c r="Y783" s="12"/>
      <c r="Z783" s="14"/>
      <c r="AA783" s="15" t="str">
        <f ca="1">IFERROR(__xludf.DUMMYFUNCTION("""COMPUTED_VALUE"""),"*免耗材 可水洗濾網，環保又省錢*靜電吸附 電離分解有害氣體*體積小巧 無線到哪都能帶著走*一鍵三段，直覺操作*低噪音 更安靜*大容量電池，充滿電18小時持久續行")</f>
        <v>*免耗材 可水洗濾網，環保又省錢*靜電吸附 電離分解有害氣體*體積小巧 無線到哪都能帶著走*一鍵三段，直覺操作*低噪音 更安靜*大容量電池，充滿電18小時持久續行</v>
      </c>
    </row>
    <row r="784" spans="1:27" ht="19.5" customHeight="1">
      <c r="A784" s="12" t="str">
        <f ca="1">IFERROR(__xludf.DUMMYFUNCTION("""COMPUTED_VALUE"""),"空氣清淨機")</f>
        <v>空氣清淨機</v>
      </c>
      <c r="B784" s="12" t="str">
        <f ca="1">IFERROR(__xludf.DUMMYFUNCTION("""COMPUTED_VALUE"""),"旺德")</f>
        <v>旺德</v>
      </c>
      <c r="C784" s="12" t="str">
        <f ca="1">IFERROR(__xludf.DUMMYFUNCTION("""COMPUTED_VALUE"""),"SABA")</f>
        <v>SABA</v>
      </c>
      <c r="D784" s="12" t="str">
        <f ca="1">IFERROR(__xludf.DUMMYFUNCTION("""COMPUTED_VALUE"""),"SABA 無線免耗材清淨機 SA-HX06U 簡約白")</f>
        <v>SABA 無線免耗材清淨機 SA-HX06U 簡約白</v>
      </c>
      <c r="E784" s="12" t="str">
        <f ca="1">IFERROR(__xludf.DUMMYFUNCTION("""COMPUTED_VALUE"""),"SA-HX06U(白)")</f>
        <v>SA-HX06U(白)</v>
      </c>
      <c r="F784" s="12">
        <f ca="1">IFERROR(__xludf.DUMMYFUNCTION("""COMPUTED_VALUE"""),51092143)</f>
        <v>51092143</v>
      </c>
      <c r="G784" s="12" t="str">
        <f ca="1">IFERROR(__xludf.DUMMYFUNCTION("""COMPUTED_VALUE"""),"IGEM1123")</f>
        <v>IGEM1123</v>
      </c>
      <c r="H784" s="13">
        <f ca="1">IFERROR(__xludf.DUMMYFUNCTION("""COMPUTED_VALUE"""),3290)</f>
        <v>3290</v>
      </c>
      <c r="I784" s="14">
        <f ca="1">IFERROR(__xludf.DUMMYFUNCTION("""COMPUTED_VALUE"""),3290)</f>
        <v>3290</v>
      </c>
      <c r="J784" s="16">
        <f ca="1">IFERROR(__xludf.DUMMYFUNCTION("""COMPUTED_VALUE"""),45627)</f>
        <v>45627</v>
      </c>
      <c r="K784" s="12"/>
      <c r="L784" s="12" t="str">
        <f ca="1">IFERROR(__xludf.DUMMYFUNCTION("""COMPUTED_VALUE"""),"上架中")</f>
        <v>上架中</v>
      </c>
      <c r="M784" s="12" t="str">
        <f ca="1">IFERROR(__xludf.DUMMYFUNCTION("""COMPUTED_VALUE"""),"2024/11/1新機上架")</f>
        <v>2024/11/1新機上架</v>
      </c>
      <c r="N784" s="12" t="str">
        <f ca="1">IFERROR(__xludf.DUMMYFUNCTION("""COMPUTED_VALUE"""),"空氣清淨機")</f>
        <v>空氣清淨機</v>
      </c>
      <c r="O784" s="12" t="str">
        <f ca="1">IFERROR(__xludf.DUMMYFUNCTION("""COMPUTED_VALUE"""),"簡約白")</f>
        <v>簡約白</v>
      </c>
      <c r="P784" s="12" t="str">
        <f ca="1">IFERROR(__xludf.DUMMYFUNCTION("""COMPUTED_VALUE"""),"額定電壓：DC 5V / 2A
 電池容量：5000 mAH鋰電池(充電時間約5hr、使用時間最高18hr、充飽電的狀態)
 材質：ABS 
 USB線長度：100 cm")</f>
        <v>額定電壓：DC 5V / 2A
 電池容量：5000 mAH鋰電池(充電時間約5hr、使用時間最高18hr、充飽電的狀態)
 材質：ABS 
 USB線長度：100 cm</v>
      </c>
      <c r="Q784" s="12" t="str">
        <f ca="1">IFERROR(__xludf.DUMMYFUNCTION("""COMPUTED_VALUE"""),"187*187*196(mm)")</f>
        <v>187*187*196(mm)</v>
      </c>
      <c r="R784" s="12" t="str">
        <f ca="1">IFERROR(__xludf.DUMMYFUNCTION("""COMPUTED_VALUE"""),"中國")</f>
        <v>中國</v>
      </c>
      <c r="S784" s="12"/>
      <c r="T784" s="12"/>
      <c r="U784" s="12"/>
      <c r="V784" s="12"/>
      <c r="W784" s="12"/>
      <c r="X784" s="12"/>
      <c r="Y784" s="12"/>
      <c r="Z784" s="14"/>
      <c r="AA784" s="15" t="str">
        <f ca="1">IFERROR(__xludf.DUMMYFUNCTION("""COMPUTED_VALUE"""),"*免耗材 可水洗濾網，環保又省錢*靜電吸附 電離分解有害氣體*體積小巧 無線到哪都能帶著走*一鍵三段，直覺操作*低噪音 更安靜*大容量電池，充滿電18小時持久續行")</f>
        <v>*免耗材 可水洗濾網，環保又省錢*靜電吸附 電離分解有害氣體*體積小巧 無線到哪都能帶著走*一鍵三段，直覺操作*低噪音 更安靜*大容量電池，充滿電18小時持久續行</v>
      </c>
    </row>
    <row r="785" spans="1:27" ht="19.5" customHeight="1">
      <c r="A785" s="12" t="str">
        <f ca="1">IFERROR(__xludf.DUMMYFUNCTION("""COMPUTED_VALUE"""),"除濕機")</f>
        <v>除濕機</v>
      </c>
      <c r="B785" s="12" t="str">
        <f ca="1">IFERROR(__xludf.DUMMYFUNCTION("""COMPUTED_VALUE"""),"順發")</f>
        <v>順發</v>
      </c>
      <c r="C785" s="12" t="str">
        <f ca="1">IFERROR(__xludf.DUMMYFUNCTION("""COMPUTED_VALUE"""),"HITACHI")</f>
        <v>HITACHI</v>
      </c>
      <c r="D785" s="12" t="str">
        <f ca="1">IFERROR(__xludf.DUMMYFUNCTION("""COMPUTED_VALUE"""),"HITACHI 日立 11L清淨型除濕機 RD-22FC (榮耀紫)_767294")</f>
        <v>HITACHI 日立 11L清淨型除濕機 RD-22FC (榮耀紫)_767294</v>
      </c>
      <c r="E785" s="12" t="str">
        <f ca="1">IFERROR(__xludf.DUMMYFUNCTION("""COMPUTED_VALUE"""),"RD-22FC")</f>
        <v>RD-22FC</v>
      </c>
      <c r="F785" s="12">
        <f ca="1">IFERROR(__xludf.DUMMYFUNCTION("""COMPUTED_VALUE"""),51095860)</f>
        <v>51095860</v>
      </c>
      <c r="G785" s="12" t="str">
        <f ca="1">IFERROR(__xludf.DUMMYFUNCTION("""COMPUTED_VALUE"""),"IGEM110J")</f>
        <v>IGEM110J</v>
      </c>
      <c r="H785" s="12">
        <f ca="1">IFERROR(__xludf.DUMMYFUNCTION("""COMPUTED_VALUE"""),10990)</f>
        <v>10990</v>
      </c>
      <c r="I785" s="14">
        <f ca="1">IFERROR(__xludf.DUMMYFUNCTION("""COMPUTED_VALUE"""),9870)</f>
        <v>9870</v>
      </c>
      <c r="J785" s="16">
        <f ca="1">IFERROR(__xludf.DUMMYFUNCTION("""COMPUTED_VALUE"""),45617)</f>
        <v>45617</v>
      </c>
      <c r="K785" s="12" t="str">
        <f ca="1">IFERROR(__xludf.DUMMYFUNCTION("""COMPUTED_VALUE"""),"短促")</f>
        <v>短促</v>
      </c>
      <c r="L785" s="12" t="str">
        <f ca="1">IFERROR(__xludf.DUMMYFUNCTION("""COMPUTED_VALUE"""),"上架中")</f>
        <v>上架中</v>
      </c>
      <c r="M785" s="12" t="str">
        <f ca="1">IFERROR(__xludf.DUMMYFUNCTION("""COMPUTED_VALUE"""),"2024/11/22短促，2024/10/1新機上架")</f>
        <v>2024/11/22短促，2024/10/1新機上架</v>
      </c>
      <c r="N785" s="12" t="str">
        <f ca="1">IFERROR(__xludf.DUMMYFUNCTION("""COMPUTED_VALUE"""),"除濕機")</f>
        <v>除濕機</v>
      </c>
      <c r="O785" s="12" t="str">
        <f ca="1">IFERROR(__xludf.DUMMYFUNCTION("""COMPUTED_VALUE"""),"榮耀紫")</f>
        <v>榮耀紫</v>
      </c>
      <c r="P785" s="24" t="str">
        <f ca="1">IFERROR(__xludf.DUMMYFUNCTION("""COMPUTED_VALUE"""),"11L")</f>
        <v>11L</v>
      </c>
      <c r="Q785" s="12" t="str">
        <f ca="1">IFERROR(__xludf.DUMMYFUNCTION("""COMPUTED_VALUE"""),"625高x365寬x235深mm")</f>
        <v>625高x365寬x235深mm</v>
      </c>
      <c r="R785" s="12" t="str">
        <f ca="1">IFERROR(__xludf.DUMMYFUNCTION("""COMPUTED_VALUE"""),"台灣")</f>
        <v>台灣</v>
      </c>
      <c r="S785" s="12" t="str">
        <f ca="1">IFERROR(__xludf.DUMMYFUNCTION("""COMPUTED_VALUE"""),"
HDN-112-0015")</f>
        <v xml:space="preserve">
HDN-112-0015</v>
      </c>
      <c r="T785" s="13" t="str">
        <f ca="1">IFERROR(__xludf.DUMMYFUNCTION("""COMPUTED_VALUE"""),"1級能效")</f>
        <v>1級能效</v>
      </c>
      <c r="U785" s="12" t="str">
        <f ca="1">IFERROR(__xludf.DUMMYFUNCTION("""COMPUTED_VALUE"""),"3年")</f>
        <v>3年</v>
      </c>
      <c r="V785" s="12"/>
      <c r="W785" s="12"/>
      <c r="X785" s="12" t="str">
        <f ca="1">IFERROR(__xludf.DUMMYFUNCTION("""COMPUTED_VALUE"""),"(114/1/1~2/28)隨貨送愛料理矽膠料理三件組 (805T10)")</f>
        <v>(114/1/1~2/28)隨貨送愛料理矽膠料理三件組 (805T10)</v>
      </c>
      <c r="Y785" s="12">
        <f ca="1">IFERROR(__xludf.DUMMYFUNCTION("""COMPUTED_VALUE"""),11)</f>
        <v>11</v>
      </c>
      <c r="Z785" s="14" t="str">
        <f ca="1">IFERROR(__xludf.DUMMYFUNCTION("""COMPUTED_VALUE"""),"900")</f>
        <v>900</v>
      </c>
      <c r="AA785" s="15" t="str">
        <f ca="1">IFERROR(__xludf.DUMMYFUNCTION("""COMPUTED_VALUE"""),"＊1級能源效率標章＊除濕能力：11(公升/日)＊可獨立運行空氣清淨功能＊DC高效馬達/迴轉式壓縮機＊低濕乾燥運轉功能＊1-12小時定時關機＊濕度顯示/設定＊超廣角上吹＋前吹＊LED運轉模式指示燈＊全覆式HEPA濾網 /四輪萬向移動")</f>
        <v>＊1級能源效率標章＊除濕能力：11(公升/日)＊可獨立運行空氣清淨功能＊DC高效馬達/迴轉式壓縮機＊低濕乾燥運轉功能＊1-12小時定時關機＊濕度顯示/設定＊超廣角上吹＋前吹＊LED運轉模式指示燈＊全覆式HEPA濾網 /四輪萬向移動</v>
      </c>
    </row>
    <row r="786" spans="1:27" ht="19.5" customHeight="1">
      <c r="A786" s="12" t="str">
        <f ca="1">IFERROR(__xludf.DUMMYFUNCTION("""COMPUTED_VALUE"""),"除濕機")</f>
        <v>除濕機</v>
      </c>
      <c r="B786" s="12" t="str">
        <f ca="1">IFERROR(__xludf.DUMMYFUNCTION("""COMPUTED_VALUE"""),"順發")</f>
        <v>順發</v>
      </c>
      <c r="C786" s="12" t="str">
        <f ca="1">IFERROR(__xludf.DUMMYFUNCTION("""COMPUTED_VALUE"""),"HITACHI")</f>
        <v>HITACHI</v>
      </c>
      <c r="D786" s="12" t="str">
        <f ca="1">IFERROR(__xludf.DUMMYFUNCTION("""COMPUTED_VALUE"""),"HITACHI 日立 7L舒適節電除濕機 RD-14FJ (璀璨白)_767290")</f>
        <v>HITACHI 日立 7L舒適節電除濕機 RD-14FJ (璀璨白)_767290</v>
      </c>
      <c r="E786" s="12" t="str">
        <f ca="1">IFERROR(__xludf.DUMMYFUNCTION("""COMPUTED_VALUE"""),"RD-14FJ")</f>
        <v>RD-14FJ</v>
      </c>
      <c r="F786" s="12">
        <f ca="1">IFERROR(__xludf.DUMMYFUNCTION("""COMPUTED_VALUE"""),51095867)</f>
        <v>51095867</v>
      </c>
      <c r="G786" s="12" t="str">
        <f ca="1">IFERROR(__xludf.DUMMYFUNCTION("""COMPUTED_VALUE"""),"IGEM111U")</f>
        <v>IGEM111U</v>
      </c>
      <c r="H786" s="13">
        <f ca="1">IFERROR(__xludf.DUMMYFUNCTION("""COMPUTED_VALUE"""),10990)</f>
        <v>10990</v>
      </c>
      <c r="I786" s="14">
        <f ca="1">IFERROR(__xludf.DUMMYFUNCTION("""COMPUTED_VALUE"""),7030)</f>
        <v>7030</v>
      </c>
      <c r="J786" s="16">
        <f ca="1">IFERROR(__xludf.DUMMYFUNCTION("""COMPUTED_VALUE"""),45700)</f>
        <v>45700</v>
      </c>
      <c r="K786" s="12" t="str">
        <f ca="1">IFERROR(__xludf.DUMMYFUNCTION("""COMPUTED_VALUE"""),"新機上架")</f>
        <v>新機上架</v>
      </c>
      <c r="L786" s="12" t="str">
        <f ca="1">IFERROR(__xludf.DUMMYFUNCTION("""COMPUTED_VALUE"""),"上架中")</f>
        <v>上架中</v>
      </c>
      <c r="M786" s="12" t="str">
        <f ca="1">IFERROR(__xludf.DUMMYFUNCTION("""COMPUTED_VALUE"""),"2025/2/12新品上架")</f>
        <v>2025/2/12新品上架</v>
      </c>
      <c r="N786" s="12" t="str">
        <f ca="1">IFERROR(__xludf.DUMMYFUNCTION("""COMPUTED_VALUE"""),"除濕機")</f>
        <v>除濕機</v>
      </c>
      <c r="O786" s="12" t="str">
        <f ca="1">IFERROR(__xludf.DUMMYFUNCTION("""COMPUTED_VALUE"""),"璀璨白")</f>
        <v>璀璨白</v>
      </c>
      <c r="P786" s="12" t="str">
        <f ca="1">IFERROR(__xludf.DUMMYFUNCTION("""COMPUTED_VALUE"""),"7L")</f>
        <v>7L</v>
      </c>
      <c r="Q786" s="12" t="str">
        <f ca="1">IFERROR(__xludf.DUMMYFUNCTION("""COMPUTED_VALUE"""),"625x365x235mm")</f>
        <v>625x365x235mm</v>
      </c>
      <c r="R786" s="12" t="str">
        <f ca="1">IFERROR(__xludf.DUMMYFUNCTION("""COMPUTED_VALUE"""),"台灣")</f>
        <v>台灣</v>
      </c>
      <c r="S786" s="12"/>
      <c r="T786" s="13" t="str">
        <f ca="1">IFERROR(__xludf.DUMMYFUNCTION("""COMPUTED_VALUE"""),"1級能效")</f>
        <v>1級能效</v>
      </c>
      <c r="U786" s="12" t="str">
        <f ca="1">IFERROR(__xludf.DUMMYFUNCTION("""COMPUTED_VALUE"""),"3年")</f>
        <v>3年</v>
      </c>
      <c r="V786" s="12"/>
      <c r="W786" s="12"/>
      <c r="X786" s="12"/>
      <c r="Y786" s="12">
        <f ca="1">IFERROR(__xludf.DUMMYFUNCTION("""COMPUTED_VALUE"""),7)</f>
        <v>7</v>
      </c>
      <c r="Z786" s="14">
        <f ca="1">IFERROR(__xludf.DUMMYFUNCTION("""COMPUTED_VALUE"""),500)</f>
        <v>500</v>
      </c>
      <c r="AA786" s="15" t="str">
        <f ca="1">IFERROR(__xludf.DUMMYFUNCTION("""COMPUTED_VALUE"""),"*1級能源效率標章*除濕能力：7(公升/日)*舒適節電/低濕乾燥/快速乾衣*濕度顯示/自定濕度*定時設定/連續排水*自動風向/前吹風向/超廣角90度*水箱容量約5公升*氣氛燈號顯示/四輪萬向移動*整面式PM2.5 濾網")</f>
        <v>*1級能源效率標章*除濕能力：7(公升/日)*舒適節電/低濕乾燥/快速乾衣*濕度顯示/自定濕度*定時設定/連續排水*自動風向/前吹風向/超廣角90度*水箱容量約5公升*氣氛燈號顯示/四輪萬向移動*整面式PM2.5 濾網</v>
      </c>
    </row>
    <row r="787" spans="1:27" ht="19.5" customHeight="1">
      <c r="A787" s="12" t="str">
        <f ca="1">IFERROR(__xludf.DUMMYFUNCTION("""COMPUTED_VALUE"""),"生活家電")</f>
        <v>生活家電</v>
      </c>
      <c r="B787" s="12" t="str">
        <f ca="1">IFERROR(__xludf.DUMMYFUNCTION("""COMPUTED_VALUE"""),"順發")</f>
        <v>順發</v>
      </c>
      <c r="C787" s="12" t="str">
        <f ca="1">IFERROR(__xludf.DUMMYFUNCTION("""COMPUTED_VALUE"""),"正負零")</f>
        <v>正負零</v>
      </c>
      <c r="D787" s="12" t="str">
        <f ca="1">IFERROR(__xludf.DUMMYFUNCTION("""COMPUTED_VALUE"""),"正負零 12吋AC定時遙控立扇(黃)XQS-Z710_781881")</f>
        <v>正負零 12吋AC定時遙控立扇(黃)XQS-Z710_781881</v>
      </c>
      <c r="E787" s="12" t="str">
        <f ca="1">IFERROR(__xludf.DUMMYFUNCTION("""COMPUTED_VALUE"""),"XQS-Z710 黃")</f>
        <v>XQS-Z710 黃</v>
      </c>
      <c r="F787" s="12">
        <f ca="1">IFERROR(__xludf.DUMMYFUNCTION("""COMPUTED_VALUE"""),51095649)</f>
        <v>51095649</v>
      </c>
      <c r="G787" s="12" t="str">
        <f ca="1">IFERROR(__xludf.DUMMYFUNCTION("""COMPUTED_VALUE"""),"IGEM081J")</f>
        <v>IGEM081J</v>
      </c>
      <c r="H787" s="13">
        <f ca="1">IFERROR(__xludf.DUMMYFUNCTION("""COMPUTED_VALUE"""),2488)</f>
        <v>2488</v>
      </c>
      <c r="I787" s="14">
        <f ca="1">IFERROR(__xludf.DUMMYFUNCTION("""COMPUTED_VALUE"""),2180)</f>
        <v>2180</v>
      </c>
      <c r="J787" s="16">
        <f ca="1">IFERROR(__xludf.DUMMYFUNCTION("""COMPUTED_VALUE"""),45447)</f>
        <v>45447</v>
      </c>
      <c r="K787" s="12" t="str">
        <f ca="1">IFERROR(__xludf.DUMMYFUNCTION("""COMPUTED_VALUE"""),"到貨")</f>
        <v>到貨</v>
      </c>
      <c r="L787" s="12" t="str">
        <f ca="1">IFERROR(__xludf.DUMMYFUNCTION("""COMPUTED_VALUE"""),"上架中")</f>
        <v>上架中</v>
      </c>
      <c r="M787" s="12" t="str">
        <f ca="1">IFERROR(__xludf.DUMMYFUNCTION("""COMPUTED_VALUE"""),"6/4到貨，5/16缺貨，5/1短促，2/1回價，5/17短促，4/25新機上架")</f>
        <v>6/4到貨，5/16缺貨，5/1短促，2/1回價，5/17短促，4/25新機上架</v>
      </c>
      <c r="N787" s="12" t="str">
        <f ca="1">IFERROR(__xludf.DUMMYFUNCTION("""COMPUTED_VALUE"""),"風扇")</f>
        <v>風扇</v>
      </c>
      <c r="O787" s="12" t="str">
        <f ca="1">IFERROR(__xludf.DUMMYFUNCTION("""COMPUTED_VALUE"""),"黃")</f>
        <v>黃</v>
      </c>
      <c r="P787" s="24" t="str">
        <f ca="1">IFERROR(__xludf.DUMMYFUNCTION("""COMPUTED_VALUE"""),"12吋")</f>
        <v>12吋</v>
      </c>
      <c r="Q787" s="12" t="str">
        <f ca="1">IFERROR(__xludf.DUMMYFUNCTION("""COMPUTED_VALUE"""),"623 ×340×285mm")</f>
        <v>623 ×340×285mm</v>
      </c>
      <c r="R787" s="12" t="str">
        <f ca="1">IFERROR(__xludf.DUMMYFUNCTION("""COMPUTED_VALUE"""),"中國")</f>
        <v>中國</v>
      </c>
      <c r="S787" s="12"/>
      <c r="T787" s="12"/>
      <c r="U787" s="12" t="str">
        <f ca="1">IFERROR(__xludf.DUMMYFUNCTION("""COMPUTED_VALUE"""),"１年")</f>
        <v>１年</v>
      </c>
      <c r="V787" s="12"/>
      <c r="W787" s="12"/>
      <c r="X787" s="12"/>
      <c r="Y787" s="12"/>
      <c r="Z787" s="14"/>
      <c r="AA787" s="15" t="str">
        <f ca="1">IFERROR(__xludf.DUMMYFUNCTION("""COMPUTED_VALUE"""),"*恰到好處的舒適*與室內裝潢合為一體*操作簡單易懂,功能多樣化*體積小風量卻毫不遜色*遙控器內建磁鐵設計*預約開機:2/4/6/8小時*左右擺頭角度:約85")</f>
        <v>*恰到好處的舒適*與室內裝潢合為一體*操作簡單易懂,功能多樣化*體積小風量卻毫不遜色*遙控器內建磁鐵設計*預約開機:2/4/6/8小時*左右擺頭角度:約85</v>
      </c>
    </row>
    <row r="788" spans="1:27" ht="19.5" customHeight="1">
      <c r="A788" s="12" t="str">
        <f ca="1">IFERROR(__xludf.DUMMYFUNCTION("""COMPUTED_VALUE"""),"生活家電")</f>
        <v>生活家電</v>
      </c>
      <c r="B788" s="12" t="str">
        <f ca="1">IFERROR(__xludf.DUMMYFUNCTION("""COMPUTED_VALUE"""),"順發")</f>
        <v>順發</v>
      </c>
      <c r="C788" s="12" t="str">
        <f ca="1">IFERROR(__xludf.DUMMYFUNCTION("""COMPUTED_VALUE"""),"正負零")</f>
        <v>正負零</v>
      </c>
      <c r="D788" s="12" t="str">
        <f ca="1">IFERROR(__xludf.DUMMYFUNCTION("""COMPUTED_VALUE"""),"正負零無線吸塵器 XJC-G040(白)_770808")</f>
        <v>正負零無線吸塵器 XJC-G040(白)_770808</v>
      </c>
      <c r="E788" s="12" t="str">
        <f ca="1">IFERROR(__xludf.DUMMYFUNCTION("""COMPUTED_VALUE"""),"XJC-G040")</f>
        <v>XJC-G040</v>
      </c>
      <c r="F788" s="12">
        <f ca="1">IFERROR(__xludf.DUMMYFUNCTION("""COMPUTED_VALUE"""),51095821)</f>
        <v>51095821</v>
      </c>
      <c r="G788" s="12" t="str">
        <f ca="1">IFERROR(__xludf.DUMMYFUNCTION("""COMPUTED_VALUE"""),"IGEM1075")</f>
        <v>IGEM1075</v>
      </c>
      <c r="H788" s="13">
        <f ca="1">IFERROR(__xludf.DUMMYFUNCTION("""COMPUTED_VALUE"""),6490)</f>
        <v>6490</v>
      </c>
      <c r="I788" s="14">
        <f ca="1">IFERROR(__xludf.DUMMYFUNCTION("""COMPUTED_VALUE"""),5990)</f>
        <v>5990</v>
      </c>
      <c r="J788" s="16">
        <f ca="1">IFERROR(__xludf.DUMMYFUNCTION("""COMPUTED_VALUE"""),45490)</f>
        <v>45490</v>
      </c>
      <c r="K788" s="12" t="str">
        <f ca="1">IFERROR(__xludf.DUMMYFUNCTION("""COMPUTED_VALUE"""),"新機上架")</f>
        <v>新機上架</v>
      </c>
      <c r="L788" s="12" t="str">
        <f ca="1">IFERROR(__xludf.DUMMYFUNCTION("""COMPUTED_VALUE"""),"上架中")</f>
        <v>上架中</v>
      </c>
      <c r="M788" s="12" t="str">
        <f ca="1">IFERROR(__xludf.DUMMYFUNCTION("""COMPUTED_VALUE"""),"2024/7/17新機上架")</f>
        <v>2024/7/17新機上架</v>
      </c>
      <c r="N788" s="12" t="str">
        <f ca="1">IFERROR(__xludf.DUMMYFUNCTION("""COMPUTED_VALUE"""),"吸塵器")</f>
        <v>吸塵器</v>
      </c>
      <c r="O788" s="12" t="str">
        <f ca="1">IFERROR(__xludf.DUMMYFUNCTION("""COMPUTED_VALUE"""),"白")</f>
        <v>白</v>
      </c>
      <c r="P788" s="24" t="str">
        <f ca="1">IFERROR(__xludf.DUMMYFUNCTION("""COMPUTED_VALUE"""),"尺寸：（長吸嘴＋地板吸嘴組裝時）約22×深13.4×高96.5cm
(手持部位)約10×深13.4×高40.7cm
重量：(長吸嘴＋地板吸嘴組裝時)約1.2kg
(手持部位)約0.8kg
電線長度：約1.8m
電池：鋰電池
電壓：AC100-240V
電波：50/60Hz
連續運轉時間：強力約11分／強16分／標準 約57分
充電時間：約2.5小時
粉塵盒容量：約0.45L
材質：ABS樹脂(主體)／鋼鐵(立架)
使用週圍溫度：5-35度
")</f>
        <v xml:space="preserve">尺寸：（長吸嘴＋地板吸嘴組裝時）約22×深13.4×高96.5cm
(手持部位)約10×深13.4×高40.7cm
重量：(長吸嘴＋地板吸嘴組裝時)約1.2kg
(手持部位)約0.8kg
電線長度：約1.8m
電池：鋰電池
電壓：AC100-240V
電波：50/60Hz
連續運轉時間：強力約11分／強16分／標準 約57分
充電時間：約2.5小時
粉塵盒容量：約0.45L
材質：ABS樹脂(主體)／鋼鐵(立架)
使用週圍溫度：5-35度
</v>
      </c>
      <c r="Q788" s="12" t="str">
        <f ca="1">IFERROR(__xludf.DUMMYFUNCTION("""COMPUTED_VALUE"""),"H407*W220*D134mm(手提組件)")</f>
        <v>H407*W220*D134mm(手提組件)</v>
      </c>
      <c r="R788" s="12" t="str">
        <f ca="1">IFERROR(__xludf.DUMMYFUNCTION("""COMPUTED_VALUE"""),"中國")</f>
        <v>中國</v>
      </c>
      <c r="S788" s="12"/>
      <c r="T788" s="12"/>
      <c r="U788" s="12" t="str">
        <f ca="1">IFERROR(__xludf.DUMMYFUNCTION("""COMPUTED_VALUE"""),"１年")</f>
        <v>１年</v>
      </c>
      <c r="V788" s="12"/>
      <c r="W788" s="12"/>
      <c r="X788" s="12"/>
      <c r="Y788" s="12"/>
      <c r="Z788" s="14"/>
      <c r="AA788" s="15" t="str">
        <f ca="1">IFERROR(__xludf.DUMMYFUNCTION("""COMPUTED_VALUE"""),"*羽量設計,手持重量僅790克,清潔不費力*充電快速-2.5小時即可充滿*續航力長達57分鐘*無刷直流馬達,強勁吸力*吸頭可完全水平並可自由旋轉角度,清潔無死角*全新改良吸頭,不再受卡毛髮困擾*低噪音,不只乾淨還很安靜")</f>
        <v>*羽量設計,手持重量僅790克,清潔不費力*充電快速-2.5小時即可充滿*續航力長達57分鐘*無刷直流馬達,強勁吸力*吸頭可完全水平並可自由旋轉角度,清潔無死角*全新改良吸頭,不再受卡毛髮困擾*低噪音,不只乾淨還很安靜</v>
      </c>
    </row>
    <row r="789" spans="1:27" ht="19.5" customHeight="1">
      <c r="A789" s="12" t="str">
        <f ca="1">IFERROR(__xludf.DUMMYFUNCTION("""COMPUTED_VALUE"""),"生活家電")</f>
        <v>生活家電</v>
      </c>
      <c r="B789" s="12" t="str">
        <f ca="1">IFERROR(__xludf.DUMMYFUNCTION("""COMPUTED_VALUE"""),"順發")</f>
        <v>順發</v>
      </c>
      <c r="C789" s="12" t="str">
        <f ca="1">IFERROR(__xludf.DUMMYFUNCTION("""COMPUTED_VALUE"""),"NUEVA")</f>
        <v>NUEVA</v>
      </c>
      <c r="D789" s="12" t="str">
        <f ca="1">IFERROR(__xludf.DUMMYFUNCTION("""COMPUTED_VALUE"""),"NUEVA Volta 繃繃棒 (6D超微電溫感緊緻美容儀) NR-01 黑色_777609")</f>
        <v>NUEVA Volta 繃繃棒 (6D超微電溫感緊緻美容儀) NR-01 黑色_777609</v>
      </c>
      <c r="E789" s="12" t="str">
        <f ca="1">IFERROR(__xludf.DUMMYFUNCTION("""COMPUTED_VALUE"""),"NR-01(B)")</f>
        <v>NR-01(B)</v>
      </c>
      <c r="F789" s="12">
        <f ca="1">IFERROR(__xludf.DUMMYFUNCTION("""COMPUTED_VALUE"""),51095784)</f>
        <v>51095784</v>
      </c>
      <c r="G789" s="12" t="str">
        <f ca="1">IFERROR(__xludf.DUMMYFUNCTION("""COMPUTED_VALUE"""),"IGEM100H")</f>
        <v>IGEM100H</v>
      </c>
      <c r="H789" s="13">
        <f ca="1">IFERROR(__xludf.DUMMYFUNCTION("""COMPUTED_VALUE"""),7290)</f>
        <v>7290</v>
      </c>
      <c r="I789" s="14">
        <f ca="1">IFERROR(__xludf.DUMMYFUNCTION("""COMPUTED_VALUE"""),5690)</f>
        <v>5690</v>
      </c>
      <c r="J789" s="16">
        <f ca="1">IFERROR(__xludf.DUMMYFUNCTION("""COMPUTED_VALUE"""),45566)</f>
        <v>45566</v>
      </c>
      <c r="K789" s="12" t="str">
        <f ca="1">IFERROR(__xludf.DUMMYFUNCTION("""COMPUTED_VALUE"""),"缺貨")</f>
        <v>缺貨</v>
      </c>
      <c r="L789" s="12" t="str">
        <f ca="1">IFERROR(__xludf.DUMMYFUNCTION("""COMPUTED_VALUE"""),"缺貨")</f>
        <v>缺貨</v>
      </c>
      <c r="M789" s="12" t="str">
        <f ca="1">IFERROR(__xludf.DUMMYFUNCTION("""COMPUTED_VALUE"""),"2024/10/01缺貨，2024/5/9新機上架")</f>
        <v>2024/10/01缺貨，2024/5/9新機上架</v>
      </c>
      <c r="N789" s="12" t="str">
        <f ca="1">IFERROR(__xludf.DUMMYFUNCTION("""COMPUTED_VALUE"""),"潔膚/美容儀")</f>
        <v>潔膚/美容儀</v>
      </c>
      <c r="O789" s="12" t="str">
        <f ca="1">IFERROR(__xludf.DUMMYFUNCTION("""COMPUTED_VALUE"""),"黑")</f>
        <v>黑</v>
      </c>
      <c r="P789" s="24" t="str">
        <f ca="1">IFERROR(__xludf.DUMMYFUNCTION("""COMPUTED_VALUE"""),"◎ 尺寸(L×W×H)
148x44.5x36.5mm
◎ 重量
93g
◎ 充電時間：3小時40分
◎ 配件：充電線.說明書")</f>
        <v>◎ 尺寸(L×W×H)
148x44.5x36.5mm
◎ 重量
93g
◎ 充電時間：3小時40分
◎ 配件：充電線.說明書</v>
      </c>
      <c r="Q789" s="12" t="str">
        <f ca="1">IFERROR(__xludf.DUMMYFUNCTION("""COMPUTED_VALUE"""),"36.5x44.5x148mm")</f>
        <v>36.5x44.5x148mm</v>
      </c>
      <c r="R789" s="12" t="str">
        <f ca="1">IFERROR(__xludf.DUMMYFUNCTION("""COMPUTED_VALUE"""),"中國")</f>
        <v>中國</v>
      </c>
      <c r="S789" s="12"/>
      <c r="T789" s="12"/>
      <c r="U789" s="12" t="str">
        <f ca="1">IFERROR(__xludf.DUMMYFUNCTION("""COMPUTED_VALUE"""),"１年")</f>
        <v>１年</v>
      </c>
      <c r="V789" s="12"/>
      <c r="W789" s="12"/>
      <c r="X789" s="12"/>
      <c r="Y789" s="12"/>
      <c r="Z789" s="14"/>
      <c r="AA789" s="15" t="str">
        <f ca="1">IFERROR(__xludf.DUMMYFUNCTION("""COMPUTED_VALUE"""),"
*E-LIFT™ 超微電 高滲透拉提導入、溫和不刺痛*42℃ 智慧控溫 舒張毛孔，保養品吸收更深入*皇家白金鍍層 親膚抗敏，電熱傳導效率加倍*人體工學滑軌 雙輪拉提臉頸、單輪導入眼霜")</f>
        <v xml:space="preserve">
*E-LIFT™ 超微電 高滲透拉提導入、溫和不刺痛*42℃ 智慧控溫 舒張毛孔，保養品吸收更深入*皇家白金鍍層 親膚抗敏，電熱傳導效率加倍*人體工學滑軌 雙輪拉提臉頸、單輪導入眼霜</v>
      </c>
    </row>
    <row r="790" spans="1:27" ht="19.5" customHeight="1">
      <c r="A790" s="12" t="str">
        <f ca="1">IFERROR(__xludf.DUMMYFUNCTION("""COMPUTED_VALUE"""),"生活家電")</f>
        <v>生活家電</v>
      </c>
      <c r="B790" s="12" t="str">
        <f ca="1">IFERROR(__xludf.DUMMYFUNCTION("""COMPUTED_VALUE"""),"順發")</f>
        <v>順發</v>
      </c>
      <c r="C790" s="12" t="str">
        <f ca="1">IFERROR(__xludf.DUMMYFUNCTION("""COMPUTED_VALUE"""),"NUEVA")</f>
        <v>NUEVA</v>
      </c>
      <c r="D790" s="12" t="str">
        <f ca="1">IFERROR(__xludf.DUMMYFUNCTION("""COMPUTED_VALUE"""),"NUEVA Volta 繃繃棒 (6D 超微電溫感緊緻美容儀) NR-01 白色_777608")</f>
        <v>NUEVA Volta 繃繃棒 (6D 超微電溫感緊緻美容儀) NR-01 白色_777608</v>
      </c>
      <c r="E790" s="12" t="str">
        <f ca="1">IFERROR(__xludf.DUMMYFUNCTION("""COMPUTED_VALUE"""),"NR-01(W)")</f>
        <v>NR-01(W)</v>
      </c>
      <c r="F790" s="12">
        <f ca="1">IFERROR(__xludf.DUMMYFUNCTION("""COMPUTED_VALUE"""),51095785)</f>
        <v>51095785</v>
      </c>
      <c r="G790" s="12" t="str">
        <f ca="1">IFERROR(__xludf.DUMMYFUNCTION("""COMPUTED_VALUE"""),"IGEM100I")</f>
        <v>IGEM100I</v>
      </c>
      <c r="H790" s="13">
        <f ca="1">IFERROR(__xludf.DUMMYFUNCTION("""COMPUTED_VALUE"""),7290)</f>
        <v>7290</v>
      </c>
      <c r="I790" s="14">
        <f ca="1">IFERROR(__xludf.DUMMYFUNCTION("""COMPUTED_VALUE"""),5690)</f>
        <v>5690</v>
      </c>
      <c r="J790" s="16">
        <f ca="1">IFERROR(__xludf.DUMMYFUNCTION("""COMPUTED_VALUE"""),45566)</f>
        <v>45566</v>
      </c>
      <c r="K790" s="12" t="str">
        <f ca="1">IFERROR(__xludf.DUMMYFUNCTION("""COMPUTED_VALUE"""),"缺貨")</f>
        <v>缺貨</v>
      </c>
      <c r="L790" s="12" t="str">
        <f ca="1">IFERROR(__xludf.DUMMYFUNCTION("""COMPUTED_VALUE"""),"缺貨")</f>
        <v>缺貨</v>
      </c>
      <c r="M790" s="12" t="str">
        <f ca="1">IFERROR(__xludf.DUMMYFUNCTION("""COMPUTED_VALUE"""),"2024/10/01缺貨，2024/5/1新機上架")</f>
        <v>2024/10/01缺貨，2024/5/1新機上架</v>
      </c>
      <c r="N790" s="12" t="str">
        <f ca="1">IFERROR(__xludf.DUMMYFUNCTION("""COMPUTED_VALUE"""),"潔膚/美容儀")</f>
        <v>潔膚/美容儀</v>
      </c>
      <c r="O790" s="12" t="str">
        <f ca="1">IFERROR(__xludf.DUMMYFUNCTION("""COMPUTED_VALUE"""),"白")</f>
        <v>白</v>
      </c>
      <c r="P790" s="24" t="str">
        <f ca="1">IFERROR(__xludf.DUMMYFUNCTION("""COMPUTED_VALUE"""),"◎ 尺寸(L×W×H)
148x44.5x36.5mm
◎ 重量
93g
◎ 充電時間：3小時40分
◎ 配件：充電線.說明書")</f>
        <v>◎ 尺寸(L×W×H)
148x44.5x36.5mm
◎ 重量
93g
◎ 充電時間：3小時40分
◎ 配件：充電線.說明書</v>
      </c>
      <c r="Q790" s="12" t="str">
        <f ca="1">IFERROR(__xludf.DUMMYFUNCTION("""COMPUTED_VALUE"""),"36.5x44.5x148mm")</f>
        <v>36.5x44.5x148mm</v>
      </c>
      <c r="R790" s="12" t="str">
        <f ca="1">IFERROR(__xludf.DUMMYFUNCTION("""COMPUTED_VALUE"""),"中國")</f>
        <v>中國</v>
      </c>
      <c r="S790" s="12"/>
      <c r="T790" s="12"/>
      <c r="U790" s="12" t="str">
        <f ca="1">IFERROR(__xludf.DUMMYFUNCTION("""COMPUTED_VALUE"""),"１年")</f>
        <v>１年</v>
      </c>
      <c r="V790" s="12"/>
      <c r="W790" s="12"/>
      <c r="X790" s="12"/>
      <c r="Y790" s="12"/>
      <c r="Z790" s="14"/>
      <c r="AA790" s="15" t="str">
        <f ca="1">IFERROR(__xludf.DUMMYFUNCTION("""COMPUTED_VALUE"""),"
*E-LIFT™ 超微電 高滲透拉提導入、溫和不刺痛*42℃ 智慧控溫 舒張毛孔，保養品吸收更深入*皇家白金鍍層 親膚抗敏，電熱傳導效率加倍*人體工學滑軌 雙輪拉提臉頸、單輪導入眼霜")</f>
        <v xml:space="preserve">
*E-LIFT™ 超微電 高滲透拉提導入、溫和不刺痛*42℃ 智慧控溫 舒張毛孔，保養品吸收更深入*皇家白金鍍層 親膚抗敏，電熱傳導效率加倍*人體工學滑軌 雙輪拉提臉頸、單輪導入眼霜</v>
      </c>
    </row>
    <row r="791" spans="1:27" ht="19.5" customHeight="1">
      <c r="A791" s="12" t="str">
        <f ca="1">IFERROR(__xludf.DUMMYFUNCTION("""COMPUTED_VALUE"""),"生活家電")</f>
        <v>生活家電</v>
      </c>
      <c r="B791" s="12" t="str">
        <f ca="1">IFERROR(__xludf.DUMMYFUNCTION("""COMPUTED_VALUE"""),"順發")</f>
        <v>順發</v>
      </c>
      <c r="C791" s="12" t="str">
        <f ca="1">IFERROR(__xludf.DUMMYFUNCTION("""COMPUTED_VALUE"""),"NUEVA")</f>
        <v>NUEVA</v>
      </c>
      <c r="D791" s="12" t="str">
        <f ca="1">IFERROR(__xludf.DUMMYFUNCTION("""COMPUTED_VALUE"""),"NUEVA Torche三效音波洗臉儀NW-01_777611")</f>
        <v>NUEVA Torche三效音波洗臉儀NW-01_777611</v>
      </c>
      <c r="E791" s="12" t="str">
        <f ca="1">IFERROR(__xludf.DUMMYFUNCTION("""COMPUTED_VALUE"""),"NW-01")</f>
        <v>NW-01</v>
      </c>
      <c r="F791" s="12">
        <f ca="1">IFERROR(__xludf.DUMMYFUNCTION("""COMPUTED_VALUE"""),51095788)</f>
        <v>51095788</v>
      </c>
      <c r="G791" s="12" t="str">
        <f ca="1">IFERROR(__xludf.DUMMYFUNCTION("""COMPUTED_VALUE"""),"IGEM100N")</f>
        <v>IGEM100N</v>
      </c>
      <c r="H791" s="13">
        <f ca="1">IFERROR(__xludf.DUMMYFUNCTION("""COMPUTED_VALUE"""),7290)</f>
        <v>7290</v>
      </c>
      <c r="I791" s="14">
        <f ca="1">IFERROR(__xludf.DUMMYFUNCTION("""COMPUTED_VALUE"""),5990)</f>
        <v>5990</v>
      </c>
      <c r="J791" s="16">
        <f ca="1">IFERROR(__xludf.DUMMYFUNCTION("""COMPUTED_VALUE"""),45566)</f>
        <v>45566</v>
      </c>
      <c r="K791" s="12" t="str">
        <f ca="1">IFERROR(__xludf.DUMMYFUNCTION("""COMPUTED_VALUE"""),"缺貨")</f>
        <v>缺貨</v>
      </c>
      <c r="L791" s="12" t="str">
        <f ca="1">IFERROR(__xludf.DUMMYFUNCTION("""COMPUTED_VALUE"""),"缺貨")</f>
        <v>缺貨</v>
      </c>
      <c r="M791" s="12" t="str">
        <f ca="1">IFERROR(__xludf.DUMMYFUNCTION("""COMPUTED_VALUE"""),"2024/10/01缺貨")</f>
        <v>2024/10/01缺貨</v>
      </c>
      <c r="N791" s="12" t="str">
        <f ca="1">IFERROR(__xludf.DUMMYFUNCTION("""COMPUTED_VALUE"""),"潔膚/美容儀")</f>
        <v>潔膚/美容儀</v>
      </c>
      <c r="O791" s="12" t="str">
        <f ca="1">IFERROR(__xludf.DUMMYFUNCTION("""COMPUTED_VALUE"""),"裸膚色+金色")</f>
        <v>裸膚色+金色</v>
      </c>
      <c r="P791" s="24" t="str">
        <f ca="1">IFERROR(__xludf.DUMMYFUNCTION("""COMPUTED_VALUE"""),"◎ 尺寸(L×W×H)
44.5x43.5x158mm
◎ 重量
135g
◎ 充電時間：2小時
◎ 配件：充電線.說明書")</f>
        <v>◎ 尺寸(L×W×H)
44.5x43.5x158mm
◎ 重量
135g
◎ 充電時間：2小時
◎ 配件：充電線.說明書</v>
      </c>
      <c r="Q791" s="12" t="str">
        <f ca="1">IFERROR(__xludf.DUMMYFUNCTION("""COMPUTED_VALUE"""),"36.5x44.5x148mm")</f>
        <v>36.5x44.5x148mm</v>
      </c>
      <c r="R791" s="12" t="str">
        <f ca="1">IFERROR(__xludf.DUMMYFUNCTION("""COMPUTED_VALUE"""),"中國")</f>
        <v>中國</v>
      </c>
      <c r="S791" s="12"/>
      <c r="T791" s="12"/>
      <c r="U791" s="12" t="str">
        <f ca="1">IFERROR(__xludf.DUMMYFUNCTION("""COMPUTED_VALUE"""),"１年")</f>
        <v>１年</v>
      </c>
      <c r="V791" s="12"/>
      <c r="W791" s="12"/>
      <c r="X791" s="12"/>
      <c r="Y791" s="12"/>
      <c r="Z791" s="14"/>
      <c r="AA791" s="15" t="str">
        <f ca="1">IFERROR(__xludf.DUMMYFUNCTION("""COMPUTED_VALUE"""),"*溫感洗卸舒張毛孔，輕柔震出深層髒污* 穴位柔震美容按摩，臉部紓壓消除浮腫*多頻音波溫感導入，吸收力提升 95%*60 度可彎曲刷頭、清洗無死角*30 秒換區提醒、避免過度清潔*IPX7 高規防水、淋浴泡澡都行*國際權威認證、千萬產品責任險")</f>
        <v>*溫感洗卸舒張毛孔，輕柔震出深層髒污* 穴位柔震美容按摩，臉部紓壓消除浮腫*多頻音波溫感導入，吸收力提升 95%*60 度可彎曲刷頭、清洗無死角*30 秒換區提醒、避免過度清潔*IPX7 高規防水、淋浴泡澡都行*國際權威認證、千萬產品責任險</v>
      </c>
    </row>
    <row r="792" spans="1:27" ht="19.5" customHeight="1">
      <c r="A792" s="12" t="str">
        <f ca="1">IFERROR(__xludf.DUMMYFUNCTION("""COMPUTED_VALUE"""),"生活家電")</f>
        <v>生活家電</v>
      </c>
      <c r="B792" s="12" t="str">
        <f ca="1">IFERROR(__xludf.DUMMYFUNCTION("""COMPUTED_VALUE"""),"順發")</f>
        <v>順發</v>
      </c>
      <c r="C792" s="12" t="str">
        <f ca="1">IFERROR(__xludf.DUMMYFUNCTION("""COMPUTED_VALUE"""),"medisana")</f>
        <v>medisana</v>
      </c>
      <c r="D792" s="12" t="str">
        <f ca="1">IFERROR(__xludf.DUMMYFUNCTION("""COMPUTED_VALUE"""),"Medisana 無線六合一深捏肩頸按摩器NM900_771599")</f>
        <v>Medisana 無線六合一深捏肩頸按摩器NM900_771599</v>
      </c>
      <c r="E792" s="12" t="str">
        <f ca="1">IFERROR(__xludf.DUMMYFUNCTION("""COMPUTED_VALUE"""),"NM900")</f>
        <v>NM900</v>
      </c>
      <c r="F792" s="12">
        <f ca="1">IFERROR(__xludf.DUMMYFUNCTION("""COMPUTED_VALUE"""),51095812)</f>
        <v>51095812</v>
      </c>
      <c r="G792" s="12" t="str">
        <f ca="1">IFERROR(__xludf.DUMMYFUNCTION("""COMPUTED_VALUE"""),"IGEM1051")</f>
        <v>IGEM1051</v>
      </c>
      <c r="H792" s="12">
        <f ca="1">IFERROR(__xludf.DUMMYFUNCTION("""COMPUTED_VALUE"""),6980)</f>
        <v>6980</v>
      </c>
      <c r="I792" s="14">
        <f ca="1">IFERROR(__xludf.DUMMYFUNCTION("""COMPUTED_VALUE"""),4980)</f>
        <v>4980</v>
      </c>
      <c r="J792" s="16">
        <f ca="1">IFERROR(__xludf.DUMMYFUNCTION("""COMPUTED_VALUE"""),45581)</f>
        <v>45581</v>
      </c>
      <c r="K792" s="12" t="str">
        <f ca="1">IFERROR(__xludf.DUMMYFUNCTION("""COMPUTED_VALUE"""),"新機上架")</f>
        <v>新機上架</v>
      </c>
      <c r="L792" s="12" t="str">
        <f ca="1">IFERROR(__xludf.DUMMYFUNCTION("""COMPUTED_VALUE"""),"上架中")</f>
        <v>上架中</v>
      </c>
      <c r="M792" s="12" t="str">
        <f ca="1">IFERROR(__xludf.DUMMYFUNCTION("""COMPUTED_VALUE"""),"2024/10/16新機上架")</f>
        <v>2024/10/16新機上架</v>
      </c>
      <c r="N792" s="12" t="str">
        <f ca="1">IFERROR(__xludf.DUMMYFUNCTION("""COMPUTED_VALUE"""),"舒壓按摩")</f>
        <v>舒壓按摩</v>
      </c>
      <c r="O792" s="12" t="str">
        <f ca="1">IFERROR(__xludf.DUMMYFUNCTION("""COMPUTED_VALUE"""),"黑")</f>
        <v>黑</v>
      </c>
      <c r="P792" s="12"/>
      <c r="Q792" s="12" t="str">
        <f ca="1">IFERROR(__xludf.DUMMYFUNCTION("""COMPUTED_VALUE"""),"高170 x 寬398 x 深340 (mm)")</f>
        <v>高170 x 寬398 x 深340 (mm)</v>
      </c>
      <c r="R792" s="12" t="str">
        <f ca="1">IFERROR(__xludf.DUMMYFUNCTION("""COMPUTED_VALUE"""),"中國")</f>
        <v>中國</v>
      </c>
      <c r="S792" s="12"/>
      <c r="T792" s="12"/>
      <c r="U792" s="12" t="str">
        <f ca="1">IFERROR(__xludf.DUMMYFUNCTION("""COMPUTED_VALUE"""),"1年
配件除外")</f>
        <v>1年
配件除外</v>
      </c>
      <c r="V792" s="12" t="str">
        <f ca="1">IFERROR(__xludf.DUMMYFUNCTION("""COMPUTED_VALUE"""),"１年")</f>
        <v>１年</v>
      </c>
      <c r="W792" s="12"/>
      <c r="X792" s="12"/>
      <c r="Y792" s="12"/>
      <c r="Z792" s="14"/>
      <c r="AA792" s="15" t="str">
        <f ca="1">IFERROR(__xludf.DUMMYFUNCTION("""COMPUTED_VALUE"""),"
*仿真人手指壓*3段按摩強度等級*無線操作*可拆除水洗頸套*6個按摩頭作針對性舒緩*可調節背帶長度，改為免手持*多部位按摩(肩頸、大腿、小腿、腰、手臂、背)")</f>
        <v xml:space="preserve">
*仿真人手指壓*3段按摩強度等級*無線操作*可拆除水洗頸套*6個按摩頭作針對性舒緩*可調節背帶長度，改為免手持*多部位按摩(肩頸、大腿、小腿、腰、手臂、背)</v>
      </c>
    </row>
    <row r="793" spans="1:27" ht="19.5" customHeight="1">
      <c r="A793" s="12" t="str">
        <f ca="1">IFERROR(__xludf.DUMMYFUNCTION("""COMPUTED_VALUE"""),"除濕機")</f>
        <v>除濕機</v>
      </c>
      <c r="B793" s="12" t="str">
        <f ca="1">IFERROR(__xludf.DUMMYFUNCTION("""COMPUTED_VALUE"""),"聲寶")</f>
        <v>聲寶</v>
      </c>
      <c r="C793" s="12" t="str">
        <f ca="1">IFERROR(__xludf.DUMMYFUNCTION("""COMPUTED_VALUE"""),"聲寶")</f>
        <v>聲寶</v>
      </c>
      <c r="D793" s="12" t="str">
        <f ca="1">IFERROR(__xludf.DUMMYFUNCTION("""COMPUTED_VALUE"""),"聲寶12LPICOPURE除濕機AD-W124P")</f>
        <v>聲寶12LPICOPURE除濕機AD-W124P</v>
      </c>
      <c r="E793" s="12" t="str">
        <f ca="1">IFERROR(__xludf.DUMMYFUNCTION("""COMPUTED_VALUE"""),"AD-W124P")</f>
        <v>AD-W124P</v>
      </c>
      <c r="F793" s="12">
        <f ca="1">IFERROR(__xludf.DUMMYFUNCTION("""COMPUTED_VALUE"""),51086208)</f>
        <v>51086208</v>
      </c>
      <c r="G793" s="12" t="str">
        <f ca="1">IFERROR(__xludf.DUMMYFUNCTION("""COMPUTED_VALUE"""),"IGEM053M")</f>
        <v>IGEM053M</v>
      </c>
      <c r="H793" s="12">
        <f ca="1">IFERROR(__xludf.DUMMYFUNCTION("""COMPUTED_VALUE"""),11900)</f>
        <v>11900</v>
      </c>
      <c r="I793" s="14">
        <f ca="1">IFERROR(__xludf.DUMMYFUNCTION("""COMPUTED_VALUE"""),10000)</f>
        <v>10000</v>
      </c>
      <c r="J793" s="16">
        <f ca="1">IFERROR(__xludf.DUMMYFUNCTION("""COMPUTED_VALUE"""),45658)</f>
        <v>45658</v>
      </c>
      <c r="K793" s="12" t="str">
        <f ca="1">IFERROR(__xludf.DUMMYFUNCTION("""COMPUTED_VALUE"""),"回價")</f>
        <v>回價</v>
      </c>
      <c r="L793" s="12" t="str">
        <f ca="1">IFERROR(__xludf.DUMMYFUNCTION("""COMPUTED_VALUE"""),"上架中")</f>
        <v>上架中</v>
      </c>
      <c r="M793" s="12" t="str">
        <f ca="1">IFERROR(__xludf.DUMMYFUNCTION("""COMPUTED_VALUE"""),"2025/1/1回價2024/10/1短促，2024/8/12回價，2024/4/1回價，2024/2/1短促，4/26短促，3/1降價，2022/6/1短促(預購，預計6/15後發貨)，2022/4/18缺貨，2022/4/1短促，2022/1/1新機上架")</f>
        <v>2025/1/1回價2024/10/1短促，2024/8/12回價，2024/4/1回價，2024/2/1短促，4/26短促，3/1降價，2022/6/1短促(預購，預計6/15後發貨)，2022/4/18缺貨，2022/4/1短促，2022/1/1新機上架</v>
      </c>
      <c r="N793" s="12" t="str">
        <f ca="1">IFERROR(__xludf.DUMMYFUNCTION("""COMPUTED_VALUE"""),"除濕機")</f>
        <v>除濕機</v>
      </c>
      <c r="O793" s="12" t="str">
        <f ca="1">IFERROR(__xludf.DUMMYFUNCTION("""COMPUTED_VALUE"""),"白色")</f>
        <v>白色</v>
      </c>
      <c r="P793" s="24" t="str">
        <f ca="1">IFERROR(__xludf.DUMMYFUNCTION("""COMPUTED_VALUE"""),"12公升、13坪")</f>
        <v>12公升、13坪</v>
      </c>
      <c r="Q793" s="12" t="str">
        <f ca="1">IFERROR(__xludf.DUMMYFUNCTION("""COMPUTED_VALUE"""),"590*342*242mm")</f>
        <v>590*342*242mm</v>
      </c>
      <c r="R793" s="12" t="str">
        <f ca="1">IFERROR(__xludf.DUMMYFUNCTION("""COMPUTED_VALUE"""),"台灣")</f>
        <v>台灣</v>
      </c>
      <c r="S793" s="22" t="str">
        <f ca="1">IFERROR(__xludf.DUMMYFUNCTION("""COMPUTED_VALUE"""),"v")</f>
        <v>v</v>
      </c>
      <c r="T793" s="13" t="str">
        <f ca="1">IFERROR(__xludf.DUMMYFUNCTION("""COMPUTED_VALUE"""),"1級能效")</f>
        <v>1級能效</v>
      </c>
      <c r="U793" s="12" t="str">
        <f ca="1">IFERROR(__xludf.DUMMYFUNCTION("""COMPUTED_VALUE"""),"3年")</f>
        <v>3年</v>
      </c>
      <c r="V793" s="12" t="str">
        <f ca="1">IFERROR(__xludf.DUMMYFUNCTION("""COMPUTED_VALUE"""),"3年")</f>
        <v>3年</v>
      </c>
      <c r="W793" s="12"/>
      <c r="X793" s="12"/>
      <c r="Y793" s="12">
        <f ca="1">IFERROR(__xludf.DUMMYFUNCTION("""COMPUTED_VALUE"""),12)</f>
        <v>12</v>
      </c>
      <c r="Z793" s="14" t="str">
        <f ca="1">IFERROR(__xludf.DUMMYFUNCTION("""COMPUTED_VALUE"""),"1200")</f>
        <v>1200</v>
      </c>
      <c r="AA793" s="15" t="str">
        <f ca="1">IFERROR(__xludf.DUMMYFUNCTION("""COMPUTED_VALUE"""),"*十項安全防護，使用好安心*連續排水設計，免去倒水之困擾*1-8小時開/關機設定*9段濕度設定*PICOPURE功能+前置甲殼素濾網，清淨/抑菌/除塵多重保護*底部萬向滑輪，移動機體好輕鬆*微電腦控制按鍵；有自動除霜功能*強/弱風速自由選擇*智慧乾衣模式*出風自動導板，高效乾衣*安全鎖，防兒童誤觸")</f>
        <v>*十項安全防護，使用好安心*連續排水設計，免去倒水之困擾*1-8小時開/關機設定*9段濕度設定*PICOPURE功能+前置甲殼素濾網，清淨/抑菌/除塵多重保護*底部萬向滑輪，移動機體好輕鬆*微電腦控制按鍵；有自動除霜功能*強/弱風速自由選擇*智慧乾衣模式*出風自動導板，高效乾衣*安全鎖，防兒童誤觸</v>
      </c>
    </row>
    <row r="794" spans="1:27" ht="19.5" customHeight="1">
      <c r="A794" s="12" t="str">
        <f ca="1">IFERROR(__xludf.DUMMYFUNCTION("""COMPUTED_VALUE"""),"除濕機")</f>
        <v>除濕機</v>
      </c>
      <c r="B794" s="12" t="str">
        <f ca="1">IFERROR(__xludf.DUMMYFUNCTION("""COMPUTED_VALUE"""),"聲寶")</f>
        <v>聲寶</v>
      </c>
      <c r="C794" s="12" t="str">
        <f ca="1">IFERROR(__xludf.DUMMYFUNCTION("""COMPUTED_VALUE"""),"聲寶")</f>
        <v>聲寶</v>
      </c>
      <c r="D794" s="12" t="str">
        <f ca="1">IFERROR(__xludf.DUMMYFUNCTION("""COMPUTED_VALUE"""),"聲寶16LPICOPURE除濕機AD-W132P")</f>
        <v>聲寶16LPICOPURE除濕機AD-W132P</v>
      </c>
      <c r="E794" s="12" t="str">
        <f ca="1">IFERROR(__xludf.DUMMYFUNCTION("""COMPUTED_VALUE"""),"AD-W132P")</f>
        <v>AD-W132P</v>
      </c>
      <c r="F794" s="12">
        <f ca="1">IFERROR(__xludf.DUMMYFUNCTION("""COMPUTED_VALUE"""),51086209)</f>
        <v>51086209</v>
      </c>
      <c r="G794" s="12" t="str">
        <f ca="1">IFERROR(__xludf.DUMMYFUNCTION("""COMPUTED_VALUE"""),"IGEM053N")</f>
        <v>IGEM053N</v>
      </c>
      <c r="H794" s="12">
        <f ca="1">IFERROR(__xludf.DUMMYFUNCTION("""COMPUTED_VALUE"""),13990)</f>
        <v>13990</v>
      </c>
      <c r="I794" s="14">
        <f ca="1">IFERROR(__xludf.DUMMYFUNCTION("""COMPUTED_VALUE"""),11590)</f>
        <v>11590</v>
      </c>
      <c r="J794" s="12"/>
      <c r="K794" s="12"/>
      <c r="L794" s="12" t="str">
        <f ca="1">IFERROR(__xludf.DUMMYFUNCTION("""COMPUTED_VALUE"""),"上架中")</f>
        <v>上架中</v>
      </c>
      <c r="M794" s="12" t="str">
        <f ca="1">IFERROR(__xludf.DUMMYFUNCTION("""COMPUTED_VALUE"""),"4/26短促，3/1降價，2022/1/1新機上架")</f>
        <v>4/26短促，3/1降價，2022/1/1新機上架</v>
      </c>
      <c r="N794" s="12" t="str">
        <f ca="1">IFERROR(__xludf.DUMMYFUNCTION("""COMPUTED_VALUE"""),"除濕機")</f>
        <v>除濕機</v>
      </c>
      <c r="O794" s="12" t="str">
        <f ca="1">IFERROR(__xludf.DUMMYFUNCTION("""COMPUTED_VALUE"""),"白色")</f>
        <v>白色</v>
      </c>
      <c r="P794" s="24" t="str">
        <f ca="1">IFERROR(__xludf.DUMMYFUNCTION("""COMPUTED_VALUE"""),"16公升、15坪")</f>
        <v>16公升、15坪</v>
      </c>
      <c r="Q794" s="12" t="str">
        <f ca="1">IFERROR(__xludf.DUMMYFUNCTION("""COMPUTED_VALUE"""),"590*342*242mm")</f>
        <v>590*342*242mm</v>
      </c>
      <c r="R794" s="12" t="str">
        <f ca="1">IFERROR(__xludf.DUMMYFUNCTION("""COMPUTED_VALUE"""),"台灣")</f>
        <v>台灣</v>
      </c>
      <c r="S794" s="22" t="str">
        <f ca="1">IFERROR(__xludf.DUMMYFUNCTION("""COMPUTED_VALUE"""),"v")</f>
        <v>v</v>
      </c>
      <c r="T794" s="13" t="str">
        <f ca="1">IFERROR(__xludf.DUMMYFUNCTION("""COMPUTED_VALUE"""),"1級能效")</f>
        <v>1級能效</v>
      </c>
      <c r="U794" s="12" t="str">
        <f ca="1">IFERROR(__xludf.DUMMYFUNCTION("""COMPUTED_VALUE"""),"3年")</f>
        <v>3年</v>
      </c>
      <c r="V794" s="12" t="str">
        <f ca="1">IFERROR(__xludf.DUMMYFUNCTION("""COMPUTED_VALUE"""),"3年")</f>
        <v>3年</v>
      </c>
      <c r="W794" s="12"/>
      <c r="X794" s="12"/>
      <c r="Y794" s="12">
        <f ca="1">IFERROR(__xludf.DUMMYFUNCTION("""COMPUTED_VALUE"""),16)</f>
        <v>16</v>
      </c>
      <c r="Z794" s="14" t="str">
        <f ca="1">IFERROR(__xludf.DUMMYFUNCTION("""COMPUTED_VALUE"""),"1200")</f>
        <v>1200</v>
      </c>
      <c r="AA794" s="15" t="str">
        <f ca="1">IFERROR(__xludf.DUMMYFUNCTION("""COMPUTED_VALUE"""),"*十項安全防護，使用好安心*連續排水設計，免去倒水之困擾*1-8小時開/關機設定*9段濕度設定*PICOPURE功能+前置甲殼素濾網，清淨/抑菌/除塵多重保護*底部萬向滑輪，移動機體好輕鬆*微電腦控制按鍵；有自動除霜功能*強/弱風速自由選擇*智慧乾衣模式*出風自動導板，高效乾衣*安全鎖，防兒童誤觸")</f>
        <v>*十項安全防護，使用好安心*連續排水設計，免去倒水之困擾*1-8小時開/關機設定*9段濕度設定*PICOPURE功能+前置甲殼素濾網，清淨/抑菌/除塵多重保護*底部萬向滑輪，移動機體好輕鬆*微電腦控制按鍵；有自動除霜功能*強/弱風速自由選擇*智慧乾衣模式*出風自動導板，高效乾衣*安全鎖，防兒童誤觸</v>
      </c>
    </row>
    <row r="795" spans="1:27" ht="19.5" customHeight="1">
      <c r="A795" s="12" t="str">
        <f ca="1">IFERROR(__xludf.DUMMYFUNCTION("""COMPUTED_VALUE"""),"除濕機")</f>
        <v>除濕機</v>
      </c>
      <c r="B795" s="12" t="str">
        <f ca="1">IFERROR(__xludf.DUMMYFUNCTION("""COMPUTED_VALUE"""),"聲寶")</f>
        <v>聲寶</v>
      </c>
      <c r="C795" s="12" t="str">
        <f ca="1">IFERROR(__xludf.DUMMYFUNCTION("""COMPUTED_VALUE"""),"聲寶")</f>
        <v>聲寶</v>
      </c>
      <c r="D795" s="12" t="str">
        <f ca="1">IFERROR(__xludf.DUMMYFUNCTION("""COMPUTED_VALUE"""),"聲寶 8L 一級能效除濕機 AD-S116T")</f>
        <v>聲寶 8L 一級能效除濕機 AD-S116T</v>
      </c>
      <c r="E795" s="12" t="str">
        <f ca="1">IFERROR(__xludf.DUMMYFUNCTION("""COMPUTED_VALUE"""),"AD-S116T")</f>
        <v>AD-S116T</v>
      </c>
      <c r="F795" s="12">
        <f ca="1">IFERROR(__xludf.DUMMYFUNCTION("""COMPUTED_VALUE"""),51086275)</f>
        <v>51086275</v>
      </c>
      <c r="G795" s="12" t="str">
        <f ca="1">IFERROR(__xludf.DUMMYFUNCTION("""COMPUTED_VALUE"""),"IGEM070A")</f>
        <v>IGEM070A</v>
      </c>
      <c r="H795" s="13">
        <f ca="1">IFERROR(__xludf.DUMMYFUNCTION("""COMPUTED_VALUE"""),7690)</f>
        <v>7690</v>
      </c>
      <c r="I795" s="14">
        <f ca="1">IFERROR(__xludf.DUMMYFUNCTION("""COMPUTED_VALUE"""),6590)</f>
        <v>6590</v>
      </c>
      <c r="J795" s="16">
        <f ca="1">IFERROR(__xludf.DUMMYFUNCTION("""COMPUTED_VALUE"""),45748)</f>
        <v>45748</v>
      </c>
      <c r="K795" s="12" t="str">
        <f ca="1">IFERROR(__xludf.DUMMYFUNCTION("""COMPUTED_VALUE"""),"回價")</f>
        <v>回價</v>
      </c>
      <c r="L795" s="12" t="str">
        <f ca="1">IFERROR(__xludf.DUMMYFUNCTION("""COMPUTED_VALUE"""),"上架中")</f>
        <v>上架中</v>
      </c>
      <c r="M795" s="12" t="str">
        <f ca="1">IFERROR(__xludf.DUMMYFUNCTION("""COMPUTED_VALUE"""),"2024/11/1短促，2024/7/1回價，2024/6/1短促，2024/4/1短促，2022/10/14 新機上架")</f>
        <v>2024/11/1短促，2024/7/1回價，2024/6/1短促，2024/4/1短促，2022/10/14 新機上架</v>
      </c>
      <c r="N795" s="12" t="str">
        <f ca="1">IFERROR(__xludf.DUMMYFUNCTION("""COMPUTED_VALUE"""),"除濕機")</f>
        <v>除濕機</v>
      </c>
      <c r="O795" s="12" t="str">
        <f ca="1">IFERROR(__xludf.DUMMYFUNCTION("""COMPUTED_VALUE"""),"白色")</f>
        <v>白色</v>
      </c>
      <c r="P795" s="24" t="str">
        <f ca="1">IFERROR(__xludf.DUMMYFUNCTION("""COMPUTED_VALUE"""),"8公升、7-9坪")</f>
        <v>8公升、7-9坪</v>
      </c>
      <c r="Q795" s="12" t="str">
        <f ca="1">IFERROR(__xludf.DUMMYFUNCTION("""COMPUTED_VALUE"""),"580*365*230mm")</f>
        <v>580*365*230mm</v>
      </c>
      <c r="R795" s="12" t="str">
        <f ca="1">IFERROR(__xludf.DUMMYFUNCTION("""COMPUTED_VALUE"""),"中國")</f>
        <v>中國</v>
      </c>
      <c r="S795" s="22" t="str">
        <f ca="1">IFERROR(__xludf.DUMMYFUNCTION("""COMPUTED_VALUE"""),"v")</f>
        <v>v</v>
      </c>
      <c r="T795" s="13" t="str">
        <f ca="1">IFERROR(__xludf.DUMMYFUNCTION("""COMPUTED_VALUE"""),"1級能效")</f>
        <v>1級能效</v>
      </c>
      <c r="U795" s="12" t="str">
        <f ca="1">IFERROR(__xludf.DUMMYFUNCTION("""COMPUTED_VALUE"""),"3年")</f>
        <v>3年</v>
      </c>
      <c r="V795" s="12" t="str">
        <f ca="1">IFERROR(__xludf.DUMMYFUNCTION("""COMPUTED_VALUE"""),"3年")</f>
        <v>3年</v>
      </c>
      <c r="W795" s="12"/>
      <c r="X795" s="12"/>
      <c r="Y795" s="12">
        <f ca="1">IFERROR(__xludf.DUMMYFUNCTION("""COMPUTED_VALUE"""),8)</f>
        <v>8</v>
      </c>
      <c r="Z795" s="14">
        <f ca="1">IFERROR(__xludf.DUMMYFUNCTION("""COMPUTED_VALUE"""),500)</f>
        <v>500</v>
      </c>
      <c r="AA795" s="15" t="str">
        <f ca="1">IFERROR(__xludf.DUMMYFUNCTION("""COMPUTED_VALUE"""),"超大 7公升水箱 (水滿6.0L) ， 輕鬆少倒水國家一級能效標準認證，省 電又環保七項安全防護，使用好安心1 -24小時開 /關機設定13段濕度設定米銀濾網裝置，抑菌 /除塵 多重保護")</f>
        <v>超大 7公升水箱 (水滿6.0L) ， 輕鬆少倒水國家一級能效標準認證，省 電又環保七項安全防護，使用好安心1 -24小時開 /關機設定13段濕度設定米銀濾網裝置，抑菌 /除塵 多重保護</v>
      </c>
    </row>
    <row r="796" spans="1:27" ht="19.5" customHeight="1">
      <c r="A796" s="12" t="str">
        <f ca="1">IFERROR(__xludf.DUMMYFUNCTION("""COMPUTED_VALUE"""),"除濕機")</f>
        <v>除濕機</v>
      </c>
      <c r="B796" s="12" t="str">
        <f ca="1">IFERROR(__xludf.DUMMYFUNCTION("""COMPUTED_VALUE"""),"凱創")</f>
        <v>凱創</v>
      </c>
      <c r="C796" s="12" t="str">
        <f ca="1">IFERROR(__xludf.DUMMYFUNCTION("""COMPUTED_VALUE"""),"奇美")</f>
        <v>奇美</v>
      </c>
      <c r="D796" s="12" t="str">
        <f ca="1">IFERROR(__xludf.DUMMYFUNCTION("""COMPUTED_VALUE"""),"奇美6L時尚美型節能除濕機RH-06E0RM")</f>
        <v>奇美6L時尚美型節能除濕機RH-06E0RM</v>
      </c>
      <c r="E796" s="12" t="str">
        <f ca="1">IFERROR(__xludf.DUMMYFUNCTION("""COMPUTED_VALUE"""),"RH-06E0RM")</f>
        <v>RH-06E0RM</v>
      </c>
      <c r="F796" s="12">
        <f ca="1">IFERROR(__xludf.DUMMYFUNCTION("""COMPUTED_VALUE"""),51084068)</f>
        <v>51084068</v>
      </c>
      <c r="G796" s="12" t="str">
        <f ca="1">IFERROR(__xludf.DUMMYFUNCTION("""COMPUTED_VALUE"""),"IGEM00FY")</f>
        <v>IGEM00FY</v>
      </c>
      <c r="H796" s="12">
        <f ca="1">IFERROR(__xludf.DUMMYFUNCTION("""COMPUTED_VALUE"""),6990)</f>
        <v>6990</v>
      </c>
      <c r="I796" s="14">
        <f ca="1">IFERROR(__xludf.DUMMYFUNCTION("""COMPUTED_VALUE"""),5180)</f>
        <v>5180</v>
      </c>
      <c r="J796" s="16">
        <f ca="1">IFERROR(__xludf.DUMMYFUNCTION("""COMPUTED_VALUE"""),45540)</f>
        <v>45540</v>
      </c>
      <c r="K796" s="12" t="str">
        <f ca="1">IFERROR(__xludf.DUMMYFUNCTION("""COMPUTED_VALUE"""),"短促")</f>
        <v>短促</v>
      </c>
      <c r="L796" s="12" t="str">
        <f ca="1">IFERROR(__xludf.DUMMYFUNCTION("""COMPUTED_VALUE"""),"上架中")</f>
        <v>上架中</v>
      </c>
      <c r="M796" s="12" t="str">
        <f ca="1">IFERROR(__xludf.DUMMYFUNCTION("""COMPUTED_VALUE"""),"2024/9/5短促，3/1回價，2021/7/19到貨，5/3缺貨，2021/3/1重新上架，2021/1/5缺貨下架，2020/8/13降價，2018/4/2上架銷售")</f>
        <v>2024/9/5短促，3/1回價，2021/7/19到貨，5/3缺貨，2021/3/1重新上架，2021/1/5缺貨下架，2020/8/13降價，2018/4/2上架銷售</v>
      </c>
      <c r="N796" s="12" t="str">
        <f ca="1">IFERROR(__xludf.DUMMYFUNCTION("""COMPUTED_VALUE"""),"除濕機")</f>
        <v>除濕機</v>
      </c>
      <c r="O796" s="12" t="str">
        <f ca="1">IFERROR(__xludf.DUMMYFUNCTION("""COMPUTED_VALUE"""),"白")</f>
        <v>白</v>
      </c>
      <c r="P796" s="24" t="str">
        <f ca="1">IFERROR(__xludf.DUMMYFUNCTION("""COMPUTED_VALUE"""),"8坪")</f>
        <v>8坪</v>
      </c>
      <c r="Q796" s="12" t="str">
        <f ca="1">IFERROR(__xludf.DUMMYFUNCTION("""COMPUTED_VALUE"""),"525*320*189mm")</f>
        <v>525*320*189mm</v>
      </c>
      <c r="R796" s="12" t="str">
        <f ca="1">IFERROR(__xludf.DUMMYFUNCTION("""COMPUTED_VALUE"""),"台灣")</f>
        <v>台灣</v>
      </c>
      <c r="S796" s="22" t="str">
        <f ca="1">IFERROR(__xludf.DUMMYFUNCTION("""COMPUTED_VALUE"""),"v")</f>
        <v>v</v>
      </c>
      <c r="T796" s="13" t="str">
        <f ca="1">IFERROR(__xludf.DUMMYFUNCTION("""COMPUTED_VALUE"""),"1級能效")</f>
        <v>1級能效</v>
      </c>
      <c r="U796" s="12" t="str">
        <f ca="1">IFERROR(__xludf.DUMMYFUNCTION("""COMPUTED_VALUE"""),"1年")</f>
        <v>1年</v>
      </c>
      <c r="V796" s="12"/>
      <c r="W796" s="12"/>
      <c r="X796" s="12"/>
      <c r="Y796" s="12">
        <f ca="1">IFERROR(__xludf.DUMMYFUNCTION("""COMPUTED_VALUE"""),6)</f>
        <v>6</v>
      </c>
      <c r="Z796" s="14">
        <f ca="1">IFERROR(__xludf.DUMMYFUNCTION("""COMPUTED_VALUE"""),500)</f>
        <v>500</v>
      </c>
      <c r="AA796" s="15" t="str">
        <f ca="1">IFERROR(__xludf.DUMMYFUNCTION("""COMPUTED_VALUE"""),"*水箱3.3L*ECO智能濕度控制*3種環境濕度模式設定*奈米銀清淨濾網")</f>
        <v>*水箱3.3L*ECO智能濕度控制*3種環境濕度模式設定*奈米銀清淨濾網</v>
      </c>
    </row>
    <row r="797" spans="1:27" ht="19.5" customHeight="1">
      <c r="A797" s="12" t="str">
        <f ca="1">IFERROR(__xludf.DUMMYFUNCTION("""COMPUTED_VALUE"""),"除濕機")</f>
        <v>除濕機</v>
      </c>
      <c r="B797" s="12" t="str">
        <f ca="1">IFERROR(__xludf.DUMMYFUNCTION("""COMPUTED_VALUE"""),"凱創")</f>
        <v>凱創</v>
      </c>
      <c r="C797" s="12" t="str">
        <f ca="1">IFERROR(__xludf.DUMMYFUNCTION("""COMPUTED_VALUE"""),"TOSHIBA")</f>
        <v>TOSHIBA</v>
      </c>
      <c r="D797" s="12" t="str">
        <f ca="1">IFERROR(__xludf.DUMMYFUNCTION("""COMPUTED_VALUE"""),"東芝TOSHIBA 10L一級能效高效型節能除濕機 RAD-B100T(W)")</f>
        <v>東芝TOSHIBA 10L一級能效高效型節能除濕機 RAD-B100T(W)</v>
      </c>
      <c r="E797" s="12" t="str">
        <f ca="1">IFERROR(__xludf.DUMMYFUNCTION("""COMPUTED_VALUE"""),"RAD-B100T(W)")</f>
        <v>RAD-B100T(W)</v>
      </c>
      <c r="F797" s="12">
        <f ca="1">IFERROR(__xludf.DUMMYFUNCTION("""COMPUTED_VALUE"""),51084309)</f>
        <v>51084309</v>
      </c>
      <c r="G797" s="12" t="str">
        <f ca="1">IFERROR(__xludf.DUMMYFUNCTION("""COMPUTED_VALUE"""),"IGEM087U")</f>
        <v>IGEM087U</v>
      </c>
      <c r="H797" s="12">
        <f ca="1">IFERROR(__xludf.DUMMYFUNCTION("""COMPUTED_VALUE"""),14900)</f>
        <v>14900</v>
      </c>
      <c r="I797" s="14">
        <f ca="1">IFERROR(__xludf.DUMMYFUNCTION("""COMPUTED_VALUE"""),8800)</f>
        <v>8800</v>
      </c>
      <c r="J797" s="16">
        <f ca="1">IFERROR(__xludf.DUMMYFUNCTION("""COMPUTED_VALUE"""),45231)</f>
        <v>45231</v>
      </c>
      <c r="K797" s="12" t="str">
        <f ca="1">IFERROR(__xludf.DUMMYFUNCTION("""COMPUTED_VALUE"""),"短促")</f>
        <v>短促</v>
      </c>
      <c r="L797" s="12" t="str">
        <f ca="1">IFERROR(__xludf.DUMMYFUNCTION("""COMPUTED_VALUE"""),"上架中")</f>
        <v>上架中</v>
      </c>
      <c r="M797" s="12" t="str">
        <f ca="1">IFERROR(__xludf.DUMMYFUNCTION("""COMPUTED_VALUE"""),"8/23新機上架")</f>
        <v>8/23新機上架</v>
      </c>
      <c r="N797" s="12" t="str">
        <f ca="1">IFERROR(__xludf.DUMMYFUNCTION("""COMPUTED_VALUE"""),"除濕機")</f>
        <v>除濕機</v>
      </c>
      <c r="O797" s="12" t="str">
        <f ca="1">IFERROR(__xludf.DUMMYFUNCTION("""COMPUTED_VALUE"""),"白")</f>
        <v>白</v>
      </c>
      <c r="P797" s="24" t="str">
        <f ca="1">IFERROR(__xludf.DUMMYFUNCTION("""COMPUTED_VALUE"""),"13坪
*額定電壓/額定頻率：110V/60Hz*機體淨重：12.6 kg
*除濕量(27°C RH60%)：10公升/日
*適用坪數：~13坪
*能源效率：第1級
*能源因數值：2.41L/kWh
*消耗功率：173W
*年耗電量：約93度
*最大水箱容量：4.2L(3.6L滿水停機)
*自動除霜：有
*冷媒種類/填充量：R134a/180g
*電源線長度：1.7公尺
*BSMI認證字號：R3D387")</f>
        <v>13坪
*額定電壓/額定頻率：110V/60Hz*機體淨重：12.6 kg
*除濕量(27°C RH60%)：10公升/日
*適用坪數：~13坪
*能源效率：第1級
*能源因數值：2.41L/kWh
*消耗功率：173W
*年耗電量：約93度
*最大水箱容量：4.2L(3.6L滿水停機)
*自動除霜：有
*冷媒種類/填充量：R134a/180g
*電源線長度：1.7公尺
*BSMI認證字號：R3D387</v>
      </c>
      <c r="Q797" s="12" t="str">
        <f ca="1">IFERROR(__xludf.DUMMYFUNCTION("""COMPUTED_VALUE"""),"546*335*265mm")</f>
        <v>546*335*265mm</v>
      </c>
      <c r="R797" s="12" t="str">
        <f ca="1">IFERROR(__xludf.DUMMYFUNCTION("""COMPUTED_VALUE"""),"中國")</f>
        <v>中國</v>
      </c>
      <c r="S797" s="12" t="str">
        <f ca="1">IFERROR(__xludf.DUMMYFUNCTION("""COMPUTED_VALUE"""),"V")</f>
        <v>V</v>
      </c>
      <c r="T797" s="13" t="str">
        <f ca="1">IFERROR(__xludf.DUMMYFUNCTION("""COMPUTED_VALUE"""),"1級能效")</f>
        <v>1級能效</v>
      </c>
      <c r="U797" s="12" t="str">
        <f ca="1">IFERROR(__xludf.DUMMYFUNCTION("""COMPUTED_VALUE"""),"3年")</f>
        <v>3年</v>
      </c>
      <c r="V797" s="12"/>
      <c r="W797" s="12"/>
      <c r="X797" s="12"/>
      <c r="Y797" s="12">
        <f ca="1">IFERROR(__xludf.DUMMYFUNCTION("""COMPUTED_VALUE"""),10)</f>
        <v>10</v>
      </c>
      <c r="Z797" s="14" t="str">
        <f ca="1">IFERROR(__xludf.DUMMYFUNCTION("""COMPUTED_VALUE"""),"900")</f>
        <v>900</v>
      </c>
      <c r="AA797" s="15" t="str">
        <f ca="1">IFERROR(__xludf.DUMMYFUNCTION("""COMPUTED_VALUE"""),"*39dB安靜過圖書館，不干擾工作睡眠*體積超輕巧，整體縮減20%*30%-80%超廣域濕度調整，可5%微調*半小時降20%濕度，速達人體最適濕*抑菌+去味+除醛3合1多效過濾*一級能效，一日電費僅6.8元*機內乾燥，內外同步防霉防臭*日本監製+21項防護+全機3年保固")</f>
        <v>*39dB安靜過圖書館，不干擾工作睡眠*體積超輕巧，整體縮減20%*30%-80%超廣域濕度調整，可5%微調*半小時降20%濕度，速達人體最適濕*抑菌+去味+除醛3合1多效過濾*一級能效，一日電費僅6.8元*機內乾燥，內外同步防霉防臭*日本監製+21項防護+全機3年保固</v>
      </c>
    </row>
    <row r="798" spans="1:27" ht="19.5" customHeight="1">
      <c r="A798" s="12" t="str">
        <f ca="1">IFERROR(__xludf.DUMMYFUNCTION("""COMPUTED_VALUE"""),"除濕機")</f>
        <v>除濕機</v>
      </c>
      <c r="B798" s="12" t="str">
        <f ca="1">IFERROR(__xludf.DUMMYFUNCTION("""COMPUTED_VALUE"""),"大同")</f>
        <v>大同</v>
      </c>
      <c r="C798" s="12" t="str">
        <f ca="1">IFERROR(__xludf.DUMMYFUNCTION("""COMPUTED_VALUE"""),"Panasonic")</f>
        <v>Panasonic</v>
      </c>
      <c r="D798" s="12" t="str">
        <f ca="1">IFERROR(__xludf.DUMMYFUNCTION("""COMPUTED_VALUE"""),"Panasonic 14L IoT變頻高效型除濕機 F-YV28NX (奶油白)")</f>
        <v>Panasonic 14L IoT變頻高效型除濕機 F-YV28NX (奶油白)</v>
      </c>
      <c r="E798" s="12" t="str">
        <f ca="1">IFERROR(__xludf.DUMMYFUNCTION("""COMPUTED_VALUE"""),"F-YV28NX")</f>
        <v>F-YV28NX</v>
      </c>
      <c r="F798" s="12">
        <f ca="1">IFERROR(__xludf.DUMMYFUNCTION("""COMPUTED_VALUE"""),51081429)</f>
        <v>51081429</v>
      </c>
      <c r="G798" s="12" t="str">
        <f ca="1">IFERROR(__xludf.DUMMYFUNCTION("""COMPUTED_VALUE"""),"IGEM1158")</f>
        <v>IGEM1158</v>
      </c>
      <c r="H798" s="13">
        <f ca="1">IFERROR(__xludf.DUMMYFUNCTION("""COMPUTED_VALUE"""),17500)</f>
        <v>17500</v>
      </c>
      <c r="I798" s="18">
        <f ca="1">IFERROR(__xludf.DUMMYFUNCTION("""COMPUTED_VALUE"""),17500)</f>
        <v>17500</v>
      </c>
      <c r="J798" s="16">
        <f ca="1">IFERROR(__xludf.DUMMYFUNCTION("""COMPUTED_VALUE"""),45636)</f>
        <v>45636</v>
      </c>
      <c r="K798" s="12" t="str">
        <f ca="1">IFERROR(__xludf.DUMMYFUNCTION("""COMPUTED_VALUE"""),"新機上架")</f>
        <v>新機上架</v>
      </c>
      <c r="L798" s="12" t="str">
        <f ca="1">IFERROR(__xludf.DUMMYFUNCTION("""COMPUTED_VALUE"""),"上架中")</f>
        <v>上架中</v>
      </c>
      <c r="M798" s="12" t="str">
        <f ca="1">IFERROR(__xludf.DUMMYFUNCTION("""COMPUTED_VALUE"""),"2024/12/10新機上架")</f>
        <v>2024/12/10新機上架</v>
      </c>
      <c r="N798" s="12" t="str">
        <f ca="1">IFERROR(__xludf.DUMMYFUNCTION("""COMPUTED_VALUE"""),"除濕機")</f>
        <v>除濕機</v>
      </c>
      <c r="O798" s="12" t="str">
        <f ca="1">IFERROR(__xludf.DUMMYFUNCTION("""COMPUTED_VALUE"""),"奶油白")</f>
        <v>奶油白</v>
      </c>
      <c r="P798" s="24" t="str">
        <f ca="1">IFERROR(__xludf.DUMMYFUNCTION("""COMPUTED_VALUE"""),"14L")</f>
        <v>14L</v>
      </c>
      <c r="Q798" s="12" t="str">
        <f ca="1">IFERROR(__xludf.DUMMYFUNCTION("""COMPUTED_VALUE"""),"380H*640W*260D mm")</f>
        <v>380H*640W*260D mm</v>
      </c>
      <c r="R798" s="12" t="str">
        <f ca="1">IFERROR(__xludf.DUMMYFUNCTION("""COMPUTED_VALUE"""),"台灣")</f>
        <v>台灣</v>
      </c>
      <c r="S798" s="22" t="str">
        <f ca="1">IFERROR(__xludf.DUMMYFUNCTION("""COMPUTED_VALUE"""),"V")</f>
        <v>V</v>
      </c>
      <c r="T798" s="13" t="str">
        <f ca="1">IFERROR(__xludf.DUMMYFUNCTION("""COMPUTED_VALUE"""),"1級能效")</f>
        <v>1級能效</v>
      </c>
      <c r="U798" s="12" t="str">
        <f ca="1">IFERROR(__xludf.DUMMYFUNCTION("""COMPUTED_VALUE"""),"3年")</f>
        <v>3年</v>
      </c>
      <c r="V798" s="12" t="str">
        <f ca="1">IFERROR(__xludf.DUMMYFUNCTION("""COMPUTED_VALUE"""),"5年")</f>
        <v>5年</v>
      </c>
      <c r="W798" s="12"/>
      <c r="X798" s="12"/>
      <c r="Y798" s="12">
        <f ca="1">IFERROR(__xludf.DUMMYFUNCTION("""COMPUTED_VALUE"""),14)</f>
        <v>14</v>
      </c>
      <c r="Z798" s="14" t="str">
        <f ca="1">IFERROR(__xludf.DUMMYFUNCTION("""COMPUTED_VALUE"""),"1200")</f>
        <v>1200</v>
      </c>
      <c r="AA798" s="15" t="str">
        <f ca="1">IFERROR(__xludf.DUMMYFUNCTION("""COMPUTED_VALUE"""),"*除濕能力 14公升/日(室溫27°C/相對濕度60%)*INVERTER變頻雙轉子壓縮機*W-HEXS雙重除濕系統*nanoe™ X 健康科技*ECONAVI智慧節能科技*IoT智慧健康家電*35項安全裝置*烘鞋烘衣專用配件*除濕適用坪數：18坪")</f>
        <v>*除濕能力 14公升/日(室溫27°C/相對濕度60%)*INVERTER變頻雙轉子壓縮機*W-HEXS雙重除濕系統*nanoe™ X 健康科技*ECONAVI智慧節能科技*IoT智慧健康家電*35項安全裝置*烘鞋烘衣專用配件*除濕適用坪數：18坪</v>
      </c>
    </row>
    <row r="799" spans="1:27" ht="19.5" customHeight="1">
      <c r="A799" s="12" t="str">
        <f ca="1">IFERROR(__xludf.DUMMYFUNCTION("""COMPUTED_VALUE"""),"除濕機")</f>
        <v>除濕機</v>
      </c>
      <c r="B799" s="12" t="str">
        <f ca="1">IFERROR(__xludf.DUMMYFUNCTION("""COMPUTED_VALUE"""),"大同")</f>
        <v>大同</v>
      </c>
      <c r="C799" s="12" t="str">
        <f ca="1">IFERROR(__xludf.DUMMYFUNCTION("""COMPUTED_VALUE"""),"大同")</f>
        <v>大同</v>
      </c>
      <c r="D799" s="12" t="str">
        <f ca="1">IFERROR(__xludf.DUMMYFUNCTION("""COMPUTED_VALUE"""),"大同27公升除濕機TDH-540B")</f>
        <v>大同27公升除濕機TDH-540B</v>
      </c>
      <c r="E799" s="12" t="str">
        <f ca="1">IFERROR(__xludf.DUMMYFUNCTION("""COMPUTED_VALUE"""),"TDH-540B")</f>
        <v>TDH-540B</v>
      </c>
      <c r="F799" s="12">
        <f ca="1">IFERROR(__xludf.DUMMYFUNCTION("""COMPUTED_VALUE"""),51012184)</f>
        <v>51012184</v>
      </c>
      <c r="G799" s="12" t="str">
        <f ca="1">IFERROR(__xludf.DUMMYFUNCTION("""COMPUTED_VALUE"""),"IGEM065N")</f>
        <v>IGEM065N</v>
      </c>
      <c r="H799" s="12">
        <f ca="1">IFERROR(__xludf.DUMMYFUNCTION("""COMPUTED_VALUE"""),13900)</f>
        <v>13900</v>
      </c>
      <c r="I799" s="14">
        <f ca="1">IFERROR(__xludf.DUMMYFUNCTION("""COMPUTED_VALUE"""),9600)</f>
        <v>9600</v>
      </c>
      <c r="J799" s="16">
        <f ca="1">IFERROR(__xludf.DUMMYFUNCTION("""COMPUTED_VALUE"""),45627)</f>
        <v>45627</v>
      </c>
      <c r="K799" s="12" t="str">
        <f ca="1">IFERROR(__xludf.DUMMYFUNCTION("""COMPUTED_VALUE"""),"回價")</f>
        <v>回價</v>
      </c>
      <c r="L799" s="12" t="str">
        <f ca="1">IFERROR(__xludf.DUMMYFUNCTION("""COMPUTED_VALUE"""),"上架中")</f>
        <v>上架中</v>
      </c>
      <c r="M799" s="12" t="str">
        <f ca="1">IFERROR(__xludf.DUMMYFUNCTION("""COMPUTED_VALUE"""),"2024/7/10短促，2022/11/1短促，2022/9/6新品上架")</f>
        <v>2024/7/10短促，2022/11/1短促，2022/9/6新品上架</v>
      </c>
      <c r="N799" s="12" t="str">
        <f ca="1">IFERROR(__xludf.DUMMYFUNCTION("""COMPUTED_VALUE"""),"除濕機")</f>
        <v>除濕機</v>
      </c>
      <c r="O799" s="12" t="str">
        <f ca="1">IFERROR(__xludf.DUMMYFUNCTION("""COMPUTED_VALUE"""),"白")</f>
        <v>白</v>
      </c>
      <c r="P799" s="12"/>
      <c r="Q799" s="12" t="str">
        <f ca="1">IFERROR(__xludf.DUMMYFUNCTION("""COMPUTED_VALUE"""),"H628 x W387 x D300")</f>
        <v>H628 x W387 x D300</v>
      </c>
      <c r="R799" s="12" t="str">
        <f ca="1">IFERROR(__xludf.DUMMYFUNCTION("""COMPUTED_VALUE"""),"中國")</f>
        <v>中國</v>
      </c>
      <c r="S799" s="12"/>
      <c r="T799" s="13" t="str">
        <f ca="1">IFERROR(__xludf.DUMMYFUNCTION("""COMPUTED_VALUE"""),"2級能效")</f>
        <v>2級能效</v>
      </c>
      <c r="U799" s="12" t="str">
        <f ca="1">IFERROR(__xludf.DUMMYFUNCTION("""COMPUTED_VALUE"""),"1年")</f>
        <v>1年</v>
      </c>
      <c r="V799" s="12"/>
      <c r="W799" s="12"/>
      <c r="X799" s="12"/>
      <c r="Y799" s="12">
        <f ca="1">IFERROR(__xludf.DUMMYFUNCTION("""COMPUTED_VALUE"""),27)</f>
        <v>27</v>
      </c>
      <c r="Z799" s="14" t="str">
        <f ca="1">IFERROR(__xludf.DUMMYFUNCTION("""COMPUTED_VALUE"""),"1200")</f>
        <v>1200</v>
      </c>
      <c r="AA799" s="15" t="str">
        <f ca="1">IFERROR(__xludf.DUMMYFUNCTION("""COMPUTED_VALUE"""),"*採環保冷媒R410A*九重安全保護裝置*除溼能力：27公升/日（DB27℃，RH60%)*水箱容量：5.2L*定時小幫手：0.5~24個小時開關機*三種除溼模式選擇：自動/連續/手動*除溼多段式：11段式溼度調整控制(30%~80%)*水滿自動停機")</f>
        <v>*採環保冷媒R410A*九重安全保護裝置*除溼能力：27公升/日（DB27℃，RH60%)*水箱容量：5.2L*定時小幫手：0.5~24個小時開關機*三種除溼模式選擇：自動/連續/手動*除溼多段式：11段式溼度調整控制(30%~80%)*水滿自動停機</v>
      </c>
    </row>
    <row r="800" spans="1:27" ht="19.5" customHeight="1">
      <c r="A800" s="12" t="str">
        <f ca="1">IFERROR(__xludf.DUMMYFUNCTION("""COMPUTED_VALUE"""),"除濕機")</f>
        <v>除濕機</v>
      </c>
      <c r="B800" s="12" t="str">
        <f ca="1">IFERROR(__xludf.DUMMYFUNCTION("""COMPUTED_VALUE"""),"大同")</f>
        <v>大同</v>
      </c>
      <c r="C800" s="12" t="str">
        <f ca="1">IFERROR(__xludf.DUMMYFUNCTION("""COMPUTED_VALUE"""),"大同")</f>
        <v>大同</v>
      </c>
      <c r="D800" s="12" t="str">
        <f ca="1">IFERROR(__xludf.DUMMYFUNCTION("""COMPUTED_VALUE"""),"大同6公升除濕機TDH-120MC")</f>
        <v>大同6公升除濕機TDH-120MC</v>
      </c>
      <c r="E800" s="12" t="str">
        <f ca="1">IFERROR(__xludf.DUMMYFUNCTION("""COMPUTED_VALUE"""),"TDH-120MC")</f>
        <v>TDH-120MC</v>
      </c>
      <c r="F800" s="12">
        <f ca="1">IFERROR(__xludf.DUMMYFUNCTION("""COMPUTED_VALUE"""),51012185)</f>
        <v>51012185</v>
      </c>
      <c r="G800" s="12" t="str">
        <f ca="1">IFERROR(__xludf.DUMMYFUNCTION("""COMPUTED_VALUE"""),"IGEM065O")</f>
        <v>IGEM065O</v>
      </c>
      <c r="H800" s="12">
        <f ca="1">IFERROR(__xludf.DUMMYFUNCTION("""COMPUTED_VALUE"""),6990)</f>
        <v>6990</v>
      </c>
      <c r="I800" s="14">
        <f ca="1">IFERROR(__xludf.DUMMYFUNCTION("""COMPUTED_VALUE"""),5690)</f>
        <v>5690</v>
      </c>
      <c r="J800" s="16">
        <f ca="1">IFERROR(__xludf.DUMMYFUNCTION("""COMPUTED_VALUE"""),45608)</f>
        <v>45608</v>
      </c>
      <c r="K800" s="12" t="str">
        <f ca="1">IFERROR(__xludf.DUMMYFUNCTION("""COMPUTED_VALUE"""),"短促")</f>
        <v>短促</v>
      </c>
      <c r="L800" s="12" t="str">
        <f ca="1">IFERROR(__xludf.DUMMYFUNCTION("""COMPUTED_VALUE"""),"上架中")</f>
        <v>上架中</v>
      </c>
      <c r="M800" s="12" t="str">
        <f ca="1">IFERROR(__xludf.DUMMYFUNCTION("""COMPUTED_VALUE"""),"2024/11/12短促2022/8月短促、2022/7/1新品上架")</f>
        <v>2024/11/12短促2022/8月短促、2022/7/1新品上架</v>
      </c>
      <c r="N800" s="12" t="str">
        <f ca="1">IFERROR(__xludf.DUMMYFUNCTION("""COMPUTED_VALUE"""),"除濕機")</f>
        <v>除濕機</v>
      </c>
      <c r="O800" s="12" t="str">
        <f ca="1">IFERROR(__xludf.DUMMYFUNCTION("""COMPUTED_VALUE"""),"白")</f>
        <v>白</v>
      </c>
      <c r="P800" s="12"/>
      <c r="Q800" s="12" t="str">
        <f ca="1">IFERROR(__xludf.DUMMYFUNCTION("""COMPUTED_VALUE"""),"290*478*190mm")</f>
        <v>290*478*190mm</v>
      </c>
      <c r="R800" s="12" t="str">
        <f ca="1">IFERROR(__xludf.DUMMYFUNCTION("""COMPUTED_VALUE"""),"中國")</f>
        <v>中國</v>
      </c>
      <c r="S800" s="12"/>
      <c r="T800" s="13" t="str">
        <f ca="1">IFERROR(__xludf.DUMMYFUNCTION("""COMPUTED_VALUE"""),"1級能效")</f>
        <v>1級能效</v>
      </c>
      <c r="U800" s="12" t="str">
        <f ca="1">IFERROR(__xludf.DUMMYFUNCTION("""COMPUTED_VALUE"""),"1年")</f>
        <v>1年</v>
      </c>
      <c r="V800" s="12"/>
      <c r="W800" s="12"/>
      <c r="X800" s="12"/>
      <c r="Y800" s="12">
        <f ca="1">IFERROR(__xludf.DUMMYFUNCTION("""COMPUTED_VALUE"""),6)</f>
        <v>6</v>
      </c>
      <c r="Z800" s="14">
        <f ca="1">IFERROR(__xludf.DUMMYFUNCTION("""COMPUTED_VALUE"""),500)</f>
        <v>500</v>
      </c>
      <c r="AA800" s="15" t="str">
        <f ca="1">IFERROR(__xludf.DUMMYFUNCTION("""COMPUTED_VALUE"""),"*日除溼量6公升*可定時2/4/6小時*提把設計移動更方便 5. 9重安全保護")</f>
        <v>*日除溼量6公升*可定時2/4/6小時*提把設計移動更方便 5. 9重安全保護</v>
      </c>
    </row>
    <row r="801" spans="1:27" ht="19.5" customHeight="1">
      <c r="A801" s="12" t="str">
        <f ca="1">IFERROR(__xludf.DUMMYFUNCTION("""COMPUTED_VALUE"""),"除濕機")</f>
        <v>除濕機</v>
      </c>
      <c r="B801" s="12" t="str">
        <f ca="1">IFERROR(__xludf.DUMMYFUNCTION("""COMPUTED_VALUE"""),"凱創")</f>
        <v>凱創</v>
      </c>
      <c r="C801" s="12" t="str">
        <f ca="1">IFERROR(__xludf.DUMMYFUNCTION("""COMPUTED_VALUE"""),"3M")</f>
        <v>3M</v>
      </c>
      <c r="D801" s="12" t="str">
        <f ca="1">IFERROR(__xludf.DUMMYFUNCTION("""COMPUTED_VALUE"""),"9.5L雙效空氣清淨除濕機FD-A90W")</f>
        <v>9.5L雙效空氣清淨除濕機FD-A90W</v>
      </c>
      <c r="E801" s="12" t="str">
        <f ca="1">IFERROR(__xludf.DUMMYFUNCTION("""COMPUTED_VALUE"""),"FD-A90W")</f>
        <v>FD-A90W</v>
      </c>
      <c r="F801" s="12">
        <f ca="1">IFERROR(__xludf.DUMMYFUNCTION("""COMPUTED_VALUE"""),51084005)</f>
        <v>51084005</v>
      </c>
      <c r="G801" s="12" t="str">
        <f ca="1">IFERROR(__xludf.DUMMYFUNCTION("""COMPUTED_VALUE"""),"IGEM003P")</f>
        <v>IGEM003P</v>
      </c>
      <c r="H801" s="12">
        <f ca="1">IFERROR(__xludf.DUMMYFUNCTION("""COMPUTED_VALUE"""),16900)</f>
        <v>16900</v>
      </c>
      <c r="I801" s="14">
        <f ca="1">IFERROR(__xludf.DUMMYFUNCTION("""COMPUTED_VALUE"""),9900)</f>
        <v>9900</v>
      </c>
      <c r="J801" s="12"/>
      <c r="K801" s="12"/>
      <c r="L801" s="12" t="str">
        <f ca="1">IFERROR(__xludf.DUMMYFUNCTION("""COMPUTED_VALUE"""),"上架中")</f>
        <v>上架中</v>
      </c>
      <c r="M801" s="12" t="str">
        <f ca="1">IFERROR(__xludf.DUMMYFUNCTION("""COMPUTED_VALUE"""),"2022/10/1短促，4/26到貨，2022/4/15缺貨，2021/3/2到貨，12/24缺貨下架，2018/8/1售價調降")</f>
        <v>2022/10/1短促，4/26到貨，2022/4/15缺貨，2021/3/2到貨，12/24缺貨下架，2018/8/1售價調降</v>
      </c>
      <c r="N801" s="12" t="str">
        <f ca="1">IFERROR(__xludf.DUMMYFUNCTION("""COMPUTED_VALUE"""),"除濕機")</f>
        <v>除濕機</v>
      </c>
      <c r="O801" s="12" t="str">
        <f ca="1">IFERROR(__xludf.DUMMYFUNCTION("""COMPUTED_VALUE"""),"白")</f>
        <v>白</v>
      </c>
      <c r="P801" s="24" t="str">
        <f ca="1">IFERROR(__xludf.DUMMYFUNCTION("""COMPUTED_VALUE"""),"12坪")</f>
        <v>12坪</v>
      </c>
      <c r="Q801" s="12" t="str">
        <f ca="1">IFERROR(__xludf.DUMMYFUNCTION("""COMPUTED_VALUE"""),"596*373*225mm")</f>
        <v>596*373*225mm</v>
      </c>
      <c r="R801" s="12" t="str">
        <f ca="1">IFERROR(__xludf.DUMMYFUNCTION("""COMPUTED_VALUE"""),"中國")</f>
        <v>中國</v>
      </c>
      <c r="S801" s="12"/>
      <c r="T801" s="12"/>
      <c r="U801" s="12" t="str">
        <f ca="1">IFERROR(__xludf.DUMMYFUNCTION("""COMPUTED_VALUE"""),"1年")</f>
        <v>1年</v>
      </c>
      <c r="V801" s="12"/>
      <c r="W801" s="12"/>
      <c r="X801" s="12"/>
      <c r="Y801" s="12" t="str">
        <f ca="1">IFERROR(__xludf.DUMMYFUNCTION("""COMPUTED_VALUE"""),"不符標準")</f>
        <v>不符標準</v>
      </c>
      <c r="Z801" s="14"/>
      <c r="AA801" s="15" t="str">
        <f ca="1">IFERROR(__xludf.DUMMYFUNCTION("""COMPUTED_VALUE"""),"*雙效能空氣清淨除濕機，高效除濕與空氣濾淨雙效進化
*造型簡約優雅，符合摩登居家生活品味
*採用日本除濕輪科技，免冷媒、無壓縮機，優先符合環保觀念，輕巧又靜音
*除濕效能再升級，除濕能力9.5公升/每日，在低溫下除濕效能優於同等級壓縮機式2倍以上
*適用坪數：除濕能力12坪；清淨能力6坪(清淨功能依實際環境狀況可使用3-8坪之範圍)")</f>
        <v>*雙效能空氣清淨除濕機，高效除濕與空氣濾淨雙效進化
*造型簡約優雅，符合摩登居家生活品味
*採用日本除濕輪科技，免冷媒、無壓縮機，優先符合環保觀念，輕巧又靜音
*除濕效能再升級，除濕能力9.5公升/每日，在低溫下除濕效能優於同等級壓縮機式2倍以上
*適用坪數：除濕能力12坪；清淨能力6坪(清淨功能依實際環境狀況可使用3-8坪之範圍)</v>
      </c>
    </row>
    <row r="802" spans="1:27" ht="19.5" customHeight="1">
      <c r="A802" s="12" t="str">
        <f ca="1">IFERROR(__xludf.DUMMYFUNCTION("""COMPUTED_VALUE"""),"除濕機")</f>
        <v>除濕機</v>
      </c>
      <c r="B802" s="12" t="str">
        <f ca="1">IFERROR(__xludf.DUMMYFUNCTION("""COMPUTED_VALUE"""),"禾聯")</f>
        <v>禾聯</v>
      </c>
      <c r="C802" s="12" t="str">
        <f ca="1">IFERROR(__xludf.DUMMYFUNCTION("""COMPUTED_VALUE"""),"禾聯")</f>
        <v>禾聯</v>
      </c>
      <c r="D802" s="12" t="str">
        <f ca="1">IFERROR(__xludf.DUMMYFUNCTION("""COMPUTED_VALUE"""),"禾聯 6L銀離子抑菌除濕機 HDH-12DY030(B)")</f>
        <v>禾聯 6L銀離子抑菌除濕機 HDH-12DY030(B)</v>
      </c>
      <c r="E802" s="12" t="str">
        <f ca="1">IFERROR(__xludf.DUMMYFUNCTION("""COMPUTED_VALUE"""),"HDH-12DY030(B)")</f>
        <v>HDH-12DY030(B)</v>
      </c>
      <c r="F802" s="12">
        <f ca="1">IFERROR(__xludf.DUMMYFUNCTION("""COMPUTED_VALUE"""),51087295)</f>
        <v>51087295</v>
      </c>
      <c r="G802" s="12" t="str">
        <f ca="1">IFERROR(__xludf.DUMMYFUNCTION("""COMPUTED_VALUE"""),"IGEM112I")</f>
        <v>IGEM112I</v>
      </c>
      <c r="H802" s="13">
        <f ca="1">IFERROR(__xludf.DUMMYFUNCTION("""COMPUTED_VALUE"""),4990)</f>
        <v>4990</v>
      </c>
      <c r="I802" s="14">
        <f ca="1">IFERROR(__xludf.DUMMYFUNCTION("""COMPUTED_VALUE"""),3990)</f>
        <v>3990</v>
      </c>
      <c r="J802" s="16">
        <f ca="1">IFERROR(__xludf.DUMMYFUNCTION("""COMPUTED_VALUE"""),45628)</f>
        <v>45628</v>
      </c>
      <c r="K802" s="12" t="str">
        <f ca="1">IFERROR(__xludf.DUMMYFUNCTION("""COMPUTED_VALUE"""),"到貨")</f>
        <v>到貨</v>
      </c>
      <c r="L802" s="12" t="str">
        <f ca="1">IFERROR(__xludf.DUMMYFUNCTION("""COMPUTED_VALUE"""),"上架中")</f>
        <v>上架中</v>
      </c>
      <c r="M802" s="12" t="str">
        <f ca="1">IFERROR(__xludf.DUMMYFUNCTION("""COMPUTED_VALUE"""),"2024/12/2少量到貨，2024/11/1新機上架")</f>
        <v>2024/12/2少量到貨，2024/11/1新機上架</v>
      </c>
      <c r="N802" s="12" t="str">
        <f ca="1">IFERROR(__xludf.DUMMYFUNCTION("""COMPUTED_VALUE"""),"除濕機")</f>
        <v>除濕機</v>
      </c>
      <c r="O802" s="12" t="str">
        <f ca="1">IFERROR(__xludf.DUMMYFUNCTION("""COMPUTED_VALUE"""),"白色")</f>
        <v>白色</v>
      </c>
      <c r="P802" s="24" t="str">
        <f ca="1">IFERROR(__xludf.DUMMYFUNCTION("""COMPUTED_VALUE"""),"6L")</f>
        <v>6L</v>
      </c>
      <c r="Q802" s="12" t="str">
        <f ca="1">IFERROR(__xludf.DUMMYFUNCTION("""COMPUTED_VALUE"""),"高478*寛308*深229 (mm)")</f>
        <v>高478*寛308*深229 (mm)</v>
      </c>
      <c r="R802" s="12" t="str">
        <f ca="1">IFERROR(__xludf.DUMMYFUNCTION("""COMPUTED_VALUE"""),"中國")</f>
        <v>中國</v>
      </c>
      <c r="S802" s="12"/>
      <c r="T802" s="12" t="str">
        <f ca="1">IFERROR(__xludf.DUMMYFUNCTION("""COMPUTED_VALUE"""),"1級能效")</f>
        <v>1級能效</v>
      </c>
      <c r="U802" s="12" t="str">
        <f ca="1">IFERROR(__xludf.DUMMYFUNCTION("""COMPUTED_VALUE"""),"1年")</f>
        <v>1年</v>
      </c>
      <c r="V802" s="12"/>
      <c r="W802" s="12"/>
      <c r="X802" s="12"/>
      <c r="Y802" s="12">
        <f ca="1">IFERROR(__xludf.DUMMYFUNCTION("""COMPUTED_VALUE"""),6)</f>
        <v>6</v>
      </c>
      <c r="Z802" s="14">
        <f ca="1">IFERROR(__xludf.DUMMYFUNCTION("""COMPUTED_VALUE"""),500)</f>
        <v>500</v>
      </c>
      <c r="AA802" s="15" t="str">
        <f ca="1">IFERROR(__xludf.DUMMYFUNCTION("""COMPUTED_VALUE"""),"*國產品牌高效能壓縮機*30重安全防護*2.5L透視水箱*自動式導風版*自動除濕模式*萬向腳輪*數位顯示操控面板*除濕/乾衣模式*定時1～24小時關機*兒童安全鎖*自動除霜*連續排水*防滲水水箱蓋*滿水自動停機")</f>
        <v>*國產品牌高效能壓縮機*30重安全防護*2.5L透視水箱*自動式導風版*自動除濕模式*萬向腳輪*數位顯示操控面板*除濕/乾衣模式*定時1～24小時關機*兒童安全鎖*自動除霜*連續排水*防滲水水箱蓋*滿水自動停機</v>
      </c>
    </row>
    <row r="803" spans="1:27" ht="19.5" customHeight="1">
      <c r="A803" s="12" t="str">
        <f ca="1">IFERROR(__xludf.DUMMYFUNCTION("""COMPUTED_VALUE"""),"生活家電")</f>
        <v>生活家電</v>
      </c>
      <c r="B803" s="12" t="str">
        <f ca="1">IFERROR(__xludf.DUMMYFUNCTION("""COMPUTED_VALUE"""),"旺德")</f>
        <v>旺德</v>
      </c>
      <c r="C803" s="12" t="str">
        <f ca="1">IFERROR(__xludf.DUMMYFUNCTION("""COMPUTED_VALUE"""),"THOMSON")</f>
        <v>THOMSON</v>
      </c>
      <c r="D803" s="12" t="str">
        <f ca="1">IFERROR(__xludf.DUMMYFUNCTION("""COMPUTED_VALUE"""),"THOMSON直流無刷智慧溫控吹風機(白)TM-SAD06A")</f>
        <v>THOMSON直流無刷智慧溫控吹風機(白)TM-SAD06A</v>
      </c>
      <c r="E803" s="12" t="str">
        <f ca="1">IFERROR(__xludf.DUMMYFUNCTION("""COMPUTED_VALUE"""),"TM-SAD06A")</f>
        <v>TM-SAD06A</v>
      </c>
      <c r="F803" s="12">
        <f ca="1">IFERROR(__xludf.DUMMYFUNCTION("""COMPUTED_VALUE"""),51092082)</f>
        <v>51092082</v>
      </c>
      <c r="G803" s="12" t="str">
        <f ca="1">IFERROR(__xludf.DUMMYFUNCTION("""COMPUTED_VALUE"""),"IGEM067A")</f>
        <v>IGEM067A</v>
      </c>
      <c r="H803" s="13">
        <f ca="1">IFERROR(__xludf.DUMMYFUNCTION("""COMPUTED_VALUE"""),4990)</f>
        <v>4990</v>
      </c>
      <c r="I803" s="14">
        <f ca="1">IFERROR(__xludf.DUMMYFUNCTION("""COMPUTED_VALUE"""),3990)</f>
        <v>3990</v>
      </c>
      <c r="J803" s="12"/>
      <c r="K803" s="12"/>
      <c r="L803" s="12" t="str">
        <f ca="1">IFERROR(__xludf.DUMMYFUNCTION("""COMPUTED_VALUE"""),"上架中")</f>
        <v>上架中</v>
      </c>
      <c r="M803" s="12" t="str">
        <f ca="1">IFERROR(__xludf.DUMMYFUNCTION("""COMPUTED_VALUE"""),"2022/8/1上架")</f>
        <v>2022/8/1上架</v>
      </c>
      <c r="N803" s="12" t="str">
        <f ca="1">IFERROR(__xludf.DUMMYFUNCTION("""COMPUTED_VALUE"""),"吹風機/造型整髮器")</f>
        <v>吹風機/造型整髮器</v>
      </c>
      <c r="O803" s="12" t="str">
        <f ca="1">IFERROR(__xludf.DUMMYFUNCTION("""COMPUTED_VALUE"""),"白")</f>
        <v>白</v>
      </c>
      <c r="P803" s="12"/>
      <c r="Q803" s="12" t="str">
        <f ca="1">IFERROR(__xludf.DUMMYFUNCTION("""COMPUTED_VALUE"""),"223 X46X195mm")</f>
        <v>223 X46X195mm</v>
      </c>
      <c r="R803" s="12" t="str">
        <f ca="1">IFERROR(__xludf.DUMMYFUNCTION("""COMPUTED_VALUE"""),"中國")</f>
        <v>中國</v>
      </c>
      <c r="S803" s="12"/>
      <c r="T803" s="12"/>
      <c r="U803" s="12" t="str">
        <f ca="1">IFERROR(__xludf.DUMMYFUNCTION("""COMPUTED_VALUE"""),"1年")</f>
        <v>1年</v>
      </c>
      <c r="V803" s="12" t="str">
        <f ca="1">IFERROR(__xludf.DUMMYFUNCTION("""COMPUTED_VALUE"""),"1年")</f>
        <v>1年</v>
      </c>
      <c r="W803" s="12"/>
      <c r="X803" s="12"/>
      <c r="Y803" s="12"/>
      <c r="Z803" s="14"/>
      <c r="AA803" s="15" t="str">
        <f ca="1">IFERROR(__xludf.DUMMYFUNCTION("""COMPUTED_VALUE"""),"*一分鐘11.3萬轉高轉速*具負離子功能*冷風鍵設計，快速定型*自動清潔功能去除殘留的毛髮*三段風速，三種溫度*多樣配件輕鬆打造各種髮型")</f>
        <v>*一分鐘11.3萬轉高轉速*具負離子功能*冷風鍵設計，快速定型*自動清潔功能去除殘留的毛髮*三段風速，三種溫度*多樣配件輕鬆打造各種髮型</v>
      </c>
    </row>
    <row r="804" spans="1:27" ht="19.5" customHeight="1">
      <c r="A804" s="12" t="str">
        <f ca="1">IFERROR(__xludf.DUMMYFUNCTION("""COMPUTED_VALUE"""),"生活家電")</f>
        <v>生活家電</v>
      </c>
      <c r="B804" s="12" t="str">
        <f ca="1">IFERROR(__xludf.DUMMYFUNCTION("""COMPUTED_VALUE"""),"旺德")</f>
        <v>旺德</v>
      </c>
      <c r="C804" s="12" t="str">
        <f ca="1">IFERROR(__xludf.DUMMYFUNCTION("""COMPUTED_VALUE"""),"THOMSON")</f>
        <v>THOMSON</v>
      </c>
      <c r="D804" s="12" t="str">
        <f ca="1">IFERROR(__xludf.DUMMYFUNCTION("""COMPUTED_VALUE"""),"THOMSON復古造型微電腦大廈扇TM-SAF21B")</f>
        <v>THOMSON復古造型微電腦大廈扇TM-SAF21B</v>
      </c>
      <c r="E804" s="12" t="str">
        <f ca="1">IFERROR(__xludf.DUMMYFUNCTION("""COMPUTED_VALUE"""),"TM-SAF21B")</f>
        <v>TM-SAF21B</v>
      </c>
      <c r="F804" s="12">
        <f ca="1">IFERROR(__xludf.DUMMYFUNCTION("""COMPUTED_VALUE"""),51092094)</f>
        <v>51092094</v>
      </c>
      <c r="G804" s="12" t="str">
        <f ca="1">IFERROR(__xludf.DUMMYFUNCTION("""COMPUTED_VALUE"""),"IGEM083T")</f>
        <v>IGEM083T</v>
      </c>
      <c r="H804" s="13">
        <f ca="1">IFERROR(__xludf.DUMMYFUNCTION("""COMPUTED_VALUE"""),2990)</f>
        <v>2990</v>
      </c>
      <c r="I804" s="14">
        <f ca="1">IFERROR(__xludf.DUMMYFUNCTION("""COMPUTED_VALUE"""),1490)</f>
        <v>1490</v>
      </c>
      <c r="J804" s="16">
        <f ca="1">IFERROR(__xludf.DUMMYFUNCTION("""COMPUTED_VALUE"""),45444)</f>
        <v>45444</v>
      </c>
      <c r="K804" s="12" t="str">
        <f ca="1">IFERROR(__xludf.DUMMYFUNCTION("""COMPUTED_VALUE"""),"短促")</f>
        <v>短促</v>
      </c>
      <c r="L804" s="12" t="str">
        <f ca="1">IFERROR(__xludf.DUMMYFUNCTION("""COMPUTED_VALUE"""),"上架中")</f>
        <v>上架中</v>
      </c>
      <c r="M804" s="12" t="str">
        <f ca="1">IFERROR(__xludf.DUMMYFUNCTION("""COMPUTED_VALUE"""),"2024/6/1短促，5/19新機上架")</f>
        <v>2024/6/1短促，5/19新機上架</v>
      </c>
      <c r="N804" s="12" t="str">
        <f ca="1">IFERROR(__xludf.DUMMYFUNCTION("""COMPUTED_VALUE"""),"風扇")</f>
        <v>風扇</v>
      </c>
      <c r="O804" s="12" t="str">
        <f ca="1">IFERROR(__xludf.DUMMYFUNCTION("""COMPUTED_VALUE"""),"白")</f>
        <v>白</v>
      </c>
      <c r="P804" s="12"/>
      <c r="Q804" s="12" t="str">
        <f ca="1">IFERROR(__xludf.DUMMYFUNCTION("""COMPUTED_VALUE"""),"750*220*220(mm)")</f>
        <v>750*220*220(mm)</v>
      </c>
      <c r="R804" s="12" t="str">
        <f ca="1">IFERROR(__xludf.DUMMYFUNCTION("""COMPUTED_VALUE"""),"中國")</f>
        <v>中國</v>
      </c>
      <c r="S804" s="12"/>
      <c r="T804" s="12"/>
      <c r="U804" s="12" t="str">
        <f ca="1">IFERROR(__xludf.DUMMYFUNCTION("""COMPUTED_VALUE"""),"1年")</f>
        <v>1年</v>
      </c>
      <c r="V804" s="12"/>
      <c r="W804" s="12"/>
      <c r="X804" s="12"/>
      <c r="Y804" s="12"/>
      <c r="Z804" s="14"/>
      <c r="AA804" s="15" t="str">
        <f ca="1">IFERROR(__xludf.DUMMYFUNCTION("""COMPUTED_VALUE"""),"*出風口無扇葉設計，更加安全*可設定12小時預約定時關機*3段風速及搭配自然風、睡眠風設計*LED螢幕可顯示微電腦檢測環境溫度*附遠紅外線無線遙控器")</f>
        <v>*出風口無扇葉設計，更加安全*可設定12小時預約定時關機*3段風速及搭配自然風、睡眠風設計*LED螢幕可顯示微電腦檢測環境溫度*附遠紅外線無線遙控器</v>
      </c>
    </row>
    <row r="805" spans="1:27" ht="19.5" customHeight="1">
      <c r="A805" s="12" t="str">
        <f ca="1">IFERROR(__xludf.DUMMYFUNCTION("""COMPUTED_VALUE"""),"生活家電")</f>
        <v>生活家電</v>
      </c>
      <c r="B805" s="12" t="str">
        <f ca="1">IFERROR(__xludf.DUMMYFUNCTION("""COMPUTED_VALUE"""),"旺德")</f>
        <v>旺德</v>
      </c>
      <c r="C805" s="12" t="str">
        <f ca="1">IFERROR(__xludf.DUMMYFUNCTION("""COMPUTED_VALUE"""),"BLAUPUNKT")</f>
        <v>BLAUPUNKT</v>
      </c>
      <c r="D805" s="12" t="str">
        <f ca="1">IFERROR(__xludf.DUMMYFUNCTION("""COMPUTED_VALUE"""),"BLAUPUNKT智能冷熱眼部按摩器(曜石黑)BPB-M08EU")</f>
        <v>BLAUPUNKT智能冷熱眼部按摩器(曜石黑)BPB-M08EU</v>
      </c>
      <c r="E805" s="12" t="str">
        <f ca="1">IFERROR(__xludf.DUMMYFUNCTION("""COMPUTED_VALUE"""),"BPB-M08EU曜石黑")</f>
        <v>BPB-M08EU曜石黑</v>
      </c>
      <c r="F805" s="12">
        <f ca="1">IFERROR(__xludf.DUMMYFUNCTION("""COMPUTED_VALUE"""),51092098)</f>
        <v>51092098</v>
      </c>
      <c r="G805" s="12" t="str">
        <f ca="1">IFERROR(__xludf.DUMMYFUNCTION("""COMPUTED_VALUE"""),"IGEM086S")</f>
        <v>IGEM086S</v>
      </c>
      <c r="H805" s="13">
        <f ca="1">IFERROR(__xludf.DUMMYFUNCTION("""COMPUTED_VALUE"""),4990)</f>
        <v>4990</v>
      </c>
      <c r="I805" s="18">
        <f ca="1">IFERROR(__xludf.DUMMYFUNCTION("""COMPUTED_VALUE"""),2990)</f>
        <v>2990</v>
      </c>
      <c r="J805" s="16">
        <f ca="1">IFERROR(__xludf.DUMMYFUNCTION("""COMPUTED_VALUE"""),45275)</f>
        <v>45275</v>
      </c>
      <c r="K805" s="12" t="str">
        <f ca="1">IFERROR(__xludf.DUMMYFUNCTION("""COMPUTED_VALUE"""),"缺貨")</f>
        <v>缺貨</v>
      </c>
      <c r="L805" s="12" t="str">
        <f ca="1">IFERROR(__xludf.DUMMYFUNCTION("""COMPUTED_VALUE"""),"缺貨")</f>
        <v>缺貨</v>
      </c>
      <c r="M805" s="12" t="str">
        <f ca="1">IFERROR(__xludf.DUMMYFUNCTION("""COMPUTED_VALUE"""),"2023/12/15缺貨7/21新機上架")</f>
        <v>2023/12/15缺貨7/21新機上架</v>
      </c>
      <c r="N805" s="12" t="str">
        <f ca="1">IFERROR(__xludf.DUMMYFUNCTION("""COMPUTED_VALUE"""),"舒壓按摩")</f>
        <v>舒壓按摩</v>
      </c>
      <c r="O805" s="12" t="str">
        <f ca="1">IFERROR(__xludf.DUMMYFUNCTION("""COMPUTED_VALUE"""),"曜石黑")</f>
        <v>曜石黑</v>
      </c>
      <c r="P805" s="12" t="str">
        <f ca="1">IFERROR(__xludf.DUMMYFUNCTION("""COMPUTED_VALUE"""),"使用電源: DC 5V / 1A
 額定電壓: 3.7V 
 總額定消耗電功率: 3.5W 
 冷敷20 ± 2℃！恆溫熱敷40 ± 2℃！增加水潤感。
 充電時間: 3.5-4 小時 充電接口: TYPE-C
 使用時間: 動感模式約140分鐘；溫感模式約70分鐘；冰感模式約50分鐘；自動模式約60分鐘
 材質: 機器 ABS 按摩眼罩:嚴選人造蠶絲蛋白質料
 配件清單:電源線x1,說明書x1(含保證卡) 收納袋x1")</f>
        <v>使用電源: DC 5V / 1A
 額定電壓: 3.7V 
 總額定消耗電功率: 3.5W 
 冷敷20 ± 2℃！恆溫熱敷40 ± 2℃！增加水潤感。
 充電時間: 3.5-4 小時 充電接口: TYPE-C
 使用時間: 動感模式約140分鐘；溫感模式約70分鐘；冰感模式約50分鐘；自動模式約60分鐘
 材質: 機器 ABS 按摩眼罩:嚴選人造蠶絲蛋白質料
 配件清單:電源線x1,說明書x1(含保證卡) 收納袋x1</v>
      </c>
      <c r="Q805" s="12" t="str">
        <f ca="1">IFERROR(__xludf.DUMMYFUNCTION("""COMPUTED_VALUE"""),"210*115*80(mm)")</f>
        <v>210*115*80(mm)</v>
      </c>
      <c r="R805" s="12" t="str">
        <f ca="1">IFERROR(__xludf.DUMMYFUNCTION("""COMPUTED_VALUE"""),"中國")</f>
        <v>中國</v>
      </c>
      <c r="S805" s="12"/>
      <c r="T805" s="12"/>
      <c r="U805" s="12" t="str">
        <f ca="1">IFERROR(__xludf.DUMMYFUNCTION("""COMPUTED_VALUE"""),"1年")</f>
        <v>1年</v>
      </c>
      <c r="V805" s="12"/>
      <c r="W805" s="12"/>
      <c r="X805" s="12"/>
      <c r="Y805" s="12"/>
      <c r="Z805" s="14"/>
      <c r="AA805" s="15" t="str">
        <f ca="1">IFERROR(__xludf.DUMMYFUNCTION("""COMPUTED_VALUE"""),"*獨家專利內凹式伸縮眼窩墊*3秒疾速享受冷、熱 、冷熱循環按摩*4種工作模式：動感(氣壓) 溫感(熱敷) 冰感(冷敷) 自動(冷敷熱敷循環)*三種氣壓模式：智慧氣壓、炫動氣壓、氣壓關閉*Type-c USB充電口無須確認充電線USB插頭方向。*10分鐘停止設定讓護眼更科學")</f>
        <v>*獨家專利內凹式伸縮眼窩墊*3秒疾速享受冷、熱 、冷熱循環按摩*4種工作模式：動感(氣壓) 溫感(熱敷) 冰感(冷敷) 自動(冷敷熱敷循環)*三種氣壓模式：智慧氣壓、炫動氣壓、氣壓關閉*Type-c USB充電口無須確認充電線USB插頭方向。*10分鐘停止設定讓護眼更科學</v>
      </c>
    </row>
    <row r="806" spans="1:27" ht="19.5" customHeight="1">
      <c r="A806" s="12" t="str">
        <f ca="1">IFERROR(__xludf.DUMMYFUNCTION("""COMPUTED_VALUE"""),"生活家電")</f>
        <v>生活家電</v>
      </c>
      <c r="B806" s="12" t="str">
        <f ca="1">IFERROR(__xludf.DUMMYFUNCTION("""COMPUTED_VALUE"""),"旺德")</f>
        <v>旺德</v>
      </c>
      <c r="C806" s="12" t="str">
        <f ca="1">IFERROR(__xludf.DUMMYFUNCTION("""COMPUTED_VALUE"""),"BLAUPUNKT")</f>
        <v>BLAUPUNKT</v>
      </c>
      <c r="D806" s="12" t="str">
        <f ca="1">IFERROR(__xludf.DUMMYFUNCTION("""COMPUTED_VALUE"""),"BLAUPUNKT智能冷熱眼部按摩器(胭脂粉)BPB-M08EU")</f>
        <v>BLAUPUNKT智能冷熱眼部按摩器(胭脂粉)BPB-M08EU</v>
      </c>
      <c r="E806" s="12" t="str">
        <f ca="1">IFERROR(__xludf.DUMMYFUNCTION("""COMPUTED_VALUE"""),"BPB-M08EU胭脂粉")</f>
        <v>BPB-M08EU胭脂粉</v>
      </c>
      <c r="F806" s="12">
        <f ca="1">IFERROR(__xludf.DUMMYFUNCTION("""COMPUTED_VALUE"""),51092099)</f>
        <v>51092099</v>
      </c>
      <c r="G806" s="12" t="str">
        <f ca="1">IFERROR(__xludf.DUMMYFUNCTION("""COMPUTED_VALUE"""),"IGEM086T")</f>
        <v>IGEM086T</v>
      </c>
      <c r="H806" s="13">
        <f ca="1">IFERROR(__xludf.DUMMYFUNCTION("""COMPUTED_VALUE"""),4990)</f>
        <v>4990</v>
      </c>
      <c r="I806" s="18">
        <f ca="1">IFERROR(__xludf.DUMMYFUNCTION("""COMPUTED_VALUE"""),2490)</f>
        <v>2490</v>
      </c>
      <c r="J806" s="16">
        <f ca="1">IFERROR(__xludf.DUMMYFUNCTION("""COMPUTED_VALUE"""),45566)</f>
        <v>45566</v>
      </c>
      <c r="K806" s="12" t="str">
        <f ca="1">IFERROR(__xludf.DUMMYFUNCTION("""COMPUTED_VALUE"""),"短促")</f>
        <v>短促</v>
      </c>
      <c r="L806" s="12" t="str">
        <f ca="1">IFERROR(__xludf.DUMMYFUNCTION("""COMPUTED_VALUE"""),"上架中")</f>
        <v>上架中</v>
      </c>
      <c r="M806" s="12" t="str">
        <f ca="1">IFERROR(__xludf.DUMMYFUNCTION("""COMPUTED_VALUE"""),"2024/10/01短促，7/21新機上架")</f>
        <v>2024/10/01短促，7/21新機上架</v>
      </c>
      <c r="N806" s="12" t="str">
        <f ca="1">IFERROR(__xludf.DUMMYFUNCTION("""COMPUTED_VALUE"""),"舒壓按摩")</f>
        <v>舒壓按摩</v>
      </c>
      <c r="O806" s="12" t="str">
        <f ca="1">IFERROR(__xludf.DUMMYFUNCTION("""COMPUTED_VALUE"""),"珍珠白")</f>
        <v>珍珠白</v>
      </c>
      <c r="P806" s="12" t="str">
        <f ca="1">IFERROR(__xludf.DUMMYFUNCTION("""COMPUTED_VALUE"""),"使用電源: DC 5V / 1A
 額定電壓: 3.7V 
 總額定消耗電功率: 3.5W 
 冷敷20 ± 2℃！恆溫熱敷40 ± 2℃！增加水潤感。
 充電時間: 3.5-4 小時 充電接口: TYPE-C
 使用時間: 動感模式約140分鐘；溫感模式約70分鐘；冰感模式約50分鐘；自動模式約60分鐘
 材質: 機器 ABS 按摩眼罩:嚴選人造蠶絲蛋白質料
 配件清單:電源線x1,說明書x1(含保證卡) 收納袋x1")</f>
        <v>使用電源: DC 5V / 1A
 額定電壓: 3.7V 
 總額定消耗電功率: 3.5W 
 冷敷20 ± 2℃！恆溫熱敷40 ± 2℃！增加水潤感。
 充電時間: 3.5-4 小時 充電接口: TYPE-C
 使用時間: 動感模式約140分鐘；溫感模式約70分鐘；冰感模式約50分鐘；自動模式約60分鐘
 材質: 機器 ABS 按摩眼罩:嚴選人造蠶絲蛋白質料
 配件清單:電源線x1,說明書x1(含保證卡) 收納袋x1</v>
      </c>
      <c r="Q806" s="12" t="str">
        <f ca="1">IFERROR(__xludf.DUMMYFUNCTION("""COMPUTED_VALUE"""),"210*115*80(mm)")</f>
        <v>210*115*80(mm)</v>
      </c>
      <c r="R806" s="12" t="str">
        <f ca="1">IFERROR(__xludf.DUMMYFUNCTION("""COMPUTED_VALUE"""),"中國")</f>
        <v>中國</v>
      </c>
      <c r="S806" s="12"/>
      <c r="T806" s="12"/>
      <c r="U806" s="12" t="str">
        <f ca="1">IFERROR(__xludf.DUMMYFUNCTION("""COMPUTED_VALUE"""),"1年")</f>
        <v>1年</v>
      </c>
      <c r="V806" s="12"/>
      <c r="W806" s="12"/>
      <c r="X806" s="12"/>
      <c r="Y806" s="12"/>
      <c r="Z806" s="14"/>
      <c r="AA806" s="15" t="str">
        <f ca="1">IFERROR(__xludf.DUMMYFUNCTION("""COMPUTED_VALUE"""),"*獨家專利內凹式伸縮眼窩墊*3秒疾速享受冷、熱 、冷熱循環按摩*4種工作模式：動感(氣壓) 溫感(熱敷) 冰感(冷敷) 自動(冷敷熱敷循環)*三種氣壓模式：智慧氣壓、炫動氣壓、氣壓關閉*Type-c USB充電口無須確認充電線USB插頭方向。*10分鐘停止設定讓護眼更科學")</f>
        <v>*獨家專利內凹式伸縮眼窩墊*3秒疾速享受冷、熱 、冷熱循環按摩*4種工作模式：動感(氣壓) 溫感(熱敷) 冰感(冷敷) 自動(冷敷熱敷循環)*三種氣壓模式：智慧氣壓、炫動氣壓、氣壓關閉*Type-c USB充電口無須確認充電線USB插頭方向。*10分鐘停止設定讓護眼更科學</v>
      </c>
    </row>
    <row r="807" spans="1:27" ht="19.5" customHeight="1">
      <c r="A807" s="12" t="str">
        <f ca="1">IFERROR(__xludf.DUMMYFUNCTION("""COMPUTED_VALUE"""),"生活家電")</f>
        <v>生活家電</v>
      </c>
      <c r="B807" s="12" t="str">
        <f ca="1">IFERROR(__xludf.DUMMYFUNCTION("""COMPUTED_VALUE"""),"旺德")</f>
        <v>旺德</v>
      </c>
      <c r="C807" s="12" t="str">
        <f ca="1">IFERROR(__xludf.DUMMYFUNCTION("""COMPUTED_VALUE"""),"BLAUPUNKT")</f>
        <v>BLAUPUNKT</v>
      </c>
      <c r="D807" s="12" t="str">
        <f ca="1">IFERROR(__xludf.DUMMYFUNCTION("""COMPUTED_VALUE"""),"BLAUPUNKT USB吹吸兩用無線吸塵器(黑)BPH-V27DU")</f>
        <v>BLAUPUNKT USB吹吸兩用無線吸塵器(黑)BPH-V27DU</v>
      </c>
      <c r="E807" s="12" t="str">
        <f ca="1">IFERROR(__xludf.DUMMYFUNCTION("""COMPUTED_VALUE"""),"BPH-V27DU")</f>
        <v>BPH-V27DU</v>
      </c>
      <c r="F807" s="12">
        <f ca="1">IFERROR(__xludf.DUMMYFUNCTION("""COMPUTED_VALUE"""),51092123)</f>
        <v>51092123</v>
      </c>
      <c r="G807" s="12" t="str">
        <f ca="1">IFERROR(__xludf.DUMMYFUNCTION("""COMPUTED_VALUE"""),"IGEM094M")</f>
        <v>IGEM094M</v>
      </c>
      <c r="H807" s="13">
        <f ca="1">IFERROR(__xludf.DUMMYFUNCTION("""COMPUTED_VALUE"""),1690)</f>
        <v>1690</v>
      </c>
      <c r="I807" s="18">
        <f ca="1">IFERROR(__xludf.DUMMYFUNCTION("""COMPUTED_VALUE"""),1290)</f>
        <v>1290</v>
      </c>
      <c r="J807" s="16">
        <f ca="1">IFERROR(__xludf.DUMMYFUNCTION("""COMPUTED_VALUE"""),45258)</f>
        <v>45258</v>
      </c>
      <c r="K807" s="12" t="str">
        <f ca="1">IFERROR(__xludf.DUMMYFUNCTION("""COMPUTED_VALUE"""),"新機上架")</f>
        <v>新機上架</v>
      </c>
      <c r="L807" s="12" t="str">
        <f ca="1">IFERROR(__xludf.DUMMYFUNCTION("""COMPUTED_VALUE"""),"上架中")</f>
        <v>上架中</v>
      </c>
      <c r="M807" s="12" t="str">
        <f ca="1">IFERROR(__xludf.DUMMYFUNCTION("""COMPUTED_VALUE"""),"2023/11/28新機上架")</f>
        <v>2023/11/28新機上架</v>
      </c>
      <c r="N807" s="12" t="str">
        <f ca="1">IFERROR(__xludf.DUMMYFUNCTION("""COMPUTED_VALUE"""),"吸塵器")</f>
        <v>吸塵器</v>
      </c>
      <c r="O807" s="12" t="str">
        <f ca="1">IFERROR(__xludf.DUMMYFUNCTION("""COMPUTED_VALUE"""),"黑")</f>
        <v>黑</v>
      </c>
      <c r="P807" s="12"/>
      <c r="Q807" s="12" t="str">
        <f ca="1">IFERROR(__xludf.DUMMYFUNCTION("""COMPUTED_VALUE"""),"270X58X58(mm)")</f>
        <v>270X58X58(mm)</v>
      </c>
      <c r="R807" s="12" t="str">
        <f ca="1">IFERROR(__xludf.DUMMYFUNCTION("""COMPUTED_VALUE"""),"中國")</f>
        <v>中國</v>
      </c>
      <c r="S807" s="12"/>
      <c r="T807" s="12"/>
      <c r="U807" s="12" t="str">
        <f ca="1">IFERROR(__xludf.DUMMYFUNCTION("""COMPUTED_VALUE"""),"1年")</f>
        <v>1年</v>
      </c>
      <c r="V807" s="12"/>
      <c r="W807" s="12"/>
      <c r="X807" s="12"/>
      <c r="Y807" s="12"/>
      <c r="Z807" s="14"/>
      <c r="AA807" s="15" t="str">
        <f ca="1">IFERROR(__xludf.DUMMYFUNCTION("""COMPUTED_VALUE"""),"*不到一瓶水的重量*吹吸兩用，一機抵多機*內建吹嘴，不怕遺失*68W大吸力*HEPA濾網避免二次污染")</f>
        <v>*不到一瓶水的重量*吹吸兩用，一機抵多機*內建吹嘴，不怕遺失*68W大吸力*HEPA濾網避免二次污染</v>
      </c>
    </row>
    <row r="808" spans="1:27" ht="19.5" customHeight="1">
      <c r="A808" s="12" t="str">
        <f ca="1">IFERROR(__xludf.DUMMYFUNCTION("""COMPUTED_VALUE"""),"生活家電")</f>
        <v>生活家電</v>
      </c>
      <c r="B808" s="12" t="str">
        <f ca="1">IFERROR(__xludf.DUMMYFUNCTION("""COMPUTED_VALUE"""),"旺德")</f>
        <v>旺德</v>
      </c>
      <c r="C808" s="12" t="str">
        <f ca="1">IFERROR(__xludf.DUMMYFUNCTION("""COMPUTED_VALUE"""),"THOMSON")</f>
        <v>THOMSON</v>
      </c>
      <c r="D808" s="12" t="str">
        <f ca="1">IFERROR(__xludf.DUMMYFUNCTION("""COMPUTED_VALUE"""),"THOMSON石墨烯微電腦電暖器TM-SAW31F")</f>
        <v>THOMSON石墨烯微電腦電暖器TM-SAW31F</v>
      </c>
      <c r="E808" s="12" t="str">
        <f ca="1">IFERROR(__xludf.DUMMYFUNCTION("""COMPUTED_VALUE"""),"TM-SAW31F")</f>
        <v>TM-SAW31F</v>
      </c>
      <c r="F808" s="12">
        <f ca="1">IFERROR(__xludf.DUMMYFUNCTION("""COMPUTED_VALUE"""),51092102)</f>
        <v>51092102</v>
      </c>
      <c r="G808" s="12" t="str">
        <f ca="1">IFERROR(__xludf.DUMMYFUNCTION("""COMPUTED_VALUE"""),"IGEM088Q")</f>
        <v>IGEM088Q</v>
      </c>
      <c r="H808" s="13">
        <f ca="1">IFERROR(__xludf.DUMMYFUNCTION("""COMPUTED_VALUE"""),2990)</f>
        <v>2990</v>
      </c>
      <c r="I808" s="14">
        <f ca="1">IFERROR(__xludf.DUMMYFUNCTION("""COMPUTED_VALUE"""),2690)</f>
        <v>2690</v>
      </c>
      <c r="J808" s="16">
        <f ca="1">IFERROR(__xludf.DUMMYFUNCTION("""COMPUTED_VALUE"""),45323)</f>
        <v>45323</v>
      </c>
      <c r="K808" s="12" t="str">
        <f ca="1">IFERROR(__xludf.DUMMYFUNCTION("""COMPUTED_VALUE"""),"回價")</f>
        <v>回價</v>
      </c>
      <c r="L808" s="12" t="str">
        <f ca="1">IFERROR(__xludf.DUMMYFUNCTION("""COMPUTED_VALUE"""),"上架中")</f>
        <v>上架中</v>
      </c>
      <c r="M808" s="12" t="str">
        <f ca="1">IFERROR(__xludf.DUMMYFUNCTION("""COMPUTED_VALUE"""),"2024/2/1回價2023/12/1短促2023/10/18新機上架")</f>
        <v>2024/2/1回價2023/12/1短促2023/10/18新機上架</v>
      </c>
      <c r="N808" s="12" t="str">
        <f ca="1">IFERROR(__xludf.DUMMYFUNCTION("""COMPUTED_VALUE"""),"電暖器")</f>
        <v>電暖器</v>
      </c>
      <c r="O808" s="12"/>
      <c r="P808" s="12" t="str">
        <f ca="1">IFERROR(__xludf.DUMMYFUNCTION("""COMPUTED_VALUE"""),"額定電壓/頻率: 110V~/60Hz
 總額定消耗電功率:1200W
 材質：PP塑膠、電源線長度：120cm
 配件:遙控器*1，說明書(含保證書)*1")</f>
        <v>額定電壓/頻率: 110V~/60Hz
 總額定消耗電功率:1200W
 材質：PP塑膠、電源線長度：120cm
 配件:遙控器*1，說明書(含保證書)*1</v>
      </c>
      <c r="Q808" s="12" t="str">
        <f ca="1">IFERROR(__xludf.DUMMYFUNCTION("""COMPUTED_VALUE"""),"635x230x230 mm")</f>
        <v>635x230x230 mm</v>
      </c>
      <c r="R808" s="12" t="str">
        <f ca="1">IFERROR(__xludf.DUMMYFUNCTION("""COMPUTED_VALUE"""),"中國")</f>
        <v>中國</v>
      </c>
      <c r="S808" s="12"/>
      <c r="T808" s="12"/>
      <c r="U808" s="12" t="str">
        <f ca="1">IFERROR(__xludf.DUMMYFUNCTION("""COMPUTED_VALUE"""),"1年")</f>
        <v>1年</v>
      </c>
      <c r="V808" s="12"/>
      <c r="W808" s="12"/>
      <c r="X808" s="12"/>
      <c r="Y808" s="12"/>
      <c r="Z808" s="14"/>
      <c r="AA808" s="15" t="str">
        <f ca="1">IFERROR(__xludf.DUMMYFUNCTION("""COMPUTED_VALUE"""),"*PTC+石墨烯發熱，發熱效率高出20%*可設定溫度15-40度C*LED室温顯示 ; 左右自動擺頭*兩段瓦數選擇800W/1200W*防火PP外殼材質;24小時預約關機")</f>
        <v>*PTC+石墨烯發熱，發熱效率高出20%*可設定溫度15-40度C*LED室温顯示 ; 左右自動擺頭*兩段瓦數選擇800W/1200W*防火PP外殼材質;24小時預約關機</v>
      </c>
    </row>
    <row r="809" spans="1:27" ht="19.5" customHeight="1">
      <c r="A809" s="12" t="str">
        <f ca="1">IFERROR(__xludf.DUMMYFUNCTION("""COMPUTED_VALUE"""),"生活家電")</f>
        <v>生活家電</v>
      </c>
      <c r="B809" s="12" t="str">
        <f ca="1">IFERROR(__xludf.DUMMYFUNCTION("""COMPUTED_VALUE"""),"旺德")</f>
        <v>旺德</v>
      </c>
      <c r="C809" s="12" t="str">
        <f ca="1">IFERROR(__xludf.DUMMYFUNCTION("""COMPUTED_VALUE"""),"THOMSON")</f>
        <v>THOMSON</v>
      </c>
      <c r="D809" s="12" t="str">
        <f ca="1">IFERROR(__xludf.DUMMYFUNCTION("""COMPUTED_VALUE"""),"THOMSON石墨烯壁掛暖風機TM-SAW32F")</f>
        <v>THOMSON石墨烯壁掛暖風機TM-SAW32F</v>
      </c>
      <c r="E809" s="12" t="str">
        <f ca="1">IFERROR(__xludf.DUMMYFUNCTION("""COMPUTED_VALUE"""),"TM-SAW32F")</f>
        <v>TM-SAW32F</v>
      </c>
      <c r="F809" s="12">
        <f ca="1">IFERROR(__xludf.DUMMYFUNCTION("""COMPUTED_VALUE"""),51092103)</f>
        <v>51092103</v>
      </c>
      <c r="G809" s="12" t="str">
        <f ca="1">IFERROR(__xludf.DUMMYFUNCTION("""COMPUTED_VALUE"""),"IGEM088R")</f>
        <v>IGEM088R</v>
      </c>
      <c r="H809" s="13">
        <f ca="1">IFERROR(__xludf.DUMMYFUNCTION("""COMPUTED_VALUE"""),3290)</f>
        <v>3290</v>
      </c>
      <c r="I809" s="14">
        <f ca="1">IFERROR(__xludf.DUMMYFUNCTION("""COMPUTED_VALUE"""),2990)</f>
        <v>2990</v>
      </c>
      <c r="J809" s="16">
        <f ca="1">IFERROR(__xludf.DUMMYFUNCTION("""COMPUTED_VALUE"""),45659)</f>
        <v>45659</v>
      </c>
      <c r="K809" s="12" t="str">
        <f ca="1">IFERROR(__xludf.DUMMYFUNCTION("""COMPUTED_VALUE"""),"缺貨")</f>
        <v>缺貨</v>
      </c>
      <c r="L809" s="12" t="str">
        <f ca="1">IFERROR(__xludf.DUMMYFUNCTION("""COMPUTED_VALUE"""),"缺貨")</f>
        <v>缺貨</v>
      </c>
      <c r="M809" s="12" t="str">
        <f ca="1">IFERROR(__xludf.DUMMYFUNCTION("""COMPUTED_VALUE"""),"2025/1/2缺貨，10/25到貨，2024/1/11缺貨限量30台2023/10/18新機上架")</f>
        <v>2025/1/2缺貨，10/25到貨，2024/1/11缺貨限量30台2023/10/18新機上架</v>
      </c>
      <c r="N809" s="12" t="str">
        <f ca="1">IFERROR(__xludf.DUMMYFUNCTION("""COMPUTED_VALUE"""),"電暖器")</f>
        <v>電暖器</v>
      </c>
      <c r="O809" s="12"/>
      <c r="P809" s="12" t="str">
        <f ca="1">IFERROR(__xludf.DUMMYFUNCTION("""COMPUTED_VALUE"""),"額定電壓/頻率: 110V~/60Hz
 總額定消耗電功率:1200W
 材質：PP塑膠、電源線長度：150cm
 配件:遙控器*1，說明書(含保證書)*1，螺絲*2(含膠粒)")</f>
        <v>額定電壓/頻率: 110V~/60Hz
 總額定消耗電功率:1200W
 材質：PP塑膠、電源線長度：150cm
 配件:遙控器*1，說明書(含保證書)*1，螺絲*2(含膠粒)</v>
      </c>
      <c r="Q809" s="12" t="str">
        <f ca="1">IFERROR(__xludf.DUMMYFUNCTION("""COMPUTED_VALUE"""),"280x328x124 mm")</f>
        <v>280x328x124 mm</v>
      </c>
      <c r="R809" s="12" t="str">
        <f ca="1">IFERROR(__xludf.DUMMYFUNCTION("""COMPUTED_VALUE"""),"中國")</f>
        <v>中國</v>
      </c>
      <c r="S809" s="12"/>
      <c r="T809" s="12"/>
      <c r="U809" s="12" t="str">
        <f ca="1">IFERROR(__xludf.DUMMYFUNCTION("""COMPUTED_VALUE"""),"1年")</f>
        <v>1年</v>
      </c>
      <c r="V809" s="12"/>
      <c r="W809" s="12"/>
      <c r="X809" s="12"/>
      <c r="Y809" s="12"/>
      <c r="Z809" s="14"/>
      <c r="AA809" s="15" t="str">
        <f ca="1">IFERROR(__xludf.DUMMYFUNCTION("""COMPUTED_VALUE"""),"*PTC+石墨烯發熱，發熱效率高出20%*可設定溫度10-40度C*四段檔位選擇 間歇性-500W-800W-1200W*1-5H 定时設定;出風口可上下調整50度*防水IPX2，可臥室，可浴室，可吊掛多功能使用")</f>
        <v>*PTC+石墨烯發熱，發熱效率高出20%*可設定溫度10-40度C*四段檔位選擇 間歇性-500W-800W-1200W*1-5H 定时設定;出風口可上下調整50度*防水IPX2，可臥室，可浴室，可吊掛多功能使用</v>
      </c>
    </row>
    <row r="810" spans="1:27" ht="19.5" customHeight="1">
      <c r="A810" s="12" t="str">
        <f ca="1">IFERROR(__xludf.DUMMYFUNCTION("""COMPUTED_VALUE"""),"生活家電")</f>
        <v>生活家電</v>
      </c>
      <c r="B810" s="12" t="str">
        <f ca="1">IFERROR(__xludf.DUMMYFUNCTION("""COMPUTED_VALUE"""),"旺德")</f>
        <v>旺德</v>
      </c>
      <c r="C810" s="12" t="str">
        <f ca="1">IFERROR(__xludf.DUMMYFUNCTION("""COMPUTED_VALUE"""),"THOMSON")</f>
        <v>THOMSON</v>
      </c>
      <c r="D810" s="12" t="str">
        <f ca="1">IFERROR(__xludf.DUMMYFUNCTION("""COMPUTED_VALUE"""),"THOMSON直立式石墨烯暖風機TM-SAW37F")</f>
        <v>THOMSON直立式石墨烯暖風機TM-SAW37F</v>
      </c>
      <c r="E810" s="12" t="str">
        <f ca="1">IFERROR(__xludf.DUMMYFUNCTION("""COMPUTED_VALUE"""),"TM-SAW37F")</f>
        <v>TM-SAW37F</v>
      </c>
      <c r="F810" s="12">
        <f ca="1">IFERROR(__xludf.DUMMYFUNCTION("""COMPUTED_VALUE"""),51092104)</f>
        <v>51092104</v>
      </c>
      <c r="G810" s="12" t="str">
        <f ca="1">IFERROR(__xludf.DUMMYFUNCTION("""COMPUTED_VALUE"""),"IGEM088S")</f>
        <v>IGEM088S</v>
      </c>
      <c r="H810" s="13">
        <f ca="1">IFERROR(__xludf.DUMMYFUNCTION("""COMPUTED_VALUE"""),2290)</f>
        <v>2290</v>
      </c>
      <c r="I810" s="14">
        <f ca="1">IFERROR(__xludf.DUMMYFUNCTION("""COMPUTED_VALUE"""),1990)</f>
        <v>1990</v>
      </c>
      <c r="J810" s="16">
        <f ca="1">IFERROR(__xludf.DUMMYFUNCTION("""COMPUTED_VALUE"""),45323)</f>
        <v>45323</v>
      </c>
      <c r="K810" s="12" t="str">
        <f ca="1">IFERROR(__xludf.DUMMYFUNCTION("""COMPUTED_VALUE"""),"回價")</f>
        <v>回價</v>
      </c>
      <c r="L810" s="12" t="str">
        <f ca="1">IFERROR(__xludf.DUMMYFUNCTION("""COMPUTED_VALUE"""),"上架中")</f>
        <v>上架中</v>
      </c>
      <c r="M810" s="12" t="str">
        <f ca="1">IFERROR(__xludf.DUMMYFUNCTION("""COMPUTED_VALUE"""),"2024/2/1回價2024/1/1短促2023/12/1短促2023/10/25新機上架")</f>
        <v>2024/2/1回價2024/1/1短促2023/12/1短促2023/10/25新機上架</v>
      </c>
      <c r="N810" s="12" t="str">
        <f ca="1">IFERROR(__xludf.DUMMYFUNCTION("""COMPUTED_VALUE"""),"電暖器")</f>
        <v>電暖器</v>
      </c>
      <c r="O810" s="12"/>
      <c r="P810" s="12" t="str">
        <f ca="1">IFERROR(__xludf.DUMMYFUNCTION("""COMPUTED_VALUE"""),"額定電壓/頻率: 110V~/60Hz
 總額定消耗電功率:1200W
 材質：PP塑膠、電源線長度：150cm")</f>
        <v>額定電壓/頻率: 110V~/60Hz
 總額定消耗電功率:1200W
 材質：PP塑膠、電源線長度：150cm</v>
      </c>
      <c r="Q810" s="12" t="str">
        <f ca="1">IFERROR(__xludf.DUMMYFUNCTION("""COMPUTED_VALUE"""),"395x265x160 mm")</f>
        <v>395x265x160 mm</v>
      </c>
      <c r="R810" s="12" t="str">
        <f ca="1">IFERROR(__xludf.DUMMYFUNCTION("""COMPUTED_VALUE"""),"中國")</f>
        <v>中國</v>
      </c>
      <c r="S810" s="12"/>
      <c r="T810" s="12"/>
      <c r="U810" s="12" t="str">
        <f ca="1">IFERROR(__xludf.DUMMYFUNCTION("""COMPUTED_VALUE"""),"1年")</f>
        <v>1年</v>
      </c>
      <c r="V810" s="12"/>
      <c r="W810" s="12"/>
      <c r="X810" s="12"/>
      <c r="Y810" s="12"/>
      <c r="Z810" s="14"/>
      <c r="AA810" s="15" t="str">
        <f ca="1">IFERROR(__xludf.DUMMYFUNCTION("""COMPUTED_VALUE"""),"*PTC+石墨烯發熱，發熱效率高出20%*四段模式，溫暖舒適隨意調節*廣角送風70度擺頭送暖*冷觸媒進風濾網、防火PP外殼材質*多重安全保護裝置(溫控器、溫度保險絲、傾倒開關)")</f>
        <v>*PTC+石墨烯發熱，發熱效率高出20%*四段模式，溫暖舒適隨意調節*廣角送風70度擺頭送暖*冷觸媒進風濾網、防火PP外殼材質*多重安全保護裝置(溫控器、溫度保險絲、傾倒開關)</v>
      </c>
    </row>
    <row r="811" spans="1:27" ht="19.5" customHeight="1">
      <c r="A811" s="12" t="str">
        <f ca="1">IFERROR(__xludf.DUMMYFUNCTION("""COMPUTED_VALUE"""),"生活家電")</f>
        <v>生活家電</v>
      </c>
      <c r="B811" s="12" t="str">
        <f ca="1">IFERROR(__xludf.DUMMYFUNCTION("""COMPUTED_VALUE"""),"旺德")</f>
        <v>旺德</v>
      </c>
      <c r="C811" s="12" t="str">
        <f ca="1">IFERROR(__xludf.DUMMYFUNCTION("""COMPUTED_VALUE"""),"THOMSON")</f>
        <v>THOMSON</v>
      </c>
      <c r="D811" s="12" t="str">
        <f ca="1">IFERROR(__xludf.DUMMYFUNCTION("""COMPUTED_VALUE"""),"THOMSON微電腦溫控單人電熱毯TM-SAW28BS")</f>
        <v>THOMSON微電腦溫控單人電熱毯TM-SAW28BS</v>
      </c>
      <c r="E811" s="12" t="str">
        <f ca="1">IFERROR(__xludf.DUMMYFUNCTION("""COMPUTED_VALUE"""),"TM-SAW28BS")</f>
        <v>TM-SAW28BS</v>
      </c>
      <c r="F811" s="12">
        <f ca="1">IFERROR(__xludf.DUMMYFUNCTION("""COMPUTED_VALUE"""),51092105)</f>
        <v>51092105</v>
      </c>
      <c r="G811" s="12" t="str">
        <f ca="1">IFERROR(__xludf.DUMMYFUNCTION("""COMPUTED_VALUE"""),"IGEM088T")</f>
        <v>IGEM088T</v>
      </c>
      <c r="H811" s="13">
        <f ca="1">IFERROR(__xludf.DUMMYFUNCTION("""COMPUTED_VALUE"""),1490)</f>
        <v>1490</v>
      </c>
      <c r="I811" s="14">
        <f ca="1">IFERROR(__xludf.DUMMYFUNCTION("""COMPUTED_VALUE"""),1290)</f>
        <v>1290</v>
      </c>
      <c r="J811" s="16">
        <f ca="1">IFERROR(__xludf.DUMMYFUNCTION("""COMPUTED_VALUE"""),45674)</f>
        <v>45674</v>
      </c>
      <c r="K811" s="12" t="str">
        <f ca="1">IFERROR(__xludf.DUMMYFUNCTION("""COMPUTED_VALUE"""),"缺貨")</f>
        <v>缺貨</v>
      </c>
      <c r="L811" s="12" t="str">
        <f ca="1">IFERROR(__xludf.DUMMYFUNCTION("""COMPUTED_VALUE"""),"缺貨")</f>
        <v>缺貨</v>
      </c>
      <c r="M811" s="12" t="str">
        <f ca="1">IFERROR(__xludf.DUMMYFUNCTION("""COMPUTED_VALUE"""),"2025/1/17缺貨，2023/10/18新機上架")</f>
        <v>2025/1/17缺貨，2023/10/18新機上架</v>
      </c>
      <c r="N811" s="12" t="str">
        <f ca="1">IFERROR(__xludf.DUMMYFUNCTION("""COMPUTED_VALUE"""),"電熱毯")</f>
        <v>電熱毯</v>
      </c>
      <c r="O811" s="12"/>
      <c r="P811" s="12" t="str">
        <f ca="1">IFERROR(__xludf.DUMMYFUNCTION("""COMPUTED_VALUE"""),"額定電壓/頻率：110V~60Hz
 總額定消耗功率：60W
 電線長度:150cm
 材質:100%聚酯纖維
 配件:控制器*1、說明書*1、收納袋*1，洗衣袋*1")</f>
        <v>額定電壓/頻率：110V~60Hz
 總額定消耗功率：60W
 電線長度:150cm
 材質:100%聚酯纖維
 配件:控制器*1、說明書*1、收納袋*1，洗衣袋*1</v>
      </c>
      <c r="Q811" s="12" t="str">
        <f ca="1">IFERROR(__xludf.DUMMYFUNCTION("""COMPUTED_VALUE"""),"1500X850X6")</f>
        <v>1500X850X6</v>
      </c>
      <c r="R811" s="12" t="str">
        <f ca="1">IFERROR(__xludf.DUMMYFUNCTION("""COMPUTED_VALUE"""),"中國")</f>
        <v>中國</v>
      </c>
      <c r="S811" s="12"/>
      <c r="T811" s="12"/>
      <c r="U811" s="12" t="str">
        <f ca="1">IFERROR(__xludf.DUMMYFUNCTION("""COMPUTED_VALUE"""),"1年")</f>
        <v>1年</v>
      </c>
      <c r="V811" s="12"/>
      <c r="W811" s="12"/>
      <c r="X811" s="12"/>
      <c r="Y811" s="12"/>
      <c r="Z811" s="14"/>
      <c r="AA811" s="15" t="str">
        <f ca="1">IFERROR(__xludf.DUMMYFUNCTION("""COMPUTED_VALUE"""),"*智慧型恆溫設計，微電腦五段溫度控制 *使用水晶超柔高級毛料，親膚材質超舒適*超聲波製程，發熱線定位不位移*高級雙螺旋發熱線隨時監測溫度*台灣商檢局認證合格，安全有保障")</f>
        <v>*智慧型恆溫設計，微電腦五段溫度控制 *使用水晶超柔高級毛料，親膚材質超舒適*超聲波製程，發熱線定位不位移*高級雙螺旋發熱線隨時監測溫度*台灣商檢局認證合格，安全有保障</v>
      </c>
    </row>
    <row r="812" spans="1:27" ht="19.5" customHeight="1">
      <c r="A812" s="12" t="str">
        <f ca="1">IFERROR(__xludf.DUMMYFUNCTION("""COMPUTED_VALUE"""),"生活家電")</f>
        <v>生活家電</v>
      </c>
      <c r="B812" s="12" t="str">
        <f ca="1">IFERROR(__xludf.DUMMYFUNCTION("""COMPUTED_VALUE"""),"旺德")</f>
        <v>旺德</v>
      </c>
      <c r="C812" s="12" t="str">
        <f ca="1">IFERROR(__xludf.DUMMYFUNCTION("""COMPUTED_VALUE"""),"THOMSON")</f>
        <v>THOMSON</v>
      </c>
      <c r="D812" s="12" t="str">
        <f ca="1">IFERROR(__xludf.DUMMYFUNCTION("""COMPUTED_VALUE"""),"THOMSON微電腦溫控雙人電熱毯TM-SAW26B")</f>
        <v>THOMSON微電腦溫控雙人電熱毯TM-SAW26B</v>
      </c>
      <c r="E812" s="12" t="str">
        <f ca="1">IFERROR(__xludf.DUMMYFUNCTION("""COMPUTED_VALUE"""),"TM-SAW26B")</f>
        <v>TM-SAW26B</v>
      </c>
      <c r="F812" s="12">
        <f ca="1">IFERROR(__xludf.DUMMYFUNCTION("""COMPUTED_VALUE"""),51092106)</f>
        <v>51092106</v>
      </c>
      <c r="G812" s="12" t="str">
        <f ca="1">IFERROR(__xludf.DUMMYFUNCTION("""COMPUTED_VALUE"""),"IGEM088U")</f>
        <v>IGEM088U</v>
      </c>
      <c r="H812" s="13">
        <f ca="1">IFERROR(__xludf.DUMMYFUNCTION("""COMPUTED_VALUE"""),1690)</f>
        <v>1690</v>
      </c>
      <c r="I812" s="14">
        <f ca="1">IFERROR(__xludf.DUMMYFUNCTION("""COMPUTED_VALUE"""),1490)</f>
        <v>1490</v>
      </c>
      <c r="J812" s="16">
        <f ca="1">IFERROR(__xludf.DUMMYFUNCTION("""COMPUTED_VALUE"""),45677)</f>
        <v>45677</v>
      </c>
      <c r="K812" s="12" t="str">
        <f ca="1">IFERROR(__xludf.DUMMYFUNCTION("""COMPUTED_VALUE"""),"缺貨")</f>
        <v>缺貨</v>
      </c>
      <c r="L812" s="12" t="str">
        <f ca="1">IFERROR(__xludf.DUMMYFUNCTION("""COMPUTED_VALUE"""),"缺貨")</f>
        <v>缺貨</v>
      </c>
      <c r="M812" s="12" t="str">
        <f ca="1">IFERROR(__xludf.DUMMYFUNCTION("""COMPUTED_VALUE"""),"2025/1/20缺貨，2023/10/18新機上架")</f>
        <v>2025/1/20缺貨，2023/10/18新機上架</v>
      </c>
      <c r="N812" s="12" t="str">
        <f ca="1">IFERROR(__xludf.DUMMYFUNCTION("""COMPUTED_VALUE"""),"電熱毯")</f>
        <v>電熱毯</v>
      </c>
      <c r="O812" s="12"/>
      <c r="P812" s="12" t="str">
        <f ca="1">IFERROR(__xludf.DUMMYFUNCTION("""COMPUTED_VALUE"""),"額定電壓/頻率：110V~60Hz
 總額定消耗功率：110W
 電線長度:150cm
 材質:100%聚酯纖維
 配件:控制器*1、說明書*1、收納袋*1，洗衣袋*1")</f>
        <v>額定電壓/頻率：110V~60Hz
 總額定消耗功率：110W
 電線長度:150cm
 材質:100%聚酯纖維
 配件:控制器*1、說明書*1、收納袋*1，洗衣袋*1</v>
      </c>
      <c r="Q812" s="12" t="str">
        <f ca="1">IFERROR(__xludf.DUMMYFUNCTION("""COMPUTED_VALUE"""),"1600x1400x6")</f>
        <v>1600x1400x6</v>
      </c>
      <c r="R812" s="12" t="str">
        <f ca="1">IFERROR(__xludf.DUMMYFUNCTION("""COMPUTED_VALUE"""),"中國")</f>
        <v>中國</v>
      </c>
      <c r="S812" s="12"/>
      <c r="T812" s="12"/>
      <c r="U812" s="12" t="str">
        <f ca="1">IFERROR(__xludf.DUMMYFUNCTION("""COMPUTED_VALUE"""),"1年")</f>
        <v>1年</v>
      </c>
      <c r="V812" s="12"/>
      <c r="W812" s="12"/>
      <c r="X812" s="12"/>
      <c r="Y812" s="12"/>
      <c r="Z812" s="14"/>
      <c r="AA812" s="15" t="str">
        <f ca="1">IFERROR(__xludf.DUMMYFUNCTION("""COMPUTED_VALUE"""),"*智慧型恆溫設計，微電腦五段溫度控制 *使用水晶超柔高級毛料，親膚材質超舒適*超聲波製程，發熱線定位不位移*高級雙螺旋發熱線隨時監測溫度*台灣商檢局認證合格，安全有保障")</f>
        <v>*智慧型恆溫設計，微電腦五段溫度控制 *使用水晶超柔高級毛料，親膚材質超舒適*超聲波製程，發熱線定位不位移*高級雙螺旋發熱線隨時監測溫度*台灣商檢局認證合格，安全有保障</v>
      </c>
    </row>
    <row r="813" spans="1:27" ht="19.5" customHeight="1">
      <c r="A813" s="12" t="str">
        <f ca="1">IFERROR(__xludf.DUMMYFUNCTION("""COMPUTED_VALUE"""),"生活家電")</f>
        <v>生活家電</v>
      </c>
      <c r="B813" s="12" t="str">
        <f ca="1">IFERROR(__xludf.DUMMYFUNCTION("""COMPUTED_VALUE"""),"旺德")</f>
        <v>旺德</v>
      </c>
      <c r="C813" s="12" t="str">
        <f ca="1">IFERROR(__xludf.DUMMYFUNCTION("""COMPUTED_VALUE"""),"THOMSON")</f>
        <v>THOMSON</v>
      </c>
      <c r="D813" s="12" t="str">
        <f ca="1">IFERROR(__xludf.DUMMYFUNCTION("""COMPUTED_VALUE"""),"THOMSON手提定時陶瓷電暖器TM-SAW23F")</f>
        <v>THOMSON手提定時陶瓷電暖器TM-SAW23F</v>
      </c>
      <c r="E813" s="12" t="str">
        <f ca="1">IFERROR(__xludf.DUMMYFUNCTION("""COMPUTED_VALUE"""),"TM-SAW23F(木紋色)")</f>
        <v>TM-SAW23F(木紋色)</v>
      </c>
      <c r="F813" s="12">
        <f ca="1">IFERROR(__xludf.DUMMYFUNCTION("""COMPUTED_VALUE"""),51092107)</f>
        <v>51092107</v>
      </c>
      <c r="G813" s="12" t="str">
        <f ca="1">IFERROR(__xludf.DUMMYFUNCTION("""COMPUTED_VALUE"""),"IGEM088V")</f>
        <v>IGEM088V</v>
      </c>
      <c r="H813" s="13">
        <f ca="1">IFERROR(__xludf.DUMMYFUNCTION("""COMPUTED_VALUE"""),1490)</f>
        <v>1490</v>
      </c>
      <c r="I813" s="14">
        <f ca="1">IFERROR(__xludf.DUMMYFUNCTION("""COMPUTED_VALUE"""),1290)</f>
        <v>1290</v>
      </c>
      <c r="J813" s="16">
        <f ca="1">IFERROR(__xludf.DUMMYFUNCTION("""COMPUTED_VALUE"""),45174)</f>
        <v>45174</v>
      </c>
      <c r="K813" s="12" t="str">
        <f ca="1">IFERROR(__xludf.DUMMYFUNCTION("""COMPUTED_VALUE"""),"新機上架")</f>
        <v>新機上架</v>
      </c>
      <c r="L813" s="12" t="str">
        <f ca="1">IFERROR(__xludf.DUMMYFUNCTION("""COMPUTED_VALUE"""),"上架中")</f>
        <v>上架中</v>
      </c>
      <c r="M813" s="12" t="str">
        <f ca="1">IFERROR(__xludf.DUMMYFUNCTION("""COMPUTED_VALUE"""),"2023/9/5新機上架")</f>
        <v>2023/9/5新機上架</v>
      </c>
      <c r="N813" s="12" t="str">
        <f ca="1">IFERROR(__xludf.DUMMYFUNCTION("""COMPUTED_VALUE"""),"電暖器")</f>
        <v>電暖器</v>
      </c>
      <c r="O813" s="12"/>
      <c r="P813" s="12" t="str">
        <f ca="1">IFERROR(__xludf.DUMMYFUNCTION("""COMPUTED_VALUE"""),"額定電壓/頻率: 110V~/60Hz
 總額定消耗電功率:600W
 材質：ABS塑膠、電源線長度：≦150cm")</f>
        <v>額定電壓/頻率: 110V~/60Hz
 總額定消耗電功率:600W
 材質：ABS塑膠、電源線長度：≦150cm</v>
      </c>
      <c r="Q813" s="12" t="str">
        <f ca="1">IFERROR(__xludf.DUMMYFUNCTION("""COMPUTED_VALUE"""),"178x213x113 mm")</f>
        <v>178x213x113 mm</v>
      </c>
      <c r="R813" s="12" t="str">
        <f ca="1">IFERROR(__xludf.DUMMYFUNCTION("""COMPUTED_VALUE"""),"中國")</f>
        <v>中國</v>
      </c>
      <c r="S813" s="12"/>
      <c r="T813" s="12"/>
      <c r="U813" s="12" t="str">
        <f ca="1">IFERROR(__xludf.DUMMYFUNCTION("""COMPUTED_VALUE"""),"1年")</f>
        <v>1年</v>
      </c>
      <c r="V813" s="12"/>
      <c r="W813" s="12"/>
      <c r="X813" s="12"/>
      <c r="Y813" s="12"/>
      <c r="Z813" s="14"/>
      <c r="AA813" s="15" t="str">
        <f ca="1">IFERROR(__xludf.DUMMYFUNCTION("""COMPUTED_VALUE"""),"*PTC陶瓷加熱，3秒速暖*主體採用防火阻燃材質*2段溫度設定，隨心調整*可上下調整出風角度*5段定時開關設定")</f>
        <v>*PTC陶瓷加熱，3秒速暖*主體採用防火阻燃材質*2段溫度設定，隨心調整*可上下調整出風角度*5段定時開關設定</v>
      </c>
    </row>
    <row r="814" spans="1:27" ht="19.5" customHeight="1">
      <c r="A814" s="12" t="str">
        <f ca="1">IFERROR(__xludf.DUMMYFUNCTION("""COMPUTED_VALUE"""),"生活家電")</f>
        <v>生活家電</v>
      </c>
      <c r="B814" s="12" t="str">
        <f ca="1">IFERROR(__xludf.DUMMYFUNCTION("""COMPUTED_VALUE"""),"旺德")</f>
        <v>旺德</v>
      </c>
      <c r="C814" s="12" t="str">
        <f ca="1">IFERROR(__xludf.DUMMYFUNCTION("""COMPUTED_VALUE"""),"THOMSON")</f>
        <v>THOMSON</v>
      </c>
      <c r="D814" s="12" t="str">
        <f ca="1">IFERROR(__xludf.DUMMYFUNCTION("""COMPUTED_VALUE"""),"THOMSON路徑導航掃地機器人TM-SAV22DS")</f>
        <v>THOMSON路徑導航掃地機器人TM-SAV22DS</v>
      </c>
      <c r="E814" s="12" t="str">
        <f ca="1">IFERROR(__xludf.DUMMYFUNCTION("""COMPUTED_VALUE"""),"TM-SAV22DS")</f>
        <v>TM-SAV22DS</v>
      </c>
      <c r="F814" s="12">
        <f ca="1">IFERROR(__xludf.DUMMYFUNCTION("""COMPUTED_VALUE"""),51092114)</f>
        <v>51092114</v>
      </c>
      <c r="G814" s="12" t="str">
        <f ca="1">IFERROR(__xludf.DUMMYFUNCTION("""COMPUTED_VALUE"""),"IGEM094C")</f>
        <v>IGEM094C</v>
      </c>
      <c r="H814" s="12">
        <f ca="1">IFERROR(__xludf.DUMMYFUNCTION("""COMPUTED_VALUE"""),9900)</f>
        <v>9900</v>
      </c>
      <c r="I814" s="18">
        <f ca="1">IFERROR(__xludf.DUMMYFUNCTION("""COMPUTED_VALUE"""),5990)</f>
        <v>5990</v>
      </c>
      <c r="J814" s="16">
        <f ca="1">IFERROR(__xludf.DUMMYFUNCTION("""COMPUTED_VALUE"""),45566)</f>
        <v>45566</v>
      </c>
      <c r="K814" s="12" t="str">
        <f ca="1">IFERROR(__xludf.DUMMYFUNCTION("""COMPUTED_VALUE"""),"短促")</f>
        <v>短促</v>
      </c>
      <c r="L814" s="12" t="str">
        <f ca="1">IFERROR(__xludf.DUMMYFUNCTION("""COMPUTED_VALUE"""),"上架中")</f>
        <v>上架中</v>
      </c>
      <c r="M814" s="12" t="str">
        <f ca="1">IFERROR(__xludf.DUMMYFUNCTION("""COMPUTED_VALUE"""),"10/01短促，9/1短促，7/1短促，2024/2/1回價2024/1/1短促2023/11/28新機上架")</f>
        <v>10/01短促，9/1短促，7/1短促，2024/2/1回價2024/1/1短促2023/11/28新機上架</v>
      </c>
      <c r="N814" s="12" t="str">
        <f ca="1">IFERROR(__xludf.DUMMYFUNCTION("""COMPUTED_VALUE"""),"掃地/拖地機")</f>
        <v>掃地/拖地機</v>
      </c>
      <c r="O814" s="12"/>
      <c r="P814" s="12" t="str">
        <f ca="1">IFERROR(__xludf.DUMMYFUNCTION("""COMPUTED_VALUE"""),"水箱容量:300ml")</f>
        <v>水箱容量:300ml</v>
      </c>
      <c r="Q814" s="12" t="str">
        <f ca="1">IFERROR(__xludf.DUMMYFUNCTION("""COMPUTED_VALUE"""),"310X310X72(mm)")</f>
        <v>310X310X72(mm)</v>
      </c>
      <c r="R814" s="12" t="str">
        <f ca="1">IFERROR(__xludf.DUMMYFUNCTION("""COMPUTED_VALUE"""),"中國")</f>
        <v>中國</v>
      </c>
      <c r="S814" s="12"/>
      <c r="T814" s="12"/>
      <c r="U814" s="12" t="str">
        <f ca="1">IFERROR(__xludf.DUMMYFUNCTION("""COMPUTED_VALUE"""),"1年")</f>
        <v>1年</v>
      </c>
      <c r="V814" s="12"/>
      <c r="W814" s="12"/>
      <c r="X814" s="12"/>
      <c r="Y814" s="12"/>
      <c r="Z814" s="14"/>
      <c r="AA814" s="15" t="str">
        <f ca="1">IFERROR(__xludf.DUMMYFUNCTION("""COMPUTED_VALUE"""),"*自動認路並規畫路徑清掃及分區清掃功能*ARM 核心芯片空間地圖建立運算規劃清掃 *內置陀螺儀定位精準 清掃效率高*7.2cm超薄機身設計 *自動返航回充功能 *緩衝防撞牆及防掉落感應*智能防卡脫困設計")</f>
        <v>*自動認路並規畫路徑清掃及分區清掃功能*ARM 核心芯片空間地圖建立運算規劃清掃 *內置陀螺儀定位精準 清掃效率高*7.2cm超薄機身設計 *自動返航回充功能 *緩衝防撞牆及防掉落感應*智能防卡脫困設計</v>
      </c>
    </row>
    <row r="815" spans="1:27" ht="19.5" customHeight="1">
      <c r="A815" s="12" t="str">
        <f ca="1">IFERROR(__xludf.DUMMYFUNCTION("""COMPUTED_VALUE"""),"生活家電")</f>
        <v>生活家電</v>
      </c>
      <c r="B815" s="12" t="str">
        <f ca="1">IFERROR(__xludf.DUMMYFUNCTION("""COMPUTED_VALUE"""),"旺德")</f>
        <v>旺德</v>
      </c>
      <c r="C815" s="12" t="str">
        <f ca="1">IFERROR(__xludf.DUMMYFUNCTION("""COMPUTED_VALUE"""),"THOMSON")</f>
        <v>THOMSON</v>
      </c>
      <c r="D815" s="12" t="str">
        <f ca="1">IFERROR(__xludf.DUMMYFUNCTION("""COMPUTED_VALUE"""),"THOMSON石墨烯烘乾除菌洗地機(白)TM-SAV63D")</f>
        <v>THOMSON石墨烯烘乾除菌洗地機(白)TM-SAV63D</v>
      </c>
      <c r="E815" s="12" t="str">
        <f ca="1">IFERROR(__xludf.DUMMYFUNCTION("""COMPUTED_VALUE"""),"TM-SAV63D")</f>
        <v>TM-SAV63D</v>
      </c>
      <c r="F815" s="12">
        <f ca="1">IFERROR(__xludf.DUMMYFUNCTION("""COMPUTED_VALUE"""),51092116)</f>
        <v>51092116</v>
      </c>
      <c r="G815" s="12" t="str">
        <f ca="1">IFERROR(__xludf.DUMMYFUNCTION("""COMPUTED_VALUE"""),"IGEM094F")</f>
        <v>IGEM094F</v>
      </c>
      <c r="H815" s="13">
        <f ca="1">IFERROR(__xludf.DUMMYFUNCTION("""COMPUTED_VALUE"""),12900)</f>
        <v>12900</v>
      </c>
      <c r="I815" s="18">
        <f ca="1">IFERROR(__xludf.DUMMYFUNCTION("""COMPUTED_VALUE"""),9900)</f>
        <v>9900</v>
      </c>
      <c r="J815" s="16">
        <f ca="1">IFERROR(__xludf.DUMMYFUNCTION("""COMPUTED_VALUE"""),45258)</f>
        <v>45258</v>
      </c>
      <c r="K815" s="12" t="str">
        <f ca="1">IFERROR(__xludf.DUMMYFUNCTION("""COMPUTED_VALUE"""),"新機上架")</f>
        <v>新機上架</v>
      </c>
      <c r="L815" s="12" t="str">
        <f ca="1">IFERROR(__xludf.DUMMYFUNCTION("""COMPUTED_VALUE"""),"上架中")</f>
        <v>上架中</v>
      </c>
      <c r="M815" s="12" t="str">
        <f ca="1">IFERROR(__xludf.DUMMYFUNCTION("""COMPUTED_VALUE"""),"2023/11/28新機上架")</f>
        <v>2023/11/28新機上架</v>
      </c>
      <c r="N815" s="12" t="str">
        <f ca="1">IFERROR(__xludf.DUMMYFUNCTION("""COMPUTED_VALUE"""),"掃地/拖地機")</f>
        <v>掃地/拖地機</v>
      </c>
      <c r="O815" s="12" t="str">
        <f ca="1">IFERROR(__xludf.DUMMYFUNCTION("""COMPUTED_VALUE"""),"白")</f>
        <v>白</v>
      </c>
      <c r="P815" s="12"/>
      <c r="Q815" s="12" t="str">
        <f ca="1">IFERROR(__xludf.DUMMYFUNCTION("""COMPUTED_VALUE"""),"280X210X1150(mm)")</f>
        <v>280X210X1150(mm)</v>
      </c>
      <c r="R815" s="12" t="str">
        <f ca="1">IFERROR(__xludf.DUMMYFUNCTION("""COMPUTED_VALUE"""),"中國")</f>
        <v>中國</v>
      </c>
      <c r="S815" s="12"/>
      <c r="T815" s="12"/>
      <c r="U815" s="12" t="str">
        <f ca="1">IFERROR(__xludf.DUMMYFUNCTION("""COMPUTED_VALUE"""),"1年")</f>
        <v>1年</v>
      </c>
      <c r="V815" s="12"/>
      <c r="W815" s="12"/>
      <c r="X815" s="12"/>
      <c r="Y815" s="12"/>
      <c r="Z815" s="14"/>
      <c r="AA815" s="15" t="str">
        <f ca="1">IFERROR(__xludf.DUMMYFUNCTION("""COMPUTED_VALUE"""),"*石墨烯恆溫烘乾，安全便利*電解除菌水，安全可靠 *600ML清水箱，自動精準控水，全屋覆蓋*HEPA濾網，避免二次汙染*掃地、吸塵、拖地一機搞定*自動牽引，使用便利")</f>
        <v>*石墨烯恆溫烘乾，安全便利*電解除菌水，安全可靠 *600ML清水箱，自動精準控水，全屋覆蓋*HEPA濾網，避免二次汙染*掃地、吸塵、拖地一機搞定*自動牽引，使用便利</v>
      </c>
    </row>
    <row r="816" spans="1:27" ht="19.5" customHeight="1">
      <c r="A816" s="12" t="str">
        <f ca="1">IFERROR(__xludf.DUMMYFUNCTION("""COMPUTED_VALUE"""),"生活家電")</f>
        <v>生活家電</v>
      </c>
      <c r="B816" s="12" t="str">
        <f ca="1">IFERROR(__xludf.DUMMYFUNCTION("""COMPUTED_VALUE"""),"旺德")</f>
        <v>旺德</v>
      </c>
      <c r="C816" s="12" t="str">
        <f ca="1">IFERROR(__xludf.DUMMYFUNCTION("""COMPUTED_VALUE"""),"THOMSON")</f>
        <v>THOMSON</v>
      </c>
      <c r="D816" s="12" t="str">
        <f ca="1">IFERROR(__xludf.DUMMYFUNCTION("""COMPUTED_VALUE"""),"THOMSON ＷIFI智能掃地機器人(白)TM-SAV57DS")</f>
        <v>THOMSON ＷIFI智能掃地機器人(白)TM-SAV57DS</v>
      </c>
      <c r="E816" s="12" t="str">
        <f ca="1">IFERROR(__xludf.DUMMYFUNCTION("""COMPUTED_VALUE"""),"TM-SAV57DS")</f>
        <v>TM-SAV57DS</v>
      </c>
      <c r="F816" s="12">
        <f ca="1">IFERROR(__xludf.DUMMYFUNCTION("""COMPUTED_VALUE"""),51092117)</f>
        <v>51092117</v>
      </c>
      <c r="G816" s="12" t="str">
        <f ca="1">IFERROR(__xludf.DUMMYFUNCTION("""COMPUTED_VALUE"""),"IGEM094G")</f>
        <v>IGEM094G</v>
      </c>
      <c r="H816" s="13">
        <f ca="1">IFERROR(__xludf.DUMMYFUNCTION("""COMPUTED_VALUE"""),5990)</f>
        <v>5990</v>
      </c>
      <c r="I816" s="18">
        <f ca="1">IFERROR(__xludf.DUMMYFUNCTION("""COMPUTED_VALUE"""),4090)</f>
        <v>4090</v>
      </c>
      <c r="J816" s="16">
        <f ca="1">IFERROR(__xludf.DUMMYFUNCTION("""COMPUTED_VALUE"""),45536)</f>
        <v>45536</v>
      </c>
      <c r="K816" s="12" t="str">
        <f ca="1">IFERROR(__xludf.DUMMYFUNCTION("""COMPUTED_VALUE"""),"短促")</f>
        <v>短促</v>
      </c>
      <c r="L816" s="12" t="str">
        <f ca="1">IFERROR(__xludf.DUMMYFUNCTION("""COMPUTED_VALUE"""),"上架中")</f>
        <v>上架中</v>
      </c>
      <c r="M816" s="12" t="str">
        <f ca="1">IFERROR(__xludf.DUMMYFUNCTION("""COMPUTED_VALUE"""),"9/1短促，5/16回價，3/20短促，2024/2/1回價2024/1/1短促2023/11/28新機上架")</f>
        <v>9/1短促，5/16回價，3/20短促，2024/2/1回價2024/1/1短促2023/11/28新機上架</v>
      </c>
      <c r="N816" s="12" t="str">
        <f ca="1">IFERROR(__xludf.DUMMYFUNCTION("""COMPUTED_VALUE"""),"掃地/拖地機")</f>
        <v>掃地/拖地機</v>
      </c>
      <c r="O816" s="12" t="str">
        <f ca="1">IFERROR(__xludf.DUMMYFUNCTION("""COMPUTED_VALUE"""),"白")</f>
        <v>白</v>
      </c>
      <c r="P816" s="12" t="str">
        <f ca="1">IFERROR(__xludf.DUMMYFUNCTION("""COMPUTED_VALUE"""),"塵桶容量：0.4L")</f>
        <v>塵桶容量：0.4L</v>
      </c>
      <c r="Q816" s="12" t="str">
        <f ca="1">IFERROR(__xludf.DUMMYFUNCTION("""COMPUTED_VALUE"""),"300X300X80(mm)")</f>
        <v>300X300X80(mm)</v>
      </c>
      <c r="R816" s="12" t="str">
        <f ca="1">IFERROR(__xludf.DUMMYFUNCTION("""COMPUTED_VALUE"""),"中國")</f>
        <v>中國</v>
      </c>
      <c r="S816" s="12"/>
      <c r="T816" s="12"/>
      <c r="U816" s="12" t="str">
        <f ca="1">IFERROR(__xludf.DUMMYFUNCTION("""COMPUTED_VALUE"""),"1年")</f>
        <v>1年</v>
      </c>
      <c r="V816" s="12"/>
      <c r="W816" s="12"/>
      <c r="X816" s="12"/>
      <c r="Y816" s="12"/>
      <c r="Z816" s="14"/>
      <c r="AA816" s="15" t="str">
        <f ca="1">IFERROR(__xludf.DUMMYFUNCTION("""COMPUTED_VALUE"""),"*輕巧超薄設計*WIFI遠端控制，遠端監控*吸拖合一，一次搞定*專用拖地布，清潔力超強*0.４L大容量，減少清潔頻率")</f>
        <v>*輕巧超薄設計*WIFI遠端控制，遠端監控*吸拖合一，一次搞定*專用拖地布，清潔力超強*0.４L大容量，減少清潔頻率</v>
      </c>
    </row>
    <row r="817" spans="1:27" ht="19.5" customHeight="1">
      <c r="A817" s="12" t="str">
        <f ca="1">IFERROR(__xludf.DUMMYFUNCTION("""COMPUTED_VALUE"""),"生活家電")</f>
        <v>生活家電</v>
      </c>
      <c r="B817" s="12" t="str">
        <f ca="1">IFERROR(__xludf.DUMMYFUNCTION("""COMPUTED_VALUE"""),"旺德")</f>
        <v>旺德</v>
      </c>
      <c r="C817" s="12" t="str">
        <f ca="1">IFERROR(__xludf.DUMMYFUNCTION("""COMPUTED_VALUE"""),"THOMSON")</f>
        <v>THOMSON</v>
      </c>
      <c r="D817" s="12" t="str">
        <f ca="1">IFERROR(__xludf.DUMMYFUNCTION("""COMPUTED_VALUE"""),"THOMSON數位馬達手持無線吸塵器TM-SAV68D+電動濕拖頭 TM-SAV68D-1 ")</f>
        <v xml:space="preserve">THOMSON數位馬達手持無線吸塵器TM-SAV68D+電動濕拖頭 TM-SAV68D-1 </v>
      </c>
      <c r="E817" s="12" t="str">
        <f ca="1">IFERROR(__xludf.DUMMYFUNCTION("""COMPUTED_VALUE"""),"TM-SAV68D+濕拖頭")</f>
        <v>TM-SAV68D+濕拖頭</v>
      </c>
      <c r="F817" s="12">
        <f ca="1">IFERROR(__xludf.DUMMYFUNCTION("""COMPUTED_VALUE"""),51092118)</f>
        <v>51092118</v>
      </c>
      <c r="G817" s="12" t="str">
        <f ca="1">IFERROR(__xludf.DUMMYFUNCTION("""COMPUTED_VALUE"""),"IGEM094H")</f>
        <v>IGEM094H</v>
      </c>
      <c r="H817" s="13">
        <f ca="1">IFERROR(__xludf.DUMMYFUNCTION("""COMPUTED_VALUE"""),6990)</f>
        <v>6990</v>
      </c>
      <c r="I817" s="18">
        <f ca="1">IFERROR(__xludf.DUMMYFUNCTION("""COMPUTED_VALUE"""),5290)</f>
        <v>5290</v>
      </c>
      <c r="J817" s="16">
        <f ca="1">IFERROR(__xludf.DUMMYFUNCTION("""COMPUTED_VALUE"""),45623)</f>
        <v>45623</v>
      </c>
      <c r="K817" s="12" t="str">
        <f ca="1">IFERROR(__xludf.DUMMYFUNCTION("""COMPUTED_VALUE"""),"缺貨")</f>
        <v>缺貨</v>
      </c>
      <c r="L817" s="12" t="str">
        <f ca="1">IFERROR(__xludf.DUMMYFUNCTION("""COMPUTED_VALUE"""),"缺貨")</f>
        <v>缺貨</v>
      </c>
      <c r="M817" s="12" t="str">
        <f ca="1">IFERROR(__xludf.DUMMYFUNCTION("""COMPUTED_VALUE"""),"11/27缺貨，4/17到貨，2024/4/15缺貨，2023/11/28新機上架")</f>
        <v>11/27缺貨，4/17到貨，2024/4/15缺貨，2023/11/28新機上架</v>
      </c>
      <c r="N817" s="12" t="str">
        <f ca="1">IFERROR(__xludf.DUMMYFUNCTION("""COMPUTED_VALUE"""),"吸塵器")</f>
        <v>吸塵器</v>
      </c>
      <c r="O817" s="12"/>
      <c r="P817" s="12"/>
      <c r="Q817" s="12" t="str">
        <f ca="1">IFERROR(__xludf.DUMMYFUNCTION("""COMPUTED_VALUE"""),"230X210X1050(mm)")</f>
        <v>230X210X1050(mm)</v>
      </c>
      <c r="R817" s="12" t="str">
        <f ca="1">IFERROR(__xludf.DUMMYFUNCTION("""COMPUTED_VALUE"""),"中國")</f>
        <v>中國</v>
      </c>
      <c r="S817" s="12"/>
      <c r="T817" s="12"/>
      <c r="U817" s="12" t="str">
        <f ca="1">IFERROR(__xludf.DUMMYFUNCTION("""COMPUTED_VALUE"""),"1年")</f>
        <v>1年</v>
      </c>
      <c r="V817" s="12"/>
      <c r="W817" s="12"/>
      <c r="X817" s="12"/>
      <c r="Y817" s="12"/>
      <c r="Z817" s="14"/>
      <c r="AA817" s="15" t="str">
        <f ca="1">IFERROR(__xludf.DUMMYFUNCTION("""COMPUTED_VALUE"""),"*8萬轉數位DC直流無刷馬達，強勁吸力 極致靜音 壽命長*18kpa氣旋創造強力渦流 極大化除塵效果*專用電動塵螨滾刷吸頭，高效清潔塵蟎灰塵*H13等級HEPA濾網，有效過濾塵螨及各種過敏源*具有電動馬達地刷， 有效吸附微塵、大小顆粒集碎屑*可水洗式集塵桶、濾網")</f>
        <v>*8萬轉數位DC直流無刷馬達，強勁吸力 極致靜音 壽命長*18kpa氣旋創造強力渦流 極大化除塵效果*專用電動塵螨滾刷吸頭，高效清潔塵蟎灰塵*H13等級HEPA濾網，有效過濾塵螨及各種過敏源*具有電動馬達地刷， 有效吸附微塵、大小顆粒集碎屑*可水洗式集塵桶、濾網</v>
      </c>
    </row>
    <row r="818" spans="1:27" ht="19.5" customHeight="1">
      <c r="A818" s="12" t="str">
        <f ca="1">IFERROR(__xludf.DUMMYFUNCTION("""COMPUTED_VALUE"""),"除濕機")</f>
        <v>除濕機</v>
      </c>
      <c r="B818" s="12" t="str">
        <f ca="1">IFERROR(__xludf.DUMMYFUNCTION("""COMPUTED_VALUE"""),"旺德")</f>
        <v>旺德</v>
      </c>
      <c r="C818" s="12" t="str">
        <f ca="1">IFERROR(__xludf.DUMMYFUNCTION("""COMPUTED_VALUE"""),"THOMSON")</f>
        <v>THOMSON</v>
      </c>
      <c r="D818" s="12" t="str">
        <f ca="1">IFERROR(__xludf.DUMMYFUNCTION("""COMPUTED_VALUE"""),"THOMSON_多功能環保除濕機_TM-SADE02")</f>
        <v>THOMSON_多功能環保除濕機_TM-SADE02</v>
      </c>
      <c r="E818" s="12" t="str">
        <f ca="1">IFERROR(__xludf.DUMMYFUNCTION("""COMPUTED_VALUE"""),"TM-SADE02")</f>
        <v>TM-SADE02</v>
      </c>
      <c r="F818" s="12">
        <f ca="1">IFERROR(__xludf.DUMMYFUNCTION("""COMPUTED_VALUE"""),51092061)</f>
        <v>51092061</v>
      </c>
      <c r="G818" s="12" t="str">
        <f ca="1">IFERROR(__xludf.DUMMYFUNCTION("""COMPUTED_VALUE"""),"IGEM0362")</f>
        <v>IGEM0362</v>
      </c>
      <c r="H818" s="12">
        <f ca="1">IFERROR(__xludf.DUMMYFUNCTION("""COMPUTED_VALUE"""),3290)</f>
        <v>3290</v>
      </c>
      <c r="I818" s="14">
        <f ca="1">IFERROR(__xludf.DUMMYFUNCTION("""COMPUTED_VALUE"""),2290)</f>
        <v>2290</v>
      </c>
      <c r="J818" s="21">
        <f ca="1">IFERROR(__xludf.DUMMYFUNCTION("""COMPUTED_VALUE"""),45717)</f>
        <v>45717</v>
      </c>
      <c r="K818" s="12" t="str">
        <f ca="1">IFERROR(__xludf.DUMMYFUNCTION("""COMPUTED_VALUE"""),"回價")</f>
        <v>回價</v>
      </c>
      <c r="L818" s="12" t="str">
        <f ca="1">IFERROR(__xludf.DUMMYFUNCTION("""COMPUTED_VALUE"""),"上架中")</f>
        <v>上架中</v>
      </c>
      <c r="M818" s="12" t="str">
        <f ca="1">IFERROR(__xludf.DUMMYFUNCTION("""COMPUTED_VALUE"""),"2024/11/1短促，2024/2/1回價2024/1/1短促2023/12/1回價112/11/1短促2022/8/3修約完成重新上架")</f>
        <v>2024/11/1短促，2024/2/1回價2024/1/1短促2023/12/1回價112/11/1短促2022/8/3修約完成重新上架</v>
      </c>
      <c r="N818" s="12" t="str">
        <f ca="1">IFERROR(__xludf.DUMMYFUNCTION("""COMPUTED_VALUE"""),"除濕機")</f>
        <v>除濕機</v>
      </c>
      <c r="O818" s="12" t="str">
        <f ca="1">IFERROR(__xludf.DUMMYFUNCTION("""COMPUTED_VALUE"""),"白")</f>
        <v>白</v>
      </c>
      <c r="P818" s="12" t="str">
        <f ca="1">IFERROR(__xludf.DUMMYFUNCTION("""COMPUTED_VALUE"""),"2L")</f>
        <v>2L</v>
      </c>
      <c r="Q818" s="12" t="str">
        <f ca="1">IFERROR(__xludf.DUMMYFUNCTION("""COMPUTED_VALUE"""),"高312*寬225*深152.5mm")</f>
        <v>高312*寬225*深152.5mm</v>
      </c>
      <c r="R818" s="12" t="str">
        <f ca="1">IFERROR(__xludf.DUMMYFUNCTION("""COMPUTED_VALUE"""),"中國")</f>
        <v>中國</v>
      </c>
      <c r="S818" s="12"/>
      <c r="T818" s="12"/>
      <c r="U818" s="12" t="str">
        <f ca="1">IFERROR(__xludf.DUMMYFUNCTION("""COMPUTED_VALUE"""),"1年")</f>
        <v>1年</v>
      </c>
      <c r="V818" s="12"/>
      <c r="W818" s="12"/>
      <c r="X818" s="12"/>
      <c r="Y818" s="12"/>
      <c r="Z818" s="14"/>
      <c r="AA818" s="15" t="str">
        <f ca="1">IFERROR(__xludf.DUMMYFUNCTION("""COMPUTED_VALUE"""),"*無壓縮機超靜音，35分貝睡眠模式*三段智能控制除濕強度，自動/睡眠/強力*七色氣氛燈，水滿亮紅燈自動停止*濕度顯示器*定時最長48小時*全拆式水箱清潔便利*超省電，一天不用一度電")</f>
        <v>*無壓縮機超靜音，35分貝睡眠模式*三段智能控制除濕強度，自動/睡眠/強力*七色氣氛燈，水滿亮紅燈自動停止*濕度顯示器*定時最長48小時*全拆式水箱清潔便利*超省電，一天不用一度電</v>
      </c>
    </row>
    <row r="819" spans="1:27" ht="19.5" customHeight="1">
      <c r="A819" s="12" t="str">
        <f ca="1">IFERROR(__xludf.DUMMYFUNCTION("""COMPUTED_VALUE"""),"除濕機")</f>
        <v>除濕機</v>
      </c>
      <c r="B819" s="12" t="str">
        <f ca="1">IFERROR(__xludf.DUMMYFUNCTION("""COMPUTED_VALUE"""),"旺德")</f>
        <v>旺德</v>
      </c>
      <c r="C819" s="12" t="str">
        <f ca="1">IFERROR(__xludf.DUMMYFUNCTION("""COMPUTED_VALUE"""),"THOMSON")</f>
        <v>THOMSON</v>
      </c>
      <c r="D819" s="12" t="str">
        <f ca="1">IFERROR(__xludf.DUMMYFUNCTION("""COMPUTED_VALUE"""),"THOMSON環保除濕機(白)TM-SADE03")</f>
        <v>THOMSON環保除濕機(白)TM-SADE03</v>
      </c>
      <c r="E819" s="12" t="str">
        <f ca="1">IFERROR(__xludf.DUMMYFUNCTION("""COMPUTED_VALUE"""),"TM-SADE03")</f>
        <v>TM-SADE03</v>
      </c>
      <c r="F819" s="12">
        <f ca="1">IFERROR(__xludf.DUMMYFUNCTION("""COMPUTED_VALUE"""),51092115)</f>
        <v>51092115</v>
      </c>
      <c r="G819" s="12" t="str">
        <f ca="1">IFERROR(__xludf.DUMMYFUNCTION("""COMPUTED_VALUE"""),"IGEM094D")</f>
        <v>IGEM094D</v>
      </c>
      <c r="H819" s="13">
        <f ca="1">IFERROR(__xludf.DUMMYFUNCTION("""COMPUTED_VALUE"""),2990)</f>
        <v>2990</v>
      </c>
      <c r="I819" s="18">
        <f ca="1">IFERROR(__xludf.DUMMYFUNCTION("""COMPUTED_VALUE"""),2490)</f>
        <v>2490</v>
      </c>
      <c r="J819" s="16">
        <f ca="1">IFERROR(__xludf.DUMMYFUNCTION("""COMPUTED_VALUE"""),45632)</f>
        <v>45632</v>
      </c>
      <c r="K819" s="12" t="str">
        <f ca="1">IFERROR(__xludf.DUMMYFUNCTION("""COMPUTED_VALUE"""),"缺貨")</f>
        <v>缺貨</v>
      </c>
      <c r="L819" s="12" t="str">
        <f ca="1">IFERROR(__xludf.DUMMYFUNCTION("""COMPUTED_VALUE"""),"缺貨")</f>
        <v>缺貨</v>
      </c>
      <c r="M819" s="12" t="str">
        <f ca="1">IFERROR(__xludf.DUMMYFUNCTION("""COMPUTED_VALUE"""),"12/6缺貨，2024/12/1短促，2023/11/28新機上架")</f>
        <v>12/6缺貨，2024/12/1短促，2023/11/28新機上架</v>
      </c>
      <c r="N819" s="12" t="str">
        <f ca="1">IFERROR(__xludf.DUMMYFUNCTION("""COMPUTED_VALUE"""),"除濕機")</f>
        <v>除濕機</v>
      </c>
      <c r="O819" s="12" t="str">
        <f ca="1">IFERROR(__xludf.DUMMYFUNCTION("""COMPUTED_VALUE"""),"白")</f>
        <v>白</v>
      </c>
      <c r="P819" s="12" t="str">
        <f ca="1">IFERROR(__xludf.DUMMYFUNCTION("""COMPUTED_VALUE"""),"水箱容量：1.98L")</f>
        <v>水箱容量：1.98L</v>
      </c>
      <c r="Q819" s="12" t="str">
        <f ca="1">IFERROR(__xludf.DUMMYFUNCTION("""COMPUTED_VALUE"""),"210X141X350(mm)")</f>
        <v>210X141X350(mm)</v>
      </c>
      <c r="R819" s="12" t="str">
        <f ca="1">IFERROR(__xludf.DUMMYFUNCTION("""COMPUTED_VALUE"""),"中國")</f>
        <v>中國</v>
      </c>
      <c r="S819" s="12"/>
      <c r="T819" s="12"/>
      <c r="U819" s="12" t="str">
        <f ca="1">IFERROR(__xludf.DUMMYFUNCTION("""COMPUTED_VALUE"""),"1年")</f>
        <v>1年</v>
      </c>
      <c r="V819" s="12"/>
      <c r="W819" s="12"/>
      <c r="X819" s="12"/>
      <c r="Y819" s="12"/>
      <c r="Z819" s="14"/>
      <c r="AA819" s="15" t="str">
        <f ca="1">IFERROR(__xludf.DUMMYFUNCTION("""COMPUTED_VALUE"""),"*節電高效能，無壓縮機，安全輕巧 *1.98Ｌ大水箱，不用頻繁倒水*45~90%濕度設定、定時設定*使用安靜，不到50分貝*滿水自動停機，安全有保障*睡眠模式無光害")</f>
        <v>*節電高效能，無壓縮機，安全輕巧 *1.98Ｌ大水箱，不用頻繁倒水*45~90%濕度設定、定時設定*使用安靜，不到50分貝*滿水自動停機，安全有保障*睡眠模式無光害</v>
      </c>
    </row>
    <row r="820" spans="1:27" ht="19.5" customHeight="1">
      <c r="A820" s="12" t="str">
        <f ca="1">IFERROR(__xludf.DUMMYFUNCTION("""COMPUTED_VALUE"""),"除濕機")</f>
        <v>除濕機</v>
      </c>
      <c r="B820" s="12" t="str">
        <f ca="1">IFERROR(__xludf.DUMMYFUNCTION("""COMPUTED_VALUE"""),"台灣三洋")</f>
        <v>台灣三洋</v>
      </c>
      <c r="C820" s="12" t="str">
        <f ca="1">IFERROR(__xludf.DUMMYFUNCTION("""COMPUTED_VALUE"""),"台灣三洋")</f>
        <v>台灣三洋</v>
      </c>
      <c r="D820" s="12" t="str">
        <f ca="1">IFERROR(__xludf.DUMMYFUNCTION("""COMPUTED_VALUE"""),"台灣三洋14公升台製除濕機SDH-146M")</f>
        <v>台灣三洋14公升台製除濕機SDH-146M</v>
      </c>
      <c r="E820" s="12" t="str">
        <f ca="1">IFERROR(__xludf.DUMMYFUNCTION("""COMPUTED_VALUE"""),"SDH-146M")</f>
        <v>SDH-146M</v>
      </c>
      <c r="F820" s="12">
        <f ca="1">IFERROR(__xludf.DUMMYFUNCTION("""COMPUTED_VALUE"""),51075057)</f>
        <v>51075057</v>
      </c>
      <c r="G820" s="12" t="str">
        <f ca="1">IFERROR(__xludf.DUMMYFUNCTION("""COMPUTED_VALUE"""),"IGEM0613")</f>
        <v>IGEM0613</v>
      </c>
      <c r="H820" s="12">
        <f ca="1">IFERROR(__xludf.DUMMYFUNCTION("""COMPUTED_VALUE"""),9900)</f>
        <v>9900</v>
      </c>
      <c r="I820" s="14">
        <f ca="1">IFERROR(__xludf.DUMMYFUNCTION("""COMPUTED_VALUE"""),8990)</f>
        <v>8990</v>
      </c>
      <c r="J820" s="16">
        <f ca="1">IFERROR(__xludf.DUMMYFUNCTION("""COMPUTED_VALUE"""),45694)</f>
        <v>45694</v>
      </c>
      <c r="K820" s="12" t="str">
        <f ca="1">IFERROR(__xludf.DUMMYFUNCTION("""COMPUTED_VALUE"""),"缺貨")</f>
        <v>缺貨</v>
      </c>
      <c r="L820" s="12" t="str">
        <f ca="1">IFERROR(__xludf.DUMMYFUNCTION("""COMPUTED_VALUE"""),"缺貨")</f>
        <v>缺貨</v>
      </c>
      <c r="M820" s="12" t="str">
        <f ca="1">IFERROR(__xludf.DUMMYFUNCTION("""COMPUTED_VALUE"""),"2025/2/6缺貨，9/1短促，7/15降價，2022/10/1到貨，9月下單預購，10月中出貨。6/23限量10台，售完為止。4/19新機上架")</f>
        <v>2025/2/6缺貨，9/1短促，7/15降價，2022/10/1到貨，9月下單預購，10月中出貨。6/23限量10台，售完為止。4/19新機上架</v>
      </c>
      <c r="N820" s="12" t="str">
        <f ca="1">IFERROR(__xludf.DUMMYFUNCTION("""COMPUTED_VALUE"""),"除濕機")</f>
        <v>除濕機</v>
      </c>
      <c r="O820" s="12" t="str">
        <f ca="1">IFERROR(__xludf.DUMMYFUNCTION("""COMPUTED_VALUE"""),"白")</f>
        <v>白</v>
      </c>
      <c r="P820" s="12" t="str">
        <f ca="1">IFERROR(__xludf.DUMMYFUNCTION("""COMPUTED_VALUE"""),"14公升")</f>
        <v>14公升</v>
      </c>
      <c r="Q820" s="12" t="str">
        <f ca="1">IFERROR(__xludf.DUMMYFUNCTION("""COMPUTED_VALUE"""),"高590*寬346*深242mm")</f>
        <v>高590*寬346*深242mm</v>
      </c>
      <c r="R820" s="12" t="str">
        <f ca="1">IFERROR(__xludf.DUMMYFUNCTION("""COMPUTED_VALUE"""),"台灣")</f>
        <v>台灣</v>
      </c>
      <c r="S820" s="12" t="str">
        <f ca="1">IFERROR(__xludf.DUMMYFUNCTION("""COMPUTED_VALUE"""),"V")</f>
        <v>V</v>
      </c>
      <c r="T820" s="12" t="str">
        <f ca="1">IFERROR(__xludf.DUMMYFUNCTION("""COMPUTED_VALUE"""),"1級能效")</f>
        <v>1級能效</v>
      </c>
      <c r="U820" s="12" t="str">
        <f ca="1">IFERROR(__xludf.DUMMYFUNCTION("""COMPUTED_VALUE"""),"1年")</f>
        <v>1年</v>
      </c>
      <c r="V820" s="12" t="str">
        <f ca="1">IFERROR(__xludf.DUMMYFUNCTION("""COMPUTED_VALUE"""),"1年")</f>
        <v>1年</v>
      </c>
      <c r="W820" s="12"/>
      <c r="X820" s="12"/>
      <c r="Y820" s="12">
        <f ca="1">IFERROR(__xludf.DUMMYFUNCTION("""COMPUTED_VALUE"""),14)</f>
        <v>14</v>
      </c>
      <c r="Z820" s="14" t="str">
        <f ca="1">IFERROR(__xludf.DUMMYFUNCTION("""COMPUTED_VALUE"""),"1200")</f>
        <v>1200</v>
      </c>
      <c r="AA820" s="15" t="str">
        <f ca="1">IFERROR(__xludf.DUMMYFUNCTION("""COMPUTED_VALUE"""),"*負離子清淨功能*日除溼14L*觸控按鍵*雙速切換")</f>
        <v>*負離子清淨功能*日除溼14L*觸控按鍵*雙速切換</v>
      </c>
    </row>
    <row r="821" spans="1:27" ht="19.5" customHeight="1">
      <c r="A821" s="12" t="str">
        <f ca="1">IFERROR(__xludf.DUMMYFUNCTION("""COMPUTED_VALUE"""),"除濕機")</f>
        <v>除濕機</v>
      </c>
      <c r="B821" s="12" t="str">
        <f ca="1">IFERROR(__xludf.DUMMYFUNCTION("""COMPUTED_VALUE"""),"台灣三洋")</f>
        <v>台灣三洋</v>
      </c>
      <c r="C821" s="12" t="str">
        <f ca="1">IFERROR(__xludf.DUMMYFUNCTION("""COMPUTED_VALUE"""),"台灣三洋")</f>
        <v>台灣三洋</v>
      </c>
      <c r="D821" s="12" t="str">
        <f ca="1">IFERROR(__xludf.DUMMYFUNCTION("""COMPUTED_VALUE"""),"台灣三洋16公升台製除濕機SDH-166M")</f>
        <v>台灣三洋16公升台製除濕機SDH-166M</v>
      </c>
      <c r="E821" s="12" t="str">
        <f ca="1">IFERROR(__xludf.DUMMYFUNCTION("""COMPUTED_VALUE"""),"SDH-166M")</f>
        <v>SDH-166M</v>
      </c>
      <c r="F821" s="12">
        <f ca="1">IFERROR(__xludf.DUMMYFUNCTION("""COMPUTED_VALUE"""),51075058)</f>
        <v>51075058</v>
      </c>
      <c r="G821" s="12" t="str">
        <f ca="1">IFERROR(__xludf.DUMMYFUNCTION("""COMPUTED_VALUE"""),"IGEM0614")</f>
        <v>IGEM0614</v>
      </c>
      <c r="H821" s="12">
        <f ca="1">IFERROR(__xludf.DUMMYFUNCTION("""COMPUTED_VALUE"""),10900)</f>
        <v>10900</v>
      </c>
      <c r="I821" s="14">
        <f ca="1">IFERROR(__xludf.DUMMYFUNCTION("""COMPUTED_VALUE"""),9900)</f>
        <v>9900</v>
      </c>
      <c r="J821" s="21">
        <f ca="1">IFERROR(__xludf.DUMMYFUNCTION("""COMPUTED_VALUE"""),45122)</f>
        <v>45122</v>
      </c>
      <c r="K821" s="12" t="str">
        <f ca="1">IFERROR(__xludf.DUMMYFUNCTION("""COMPUTED_VALUE"""),"永久降價")</f>
        <v>永久降價</v>
      </c>
      <c r="L821" s="12" t="str">
        <f ca="1">IFERROR(__xludf.DUMMYFUNCTION("""COMPUTED_VALUE"""),"上架中")</f>
        <v>上架中</v>
      </c>
      <c r="M821" s="12" t="str">
        <f ca="1">IFERROR(__xludf.DUMMYFUNCTION("""COMPUTED_VALUE"""),"7/15降價，2022/10/1到貨，9月下單預購，10月中出貨。7/14缺貨、6/23限量15台，售完為止。4/19新機上架")</f>
        <v>7/15降價，2022/10/1到貨，9月下單預購，10月中出貨。7/14缺貨、6/23限量15台，售完為止。4/19新機上架</v>
      </c>
      <c r="N821" s="12" t="str">
        <f ca="1">IFERROR(__xludf.DUMMYFUNCTION("""COMPUTED_VALUE"""),"除濕機")</f>
        <v>除濕機</v>
      </c>
      <c r="O821" s="12" t="str">
        <f ca="1">IFERROR(__xludf.DUMMYFUNCTION("""COMPUTED_VALUE"""),"白")</f>
        <v>白</v>
      </c>
      <c r="P821" s="12" t="str">
        <f ca="1">IFERROR(__xludf.DUMMYFUNCTION("""COMPUTED_VALUE"""),"16公升")</f>
        <v>16公升</v>
      </c>
      <c r="Q821" s="12" t="str">
        <f ca="1">IFERROR(__xludf.DUMMYFUNCTION("""COMPUTED_VALUE"""),"高590*寬346*深242mm")</f>
        <v>高590*寬346*深242mm</v>
      </c>
      <c r="R821" s="12" t="str">
        <f ca="1">IFERROR(__xludf.DUMMYFUNCTION("""COMPUTED_VALUE"""),"台灣")</f>
        <v>台灣</v>
      </c>
      <c r="S821" s="12" t="str">
        <f ca="1">IFERROR(__xludf.DUMMYFUNCTION("""COMPUTED_VALUE"""),"V")</f>
        <v>V</v>
      </c>
      <c r="T821" s="12" t="str">
        <f ca="1">IFERROR(__xludf.DUMMYFUNCTION("""COMPUTED_VALUE"""),"1級能效")</f>
        <v>1級能效</v>
      </c>
      <c r="U821" s="12" t="str">
        <f ca="1">IFERROR(__xludf.DUMMYFUNCTION("""COMPUTED_VALUE"""),"1年")</f>
        <v>1年</v>
      </c>
      <c r="V821" s="12" t="str">
        <f ca="1">IFERROR(__xludf.DUMMYFUNCTION("""COMPUTED_VALUE"""),"1年")</f>
        <v>1年</v>
      </c>
      <c r="W821" s="12"/>
      <c r="X821" s="12"/>
      <c r="Y821" s="12">
        <f ca="1">IFERROR(__xludf.DUMMYFUNCTION("""COMPUTED_VALUE"""),16)</f>
        <v>16</v>
      </c>
      <c r="Z821" s="14" t="str">
        <f ca="1">IFERROR(__xludf.DUMMYFUNCTION("""COMPUTED_VALUE"""),"1200")</f>
        <v>1200</v>
      </c>
      <c r="AA821" s="15" t="str">
        <f ca="1">IFERROR(__xludf.DUMMYFUNCTION("""COMPUTED_VALUE"""),"*負離子清淨功能*日除溼16L*觸控按鍵*雙速切換")</f>
        <v>*負離子清淨功能*日除溼16L*觸控按鍵*雙速切換</v>
      </c>
    </row>
    <row r="822" spans="1:27" ht="19.5" customHeight="1">
      <c r="A822" s="12" t="str">
        <f ca="1">IFERROR(__xludf.DUMMYFUNCTION("""COMPUTED_VALUE"""),"生活家電")</f>
        <v>生活家電</v>
      </c>
      <c r="B822" s="12" t="str">
        <f ca="1">IFERROR(__xludf.DUMMYFUNCTION("""COMPUTED_VALUE"""),"神腦")</f>
        <v>神腦</v>
      </c>
      <c r="C822" s="12" t="str">
        <f ca="1">IFERROR(__xludf.DUMMYFUNCTION("""COMPUTED_VALUE"""),"iRobot")</f>
        <v>iRobot</v>
      </c>
      <c r="D822" s="12" t="str">
        <f ca="1">IFERROR(__xludf.DUMMYFUNCTION("""COMPUTED_VALUE"""),"iRobot 掃地機器人Roomba i2")</f>
        <v>iRobot 掃地機器人Roomba i2</v>
      </c>
      <c r="E822" s="12" t="str">
        <f ca="1">IFERROR(__xludf.DUMMYFUNCTION("""COMPUTED_VALUE"""),"Roomba i2")</f>
        <v>Roomba i2</v>
      </c>
      <c r="F822" s="12">
        <f ca="1">IFERROR(__xludf.DUMMYFUNCTION("""COMPUTED_VALUE"""),51016413)</f>
        <v>51016413</v>
      </c>
      <c r="G822" s="12" t="str">
        <f ca="1">IFERROR(__xludf.DUMMYFUNCTION("""COMPUTED_VALUE"""),"IGEM096K")</f>
        <v>IGEM096K</v>
      </c>
      <c r="H822" s="13">
        <f ca="1">IFERROR(__xludf.DUMMYFUNCTION("""COMPUTED_VALUE"""),19880)</f>
        <v>19880</v>
      </c>
      <c r="I822" s="14">
        <f ca="1">IFERROR(__xludf.DUMMYFUNCTION("""COMPUTED_VALUE"""),8999)</f>
        <v>8999</v>
      </c>
      <c r="J822" s="12"/>
      <c r="K822" s="12"/>
      <c r="L822" s="12" t="str">
        <f ca="1">IFERROR(__xludf.DUMMYFUNCTION("""COMPUTED_VALUE"""),"上架中")</f>
        <v>上架中</v>
      </c>
      <c r="M822" s="12" t="str">
        <f ca="1">IFERROR(__xludf.DUMMYFUNCTION("""COMPUTED_VALUE"""),"9/12短促，2024/7/9短促，1/25新機上架")</f>
        <v>9/12短促，2024/7/9短促，1/25新機上架</v>
      </c>
      <c r="N822" s="12" t="str">
        <f ca="1">IFERROR(__xludf.DUMMYFUNCTION("""COMPUTED_VALUE"""),"掃地/拖地機")</f>
        <v>掃地/拖地機</v>
      </c>
      <c r="O822" s="12" t="str">
        <f ca="1">IFERROR(__xludf.DUMMYFUNCTION("""COMPUTED_VALUE"""),"黑灰")</f>
        <v>黑灰</v>
      </c>
      <c r="P822" s="12"/>
      <c r="Q822" s="12" t="str">
        <f ca="1">IFERROR(__xludf.DUMMYFUNCTION("""COMPUTED_VALUE"""),"930x3370x3370mm")</f>
        <v>930x3370x3370mm</v>
      </c>
      <c r="R822" s="12" t="str">
        <f ca="1">IFERROR(__xludf.DUMMYFUNCTION("""COMPUTED_VALUE"""),"中國")</f>
        <v>中國</v>
      </c>
      <c r="S822" s="12"/>
      <c r="T822" s="12"/>
      <c r="U822" s="12" t="str">
        <f ca="1">IFERROR(__xludf.DUMMYFUNCTION("""COMPUTED_VALUE"""),"1年+官網登入再送1年")</f>
        <v>1年+官網登入再送1年</v>
      </c>
      <c r="V822" s="13" t="str">
        <f ca="1">IFERROR(__xludf.DUMMYFUNCTION("""COMPUTED_VALUE"""),"1年+官網登入再送1年")</f>
        <v>1年+官網登入再送1年</v>
      </c>
      <c r="W822" s="12"/>
      <c r="X822" s="12"/>
      <c r="Y822" s="12"/>
      <c r="Z822" s="14"/>
      <c r="AA822" s="15" t="str">
        <f ca="1">IFERROR(__xludf.DUMMYFUNCTION("""COMPUTED_VALUE"""),"*串接Google語音助理*APP遠端連線*獨家髒汙偵測*智慧型記憶地圖*個人化清掃需求")</f>
        <v>*串接Google語音助理*APP遠端連線*獨家髒汙偵測*智慧型記憶地圖*個人化清掃需求</v>
      </c>
    </row>
    <row r="823" spans="1:27" ht="19.5" customHeight="1">
      <c r="A823" s="12" t="str">
        <f ca="1">IFERROR(__xludf.DUMMYFUNCTION("""COMPUTED_VALUE"""),"廚房家電")</f>
        <v>廚房家電</v>
      </c>
      <c r="B823" s="12" t="str">
        <f ca="1">IFERROR(__xludf.DUMMYFUNCTION("""COMPUTED_VALUE"""),"旺德")</f>
        <v>旺德</v>
      </c>
      <c r="C823" s="12" t="str">
        <f ca="1">IFERROR(__xludf.DUMMYFUNCTION("""COMPUTED_VALUE"""),"THOMSON")</f>
        <v>THOMSON</v>
      </c>
      <c r="D823" s="12" t="str">
        <f ca="1">IFERROR(__xludf.DUMMYFUNCTION("""COMPUTED_VALUE"""),"THOMSON電動研磨咖啡隨行杯TM-SAL18GU")</f>
        <v>THOMSON電動研磨咖啡隨行杯TM-SAL18GU</v>
      </c>
      <c r="E823" s="12" t="str">
        <f ca="1">IFERROR(__xludf.DUMMYFUNCTION("""COMPUTED_VALUE"""),"TM-SAL18GU")</f>
        <v>TM-SAL18GU</v>
      </c>
      <c r="F823" s="12">
        <f ca="1">IFERROR(__xludf.DUMMYFUNCTION("""COMPUTED_VALUE"""),51092030)</f>
        <v>51092030</v>
      </c>
      <c r="G823" s="12" t="str">
        <f ca="1">IFERROR(__xludf.DUMMYFUNCTION("""COMPUTED_VALUE"""),"IGEM00XH")</f>
        <v>IGEM00XH</v>
      </c>
      <c r="H823" s="12">
        <f ca="1">IFERROR(__xludf.DUMMYFUNCTION("""COMPUTED_VALUE"""),1990)</f>
        <v>1990</v>
      </c>
      <c r="I823" s="14">
        <f ca="1">IFERROR(__xludf.DUMMYFUNCTION("""COMPUTED_VALUE"""),888)</f>
        <v>888</v>
      </c>
      <c r="J823" s="12"/>
      <c r="K823" s="12"/>
      <c r="L823" s="12" t="str">
        <f ca="1">IFERROR(__xludf.DUMMYFUNCTION("""COMPUTED_VALUE"""),"上架中")</f>
        <v>上架中</v>
      </c>
      <c r="M823" s="12" t="str">
        <f ca="1">IFERROR(__xludf.DUMMYFUNCTION("""COMPUTED_VALUE"""),"2020/8/6重新上架")</f>
        <v>2020/8/6重新上架</v>
      </c>
      <c r="N823" s="12" t="str">
        <f ca="1">IFERROR(__xludf.DUMMYFUNCTION("""COMPUTED_VALUE"""),"咖啡機/磨豆器")</f>
        <v>咖啡機/磨豆器</v>
      </c>
      <c r="O823" s="12" t="str">
        <f ca="1">IFERROR(__xludf.DUMMYFUNCTION("""COMPUTED_VALUE"""),"不銹鋼")</f>
        <v>不銹鋼</v>
      </c>
      <c r="P823" s="12" t="str">
        <f ca="1">IFERROR(__xludf.DUMMYFUNCTION("""COMPUTED_VALUE"""),"250ml")</f>
        <v>250ml</v>
      </c>
      <c r="Q823" s="12" t="str">
        <f ca="1">IFERROR(__xludf.DUMMYFUNCTION("""COMPUTED_VALUE"""),"89*89*220mm")</f>
        <v>89*89*220mm</v>
      </c>
      <c r="R823" s="12" t="str">
        <f ca="1">IFERROR(__xludf.DUMMYFUNCTION("""COMPUTED_VALUE"""),"中國")</f>
        <v>中國</v>
      </c>
      <c r="S823" s="12"/>
      <c r="T823" s="12"/>
      <c r="U823" s="12" t="str">
        <f ca="1">IFERROR(__xludf.DUMMYFUNCTION("""COMPUTED_VALUE"""),"1年")</f>
        <v>1年</v>
      </c>
      <c r="V823" s="12"/>
      <c r="W823" s="12"/>
      <c r="X823" s="12"/>
      <c r="Y823" s="12"/>
      <c r="Z823" s="14"/>
      <c r="AA823" s="15" t="str">
        <f ca="1">IFERROR(__xludf.DUMMYFUNCTION("""COMPUTED_VALUE"""),"*USB充電~充飽一次約可研磨10次*錐磨陶瓷研磨刀頭設計*咖啡豆研磨粗細控制*可重複使用之SUS304不鏽鋼過濾杯")</f>
        <v>*USB充電~充飽一次約可研磨10次*錐磨陶瓷研磨刀頭設計*咖啡豆研磨粗細控制*可重複使用之SUS304不鏽鋼過濾杯</v>
      </c>
    </row>
    <row r="824" spans="1:27" ht="19.5" customHeight="1">
      <c r="A824" s="12" t="str">
        <f ca="1">IFERROR(__xludf.DUMMYFUNCTION("""COMPUTED_VALUE"""),"廚房家電")</f>
        <v>廚房家電</v>
      </c>
      <c r="B824" s="12" t="str">
        <f ca="1">IFERROR(__xludf.DUMMYFUNCTION("""COMPUTED_VALUE"""),"旺德")</f>
        <v>旺德</v>
      </c>
      <c r="C824" s="12" t="str">
        <f ca="1">IFERROR(__xludf.DUMMYFUNCTION("""COMPUTED_VALUE"""),"THOMSON")</f>
        <v>THOMSON</v>
      </c>
      <c r="D824" s="12" t="str">
        <f ca="1">IFERROR(__xludf.DUMMYFUNCTION("""COMPUTED_VALUE"""),"THOMSON智能溫控玻璃養生壺TM-SAK35")</f>
        <v>THOMSON智能溫控玻璃養生壺TM-SAK35</v>
      </c>
      <c r="E824" s="12" t="str">
        <f ca="1">IFERROR(__xludf.DUMMYFUNCTION("""COMPUTED_VALUE"""),"TM-SAK35")</f>
        <v>TM-SAK35</v>
      </c>
      <c r="F824" s="12">
        <f ca="1">IFERROR(__xludf.DUMMYFUNCTION("""COMPUTED_VALUE"""),51092031)</f>
        <v>51092031</v>
      </c>
      <c r="G824" s="12" t="str">
        <f ca="1">IFERROR(__xludf.DUMMYFUNCTION("""COMPUTED_VALUE"""),"IGEM00XI")</f>
        <v>IGEM00XI</v>
      </c>
      <c r="H824" s="12">
        <f ca="1">IFERROR(__xludf.DUMMYFUNCTION("""COMPUTED_VALUE"""),1990)</f>
        <v>1990</v>
      </c>
      <c r="I824" s="14">
        <f ca="1">IFERROR(__xludf.DUMMYFUNCTION("""COMPUTED_VALUE"""),1490)</f>
        <v>1490</v>
      </c>
      <c r="J824" s="16">
        <f ca="1">IFERROR(__xludf.DUMMYFUNCTION("""COMPUTED_VALUE"""),45636)</f>
        <v>45636</v>
      </c>
      <c r="K824" s="12" t="str">
        <f ca="1">IFERROR(__xludf.DUMMYFUNCTION("""COMPUTED_VALUE"""),"到貨")</f>
        <v>到貨</v>
      </c>
      <c r="L824" s="12" t="str">
        <f ca="1">IFERROR(__xludf.DUMMYFUNCTION("""COMPUTED_VALUE"""),"上架中")</f>
        <v>上架中</v>
      </c>
      <c r="M824" s="12" t="str">
        <f ca="1">IFERROR(__xludf.DUMMYFUNCTION("""COMPUTED_VALUE"""),"2024/12/10到貨，10/25缺貨，2024/10/1短促，2024/6/1回價，2024/5/1短促，2024/2/1回價2024/1/1短促2023/8/3修約完成重新上架")</f>
        <v>2024/12/10到貨，10/25缺貨，2024/10/1短促，2024/6/1回價，2024/5/1短促，2024/2/1回價2024/1/1短促2023/8/3修約完成重新上架</v>
      </c>
      <c r="N824" s="12" t="str">
        <f ca="1">IFERROR(__xludf.DUMMYFUNCTION("""COMPUTED_VALUE"""),"快煮壺/料理壺/手沖壺")</f>
        <v>快煮壺/料理壺/手沖壺</v>
      </c>
      <c r="O824" s="12" t="str">
        <f ca="1">IFERROR(__xludf.DUMMYFUNCTION("""COMPUTED_VALUE"""),"白色")</f>
        <v>白色</v>
      </c>
      <c r="P824" s="12" t="str">
        <f ca="1">IFERROR(__xludf.DUMMYFUNCTION("""COMPUTED_VALUE"""),"容量:1.3公升")</f>
        <v>容量:1.3公升</v>
      </c>
      <c r="Q824" s="12" t="str">
        <f ca="1">IFERROR(__xludf.DUMMYFUNCTION("""COMPUTED_VALUE"""),"232*195*245mm")</f>
        <v>232*195*245mm</v>
      </c>
      <c r="R824" s="12" t="str">
        <f ca="1">IFERROR(__xludf.DUMMYFUNCTION("""COMPUTED_VALUE"""),"中國")</f>
        <v>中國</v>
      </c>
      <c r="S824" s="12"/>
      <c r="T824" s="12"/>
      <c r="U824" s="12" t="str">
        <f ca="1">IFERROR(__xludf.DUMMYFUNCTION("""COMPUTED_VALUE"""),"1年")</f>
        <v>1年</v>
      </c>
      <c r="V824" s="12"/>
      <c r="W824" s="12"/>
      <c r="X824" s="12"/>
      <c r="Y824" s="12"/>
      <c r="Z824" s="14"/>
      <c r="AA824" s="15" t="str">
        <f ca="1">IFERROR(__xludf.DUMMYFUNCTION("""COMPUTED_VALUE"""),"*六種智能常用功能設定*雙溫顯示幕，簡易觸控操作*單獨除氯鍵，飲水更安心*自動快速降溫專利")</f>
        <v>*六種智能常用功能設定*雙溫顯示幕，簡易觸控操作*單獨除氯鍵，飲水更安心*自動快速降溫專利</v>
      </c>
    </row>
    <row r="825" spans="1:27" ht="19.5" customHeight="1">
      <c r="A825" s="12" t="str">
        <f ca="1">IFERROR(__xludf.DUMMYFUNCTION("""COMPUTED_VALUE"""),"廚房家電")</f>
        <v>廚房家電</v>
      </c>
      <c r="B825" s="12" t="str">
        <f ca="1">IFERROR(__xludf.DUMMYFUNCTION("""COMPUTED_VALUE"""),"旺德")</f>
        <v>旺德</v>
      </c>
      <c r="C825" s="12" t="str">
        <f ca="1">IFERROR(__xludf.DUMMYFUNCTION("""COMPUTED_VALUE"""),"THOMSON")</f>
        <v>THOMSON</v>
      </c>
      <c r="D825" s="12" t="str">
        <f ca="1">IFERROR(__xludf.DUMMYFUNCTION("""COMPUTED_VALUE"""),"THOMSON_雙層防燙帶蒸籠美食鍋_TM-SAK43")</f>
        <v>THOMSON_雙層防燙帶蒸籠美食鍋_TM-SAK43</v>
      </c>
      <c r="E825" s="12" t="str">
        <f ca="1">IFERROR(__xludf.DUMMYFUNCTION("""COMPUTED_VALUE"""),"TM-SAK43")</f>
        <v>TM-SAK43</v>
      </c>
      <c r="F825" s="12">
        <f ca="1">IFERROR(__xludf.DUMMYFUNCTION("""COMPUTED_VALUE"""),51092049)</f>
        <v>51092049</v>
      </c>
      <c r="G825" s="12" t="str">
        <f ca="1">IFERROR(__xludf.DUMMYFUNCTION("""COMPUTED_VALUE"""),"IGEM01QZ")</f>
        <v>IGEM01QZ</v>
      </c>
      <c r="H825" s="12">
        <f ca="1">IFERROR(__xludf.DUMMYFUNCTION("""COMPUTED_VALUE"""),1290)</f>
        <v>1290</v>
      </c>
      <c r="I825" s="14">
        <f ca="1">IFERROR(__xludf.DUMMYFUNCTION("""COMPUTED_VALUE"""),990)</f>
        <v>990</v>
      </c>
      <c r="J825" s="12"/>
      <c r="K825" s="12"/>
      <c r="L825" s="12" t="str">
        <f ca="1">IFERROR(__xludf.DUMMYFUNCTION("""COMPUTED_VALUE"""),"上架中")</f>
        <v>上架中</v>
      </c>
      <c r="M825" s="12" t="str">
        <f ca="1">IFERROR(__xludf.DUMMYFUNCTION("""COMPUTED_VALUE"""),"2020/5/1新機上架")</f>
        <v>2020/5/1新機上架</v>
      </c>
      <c r="N825" s="12" t="str">
        <f ca="1">IFERROR(__xludf.DUMMYFUNCTION("""COMPUTED_VALUE"""),"多功能調理鍋/蒸氣烘烤爐")</f>
        <v>多功能調理鍋/蒸氣烘烤爐</v>
      </c>
      <c r="O825" s="12" t="str">
        <f ca="1">IFERROR(__xludf.DUMMYFUNCTION("""COMPUTED_VALUE"""),"白")</f>
        <v>白</v>
      </c>
      <c r="P825" s="12" t="str">
        <f ca="1">IFERROR(__xludf.DUMMYFUNCTION("""COMPUTED_VALUE"""),"鍋身容量:1.7L最高水位線:1.2L")</f>
        <v>鍋身容量:1.7L最高水位線:1.2L</v>
      </c>
      <c r="Q825" s="12" t="str">
        <f ca="1">IFERROR(__xludf.DUMMYFUNCTION("""COMPUTED_VALUE"""),"255*215*220mm")</f>
        <v>255*215*220mm</v>
      </c>
      <c r="R825" s="12" t="str">
        <f ca="1">IFERROR(__xludf.DUMMYFUNCTION("""COMPUTED_VALUE"""),"中國")</f>
        <v>中國</v>
      </c>
      <c r="S825" s="12"/>
      <c r="T825" s="12"/>
      <c r="U825" s="12" t="str">
        <f ca="1">IFERROR(__xludf.DUMMYFUNCTION("""COMPUTED_VALUE"""),"1年")</f>
        <v>1年</v>
      </c>
      <c r="V825" s="12"/>
      <c r="W825" s="12"/>
      <c r="X825" s="12"/>
      <c r="Y825" s="12"/>
      <c r="Z825" s="14"/>
      <c r="AA825" s="15" t="str">
        <f ca="1">IFERROR(__xludf.DUMMYFUNCTION("""COMPUTED_VALUE"""),"*#304不銹鋼、雙層防燙*防火阻燃底座材質*360度可旋轉底座，安全便利*多功能烹煮用途，附蒸架、蒸籠*鍋身容量:1.7L最高水位線:1.2L")</f>
        <v>*#304不銹鋼、雙層防燙*防火阻燃底座材質*360度可旋轉底座，安全便利*多功能烹煮用途，附蒸架、蒸籠*鍋身容量:1.7L最高水位線:1.2L</v>
      </c>
    </row>
    <row r="826" spans="1:27" ht="19.5" customHeight="1">
      <c r="A826" s="12" t="str">
        <f ca="1">IFERROR(__xludf.DUMMYFUNCTION("""COMPUTED_VALUE"""),"廚房家電")</f>
        <v>廚房家電</v>
      </c>
      <c r="B826" s="12" t="str">
        <f ca="1">IFERROR(__xludf.DUMMYFUNCTION("""COMPUTED_VALUE"""),"旺德")</f>
        <v>旺德</v>
      </c>
      <c r="C826" s="12" t="str">
        <f ca="1">IFERROR(__xludf.DUMMYFUNCTION("""COMPUTED_VALUE"""),"THOMSON")</f>
        <v>THOMSON</v>
      </c>
      <c r="D826" s="12" t="str">
        <f ca="1">IFERROR(__xludf.DUMMYFUNCTION("""COMPUTED_VALUE"""),"THOMSON22L多功能氣炸烤箱TM-SAT22")</f>
        <v>THOMSON22L多功能氣炸烤箱TM-SAT22</v>
      </c>
      <c r="E826" s="12" t="str">
        <f ca="1">IFERROR(__xludf.DUMMYFUNCTION("""COMPUTED_VALUE"""),"TM-SAT22")</f>
        <v>TM-SAT22</v>
      </c>
      <c r="F826" s="12">
        <f ca="1">IFERROR(__xludf.DUMMYFUNCTION("""COMPUTED_VALUE"""),51092071)</f>
        <v>51092071</v>
      </c>
      <c r="G826" s="12" t="str">
        <f ca="1">IFERROR(__xludf.DUMMYFUNCTION("""COMPUTED_VALUE"""),"IGEM047Z")</f>
        <v>IGEM047Z</v>
      </c>
      <c r="H826" s="12">
        <f ca="1">IFERROR(__xludf.DUMMYFUNCTION("""COMPUTED_VALUE"""),5990)</f>
        <v>5990</v>
      </c>
      <c r="I826" s="14">
        <f ca="1">IFERROR(__xludf.DUMMYFUNCTION("""COMPUTED_VALUE"""),3690)</f>
        <v>3690</v>
      </c>
      <c r="J826" s="16">
        <f ca="1">IFERROR(__xludf.DUMMYFUNCTION("""COMPUTED_VALUE"""),45717)</f>
        <v>45717</v>
      </c>
      <c r="K826" s="12" t="str">
        <f ca="1">IFERROR(__xludf.DUMMYFUNCTION("""COMPUTED_VALUE"""),"回價")</f>
        <v>回價</v>
      </c>
      <c r="L826" s="13" t="str">
        <f ca="1">IFERROR(__xludf.DUMMYFUNCTION("""COMPUTED_VALUE"""),"上架中")</f>
        <v>上架中</v>
      </c>
      <c r="M826" s="12" t="str">
        <f ca="1">IFERROR(__xludf.DUMMYFUNCTION("""COMPUTED_VALUE"""),"2024/12/1短促，8/1降價2021/10/1新機上架")</f>
        <v>2024/12/1短促，8/1降價2021/10/1新機上架</v>
      </c>
      <c r="N826" s="12" t="str">
        <f ca="1">IFERROR(__xludf.DUMMYFUNCTION("""COMPUTED_VALUE"""),"烤箱")</f>
        <v>烤箱</v>
      </c>
      <c r="O826" s="12"/>
      <c r="P826" s="12" t="str">
        <f ca="1">IFERROR(__xludf.DUMMYFUNCTION("""COMPUTED_VALUE"""),"22L")</f>
        <v>22L</v>
      </c>
      <c r="Q826" s="12" t="str">
        <f ca="1">IFERROR(__xludf.DUMMYFUNCTION("""COMPUTED_VALUE"""),"478*442*422mm
")</f>
        <v xml:space="preserve">478*442*422mm
</v>
      </c>
      <c r="R826" s="12" t="str">
        <f ca="1">IFERROR(__xludf.DUMMYFUNCTION("""COMPUTED_VALUE"""),"中國")</f>
        <v>中國</v>
      </c>
      <c r="S826" s="12"/>
      <c r="T826" s="12"/>
      <c r="U826" s="12" t="str">
        <f ca="1">IFERROR(__xludf.DUMMYFUNCTION("""COMPUTED_VALUE"""),"1年")</f>
        <v>1年</v>
      </c>
      <c r="V826" s="12"/>
      <c r="W826" s="12"/>
      <c r="X826" s="12"/>
      <c r="Y826" s="12"/>
      <c r="Z826" s="14"/>
      <c r="AA826" s="15" t="str">
        <f ca="1">IFERROR(__xludf.DUMMYFUNCTION("""COMPUTED_VALUE"""),"*可調節恆溫控制40℃~230℃*12種料理模式，輕鬆上手*304不鏽鋼轉叉、炸籃、烤網，安全無虞*多種配件，料理更多元*可視透明玻璃窗口，隨時掌握料理變化*無段式旋鈕設計*防燙把手，安全不燙手*底部附加集屑盤，清潔更容易")</f>
        <v>*可調節恆溫控制40℃~230℃*12種料理模式，輕鬆上手*304不鏽鋼轉叉、炸籃、烤網，安全無虞*多種配件，料理更多元*可視透明玻璃窗口，隨時掌握料理變化*無段式旋鈕設計*防燙把手，安全不燙手*底部附加集屑盤，清潔更容易</v>
      </c>
    </row>
    <row r="827" spans="1:27" ht="19.5" customHeight="1">
      <c r="A827" s="12" t="str">
        <f ca="1">IFERROR(__xludf.DUMMYFUNCTION("""COMPUTED_VALUE"""),"廚房家電")</f>
        <v>廚房家電</v>
      </c>
      <c r="B827" s="12" t="str">
        <f ca="1">IFERROR(__xludf.DUMMYFUNCTION("""COMPUTED_VALUE"""),"旺德")</f>
        <v>旺德</v>
      </c>
      <c r="C827" s="12" t="str">
        <f ca="1">IFERROR(__xludf.DUMMYFUNCTION("""COMPUTED_VALUE"""),"THOMSON")</f>
        <v>THOMSON</v>
      </c>
      <c r="D827" s="12" t="str">
        <f ca="1">IFERROR(__xludf.DUMMYFUNCTION("""COMPUTED_VALUE"""),"THOMSON微電腦舒肥陶瓷萬用鍋TM-SAP02")</f>
        <v>THOMSON微電腦舒肥陶瓷萬用鍋TM-SAP02</v>
      </c>
      <c r="E827" s="12" t="str">
        <f ca="1">IFERROR(__xludf.DUMMYFUNCTION("""COMPUTED_VALUE"""),"TM-SAP02")</f>
        <v>TM-SAP02</v>
      </c>
      <c r="F827" s="12">
        <f ca="1">IFERROR(__xludf.DUMMYFUNCTION("""COMPUTED_VALUE"""),51092072)</f>
        <v>51092072</v>
      </c>
      <c r="G827" s="12" t="str">
        <f ca="1">IFERROR(__xludf.DUMMYFUNCTION("""COMPUTED_VALUE"""),"IGEM050I")</f>
        <v>IGEM050I</v>
      </c>
      <c r="H827" s="12">
        <f ca="1">IFERROR(__xludf.DUMMYFUNCTION("""COMPUTED_VALUE"""),2690)</f>
        <v>2690</v>
      </c>
      <c r="I827" s="14">
        <f ca="1">IFERROR(__xludf.DUMMYFUNCTION("""COMPUTED_VALUE"""),1990)</f>
        <v>1990</v>
      </c>
      <c r="J827" s="16">
        <f ca="1">IFERROR(__xludf.DUMMYFUNCTION("""COMPUTED_VALUE"""),45717)</f>
        <v>45717</v>
      </c>
      <c r="K827" s="12" t="str">
        <f ca="1">IFERROR(__xludf.DUMMYFUNCTION("""COMPUTED_VALUE"""),"回價")</f>
        <v>回價</v>
      </c>
      <c r="L827" s="12" t="str">
        <f ca="1">IFERROR(__xludf.DUMMYFUNCTION("""COMPUTED_VALUE"""),"上架中")</f>
        <v>上架中</v>
      </c>
      <c r="M827" s="12" t="str">
        <f ca="1">IFERROR(__xludf.DUMMYFUNCTION("""COMPUTED_VALUE"""),"2024/9/1短促，2024/5/1短促")</f>
        <v>2024/9/1短促，2024/5/1短促</v>
      </c>
      <c r="N827" s="12" t="str">
        <f ca="1">IFERROR(__xludf.DUMMYFUNCTION("""COMPUTED_VALUE"""),"壓力鍋/燉鍋/萬用鍋/蒸煮鍋")</f>
        <v>壓力鍋/燉鍋/萬用鍋/蒸煮鍋</v>
      </c>
      <c r="O827" s="12"/>
      <c r="P827" s="12"/>
      <c r="Q827" s="12" t="str">
        <f ca="1">IFERROR(__xludf.DUMMYFUNCTION("""COMPUTED_VALUE"""),"高222*寬225*深198mm")</f>
        <v>高222*寬225*深198mm</v>
      </c>
      <c r="R827" s="12" t="str">
        <f ca="1">IFERROR(__xludf.DUMMYFUNCTION("""COMPUTED_VALUE"""),"中國")</f>
        <v>中國</v>
      </c>
      <c r="S827" s="12"/>
      <c r="T827" s="12"/>
      <c r="U827" s="12"/>
      <c r="V827" s="12"/>
      <c r="W827" s="12"/>
      <c r="X827" s="12"/>
      <c r="Y827" s="12"/>
      <c r="Z827" s="14"/>
      <c r="AA827" s="15" t="str">
        <f ca="1">IFERROR(__xludf.DUMMYFUNCTION("""COMPUTED_VALUE"""),"*微電腦液晶顯示，簡單操作*9種菜單模式:白米、快煮、糙米、稀飯、煎炒、燉煮、蒸煮、舒肥、蛋糕*1.8mm日本大金陶瓷塗層內鍋設計，保溫效果佳*24小時預約定時功能*24小時保溫功能，隨時享用*精美輕巧外型，不占空間*人性化提把設計，輕鬆拿取*304不銹鋼內蓋，可拆易清洗")</f>
        <v>*微電腦液晶顯示，簡單操作*9種菜單模式:白米、快煮、糙米、稀飯、煎炒、燉煮、蒸煮、舒肥、蛋糕*1.8mm日本大金陶瓷塗層內鍋設計，保溫效果佳*24小時預約定時功能*24小時保溫功能，隨時享用*精美輕巧外型，不占空間*人性化提把設計，輕鬆拿取*304不銹鋼內蓋，可拆易清洗</v>
      </c>
    </row>
    <row r="828" spans="1:27" ht="19.5" customHeight="1">
      <c r="A828" s="12" t="str">
        <f ca="1">IFERROR(__xludf.DUMMYFUNCTION("""COMPUTED_VALUE"""),"廚房家電")</f>
        <v>廚房家電</v>
      </c>
      <c r="B828" s="12" t="str">
        <f ca="1">IFERROR(__xludf.DUMMYFUNCTION("""COMPUTED_VALUE"""),"旺德")</f>
        <v>旺德</v>
      </c>
      <c r="C828" s="12" t="str">
        <f ca="1">IFERROR(__xludf.DUMMYFUNCTION("""COMPUTED_VALUE"""),"THOMSON")</f>
        <v>THOMSON</v>
      </c>
      <c r="D828" s="12" t="str">
        <f ca="1">IFERROR(__xludf.DUMMYFUNCTION("""COMPUTED_VALUE"""),"THOMSON全自動投料製麵包機(銀黑)TM-SAB02M")</f>
        <v>THOMSON全自動投料製麵包機(銀黑)TM-SAB02M</v>
      </c>
      <c r="E828" s="12" t="str">
        <f ca="1">IFERROR(__xludf.DUMMYFUNCTION("""COMPUTED_VALUE"""),"TM-SAB02M")</f>
        <v>TM-SAB02M</v>
      </c>
      <c r="F828" s="12">
        <f ca="1">IFERROR(__xludf.DUMMYFUNCTION("""COMPUTED_VALUE"""),51092079)</f>
        <v>51092079</v>
      </c>
      <c r="G828" s="12" t="str">
        <f ca="1">IFERROR(__xludf.DUMMYFUNCTION("""COMPUTED_VALUE"""),"IGEM066C")</f>
        <v>IGEM066C</v>
      </c>
      <c r="H828" s="13">
        <f ca="1">IFERROR(__xludf.DUMMYFUNCTION("""COMPUTED_VALUE"""),4990)</f>
        <v>4990</v>
      </c>
      <c r="I828" s="14">
        <f ca="1">IFERROR(__xludf.DUMMYFUNCTION("""COMPUTED_VALUE"""),3290)</f>
        <v>3290</v>
      </c>
      <c r="J828" s="16">
        <f ca="1">IFERROR(__xludf.DUMMYFUNCTION("""COMPUTED_VALUE"""),45461)</f>
        <v>45461</v>
      </c>
      <c r="K828" s="12" t="str">
        <f ca="1">IFERROR(__xludf.DUMMYFUNCTION("""COMPUTED_VALUE"""),"缺貨")</f>
        <v>缺貨</v>
      </c>
      <c r="L828" s="12" t="str">
        <f ca="1">IFERROR(__xludf.DUMMYFUNCTION("""COMPUTED_VALUE"""),"缺貨")</f>
        <v>缺貨</v>
      </c>
      <c r="M828" s="12" t="str">
        <f ca="1">IFERROR(__xludf.DUMMYFUNCTION("""COMPUTED_VALUE"""),"2024/6/18缺貨，2023/10/19回價8/22短促2022/8/1上架")</f>
        <v>2024/6/18缺貨，2023/10/19回價8/22短促2022/8/1上架</v>
      </c>
      <c r="N828" s="12" t="str">
        <f ca="1">IFERROR(__xludf.DUMMYFUNCTION("""COMPUTED_VALUE"""),"烤/製麵包機")</f>
        <v>烤/製麵包機</v>
      </c>
      <c r="O828" s="12" t="str">
        <f ca="1">IFERROR(__xludf.DUMMYFUNCTION("""COMPUTED_VALUE"""),"銀黑")</f>
        <v>銀黑</v>
      </c>
      <c r="P828" s="12"/>
      <c r="Q828" s="12" t="str">
        <f ca="1">IFERROR(__xludf.DUMMYFUNCTION("""COMPUTED_VALUE"""),"345 X 248 X 308.5(mm)")</f>
        <v>345 X 248 X 308.5(mm)</v>
      </c>
      <c r="R828" s="12" t="str">
        <f ca="1">IFERROR(__xludf.DUMMYFUNCTION("""COMPUTED_VALUE"""),"中國")</f>
        <v>中國</v>
      </c>
      <c r="S828" s="12"/>
      <c r="T828" s="12"/>
      <c r="U828" s="12" t="str">
        <f ca="1">IFERROR(__xludf.DUMMYFUNCTION("""COMPUTED_VALUE"""),"1年")</f>
        <v>1年</v>
      </c>
      <c r="V828" s="12" t="str">
        <f ca="1">IFERROR(__xludf.DUMMYFUNCTION("""COMPUTED_VALUE"""),"1年")</f>
        <v>1年</v>
      </c>
      <c r="W828" s="12"/>
      <c r="X828" s="12"/>
      <c r="Y828" s="12"/>
      <c r="Z828" s="14"/>
      <c r="AA828" s="15" t="str">
        <f ca="1">IFERROR(__xludf.DUMMYFUNCTION("""COMPUTED_VALUE"""),"*19種行程，麵包、蛋糕、果醬難不倒*1000g大容量設計*LCD顯示面板，觸控式選鈕易操作*淺/中/深 3段烤色*15小時預約設定功能，無需等待")</f>
        <v>*19種行程，麵包、蛋糕、果醬難不倒*1000g大容量設計*LCD顯示面板，觸控式選鈕易操作*淺/中/深 3段烤色*15小時預約設定功能，無需等待</v>
      </c>
    </row>
    <row r="829" spans="1:27" ht="19.5" customHeight="1">
      <c r="A829" s="12" t="str">
        <f ca="1">IFERROR(__xludf.DUMMYFUNCTION("""COMPUTED_VALUE"""),"廚房家電")</f>
        <v>廚房家電</v>
      </c>
      <c r="B829" s="12" t="str">
        <f ca="1">IFERROR(__xludf.DUMMYFUNCTION("""COMPUTED_VALUE"""),"旺德")</f>
        <v>旺德</v>
      </c>
      <c r="C829" s="12" t="str">
        <f ca="1">IFERROR(__xludf.DUMMYFUNCTION("""COMPUTED_VALUE"""),"THOMSON")</f>
        <v>THOMSON</v>
      </c>
      <c r="D829" s="12" t="str">
        <f ca="1">IFERROR(__xludf.DUMMYFUNCTION("""COMPUTED_VALUE"""),"THOMSON多功能雙電壓美食鍋(白)TM-SAK50")</f>
        <v>THOMSON多功能雙電壓美食鍋(白)TM-SAK50</v>
      </c>
      <c r="E829" s="12" t="str">
        <f ca="1">IFERROR(__xludf.DUMMYFUNCTION("""COMPUTED_VALUE"""),"TM-SAK50")</f>
        <v>TM-SAK50</v>
      </c>
      <c r="F829" s="12">
        <f ca="1">IFERROR(__xludf.DUMMYFUNCTION("""COMPUTED_VALUE"""),51092081)</f>
        <v>51092081</v>
      </c>
      <c r="G829" s="12" t="str">
        <f ca="1">IFERROR(__xludf.DUMMYFUNCTION("""COMPUTED_VALUE"""),"IGEM066E")</f>
        <v>IGEM066E</v>
      </c>
      <c r="H829" s="13">
        <f ca="1">IFERROR(__xludf.DUMMYFUNCTION("""COMPUTED_VALUE"""),1990)</f>
        <v>1990</v>
      </c>
      <c r="I829" s="14">
        <f ca="1">IFERROR(__xludf.DUMMYFUNCTION("""COMPUTED_VALUE"""),990)</f>
        <v>990</v>
      </c>
      <c r="J829" s="12"/>
      <c r="K829" s="12"/>
      <c r="L829" s="12" t="str">
        <f ca="1">IFERROR(__xludf.DUMMYFUNCTION("""COMPUTED_VALUE"""),"上架中")</f>
        <v>上架中</v>
      </c>
      <c r="M829" s="12" t="str">
        <f ca="1">IFERROR(__xludf.DUMMYFUNCTION("""COMPUTED_VALUE"""),"2025/1/24少量到貨，2024/11/1短促，2024/8/1短促，2022/8/1上架")</f>
        <v>2025/1/24少量到貨，2024/11/1短促，2024/8/1短促，2022/8/1上架</v>
      </c>
      <c r="N829" s="12" t="str">
        <f ca="1">IFERROR(__xludf.DUMMYFUNCTION("""COMPUTED_VALUE"""),"美食鍋/料理鍋/快煮鍋")</f>
        <v>美食鍋/料理鍋/快煮鍋</v>
      </c>
      <c r="O829" s="12" t="str">
        <f ca="1">IFERROR(__xludf.DUMMYFUNCTION("""COMPUTED_VALUE"""),"白")</f>
        <v>白</v>
      </c>
      <c r="P829" s="12"/>
      <c r="Q829" s="12" t="str">
        <f ca="1">IFERROR(__xludf.DUMMYFUNCTION("""COMPUTED_VALUE"""),"217X165 X163(mm)")</f>
        <v>217X165 X163(mm)</v>
      </c>
      <c r="R829" s="12" t="str">
        <f ca="1">IFERROR(__xludf.DUMMYFUNCTION("""COMPUTED_VALUE"""),"中國")</f>
        <v>中國</v>
      </c>
      <c r="S829" s="12"/>
      <c r="T829" s="12"/>
      <c r="U829" s="12" t="str">
        <f ca="1">IFERROR(__xludf.DUMMYFUNCTION("""COMPUTED_VALUE"""),"1年")</f>
        <v>1年</v>
      </c>
      <c r="V829" s="12" t="str">
        <f ca="1">IFERROR(__xludf.DUMMYFUNCTION("""COMPUTED_VALUE"""),"1年")</f>
        <v>1年</v>
      </c>
      <c r="W829" s="12"/>
      <c r="X829" s="12"/>
      <c r="Y829" s="12"/>
      <c r="Z829" s="14"/>
      <c r="AA829" s="15" t="str">
        <f ca="1">IFERROR(__xludf.DUMMYFUNCTION("""COMPUTED_VALUE"""),"*110/220V雙電壓*煎、炒、煮，一鍋多功能*不沾鍋塗層，輕鬆清洗*防空燒設計*溫度保險絲*雙重安全保護")</f>
        <v>*110/220V雙電壓*煎、炒、煮，一鍋多功能*不沾鍋塗層，輕鬆清洗*防空燒設計*溫度保險絲*雙重安全保護</v>
      </c>
    </row>
    <row r="830" spans="1:27" ht="19.5" customHeight="1">
      <c r="A830" s="12" t="str">
        <f ca="1">IFERROR(__xludf.DUMMYFUNCTION("""COMPUTED_VALUE"""),"廚房家電")</f>
        <v>廚房家電</v>
      </c>
      <c r="B830" s="12" t="str">
        <f ca="1">IFERROR(__xludf.DUMMYFUNCTION("""COMPUTED_VALUE"""),"旺德")</f>
        <v>旺德</v>
      </c>
      <c r="C830" s="12" t="str">
        <f ca="1">IFERROR(__xludf.DUMMYFUNCTION("""COMPUTED_VALUE"""),"THOMSON")</f>
        <v>THOMSON</v>
      </c>
      <c r="D830" s="12" t="str">
        <f ca="1">IFERROR(__xludf.DUMMYFUNCTION("""COMPUTED_VALUE"""),"THOMSON舒肥萬用美型壓力鍋含陶瓷內鍋(紫)TM-SAP01P")</f>
        <v>THOMSON舒肥萬用美型壓力鍋含陶瓷內鍋(紫)TM-SAP01P</v>
      </c>
      <c r="E830" s="12" t="str">
        <f ca="1">IFERROR(__xludf.DUMMYFUNCTION("""COMPUTED_VALUE"""),"TM-SAP01P(紫)")</f>
        <v>TM-SAP01P(紫)</v>
      </c>
      <c r="F830" s="12">
        <f ca="1">IFERROR(__xludf.DUMMYFUNCTION("""COMPUTED_VALUE"""),51092085)</f>
        <v>51092085</v>
      </c>
      <c r="G830" s="12" t="str">
        <f ca="1">IFERROR(__xludf.DUMMYFUNCTION("""COMPUTED_VALUE"""),"IGEM072K")</f>
        <v>IGEM072K</v>
      </c>
      <c r="H830" s="13">
        <f ca="1">IFERROR(__xludf.DUMMYFUNCTION("""COMPUTED_VALUE"""),4490)</f>
        <v>4490</v>
      </c>
      <c r="I830" s="14">
        <f ca="1">IFERROR(__xludf.DUMMYFUNCTION("""COMPUTED_VALUE"""),3990)</f>
        <v>3990</v>
      </c>
      <c r="J830" s="16">
        <f ca="1">IFERROR(__xludf.DUMMYFUNCTION("""COMPUTED_VALUE"""),45658)</f>
        <v>45658</v>
      </c>
      <c r="K830" s="12" t="str">
        <f ca="1">IFERROR(__xludf.DUMMYFUNCTION("""COMPUTED_VALUE"""),"回價")</f>
        <v>回價</v>
      </c>
      <c r="L830" s="12" t="str">
        <f ca="1">IFERROR(__xludf.DUMMYFUNCTION("""COMPUTED_VALUE"""),"上架中")</f>
        <v>上架中</v>
      </c>
      <c r="M830" s="12" t="str">
        <f ca="1">IFERROR(__xludf.DUMMYFUNCTION("""COMPUTED_VALUE"""),"2025/1/1回價，2024/12/1短促，2024/11/1回價，2024/9/1短促，2024/6/1回價，2024/2/1短促2022/12/2上架")</f>
        <v>2025/1/1回價，2024/12/1短促，2024/11/1回價，2024/9/1短促，2024/6/1回價，2024/2/1短促2022/12/2上架</v>
      </c>
      <c r="N830" s="12" t="str">
        <f ca="1">IFERROR(__xludf.DUMMYFUNCTION("""COMPUTED_VALUE"""),"壓力鍋/燉鍋/萬用鍋/蒸煮鍋")</f>
        <v>壓力鍋/燉鍋/萬用鍋/蒸煮鍋</v>
      </c>
      <c r="O830" s="12" t="str">
        <f ca="1">IFERROR(__xludf.DUMMYFUNCTION("""COMPUTED_VALUE"""),"紫")</f>
        <v>紫</v>
      </c>
      <c r="P830" s="12"/>
      <c r="Q830" s="12" t="str">
        <f ca="1">IFERROR(__xludf.DUMMYFUNCTION("""COMPUTED_VALUE"""),"268x264x284(mm)")</f>
        <v>268x264x284(mm)</v>
      </c>
      <c r="R830" s="12" t="str">
        <f ca="1">IFERROR(__xludf.DUMMYFUNCTION("""COMPUTED_VALUE"""),"中國")</f>
        <v>中國</v>
      </c>
      <c r="S830" s="12"/>
      <c r="T830" s="12"/>
      <c r="U830" s="12" t="str">
        <f ca="1">IFERROR(__xludf.DUMMYFUNCTION("""COMPUTED_VALUE"""),"1年")</f>
        <v>1年</v>
      </c>
      <c r="V830" s="12" t="str">
        <f ca="1">IFERROR(__xludf.DUMMYFUNCTION("""COMPUTED_VALUE"""),"1年")</f>
        <v>1年</v>
      </c>
      <c r="W830" s="12"/>
      <c r="X830" s="12"/>
      <c r="Y830" s="12"/>
      <c r="Z830" s="14"/>
      <c r="AA830" s="15" t="str">
        <f ca="1">IFERROR(__xludf.DUMMYFUNCTION("""COMPUTED_VALUE"""),"*微電腦液晶顯示，簡單操作 *創新舒肥、煎炒(再加熱)料理行程*4L不沾陶瓷塗層內鍋設計，保溫效果佳 *兩種模式，電子鍋/壓力鍋一鍵切換*預約定時、保溫功能，時間安排彈性")</f>
        <v>*微電腦液晶顯示，簡單操作 *創新舒肥、煎炒(再加熱)料理行程*4L不沾陶瓷塗層內鍋設計，保溫效果佳 *兩種模式，電子鍋/壓力鍋一鍵切換*預約定時、保溫功能，時間安排彈性</v>
      </c>
    </row>
    <row r="831" spans="1:27" ht="19.5" customHeight="1">
      <c r="A831" s="12" t="str">
        <f ca="1">IFERROR(__xludf.DUMMYFUNCTION("""COMPUTED_VALUE"""),"廚房家電")</f>
        <v>廚房家電</v>
      </c>
      <c r="B831" s="12" t="str">
        <f ca="1">IFERROR(__xludf.DUMMYFUNCTION("""COMPUTED_VALUE"""),"旺德")</f>
        <v>旺德</v>
      </c>
      <c r="C831" s="12" t="str">
        <f ca="1">IFERROR(__xludf.DUMMYFUNCTION("""COMPUTED_VALUE"""),"THOMSON")</f>
        <v>THOMSON</v>
      </c>
      <c r="D831" s="12" t="str">
        <f ca="1">IFERROR(__xludf.DUMMYFUNCTION("""COMPUTED_VALUE"""),"THOMSON舒肥萬用美型壓力鍋含陶瓷+304不鏽鋼雙內鍋(紫)TM-SAP01P")</f>
        <v>THOMSON舒肥萬用美型壓力鍋含陶瓷+304不鏽鋼雙內鍋(紫)TM-SAP01P</v>
      </c>
      <c r="E831" s="12" t="str">
        <f ca="1">IFERROR(__xludf.DUMMYFUNCTION("""COMPUTED_VALUE"""),"TM-SAP01P雙內鍋(紫)")</f>
        <v>TM-SAP01P雙內鍋(紫)</v>
      </c>
      <c r="F831" s="12">
        <f ca="1">IFERROR(__xludf.DUMMYFUNCTION("""COMPUTED_VALUE"""),51092086)</f>
        <v>51092086</v>
      </c>
      <c r="G831" s="12" t="str">
        <f ca="1">IFERROR(__xludf.DUMMYFUNCTION("""COMPUTED_VALUE"""),"IGEM072L")</f>
        <v>IGEM072L</v>
      </c>
      <c r="H831" s="13">
        <f ca="1">IFERROR(__xludf.DUMMYFUNCTION("""COMPUTED_VALUE"""),5990)</f>
        <v>5990</v>
      </c>
      <c r="I831" s="14">
        <f ca="1">IFERROR(__xludf.DUMMYFUNCTION("""COMPUTED_VALUE"""),4890)</f>
        <v>4890</v>
      </c>
      <c r="J831" s="16">
        <f ca="1">IFERROR(__xludf.DUMMYFUNCTION("""COMPUTED_VALUE"""),45658)</f>
        <v>45658</v>
      </c>
      <c r="K831" s="12" t="str">
        <f ca="1">IFERROR(__xludf.DUMMYFUNCTION("""COMPUTED_VALUE"""),"回價")</f>
        <v>回價</v>
      </c>
      <c r="L831" s="12" t="str">
        <f ca="1">IFERROR(__xludf.DUMMYFUNCTION("""COMPUTED_VALUE"""),"上架中")</f>
        <v>上架中</v>
      </c>
      <c r="M831" s="12" t="str">
        <f ca="1">IFERROR(__xludf.DUMMYFUNCTION("""COMPUTED_VALUE"""),"2025/1/1回價，2024/12/1短促，2024/11/1回價，2024/9/1短促，2024/6/1回價，2024/2/1短促7/11到貨5/15缺貨7月初到貨/2022/12/2上架")</f>
        <v>2025/1/1回價，2024/12/1短促，2024/11/1回價，2024/9/1短促，2024/6/1回價，2024/2/1短促7/11到貨5/15缺貨7月初到貨/2022/12/2上架</v>
      </c>
      <c r="N831" s="12" t="str">
        <f ca="1">IFERROR(__xludf.DUMMYFUNCTION("""COMPUTED_VALUE"""),"壓力鍋/燉鍋/萬用鍋/蒸煮鍋")</f>
        <v>壓力鍋/燉鍋/萬用鍋/蒸煮鍋</v>
      </c>
      <c r="O831" s="12" t="str">
        <f ca="1">IFERROR(__xludf.DUMMYFUNCTION("""COMPUTED_VALUE"""),"紫")</f>
        <v>紫</v>
      </c>
      <c r="P831" s="12"/>
      <c r="Q831" s="12" t="str">
        <f ca="1">IFERROR(__xludf.DUMMYFUNCTION("""COMPUTED_VALUE"""),"268x264x284(mm)")</f>
        <v>268x264x284(mm)</v>
      </c>
      <c r="R831" s="12" t="str">
        <f ca="1">IFERROR(__xludf.DUMMYFUNCTION("""COMPUTED_VALUE"""),"中國")</f>
        <v>中國</v>
      </c>
      <c r="S831" s="12"/>
      <c r="T831" s="12"/>
      <c r="U831" s="12" t="str">
        <f ca="1">IFERROR(__xludf.DUMMYFUNCTION("""COMPUTED_VALUE"""),"1年")</f>
        <v>1年</v>
      </c>
      <c r="V831" s="12" t="str">
        <f ca="1">IFERROR(__xludf.DUMMYFUNCTION("""COMPUTED_VALUE"""),"1年")</f>
        <v>1年</v>
      </c>
      <c r="W831" s="12"/>
      <c r="X831" s="12"/>
      <c r="Y831" s="12"/>
      <c r="Z831" s="14"/>
      <c r="AA831" s="15" t="str">
        <f ca="1">IFERROR(__xludf.DUMMYFUNCTION("""COMPUTED_VALUE"""),"*微電腦液晶顯示，簡單操作 *創新舒肥、煎炒(再加熱)料理行程*4L不沾陶瓷塗層內鍋設計，保溫效果佳 *兩種模式，電子鍋/壓力鍋一鍵切換*預約定時、保溫功能，時間安排彈性")</f>
        <v>*微電腦液晶顯示，簡單操作 *創新舒肥、煎炒(再加熱)料理行程*4L不沾陶瓷塗層內鍋設計，保溫效果佳 *兩種模式，電子鍋/壓力鍋一鍵切換*預約定時、保溫功能，時間安排彈性</v>
      </c>
    </row>
    <row r="832" spans="1:27" ht="19.5" customHeight="1">
      <c r="A832" s="12" t="str">
        <f ca="1">IFERROR(__xludf.DUMMYFUNCTION("""COMPUTED_VALUE"""),"廚房家電")</f>
        <v>廚房家電</v>
      </c>
      <c r="B832" s="12" t="str">
        <f ca="1">IFERROR(__xludf.DUMMYFUNCTION("""COMPUTED_VALUE"""),"旺德")</f>
        <v>旺德</v>
      </c>
      <c r="C832" s="12" t="str">
        <f ca="1">IFERROR(__xludf.DUMMYFUNCTION("""COMPUTED_VALUE"""),"THOMSON")</f>
        <v>THOMSON</v>
      </c>
      <c r="D832" s="12" t="str">
        <f ca="1">IFERROR(__xludf.DUMMYFUNCTION("""COMPUTED_VALUE"""),"THOMSON舒肥萬用美型壓力鍋含陶瓷內鍋(雲鏡白)TM-SAP01P")</f>
        <v>THOMSON舒肥萬用美型壓力鍋含陶瓷內鍋(雲鏡白)TM-SAP01P</v>
      </c>
      <c r="E832" s="12" t="str">
        <f ca="1">IFERROR(__xludf.DUMMYFUNCTION("""COMPUTED_VALUE"""),"TM-SAP01P雲鏡(雲鏡白)")</f>
        <v>TM-SAP01P雲鏡(雲鏡白)</v>
      </c>
      <c r="F832" s="12">
        <f ca="1">IFERROR(__xludf.DUMMYFUNCTION("""COMPUTED_VALUE"""),51092087)</f>
        <v>51092087</v>
      </c>
      <c r="G832" s="12" t="str">
        <f ca="1">IFERROR(__xludf.DUMMYFUNCTION("""COMPUTED_VALUE"""),"IGEM072M")</f>
        <v>IGEM072M</v>
      </c>
      <c r="H832" s="13">
        <f ca="1">IFERROR(__xludf.DUMMYFUNCTION("""COMPUTED_VALUE"""),4490)</f>
        <v>4490</v>
      </c>
      <c r="I832" s="14">
        <f ca="1">IFERROR(__xludf.DUMMYFUNCTION("""COMPUTED_VALUE"""),3990)</f>
        <v>3990</v>
      </c>
      <c r="J832" s="16">
        <f ca="1">IFERROR(__xludf.DUMMYFUNCTION("""COMPUTED_VALUE"""),45658)</f>
        <v>45658</v>
      </c>
      <c r="K832" s="12" t="str">
        <f ca="1">IFERROR(__xludf.DUMMYFUNCTION("""COMPUTED_VALUE"""),"回價")</f>
        <v>回價</v>
      </c>
      <c r="L832" s="12" t="str">
        <f ca="1">IFERROR(__xludf.DUMMYFUNCTION("""COMPUTED_VALUE"""),"上架中")</f>
        <v>上架中</v>
      </c>
      <c r="M832" s="12" t="str">
        <f ca="1">IFERROR(__xludf.DUMMYFUNCTION("""COMPUTED_VALUE"""),"2025/1/1回價，2024/12/1短促，2024/11/1回價，2024/2/1短促2022/12/2上架")</f>
        <v>2025/1/1回價，2024/12/1短促，2024/11/1回價，2024/2/1短促2022/12/2上架</v>
      </c>
      <c r="N832" s="12" t="str">
        <f ca="1">IFERROR(__xludf.DUMMYFUNCTION("""COMPUTED_VALUE"""),"壓力鍋/燉鍋/萬用鍋/蒸煮鍋")</f>
        <v>壓力鍋/燉鍋/萬用鍋/蒸煮鍋</v>
      </c>
      <c r="O832" s="12" t="str">
        <f ca="1">IFERROR(__xludf.DUMMYFUNCTION("""COMPUTED_VALUE"""),"雲鏡白
")</f>
        <v xml:space="preserve">雲鏡白
</v>
      </c>
      <c r="P832" s="12"/>
      <c r="Q832" s="12" t="str">
        <f ca="1">IFERROR(__xludf.DUMMYFUNCTION("""COMPUTED_VALUE"""),"268x264x284(mm)")</f>
        <v>268x264x284(mm)</v>
      </c>
      <c r="R832" s="12" t="str">
        <f ca="1">IFERROR(__xludf.DUMMYFUNCTION("""COMPUTED_VALUE"""),"中國")</f>
        <v>中國</v>
      </c>
      <c r="S832" s="12"/>
      <c r="T832" s="12"/>
      <c r="U832" s="12" t="str">
        <f ca="1">IFERROR(__xludf.DUMMYFUNCTION("""COMPUTED_VALUE"""),"1年")</f>
        <v>1年</v>
      </c>
      <c r="V832" s="12" t="str">
        <f ca="1">IFERROR(__xludf.DUMMYFUNCTION("""COMPUTED_VALUE"""),"1年")</f>
        <v>1年</v>
      </c>
      <c r="W832" s="12"/>
      <c r="X832" s="12"/>
      <c r="Y832" s="12"/>
      <c r="Z832" s="14"/>
      <c r="AA832" s="15" t="str">
        <f ca="1">IFERROR(__xludf.DUMMYFUNCTION("""COMPUTED_VALUE"""),"*微電腦液晶顯示，簡單操作 *創新舒肥、煎炒(再加熱)料理行程*4L不沾陶瓷塗層內鍋設計，保溫效果佳*兩種模式，電子鍋/壓力鍋一鍵切換*預約定時、保溫功能，時間安排彈性")</f>
        <v>*微電腦液晶顯示，簡單操作 *創新舒肥、煎炒(再加熱)料理行程*4L不沾陶瓷塗層內鍋設計，保溫效果佳*兩種模式，電子鍋/壓力鍋一鍵切換*預約定時、保溫功能，時間安排彈性</v>
      </c>
    </row>
    <row r="833" spans="1:27" ht="19.5" customHeight="1">
      <c r="A833" s="12" t="str">
        <f ca="1">IFERROR(__xludf.DUMMYFUNCTION("""COMPUTED_VALUE"""),"廚房家電")</f>
        <v>廚房家電</v>
      </c>
      <c r="B833" s="12" t="str">
        <f ca="1">IFERROR(__xludf.DUMMYFUNCTION("""COMPUTED_VALUE"""),"旺德")</f>
        <v>旺德</v>
      </c>
      <c r="C833" s="12" t="str">
        <f ca="1">IFERROR(__xludf.DUMMYFUNCTION("""COMPUTED_VALUE"""),"THOMSON")</f>
        <v>THOMSON</v>
      </c>
      <c r="D833" s="12" t="str">
        <f ca="1">IFERROR(__xludf.DUMMYFUNCTION("""COMPUTED_VALUE"""),"THOMSON舒肥萬用美型壓力鍋含陶瓷+304不鏽鋼雙內鍋(雲鏡白)TM-SAP01P")</f>
        <v>THOMSON舒肥萬用美型壓力鍋含陶瓷+304不鏽鋼雙內鍋(雲鏡白)TM-SAP01P</v>
      </c>
      <c r="E833" s="12" t="str">
        <f ca="1">IFERROR(__xludf.DUMMYFUNCTION("""COMPUTED_VALUE"""),"TM-SAP01P雙內鍋(雲鏡白)")</f>
        <v>TM-SAP01P雙內鍋(雲鏡白)</v>
      </c>
      <c r="F833" s="12">
        <f ca="1">IFERROR(__xludf.DUMMYFUNCTION("""COMPUTED_VALUE"""),51092088)</f>
        <v>51092088</v>
      </c>
      <c r="G833" s="12" t="str">
        <f ca="1">IFERROR(__xludf.DUMMYFUNCTION("""COMPUTED_VALUE"""),"IGEM072N")</f>
        <v>IGEM072N</v>
      </c>
      <c r="H833" s="13">
        <f ca="1">IFERROR(__xludf.DUMMYFUNCTION("""COMPUTED_VALUE"""),5990)</f>
        <v>5990</v>
      </c>
      <c r="I833" s="14">
        <f ca="1">IFERROR(__xludf.DUMMYFUNCTION("""COMPUTED_VALUE"""),4890)</f>
        <v>4890</v>
      </c>
      <c r="J833" s="16">
        <f ca="1">IFERROR(__xludf.DUMMYFUNCTION("""COMPUTED_VALUE"""),45658)</f>
        <v>45658</v>
      </c>
      <c r="K833" s="12" t="str">
        <f ca="1">IFERROR(__xludf.DUMMYFUNCTION("""COMPUTED_VALUE"""),"回價")</f>
        <v>回價</v>
      </c>
      <c r="L833" s="12" t="str">
        <f ca="1">IFERROR(__xludf.DUMMYFUNCTION("""COMPUTED_VALUE"""),"上架中")</f>
        <v>上架中</v>
      </c>
      <c r="M833" s="12" t="str">
        <f ca="1">IFERROR(__xludf.DUMMYFUNCTION("""COMPUTED_VALUE"""),"2025/1/1回價，2024/12/1短促，2024/11/1回價，2024/2/1短促7/11到貨5/15缺貨7月初到貨/2022/12/2上架")</f>
        <v>2025/1/1回價，2024/12/1短促，2024/11/1回價，2024/2/1短促7/11到貨5/15缺貨7月初到貨/2022/12/2上架</v>
      </c>
      <c r="N833" s="12" t="str">
        <f ca="1">IFERROR(__xludf.DUMMYFUNCTION("""COMPUTED_VALUE"""),"壓力鍋/燉鍋/萬用鍋/蒸煮鍋")</f>
        <v>壓力鍋/燉鍋/萬用鍋/蒸煮鍋</v>
      </c>
      <c r="O833" s="12" t="str">
        <f ca="1">IFERROR(__xludf.DUMMYFUNCTION("""COMPUTED_VALUE"""),"雲鏡白
")</f>
        <v xml:space="preserve">雲鏡白
</v>
      </c>
      <c r="P833" s="12"/>
      <c r="Q833" s="12" t="str">
        <f ca="1">IFERROR(__xludf.DUMMYFUNCTION("""COMPUTED_VALUE"""),"268x264x284(mm)")</f>
        <v>268x264x284(mm)</v>
      </c>
      <c r="R833" s="12" t="str">
        <f ca="1">IFERROR(__xludf.DUMMYFUNCTION("""COMPUTED_VALUE"""),"中國")</f>
        <v>中國</v>
      </c>
      <c r="S833" s="12"/>
      <c r="T833" s="12"/>
      <c r="U833" s="12" t="str">
        <f ca="1">IFERROR(__xludf.DUMMYFUNCTION("""COMPUTED_VALUE"""),"1年")</f>
        <v>1年</v>
      </c>
      <c r="V833" s="12" t="str">
        <f ca="1">IFERROR(__xludf.DUMMYFUNCTION("""COMPUTED_VALUE"""),"1年")</f>
        <v>1年</v>
      </c>
      <c r="W833" s="12"/>
      <c r="X833" s="12"/>
      <c r="Y833" s="12"/>
      <c r="Z833" s="14"/>
      <c r="AA833" s="15" t="str">
        <f ca="1">IFERROR(__xludf.DUMMYFUNCTION("""COMPUTED_VALUE"""),"*微電腦液晶顯示，簡單操作 *創新舒肥、煎炒(再加熱)料理行程*4L不沾陶瓷塗層內鍋設計，保溫效果佳 *兩種模式，電子鍋/壓力鍋一鍵切換*預約定時、保溫功能，時間安排彈性")</f>
        <v>*微電腦液晶顯示，簡單操作 *創新舒肥、煎炒(再加熱)料理行程*4L不沾陶瓷塗層內鍋設計，保溫效果佳 *兩種模式，電子鍋/壓力鍋一鍵切換*預約定時、保溫功能，時間安排彈性</v>
      </c>
    </row>
    <row r="834" spans="1:27" ht="19.5" customHeight="1">
      <c r="A834" s="12" t="str">
        <f ca="1">IFERROR(__xludf.DUMMYFUNCTION("""COMPUTED_VALUE"""),"廚房家電")</f>
        <v>廚房家電</v>
      </c>
      <c r="B834" s="12" t="str">
        <f ca="1">IFERROR(__xludf.DUMMYFUNCTION("""COMPUTED_VALUE"""),"旺德")</f>
        <v>旺德</v>
      </c>
      <c r="C834" s="12" t="str">
        <f ca="1">IFERROR(__xludf.DUMMYFUNCTION("""COMPUTED_VALUE"""),"THOMSON")</f>
        <v>THOMSON</v>
      </c>
      <c r="D834" s="12" t="str">
        <f ca="1">IFERROR(__xludf.DUMMYFUNCTION("""COMPUTED_VALUE"""),"THOMSON 5L多功能電火鍋TM-SAK52")</f>
        <v>THOMSON 5L多功能電火鍋TM-SAK52</v>
      </c>
      <c r="E834" s="12" t="str">
        <f ca="1">IFERROR(__xludf.DUMMYFUNCTION("""COMPUTED_VALUE"""),"TM-SAK52")</f>
        <v>TM-SAK52</v>
      </c>
      <c r="F834" s="12">
        <f ca="1">IFERROR(__xludf.DUMMYFUNCTION("""COMPUTED_VALUE"""),51092090)</f>
        <v>51092090</v>
      </c>
      <c r="G834" s="12" t="str">
        <f ca="1">IFERROR(__xludf.DUMMYFUNCTION("""COMPUTED_VALUE"""),"IGEM074F")</f>
        <v>IGEM074F</v>
      </c>
      <c r="H834" s="12">
        <f ca="1">IFERROR(__xludf.DUMMYFUNCTION("""COMPUTED_VALUE"""),1690)</f>
        <v>1690</v>
      </c>
      <c r="I834" s="14">
        <f ca="1">IFERROR(__xludf.DUMMYFUNCTION("""COMPUTED_VALUE"""),1290)</f>
        <v>1290</v>
      </c>
      <c r="J834" s="16">
        <f ca="1">IFERROR(__xludf.DUMMYFUNCTION("""COMPUTED_VALUE"""),44936)</f>
        <v>44936</v>
      </c>
      <c r="K834" s="12" t="str">
        <f ca="1">IFERROR(__xludf.DUMMYFUNCTION("""COMPUTED_VALUE"""),"新機上架")</f>
        <v>新機上架</v>
      </c>
      <c r="L834" s="12" t="str">
        <f ca="1">IFERROR(__xludf.DUMMYFUNCTION("""COMPUTED_VALUE"""),"上架中")</f>
        <v>上架中</v>
      </c>
      <c r="M834" s="12" t="str">
        <f ca="1">IFERROR(__xludf.DUMMYFUNCTION("""COMPUTED_VALUE"""),"2023/1/10新機上架")</f>
        <v>2023/1/10新機上架</v>
      </c>
      <c r="N834" s="12" t="str">
        <f ca="1">IFERROR(__xludf.DUMMYFUNCTION("""COMPUTED_VALUE"""),"美食鍋/料理鍋/快煮鍋")</f>
        <v>美食鍋/料理鍋/快煮鍋</v>
      </c>
      <c r="O834" s="12" t="str">
        <f ca="1">IFERROR(__xludf.DUMMYFUNCTION("""COMPUTED_VALUE"""),"粉紅色")</f>
        <v>粉紅色</v>
      </c>
      <c r="P834" s="12" t="str">
        <f ca="1">IFERROR(__xludf.DUMMYFUNCTION("""COMPUTED_VALUE"""),"額定電壓/頻率:110V~60Hz、總額定消耗電功率:1050W")</f>
        <v>額定電壓/頻率:110V~60Hz、總額定消耗電功率:1050W</v>
      </c>
      <c r="Q834" s="12" t="str">
        <f ca="1">IFERROR(__xludf.DUMMYFUNCTION("""COMPUTED_VALUE"""),"392X312X202(mm)")</f>
        <v>392X312X202(mm)</v>
      </c>
      <c r="R834" s="12" t="str">
        <f ca="1">IFERROR(__xludf.DUMMYFUNCTION("""COMPUTED_VALUE"""),"中國")</f>
        <v>中國</v>
      </c>
      <c r="S834" s="12"/>
      <c r="T834" s="12"/>
      <c r="U834" s="12" t="str">
        <f ca="1">IFERROR(__xludf.DUMMYFUNCTION("""COMPUTED_VALUE"""),"1年")</f>
        <v>1年</v>
      </c>
      <c r="V834" s="12"/>
      <c r="W834" s="12"/>
      <c r="X834" s="12"/>
      <c r="Y834" s="12"/>
      <c r="Z834" s="14"/>
      <c r="AA834" s="15" t="str">
        <f ca="1">IFERROR(__xludf.DUMMYFUNCTION("""COMPUTED_VALUE"""),"*雙層防燙安全設計*兩檔火力可調，火力自由調整 *料理多功能，煎、炒、燉、煮*雙重安全保護：防空燒、溫度保險絲*5L大容量")</f>
        <v>*雙層防燙安全設計*兩檔火力可調，火力自由調整 *料理多功能，煎、炒、燉、煮*雙重安全保護：防空燒、溫度保險絲*5L大容量</v>
      </c>
    </row>
    <row r="835" spans="1:27" ht="19.5" customHeight="1">
      <c r="A835" s="12" t="str">
        <f ca="1">IFERROR(__xludf.DUMMYFUNCTION("""COMPUTED_VALUE"""),"廚房家電")</f>
        <v>廚房家電</v>
      </c>
      <c r="B835" s="12" t="str">
        <f ca="1">IFERROR(__xludf.DUMMYFUNCTION("""COMPUTED_VALUE"""),"旺德")</f>
        <v>旺德</v>
      </c>
      <c r="C835" s="12" t="str">
        <f ca="1">IFERROR(__xludf.DUMMYFUNCTION("""COMPUTED_VALUE"""),"THOMSON")</f>
        <v>THOMSON</v>
      </c>
      <c r="D835" s="12" t="str">
        <f ca="1">IFERROR(__xludf.DUMMYFUNCTION("""COMPUTED_VALUE"""),"THOMSON麥飯石不沾鴛鴦火鍋TM-SAK51")</f>
        <v>THOMSON麥飯石不沾鴛鴦火鍋TM-SAK51</v>
      </c>
      <c r="E835" s="12" t="str">
        <f ca="1">IFERROR(__xludf.DUMMYFUNCTION("""COMPUTED_VALUE"""),"TM-SAK51")</f>
        <v>TM-SAK51</v>
      </c>
      <c r="F835" s="12">
        <f ca="1">IFERROR(__xludf.DUMMYFUNCTION("""COMPUTED_VALUE"""),51092092)</f>
        <v>51092092</v>
      </c>
      <c r="G835" s="12" t="str">
        <f ca="1">IFERROR(__xludf.DUMMYFUNCTION("""COMPUTED_VALUE"""),"IGEM074H")</f>
        <v>IGEM074H</v>
      </c>
      <c r="H835" s="12">
        <f ca="1">IFERROR(__xludf.DUMMYFUNCTION("""COMPUTED_VALUE"""),2990)</f>
        <v>2990</v>
      </c>
      <c r="I835" s="14">
        <f ca="1">IFERROR(__xludf.DUMMYFUNCTION("""COMPUTED_VALUE"""),2690)</f>
        <v>2690</v>
      </c>
      <c r="J835" s="16">
        <f ca="1">IFERROR(__xludf.DUMMYFUNCTION("""COMPUTED_VALUE"""),45413)</f>
        <v>45413</v>
      </c>
      <c r="K835" s="12" t="str">
        <f ca="1">IFERROR(__xludf.DUMMYFUNCTION("""COMPUTED_VALUE"""),"回價")</f>
        <v>回價</v>
      </c>
      <c r="L835" s="12" t="str">
        <f ca="1">IFERROR(__xludf.DUMMYFUNCTION("""COMPUTED_VALUE"""),"上架中")</f>
        <v>上架中</v>
      </c>
      <c r="M835" s="12" t="str">
        <f ca="1">IFERROR(__xludf.DUMMYFUNCTION("""COMPUTED_VALUE"""),"5/1回價，2024/1/1短促2023/1/10新機上架")</f>
        <v>5/1回價，2024/1/1短促2023/1/10新機上架</v>
      </c>
      <c r="N835" s="12" t="str">
        <f ca="1">IFERROR(__xludf.DUMMYFUNCTION("""COMPUTED_VALUE"""),"美食鍋/料理鍋/快煮鍋")</f>
        <v>美食鍋/料理鍋/快煮鍋</v>
      </c>
      <c r="O835" s="12" t="str">
        <f ca="1">IFERROR(__xludf.DUMMYFUNCTION("""COMPUTED_VALUE"""),"白色")</f>
        <v>白色</v>
      </c>
      <c r="P835" s="12" t="str">
        <f ca="1">IFERROR(__xludf.DUMMYFUNCTION("""COMPUTED_VALUE"""),"額定電壓/頻率:110V~/60Hz、總額定消耗電功率:1100W、最大容量:5L")</f>
        <v>額定電壓/頻率:110V~/60Hz、總額定消耗電功率:1100W、最大容量:5L</v>
      </c>
      <c r="Q835" s="12" t="str">
        <f ca="1">IFERROR(__xludf.DUMMYFUNCTION("""COMPUTED_VALUE"""),"400X348X202(mm)")</f>
        <v>400X348X202(mm)</v>
      </c>
      <c r="R835" s="12" t="str">
        <f ca="1">IFERROR(__xludf.DUMMYFUNCTION("""COMPUTED_VALUE"""),"中國")</f>
        <v>中國</v>
      </c>
      <c r="S835" s="12"/>
      <c r="T835" s="12"/>
      <c r="U835" s="12" t="str">
        <f ca="1">IFERROR(__xludf.DUMMYFUNCTION("""COMPUTED_VALUE"""),"1年")</f>
        <v>1年</v>
      </c>
      <c r="V835" s="12"/>
      <c r="W835" s="12"/>
      <c r="X835" s="12"/>
      <c r="Y835" s="12"/>
      <c r="Z835" s="14"/>
      <c r="AA835" s="15" t="str">
        <f ca="1">IFERROR(__xludf.DUMMYFUNCTION("""COMPUTED_VALUE"""),"*雙鍋槽設計，一鍋雙饗宴，美味佳餚隨時烹煮*不粘麥飯石塗層，料理、清洗都方便*可視透明玻璃蓋，烹煮看的見*無段式旋鈕，輕鬆調節溫度")</f>
        <v>*雙鍋槽設計，一鍋雙饗宴，美味佳餚隨時烹煮*不粘麥飯石塗層，料理、清洗都方便*可視透明玻璃蓋，烹煮看的見*無段式旋鈕，輕鬆調節溫度</v>
      </c>
    </row>
    <row r="836" spans="1:27" ht="19.5" customHeight="1">
      <c r="A836" s="12" t="str">
        <f ca="1">IFERROR(__xludf.DUMMYFUNCTION("""COMPUTED_VALUE"""),"廚房家電")</f>
        <v>廚房家電</v>
      </c>
      <c r="B836" s="12" t="str">
        <f ca="1">IFERROR(__xludf.DUMMYFUNCTION("""COMPUTED_VALUE"""),"旺德")</f>
        <v>旺德</v>
      </c>
      <c r="C836" s="12" t="str">
        <f ca="1">IFERROR(__xludf.DUMMYFUNCTION("""COMPUTED_VALUE"""),"THOMSON")</f>
        <v>THOMSON</v>
      </c>
      <c r="D836" s="12" t="str">
        <f ca="1">IFERROR(__xludf.DUMMYFUNCTION("""COMPUTED_VALUE"""),"THOMSON全自動真空密封機TM-SAVA03M")</f>
        <v>THOMSON全自動真空密封機TM-SAVA03M</v>
      </c>
      <c r="E836" s="12" t="str">
        <f ca="1">IFERROR(__xludf.DUMMYFUNCTION("""COMPUTED_VALUE"""),"TM-SAVA03M")</f>
        <v>TM-SAVA03M</v>
      </c>
      <c r="F836" s="12">
        <f ca="1">IFERROR(__xludf.DUMMYFUNCTION("""COMPUTED_VALUE"""),51092096)</f>
        <v>51092096</v>
      </c>
      <c r="G836" s="12" t="str">
        <f ca="1">IFERROR(__xludf.DUMMYFUNCTION("""COMPUTED_VALUE"""),"IGEM0847")</f>
        <v>IGEM0847</v>
      </c>
      <c r="H836" s="13">
        <f ca="1">IFERROR(__xludf.DUMMYFUNCTION("""COMPUTED_VALUE"""),3490)</f>
        <v>3490</v>
      </c>
      <c r="I836" s="18">
        <f ca="1">IFERROR(__xludf.DUMMYFUNCTION("""COMPUTED_VALUE"""),1990)</f>
        <v>1990</v>
      </c>
      <c r="J836" s="16">
        <f ca="1">IFERROR(__xludf.DUMMYFUNCTION("""COMPUTED_VALUE"""),45717)</f>
        <v>45717</v>
      </c>
      <c r="K836" s="12" t="str">
        <f ca="1">IFERROR(__xludf.DUMMYFUNCTION("""COMPUTED_VALUE"""),"回價")</f>
        <v>回價</v>
      </c>
      <c r="L836" s="12" t="str">
        <f ca="1">IFERROR(__xludf.DUMMYFUNCTION("""COMPUTED_VALUE"""),"上架中")</f>
        <v>上架中</v>
      </c>
      <c r="M836" s="12" t="str">
        <f ca="1">IFERROR(__xludf.DUMMYFUNCTION("""COMPUTED_VALUE"""),"2024/8/1短促，2024/6/1回價，2024/5/1短促，2024/4/1短促，2024/2/1回價2024/1/1短促2023/10/19回價9/1短促5/29新機上架")</f>
        <v>2024/8/1短促，2024/6/1回價，2024/5/1短促，2024/4/1短促，2024/2/1回價2024/1/1短促2023/10/19回價9/1短促5/29新機上架</v>
      </c>
      <c r="N836" s="12" t="str">
        <f ca="1">IFERROR(__xludf.DUMMYFUNCTION("""COMPUTED_VALUE"""),"真空包裝機/盒")</f>
        <v>真空包裝機/盒</v>
      </c>
      <c r="O836" s="12" t="str">
        <f ca="1">IFERROR(__xludf.DUMMYFUNCTION("""COMPUTED_VALUE"""),"銀")</f>
        <v>銀</v>
      </c>
      <c r="P836" s="12"/>
      <c r="Q836" s="12" t="str">
        <f ca="1">IFERROR(__xludf.DUMMYFUNCTION("""COMPUTED_VALUE"""),"406*160*90(mm)")</f>
        <v>406*160*90(mm)</v>
      </c>
      <c r="R836" s="12" t="str">
        <f ca="1">IFERROR(__xludf.DUMMYFUNCTION("""COMPUTED_VALUE"""),"中國")</f>
        <v>中國</v>
      </c>
      <c r="S836" s="12"/>
      <c r="T836" s="12"/>
      <c r="U836" s="12" t="str">
        <f ca="1">IFERROR(__xludf.DUMMYFUNCTION("""COMPUTED_VALUE"""),"1年")</f>
        <v>1年</v>
      </c>
      <c r="V836" s="12"/>
      <c r="W836" s="12"/>
      <c r="X836" s="12"/>
      <c r="Y836" s="12"/>
      <c r="Z836" s="14"/>
      <c r="AA836" s="15" t="str">
        <f ca="1">IFERROR(__xludf.DUMMYFUNCTION("""COMPUTED_VALUE"""),"*乾抽、濕抽、點抽、外抽四合一*30CM大封口寬度，滿足各類食物封裝需求*自帶安全切刀功能，裁剪任何尺寸的袋子，保護雙手，使用更放心*真空袋儲存空間設計，方便收藏及儲存")</f>
        <v>*乾抽、濕抽、點抽、外抽四合一*30CM大封口寬度，滿足各類食物封裝需求*自帶安全切刀功能，裁剪任何尺寸的袋子，保護雙手，使用更放心*真空袋儲存空間設計，方便收藏及儲存</v>
      </c>
    </row>
    <row r="837" spans="1:27" ht="19.5" customHeight="1">
      <c r="A837" s="12" t="str">
        <f ca="1">IFERROR(__xludf.DUMMYFUNCTION("""COMPUTED_VALUE"""),"廚房家電")</f>
        <v>廚房家電</v>
      </c>
      <c r="B837" s="12" t="str">
        <f ca="1">IFERROR(__xludf.DUMMYFUNCTION("""COMPUTED_VALUE"""),"旺德")</f>
        <v>旺德</v>
      </c>
      <c r="C837" s="12" t="str">
        <f ca="1">IFERROR(__xludf.DUMMYFUNCTION("""COMPUTED_VALUE"""),"THOMSON")</f>
        <v>THOMSON</v>
      </c>
      <c r="D837" s="12" t="str">
        <f ca="1">IFERROR(__xludf.DUMMYFUNCTION("""COMPUTED_VALUE"""),"THOMSONUSB無線真空保鮮密封機TM-SAVA05M")</f>
        <v>THOMSONUSB無線真空保鮮密封機TM-SAVA05M</v>
      </c>
      <c r="E837" s="12" t="str">
        <f ca="1">IFERROR(__xludf.DUMMYFUNCTION("""COMPUTED_VALUE"""),"TM-SAVA05M")</f>
        <v>TM-SAVA05M</v>
      </c>
      <c r="F837" s="12">
        <f ca="1">IFERROR(__xludf.DUMMYFUNCTION("""COMPUTED_VALUE"""),51092097)</f>
        <v>51092097</v>
      </c>
      <c r="G837" s="12" t="str">
        <f ca="1">IFERROR(__xludf.DUMMYFUNCTION("""COMPUTED_VALUE"""),"IGEM0848")</f>
        <v>IGEM0848</v>
      </c>
      <c r="H837" s="13">
        <f ca="1">IFERROR(__xludf.DUMMYFUNCTION("""COMPUTED_VALUE"""),3990)</f>
        <v>3990</v>
      </c>
      <c r="I837" s="18">
        <f ca="1">IFERROR(__xludf.DUMMYFUNCTION("""COMPUTED_VALUE"""),2990)</f>
        <v>2990</v>
      </c>
      <c r="J837" s="16">
        <f ca="1">IFERROR(__xludf.DUMMYFUNCTION("""COMPUTED_VALUE"""),45505)</f>
        <v>45505</v>
      </c>
      <c r="K837" s="12" t="str">
        <f ca="1">IFERROR(__xludf.DUMMYFUNCTION("""COMPUTED_VALUE"""),"回價")</f>
        <v>回價</v>
      </c>
      <c r="L837" s="12" t="str">
        <f ca="1">IFERROR(__xludf.DUMMYFUNCTION("""COMPUTED_VALUE"""),"上架中")</f>
        <v>上架中</v>
      </c>
      <c r="M837" s="12" t="str">
        <f ca="1">IFERROR(__xludf.DUMMYFUNCTION("""COMPUTED_VALUE"""),"2024/8/1回價，2024/6/1短促，5/29新機上架")</f>
        <v>2024/8/1回價，2024/6/1短促，5/29新機上架</v>
      </c>
      <c r="N837" s="12" t="str">
        <f ca="1">IFERROR(__xludf.DUMMYFUNCTION("""COMPUTED_VALUE"""),"真空包裝機/盒")</f>
        <v>真空包裝機/盒</v>
      </c>
      <c r="O837" s="12" t="str">
        <f ca="1">IFERROR(__xludf.DUMMYFUNCTION("""COMPUTED_VALUE"""),"白")</f>
        <v>白</v>
      </c>
      <c r="P837" s="12"/>
      <c r="Q837" s="12" t="str">
        <f ca="1">IFERROR(__xludf.DUMMYFUNCTION("""COMPUTED_VALUE"""),"358*82*59(mm)")</f>
        <v>358*82*59(mm)</v>
      </c>
      <c r="R837" s="12" t="str">
        <f ca="1">IFERROR(__xludf.DUMMYFUNCTION("""COMPUTED_VALUE"""),"中國")</f>
        <v>中國</v>
      </c>
      <c r="S837" s="12"/>
      <c r="T837" s="12"/>
      <c r="U837" s="12" t="str">
        <f ca="1">IFERROR(__xludf.DUMMYFUNCTION("""COMPUTED_VALUE"""),"1年")</f>
        <v>1年</v>
      </c>
      <c r="V837" s="12"/>
      <c r="W837" s="12"/>
      <c r="X837" s="12"/>
      <c r="Y837" s="12"/>
      <c r="Z837" s="14"/>
      <c r="AA837" s="15" t="str">
        <f ca="1">IFERROR(__xludf.DUMMYFUNCTION("""COMPUTED_VALUE"""),"*USB無線設計,使用方便*體積輕巧,攜帶方便*附真空外抽管*真空/封口，簡單操作")</f>
        <v>*USB無線設計,使用方便*體積輕巧,攜帶方便*附真空外抽管*真空/封口，簡單操作</v>
      </c>
    </row>
    <row r="838" spans="1:27" ht="19.5" customHeight="1">
      <c r="A838" s="12" t="str">
        <f ca="1">IFERROR(__xludf.DUMMYFUNCTION("""COMPUTED_VALUE"""),"廚房家電")</f>
        <v>廚房家電</v>
      </c>
      <c r="B838" s="12" t="str">
        <f ca="1">IFERROR(__xludf.DUMMYFUNCTION("""COMPUTED_VALUE"""),"旺德")</f>
        <v>旺德</v>
      </c>
      <c r="C838" s="12" t="str">
        <f ca="1">IFERROR(__xludf.DUMMYFUNCTION("""COMPUTED_VALUE"""),"THOMSON")</f>
        <v>THOMSON</v>
      </c>
      <c r="D838" s="12" t="str">
        <f ca="1">IFERROR(__xludf.DUMMYFUNCTION("""COMPUTED_VALUE"""),"THOMSON蛋蛋神氣機(白)TM-SAK56")</f>
        <v>THOMSON蛋蛋神氣機(白)TM-SAK56</v>
      </c>
      <c r="E838" s="12" t="str">
        <f ca="1">IFERROR(__xludf.DUMMYFUNCTION("""COMPUTED_VALUE"""),"TM-SAK56")</f>
        <v>TM-SAK56</v>
      </c>
      <c r="F838" s="12">
        <f ca="1">IFERROR(__xludf.DUMMYFUNCTION("""COMPUTED_VALUE"""),51092110)</f>
        <v>51092110</v>
      </c>
      <c r="G838" s="12" t="str">
        <f ca="1">IFERROR(__xludf.DUMMYFUNCTION("""COMPUTED_VALUE"""),"IGEM0948")</f>
        <v>IGEM0948</v>
      </c>
      <c r="H838" s="13">
        <f ca="1">IFERROR(__xludf.DUMMYFUNCTION("""COMPUTED_VALUE"""),1690)</f>
        <v>1690</v>
      </c>
      <c r="I838" s="18">
        <f ca="1">IFERROR(__xludf.DUMMYFUNCTION("""COMPUTED_VALUE"""),1290)</f>
        <v>1290</v>
      </c>
      <c r="J838" s="16">
        <f ca="1">IFERROR(__xludf.DUMMYFUNCTION("""COMPUTED_VALUE"""),45717)</f>
        <v>45717</v>
      </c>
      <c r="K838" s="12" t="str">
        <f ca="1">IFERROR(__xludf.DUMMYFUNCTION("""COMPUTED_VALUE"""),"回價")</f>
        <v>回價</v>
      </c>
      <c r="L838" s="12" t="str">
        <f ca="1">IFERROR(__xludf.DUMMYFUNCTION("""COMPUTED_VALUE"""),"上架中")</f>
        <v>上架中</v>
      </c>
      <c r="M838" s="12" t="str">
        <f ca="1">IFERROR(__xludf.DUMMYFUNCTION("""COMPUTED_VALUE"""),"2024/12/1短促，6/20到貨，2024/4/1缺貨，2023/11/28新機上架")</f>
        <v>2024/12/1短促，6/20到貨，2024/4/1缺貨，2023/11/28新機上架</v>
      </c>
      <c r="N838" s="12" t="str">
        <f ca="1">IFERROR(__xludf.DUMMYFUNCTION("""COMPUTED_VALUE"""),"美食鍋/料理鍋/快煮鍋")</f>
        <v>美食鍋/料理鍋/快煮鍋</v>
      </c>
      <c r="O838" s="12" t="str">
        <f ca="1">IFERROR(__xludf.DUMMYFUNCTION("""COMPUTED_VALUE"""),"白")</f>
        <v>白</v>
      </c>
      <c r="P838" s="12" t="str">
        <f ca="1">IFERROR(__xludf.DUMMYFUNCTION("""COMPUTED_VALUE"""),"700ml")</f>
        <v>700ml</v>
      </c>
      <c r="Q838" s="12" t="str">
        <f ca="1">IFERROR(__xludf.DUMMYFUNCTION("""COMPUTED_VALUE"""),"147X128X143(mm)")</f>
        <v>147X128X143(mm)</v>
      </c>
      <c r="R838" s="12" t="str">
        <f ca="1">IFERROR(__xludf.DUMMYFUNCTION("""COMPUTED_VALUE"""),"中國")</f>
        <v>中國</v>
      </c>
      <c r="S838" s="12"/>
      <c r="T838" s="12"/>
      <c r="U838" s="12" t="str">
        <f ca="1">IFERROR(__xludf.DUMMYFUNCTION("""COMPUTED_VALUE"""),"1年")</f>
        <v>1年</v>
      </c>
      <c r="V838" s="12"/>
      <c r="W838" s="12"/>
      <c r="X838" s="12"/>
      <c r="Y838" s="12"/>
      <c r="Z838" s="14"/>
      <c r="AA838" s="15" t="str">
        <f ca="1">IFERROR(__xludf.DUMMYFUNCTION("""COMPUTED_VALUE"""),"*麥飯食塗層，無毒好清洗*附蛋架+燉盅 *智能觸控式面板*温泉蛋/溏心蛋/金沙蛋/蒸煮，煎、炒等料理*分離式電源線 ")</f>
        <v xml:space="preserve">*麥飯食塗層，無毒好清洗*附蛋架+燉盅 *智能觸控式面板*温泉蛋/溏心蛋/金沙蛋/蒸煮，煎、炒等料理*分離式電源線 </v>
      </c>
    </row>
    <row r="839" spans="1:27" ht="19.5" customHeight="1">
      <c r="A839" s="12" t="str">
        <f ca="1">IFERROR(__xludf.DUMMYFUNCTION("""COMPUTED_VALUE"""),"廚房家電")</f>
        <v>廚房家電</v>
      </c>
      <c r="B839" s="12" t="str">
        <f ca="1">IFERROR(__xludf.DUMMYFUNCTION("""COMPUTED_VALUE"""),"旺德")</f>
        <v>旺德</v>
      </c>
      <c r="C839" s="12" t="str">
        <f ca="1">IFERROR(__xludf.DUMMYFUNCTION("""COMPUTED_VALUE"""),"THOMSON")</f>
        <v>THOMSON</v>
      </c>
      <c r="D839" s="12" t="str">
        <f ca="1">IFERROR(__xludf.DUMMYFUNCTION("""COMPUTED_VALUE"""),"THOMSON手沖不鏽鋼細口壺TM-SAK59")</f>
        <v>THOMSON手沖不鏽鋼細口壺TM-SAK59</v>
      </c>
      <c r="E839" s="12" t="str">
        <f ca="1">IFERROR(__xludf.DUMMYFUNCTION("""COMPUTED_VALUE"""),"TM-SAK59")</f>
        <v>TM-SAK59</v>
      </c>
      <c r="F839" s="12">
        <f ca="1">IFERROR(__xludf.DUMMYFUNCTION("""COMPUTED_VALUE"""),51092111)</f>
        <v>51092111</v>
      </c>
      <c r="G839" s="12" t="str">
        <f ca="1">IFERROR(__xludf.DUMMYFUNCTION("""COMPUTED_VALUE"""),"IGEM0949")</f>
        <v>IGEM0949</v>
      </c>
      <c r="H839" s="13">
        <f ca="1">IFERROR(__xludf.DUMMYFUNCTION("""COMPUTED_VALUE"""),1590)</f>
        <v>1590</v>
      </c>
      <c r="I839" s="18">
        <f ca="1">IFERROR(__xludf.DUMMYFUNCTION("""COMPUTED_VALUE"""),1290)</f>
        <v>1290</v>
      </c>
      <c r="J839" s="16">
        <f ca="1">IFERROR(__xludf.DUMMYFUNCTION("""COMPUTED_VALUE"""),45717)</f>
        <v>45717</v>
      </c>
      <c r="K839" s="12" t="str">
        <f ca="1">IFERROR(__xludf.DUMMYFUNCTION("""COMPUTED_VALUE"""),"回價")</f>
        <v>回價</v>
      </c>
      <c r="L839" s="12" t="str">
        <f ca="1">IFERROR(__xludf.DUMMYFUNCTION("""COMPUTED_VALUE"""),"上架中")</f>
        <v>上架中</v>
      </c>
      <c r="M839" s="12" t="str">
        <f ca="1">IFERROR(__xludf.DUMMYFUNCTION("""COMPUTED_VALUE"""),"2024/12/1短促，2023/11/28新機上架")</f>
        <v>2024/12/1短促，2023/11/28新機上架</v>
      </c>
      <c r="N839" s="12" t="str">
        <f ca="1">IFERROR(__xludf.DUMMYFUNCTION("""COMPUTED_VALUE"""),"快煮壺/料理壺/手沖壺")</f>
        <v>快煮壺/料理壺/手沖壺</v>
      </c>
      <c r="O839" s="12" t="str">
        <f ca="1">IFERROR(__xludf.DUMMYFUNCTION("""COMPUTED_VALUE"""),"不鏽鋼")</f>
        <v>不鏽鋼</v>
      </c>
      <c r="P839" s="12" t="str">
        <f ca="1">IFERROR(__xludf.DUMMYFUNCTION("""COMPUTED_VALUE"""),"0.8L")</f>
        <v>0.8L</v>
      </c>
      <c r="Q839" s="12" t="str">
        <f ca="1">IFERROR(__xludf.DUMMYFUNCTION("""COMPUTED_VALUE"""),"276X152X210mm")</f>
        <v>276X152X210mm</v>
      </c>
      <c r="R839" s="12" t="str">
        <f ca="1">IFERROR(__xludf.DUMMYFUNCTION("""COMPUTED_VALUE"""),"中國")</f>
        <v>中國</v>
      </c>
      <c r="S839" s="12"/>
      <c r="T839" s="12"/>
      <c r="U839" s="12" t="str">
        <f ca="1">IFERROR(__xludf.DUMMYFUNCTION("""COMPUTED_VALUE"""),"1年")</f>
        <v>1年</v>
      </c>
      <c r="V839" s="12"/>
      <c r="W839" s="12"/>
      <c r="X839" s="12"/>
      <c r="Y839" s="12"/>
      <c r="Z839" s="14"/>
      <c r="AA839" s="15" t="str">
        <f ca="1">IFERROR(__xludf.DUMMYFUNCTION("""COMPUTED_VALUE"""),"*細口壺嘴設計，特別適合掛耳式咖啡沖泡*三重安全保護裝置:沸騰自動斷電開關、防乾燒安全保護裝置、溫度保險絲*360°旋轉式底座，安全便利*分離式底座，使用超方便*304不鏽鋼內膽，耐用無異味*1000W快速加熱        ")</f>
        <v xml:space="preserve">*細口壺嘴設計，特別適合掛耳式咖啡沖泡*三重安全保護裝置:沸騰自動斷電開關、防乾燒安全保護裝置、溫度保險絲*360°旋轉式底座，安全便利*分離式底座，使用超方便*304不鏽鋼內膽，耐用無異味*1000W快速加熱        </v>
      </c>
    </row>
    <row r="840" spans="1:27" ht="19.5" customHeight="1">
      <c r="A840" s="12" t="str">
        <f ca="1">IFERROR(__xludf.DUMMYFUNCTION("""COMPUTED_VALUE"""),"廚房家電")</f>
        <v>廚房家電</v>
      </c>
      <c r="B840" s="12" t="str">
        <f ca="1">IFERROR(__xludf.DUMMYFUNCTION("""COMPUTED_VALUE"""),"旺德")</f>
        <v>旺德</v>
      </c>
      <c r="C840" s="12" t="str">
        <f ca="1">IFERROR(__xludf.DUMMYFUNCTION("""COMPUTED_VALUE"""),"THOMSON")</f>
        <v>THOMSON</v>
      </c>
      <c r="D840" s="12" t="str">
        <f ca="1">IFERROR(__xludf.DUMMYFUNCTION("""COMPUTED_VALUE"""),"THOMSON 3L可視玻璃氣炸鍋(白)TM-SAT23A")</f>
        <v>THOMSON 3L可視玻璃氣炸鍋(白)TM-SAT23A</v>
      </c>
      <c r="E840" s="12" t="str">
        <f ca="1">IFERROR(__xludf.DUMMYFUNCTION("""COMPUTED_VALUE"""),"TM-SAT23A")</f>
        <v>TM-SAT23A</v>
      </c>
      <c r="F840" s="12">
        <f ca="1">IFERROR(__xludf.DUMMYFUNCTION("""COMPUTED_VALUE"""),51092112)</f>
        <v>51092112</v>
      </c>
      <c r="G840" s="12" t="str">
        <f ca="1">IFERROR(__xludf.DUMMYFUNCTION("""COMPUTED_VALUE"""),"IGEM094A")</f>
        <v>IGEM094A</v>
      </c>
      <c r="H840" s="13">
        <f ca="1">IFERROR(__xludf.DUMMYFUNCTION("""COMPUTED_VALUE"""),2990)</f>
        <v>2990</v>
      </c>
      <c r="I840" s="18">
        <f ca="1">IFERROR(__xludf.DUMMYFUNCTION("""COMPUTED_VALUE"""),2690)</f>
        <v>2690</v>
      </c>
      <c r="J840" s="16">
        <f ca="1">IFERROR(__xludf.DUMMYFUNCTION("""COMPUTED_VALUE"""),45717)</f>
        <v>45717</v>
      </c>
      <c r="K840" s="12" t="str">
        <f ca="1">IFERROR(__xludf.DUMMYFUNCTION("""COMPUTED_VALUE"""),"回價")</f>
        <v>回價</v>
      </c>
      <c r="L840" s="12" t="str">
        <f ca="1">IFERROR(__xludf.DUMMYFUNCTION("""COMPUTED_VALUE"""),"上架中")</f>
        <v>上架中</v>
      </c>
      <c r="M840" s="12" t="str">
        <f ca="1">IFERROR(__xludf.DUMMYFUNCTION("""COMPUTED_VALUE"""),"2024/12/1短促，2023/11/28新機上架")</f>
        <v>2024/12/1短促，2023/11/28新機上架</v>
      </c>
      <c r="N840" s="12" t="str">
        <f ca="1">IFERROR(__xludf.DUMMYFUNCTION("""COMPUTED_VALUE"""),"氣炸鍋")</f>
        <v>氣炸鍋</v>
      </c>
      <c r="O840" s="12" t="str">
        <f ca="1">IFERROR(__xludf.DUMMYFUNCTION("""COMPUTED_VALUE"""),"白")</f>
        <v>白</v>
      </c>
      <c r="P840" s="12" t="str">
        <f ca="1">IFERROR(__xludf.DUMMYFUNCTION("""COMPUTED_VALUE"""),"最大容量:3L")</f>
        <v>最大容量:3L</v>
      </c>
      <c r="Q840" s="12" t="str">
        <f ca="1">IFERROR(__xludf.DUMMYFUNCTION("""COMPUTED_VALUE"""),"220X280X300(mm)")</f>
        <v>220X280X300(mm)</v>
      </c>
      <c r="R840" s="12" t="str">
        <f ca="1">IFERROR(__xludf.DUMMYFUNCTION("""COMPUTED_VALUE"""),"中國")</f>
        <v>中國</v>
      </c>
      <c r="S840" s="12"/>
      <c r="T840" s="12"/>
      <c r="U840" s="12" t="str">
        <f ca="1">IFERROR(__xludf.DUMMYFUNCTION("""COMPUTED_VALUE"""),"1年")</f>
        <v>1年</v>
      </c>
      <c r="V840" s="12"/>
      <c r="W840" s="12"/>
      <c r="X840" s="12"/>
      <c r="Y840" s="12"/>
      <c r="Z840" s="14"/>
      <c r="AA840" s="15" t="str">
        <f ca="1">IFERROR(__xludf.DUMMYFUNCTION("""COMPUTED_VALUE"""),"*可視強化玻璃內鍋*3L大容量*微電腦智能觸控*取鍋自動斷電*1200W大功率*預約功能
")</f>
        <v xml:space="preserve">*可視強化玻璃內鍋*3L大容量*微電腦智能觸控*取鍋自動斷電*1200W大功率*預約功能
</v>
      </c>
    </row>
    <row r="841" spans="1:27" ht="19.5" customHeight="1">
      <c r="A841" s="12" t="str">
        <f ca="1">IFERROR(__xludf.DUMMYFUNCTION("""COMPUTED_VALUE"""),"廚房家電")</f>
        <v>廚房家電</v>
      </c>
      <c r="B841" s="12" t="str">
        <f ca="1">IFERROR(__xludf.DUMMYFUNCTION("""COMPUTED_VALUE"""),"旺德")</f>
        <v>旺德</v>
      </c>
      <c r="C841" s="12" t="str">
        <f ca="1">IFERROR(__xludf.DUMMYFUNCTION("""COMPUTED_VALUE"""),"THOMSON")</f>
        <v>THOMSON</v>
      </c>
      <c r="D841" s="12" t="str">
        <f ca="1">IFERROR(__xludf.DUMMYFUNCTION("""COMPUTED_VALUE"""),"THOMSON多功能咖啡磨豆機(奶油白)TM-SAN03")</f>
        <v>THOMSON多功能咖啡磨豆機(奶油白)TM-SAN03</v>
      </c>
      <c r="E841" s="12" t="str">
        <f ca="1">IFERROR(__xludf.DUMMYFUNCTION("""COMPUTED_VALUE"""),"TM-SAN03")</f>
        <v>TM-SAN03</v>
      </c>
      <c r="F841" s="12">
        <f ca="1">IFERROR(__xludf.DUMMYFUNCTION("""COMPUTED_VALUE"""),51092113)</f>
        <v>51092113</v>
      </c>
      <c r="G841" s="12" t="str">
        <f ca="1">IFERROR(__xludf.DUMMYFUNCTION("""COMPUTED_VALUE"""),"IGEM094B")</f>
        <v>IGEM094B</v>
      </c>
      <c r="H841" s="13">
        <f ca="1">IFERROR(__xludf.DUMMYFUNCTION("""COMPUTED_VALUE"""),1290)</f>
        <v>1290</v>
      </c>
      <c r="I841" s="18">
        <f ca="1">IFERROR(__xludf.DUMMYFUNCTION("""COMPUTED_VALUE"""),890)</f>
        <v>890</v>
      </c>
      <c r="J841" s="16">
        <f ca="1">IFERROR(__xludf.DUMMYFUNCTION("""COMPUTED_VALUE"""),45717)</f>
        <v>45717</v>
      </c>
      <c r="K841" s="12" t="str">
        <f ca="1">IFERROR(__xludf.DUMMYFUNCTION("""COMPUTED_VALUE"""),"回價")</f>
        <v>回價</v>
      </c>
      <c r="L841" s="12" t="str">
        <f ca="1">IFERROR(__xludf.DUMMYFUNCTION("""COMPUTED_VALUE"""),"上架中")</f>
        <v>上架中</v>
      </c>
      <c r="M841" s="12" t="str">
        <f ca="1">IFERROR(__xludf.DUMMYFUNCTION("""COMPUTED_VALUE"""),"2024/12/1短促，6/25到貨，2024/5/21缺貨，2023/11/28新機上架")</f>
        <v>2024/12/1短促，6/25到貨，2024/5/21缺貨，2023/11/28新機上架</v>
      </c>
      <c r="N841" s="12" t="str">
        <f ca="1">IFERROR(__xludf.DUMMYFUNCTION("""COMPUTED_VALUE"""),"咖啡機/磨豆器")</f>
        <v>咖啡機/磨豆器</v>
      </c>
      <c r="O841" s="12" t="str">
        <f ca="1">IFERROR(__xludf.DUMMYFUNCTION("""COMPUTED_VALUE"""),"奶油白")</f>
        <v>奶油白</v>
      </c>
      <c r="P841" s="12" t="str">
        <f ca="1">IFERROR(__xludf.DUMMYFUNCTION("""COMPUTED_VALUE"""),"200ML (60g)")</f>
        <v>200ML (60g)</v>
      </c>
      <c r="Q841" s="12" t="str">
        <f ca="1">IFERROR(__xludf.DUMMYFUNCTION("""COMPUTED_VALUE"""),"110X110X180(mm)")</f>
        <v>110X110X180(mm)</v>
      </c>
      <c r="R841" s="12" t="str">
        <f ca="1">IFERROR(__xludf.DUMMYFUNCTION("""COMPUTED_VALUE"""),"中國")</f>
        <v>中國</v>
      </c>
      <c r="S841" s="12"/>
      <c r="T841" s="12"/>
      <c r="U841" s="12" t="str">
        <f ca="1">IFERROR(__xludf.DUMMYFUNCTION("""COMPUTED_VALUE"""),"1年")</f>
        <v>1年</v>
      </c>
      <c r="V841" s="12"/>
      <c r="W841" s="12"/>
      <c r="X841" s="12"/>
      <c r="Y841" s="12"/>
      <c r="Z841" s="14"/>
      <c r="AA841" s="15" t="str">
        <f ca="1">IFERROR(__xludf.DUMMYFUNCTION("""COMPUTED_VALUE"""),"*雙蓋設計，靜音也不怕飛粉*立體刀片，細膩研磨*一機多用，咖啡豆、五穀、調料，輕鬆粉碎*可透視頂蓋隨時掌握食材的粗細*#304不鏽鋼材質，使用更放心*過熱保護，以免損壞電機")</f>
        <v>*雙蓋設計，靜音也不怕飛粉*立體刀片，細膩研磨*一機多用，咖啡豆、五穀、調料，輕鬆粉碎*可透視頂蓋隨時掌握食材的粗細*#304不鏽鋼材質，使用更放心*過熱保護，以免損壞電機</v>
      </c>
    </row>
    <row r="842" spans="1:27" ht="19.5" customHeight="1">
      <c r="A842" s="12" t="str">
        <f ca="1">IFERROR(__xludf.DUMMYFUNCTION("""COMPUTED_VALUE"""),"廚房家電")</f>
        <v>廚房家電</v>
      </c>
      <c r="B842" s="12" t="str">
        <f ca="1">IFERROR(__xludf.DUMMYFUNCTION("""COMPUTED_VALUE"""),"旺德")</f>
        <v>旺德</v>
      </c>
      <c r="C842" s="12" t="str">
        <f ca="1">IFERROR(__xludf.DUMMYFUNCTION("""COMPUTED_VALUE"""),"THOMSON")</f>
        <v>THOMSON</v>
      </c>
      <c r="D842" s="12" t="str">
        <f ca="1">IFERROR(__xludf.DUMMYFUNCTION("""COMPUTED_VALUE"""),"THOMSON 無線桌面抽油煙機 TM-SASE01U")</f>
        <v>THOMSON 無線桌面抽油煙機 TM-SASE01U</v>
      </c>
      <c r="E842" s="12" t="str">
        <f ca="1">IFERROR(__xludf.DUMMYFUNCTION("""COMPUTED_VALUE"""),"TM-SASE01U")</f>
        <v>TM-SASE01U</v>
      </c>
      <c r="F842" s="12">
        <f ca="1">IFERROR(__xludf.DUMMYFUNCTION("""COMPUTED_VALUE"""),51092144)</f>
        <v>51092144</v>
      </c>
      <c r="G842" s="12" t="str">
        <f ca="1">IFERROR(__xludf.DUMMYFUNCTION("""COMPUTED_VALUE"""),"IGEM1124")</f>
        <v>IGEM1124</v>
      </c>
      <c r="H842" s="13">
        <f ca="1">IFERROR(__xludf.DUMMYFUNCTION("""COMPUTED_VALUE"""),3990)</f>
        <v>3990</v>
      </c>
      <c r="I842" s="14">
        <f ca="1">IFERROR(__xludf.DUMMYFUNCTION("""COMPUTED_VALUE"""),3990)</f>
        <v>3990</v>
      </c>
      <c r="J842" s="16">
        <f ca="1">IFERROR(__xludf.DUMMYFUNCTION("""COMPUTED_VALUE"""),45597)</f>
        <v>45597</v>
      </c>
      <c r="K842" s="12" t="str">
        <f ca="1">IFERROR(__xludf.DUMMYFUNCTION("""COMPUTED_VALUE"""),"新機上架")</f>
        <v>新機上架</v>
      </c>
      <c r="L842" s="12" t="str">
        <f ca="1">IFERROR(__xludf.DUMMYFUNCTION("""COMPUTED_VALUE"""),"上架中")</f>
        <v>上架中</v>
      </c>
      <c r="M842" s="12" t="str">
        <f ca="1">IFERROR(__xludf.DUMMYFUNCTION("""COMPUTED_VALUE"""),"2024/11/1新機上架")</f>
        <v>2024/11/1新機上架</v>
      </c>
      <c r="N842" s="12" t="str">
        <f ca="1">IFERROR(__xludf.DUMMYFUNCTION("""COMPUTED_VALUE"""),"排油煙機")</f>
        <v>排油煙機</v>
      </c>
      <c r="O842" s="12" t="str">
        <f ca="1">IFERROR(__xludf.DUMMYFUNCTION("""COMPUTED_VALUE"""),"潔淨白")</f>
        <v>潔淨白</v>
      </c>
      <c r="P842" s="12" t="str">
        <f ca="1">IFERROR(__xludf.DUMMYFUNCTION("""COMPUTED_VALUE"""),"額定輸入電壓/電流：5V⎓1A
 額定功率：11.5W
 電池容量：1800 mAH鋰電池 (充電時間約4hr、使用時間最高2hr、充飽電的狀態)
 材質：ABS 
 USB線長度：130 cm")</f>
        <v>額定輸入電壓/電流：5V⎓1A
 額定功率：11.5W
 電池容量：1800 mAH鋰電池 (充電時間約4hr、使用時間最高2hr、充飽電的狀態)
 材質：ABS 
 USB線長度：130 cm</v>
      </c>
      <c r="Q842" s="12" t="str">
        <f ca="1">IFERROR(__xludf.DUMMYFUNCTION("""COMPUTED_VALUE"""),"180*180*322(mm)")</f>
        <v>180*180*322(mm)</v>
      </c>
      <c r="R842" s="12" t="str">
        <f ca="1">IFERROR(__xludf.DUMMYFUNCTION("""COMPUTED_VALUE"""),"中國")</f>
        <v>中國</v>
      </c>
      <c r="S842" s="12"/>
      <c r="T842" s="12"/>
      <c r="U842" s="12"/>
      <c r="V842" s="12"/>
      <c r="W842" s="12"/>
      <c r="X842" s="12"/>
      <c r="Y842" s="12"/>
      <c r="Z842" s="14"/>
      <c r="AA842" s="15" t="str">
        <f ca="1">IFERROR(__xludf.DUMMYFUNCTION("""COMPUTED_VALUE"""),"*無線輕巧好攜帶，讓你烹飪不受線*廚房、小套房、室內燒烤、火鍋、露營，室內室外都通用*雙層濾網技術，過濾油煙又去除異味*朝上出風設計，放哪都不怕對人直吹*清潔方便，簡單更換濾網配件*直覺操作，兩段風速，最高3550rpm超強吸力")</f>
        <v>*無線輕巧好攜帶，讓你烹飪不受線*廚房、小套房、室內燒烤、火鍋、露營，室內室外都通用*雙層濾網技術，過濾油煙又去除異味*朝上出風設計，放哪都不怕對人直吹*清潔方便，簡單更換濾網配件*直覺操作，兩段風速，最高3550rpm超強吸力</v>
      </c>
    </row>
    <row r="843" spans="1:27" ht="19.5" customHeight="1">
      <c r="A843" s="12" t="str">
        <f ca="1">IFERROR(__xludf.DUMMYFUNCTION("""COMPUTED_VALUE"""),"廚房家電")</f>
        <v>廚房家電</v>
      </c>
      <c r="B843" s="12" t="str">
        <f ca="1">IFERROR(__xludf.DUMMYFUNCTION("""COMPUTED_VALUE"""),"旺德")</f>
        <v>旺德</v>
      </c>
      <c r="C843" s="12" t="str">
        <f ca="1">IFERROR(__xludf.DUMMYFUNCTION("""COMPUTED_VALUE"""),"SABA")</f>
        <v>SABA</v>
      </c>
      <c r="D843" s="12" t="str">
        <f ca="1">IFERROR(__xludf.DUMMYFUNCTION("""COMPUTED_VALUE"""),"SABA 1.7L玻璃快煮壺(小米白)SA-HK25")</f>
        <v>SABA 1.7L玻璃快煮壺(小米白)SA-HK25</v>
      </c>
      <c r="E843" s="12" t="str">
        <f ca="1">IFERROR(__xludf.DUMMYFUNCTION("""COMPUTED_VALUE"""),"SA-HK25")</f>
        <v>SA-HK25</v>
      </c>
      <c r="F843" s="12">
        <f ca="1">IFERROR(__xludf.DUMMYFUNCTION("""COMPUTED_VALUE"""),51092119)</f>
        <v>51092119</v>
      </c>
      <c r="G843" s="12" t="str">
        <f ca="1">IFERROR(__xludf.DUMMYFUNCTION("""COMPUTED_VALUE"""),"IGEM094I")</f>
        <v>IGEM094I</v>
      </c>
      <c r="H843" s="13">
        <f ca="1">IFERROR(__xludf.DUMMYFUNCTION("""COMPUTED_VALUE"""),799)</f>
        <v>799</v>
      </c>
      <c r="I843" s="18">
        <f ca="1">IFERROR(__xludf.DUMMYFUNCTION("""COMPUTED_VALUE"""),599)</f>
        <v>599</v>
      </c>
      <c r="J843" s="16">
        <f ca="1">IFERROR(__xludf.DUMMYFUNCTION("""COMPUTED_VALUE"""),46004)</f>
        <v>46004</v>
      </c>
      <c r="K843" s="12" t="str">
        <f ca="1">IFERROR(__xludf.DUMMYFUNCTION("""COMPUTED_VALUE"""),"缺貨")</f>
        <v>缺貨</v>
      </c>
      <c r="L843" s="12" t="str">
        <f ca="1">IFERROR(__xludf.DUMMYFUNCTION("""COMPUTED_VALUE"""),"缺貨")</f>
        <v>缺貨</v>
      </c>
      <c r="M843" s="12" t="str">
        <f ca="1">IFERROR(__xludf.DUMMYFUNCTION("""COMPUTED_VALUE"""),"12/13缺貨，2024/12/1短促，2024/8/15到貨，2023/12/19缺貨2023/11/28新機上架")</f>
        <v>12/13缺貨，2024/12/1短促，2024/8/15到貨，2023/12/19缺貨2023/11/28新機上架</v>
      </c>
      <c r="N843" s="12" t="str">
        <f ca="1">IFERROR(__xludf.DUMMYFUNCTION("""COMPUTED_VALUE"""),"快煮壺/料理壺/手沖壺")</f>
        <v>快煮壺/料理壺/手沖壺</v>
      </c>
      <c r="O843" s="12" t="str">
        <f ca="1">IFERROR(__xludf.DUMMYFUNCTION("""COMPUTED_VALUE"""),"小米白")</f>
        <v>小米白</v>
      </c>
      <c r="P843" s="12" t="str">
        <f ca="1">IFERROR(__xludf.DUMMYFUNCTION("""COMPUTED_VALUE"""),"容量：1.7 L")</f>
        <v>容量：1.7 L</v>
      </c>
      <c r="Q843" s="12" t="str">
        <f ca="1">IFERROR(__xludf.DUMMYFUNCTION("""COMPUTED_VALUE"""),"205X148X229(mm)")</f>
        <v>205X148X229(mm)</v>
      </c>
      <c r="R843" s="12" t="str">
        <f ca="1">IFERROR(__xludf.DUMMYFUNCTION("""COMPUTED_VALUE"""),"中國")</f>
        <v>中國</v>
      </c>
      <c r="S843" s="12"/>
      <c r="T843" s="12"/>
      <c r="U843" s="12" t="str">
        <f ca="1">IFERROR(__xludf.DUMMYFUNCTION("""COMPUTED_VALUE"""),"1年")</f>
        <v>1年</v>
      </c>
      <c r="V843" s="12"/>
      <c r="W843" s="12"/>
      <c r="X843" s="12"/>
      <c r="Y843" s="12"/>
      <c r="Z843" s="14"/>
      <c r="AA843" s="15" t="str">
        <f ca="1">IFERROR(__xludf.DUMMYFUNCTION("""COMPUTED_VALUE"""),"*三重安全保護裝置：沸騰智能斷電開關、防乾燒安全保護裝置、溫度保險絲*高強度耐熱透明玻璃壺身設計*搭配360度可旋轉底座，安全又便利*LED加熱指示燈*1.7L大容量設計                
")</f>
        <v xml:space="preserve">*三重安全保護裝置：沸騰智能斷電開關、防乾燒安全保護裝置、溫度保險絲*高強度耐熱透明玻璃壺身設計*搭配360度可旋轉底座，安全又便利*LED加熱指示燈*1.7L大容量設計                
</v>
      </c>
    </row>
    <row r="844" spans="1:27" ht="19.5" customHeight="1">
      <c r="A844" s="12" t="str">
        <f ca="1">IFERROR(__xludf.DUMMYFUNCTION("""COMPUTED_VALUE"""),"廚房家電")</f>
        <v>廚房家電</v>
      </c>
      <c r="B844" s="12" t="str">
        <f ca="1">IFERROR(__xludf.DUMMYFUNCTION("""COMPUTED_VALUE"""),"旺德")</f>
        <v>旺德</v>
      </c>
      <c r="C844" s="12" t="str">
        <f ca="1">IFERROR(__xludf.DUMMYFUNCTION("""COMPUTED_VALUE"""),"SABA")</f>
        <v>SABA</v>
      </c>
      <c r="D844" s="12" t="str">
        <f ca="1">IFERROR(__xludf.DUMMYFUNCTION("""COMPUTED_VALUE"""),"SABA 1.7L防爆玻璃快煮壺 SA-HK42")</f>
        <v>SABA 1.7L防爆玻璃快煮壺 SA-HK42</v>
      </c>
      <c r="E844" s="12" t="str">
        <f ca="1">IFERROR(__xludf.DUMMYFUNCTION("""COMPUTED_VALUE"""),"SA-HK42")</f>
        <v>SA-HK42</v>
      </c>
      <c r="F844" s="12">
        <f ca="1">IFERROR(__xludf.DUMMYFUNCTION("""COMPUTED_VALUE"""),51092140)</f>
        <v>51092140</v>
      </c>
      <c r="G844" s="12" t="str">
        <f ca="1">IFERROR(__xludf.DUMMYFUNCTION("""COMPUTED_VALUE"""),"IGEM111Z")</f>
        <v>IGEM111Z</v>
      </c>
      <c r="H844" s="13">
        <f ca="1">IFERROR(__xludf.DUMMYFUNCTION("""COMPUTED_VALUE"""),799)</f>
        <v>799</v>
      </c>
      <c r="I844" s="14">
        <f ca="1">IFERROR(__xludf.DUMMYFUNCTION("""COMPUTED_VALUE"""),599)</f>
        <v>599</v>
      </c>
      <c r="J844" s="16">
        <f ca="1">IFERROR(__xludf.DUMMYFUNCTION("""COMPUTED_VALUE"""),45717)</f>
        <v>45717</v>
      </c>
      <c r="K844" s="12" t="str">
        <f ca="1">IFERROR(__xludf.DUMMYFUNCTION("""COMPUTED_VALUE"""),"回價")</f>
        <v>回價</v>
      </c>
      <c r="L844" s="12" t="str">
        <f ca="1">IFERROR(__xludf.DUMMYFUNCTION("""COMPUTED_VALUE"""),"上架中")</f>
        <v>上架中</v>
      </c>
      <c r="M844" s="12" t="str">
        <f ca="1">IFERROR(__xludf.DUMMYFUNCTION("""COMPUTED_VALUE"""),"2024/12/1短促，2024/11/1新機上架")</f>
        <v>2024/12/1短促，2024/11/1新機上架</v>
      </c>
      <c r="N844" s="12" t="str">
        <f ca="1">IFERROR(__xludf.DUMMYFUNCTION("""COMPUTED_VALUE"""),"快煮壺/料理壺/手沖壺")</f>
        <v>快煮壺/料理壺/手沖壺</v>
      </c>
      <c r="O844" s="12" t="str">
        <f ca="1">IFERROR(__xludf.DUMMYFUNCTION("""COMPUTED_VALUE"""),"玻璃")</f>
        <v>玻璃</v>
      </c>
      <c r="P844" s="12" t="str">
        <f ca="1">IFERROR(__xludf.DUMMYFUNCTION("""COMPUTED_VALUE"""),"額定電壓/頻率：110V~60Hz
 額定消耗功率：1000W
 容量：1.7 L
 材質：高硼矽玻璃
 材質：304不鏽鋼上蓋、發熱盤")</f>
        <v>額定電壓/頻率：110V~60Hz
 額定消耗功率：1000W
 容量：1.7 L
 材質：高硼矽玻璃
 材質：304不鏽鋼上蓋、發熱盤</v>
      </c>
      <c r="Q844" s="12" t="str">
        <f ca="1">IFERROR(__xludf.DUMMYFUNCTION("""COMPUTED_VALUE"""),"225*155*245(mm)")</f>
        <v>225*155*245(mm)</v>
      </c>
      <c r="R844" s="12" t="str">
        <f ca="1">IFERROR(__xludf.DUMMYFUNCTION("""COMPUTED_VALUE"""),"中國")</f>
        <v>中國</v>
      </c>
      <c r="S844" s="12"/>
      <c r="T844" s="12"/>
      <c r="U844" s="12"/>
      <c r="V844" s="12"/>
      <c r="W844" s="12"/>
      <c r="X844" s="12"/>
      <c r="Y844" s="12"/>
      <c r="Z844" s="14"/>
      <c r="AA844" s="15" t="str">
        <f ca="1">IFERROR(__xludf.DUMMYFUNCTION("""COMPUTED_VALUE"""),"*採用#304不鏽鋼加熱盤、#304不銹鋼上蓋*三重安全保護裝置：沸騰智能斷電開關、防乾燒安全保護裝置、溫度保險絲*高強度耐熱透明玻璃壺身設計*搭配360度可旋轉底座，安全又便利*LED加熱指示燈")</f>
        <v>*採用#304不鏽鋼加熱盤、#304不銹鋼上蓋*三重安全保護裝置：沸騰智能斷電開關、防乾燒安全保護裝置、溫度保險絲*高強度耐熱透明玻璃壺身設計*搭配360度可旋轉底座，安全又便利*LED加熱指示燈</v>
      </c>
    </row>
    <row r="845" spans="1:27" ht="19.5" customHeight="1">
      <c r="A845" s="12" t="str">
        <f ca="1">IFERROR(__xludf.DUMMYFUNCTION("""COMPUTED_VALUE"""),"廚房家電")</f>
        <v>廚房家電</v>
      </c>
      <c r="B845" s="12" t="str">
        <f ca="1">IFERROR(__xludf.DUMMYFUNCTION("""COMPUTED_VALUE"""),"旺德")</f>
        <v>旺德</v>
      </c>
      <c r="C845" s="12" t="str">
        <f ca="1">IFERROR(__xludf.DUMMYFUNCTION("""COMPUTED_VALUE"""),"WONDER")</f>
        <v>WONDER</v>
      </c>
      <c r="D845" s="12" t="str">
        <f ca="1">IFERROR(__xludf.DUMMYFUNCTION("""COMPUTED_VALUE"""),"WONDER 3L麥飯石不沾黏電火鍋WH-K58")</f>
        <v>WONDER 3L麥飯石不沾黏電火鍋WH-K58</v>
      </c>
      <c r="E845" s="12" t="str">
        <f ca="1">IFERROR(__xludf.DUMMYFUNCTION("""COMPUTED_VALUE"""),"WH-K58")</f>
        <v>WH-K58</v>
      </c>
      <c r="F845" s="12">
        <f ca="1">IFERROR(__xludf.DUMMYFUNCTION("""COMPUTED_VALUE"""),51092091)</f>
        <v>51092091</v>
      </c>
      <c r="G845" s="12" t="str">
        <f ca="1">IFERROR(__xludf.DUMMYFUNCTION("""COMPUTED_VALUE"""),"IGEM074G")</f>
        <v>IGEM074G</v>
      </c>
      <c r="H845" s="12">
        <f ca="1">IFERROR(__xludf.DUMMYFUNCTION("""COMPUTED_VALUE"""),990)</f>
        <v>990</v>
      </c>
      <c r="I845" s="14">
        <f ca="1">IFERROR(__xludf.DUMMYFUNCTION("""COMPUTED_VALUE"""),790)</f>
        <v>790</v>
      </c>
      <c r="J845" s="16">
        <f ca="1">IFERROR(__xludf.DUMMYFUNCTION("""COMPUTED_VALUE"""),45717)</f>
        <v>45717</v>
      </c>
      <c r="K845" s="12" t="str">
        <f ca="1">IFERROR(__xludf.DUMMYFUNCTION("""COMPUTED_VALUE"""),"回價")</f>
        <v>回價</v>
      </c>
      <c r="L845" s="12" t="str">
        <f ca="1">IFERROR(__xludf.DUMMYFUNCTION("""COMPUTED_VALUE"""),"上架中")</f>
        <v>上架中</v>
      </c>
      <c r="M845" s="12" t="str">
        <f ca="1">IFERROR(__xludf.DUMMYFUNCTION("""COMPUTED_VALUE"""),"2024/12/1短促，2024/1/1回價2023/12/1短促2023/1/10新機上架")</f>
        <v>2024/12/1短促，2024/1/1回價2023/12/1短促2023/1/10新機上架</v>
      </c>
      <c r="N845" s="12" t="str">
        <f ca="1">IFERROR(__xludf.DUMMYFUNCTION("""COMPUTED_VALUE"""),"美食鍋/料理鍋/快煮鍋")</f>
        <v>美食鍋/料理鍋/快煮鍋</v>
      </c>
      <c r="O845" s="12" t="str">
        <f ca="1">IFERROR(__xludf.DUMMYFUNCTION("""COMPUTED_VALUE"""),"綠")</f>
        <v>綠</v>
      </c>
      <c r="P845" s="12" t="str">
        <f ca="1">IFERROR(__xludf.DUMMYFUNCTION("""COMPUTED_VALUE"""),"額定電壓/頻率:110V~60Hz 、總額定消耗電功率:1000W、鍋身容量:3L、最高水位線:2.3L")</f>
        <v>額定電壓/頻率:110V~60Hz 、總額定消耗電功率:1000W、鍋身容量:3L、最高水位線:2.3L</v>
      </c>
      <c r="Q845" s="12" t="str">
        <f ca="1">IFERROR(__xludf.DUMMYFUNCTION("""COMPUTED_VALUE"""),"315X261X185(mm)")</f>
        <v>315X261X185(mm)</v>
      </c>
      <c r="R845" s="12" t="str">
        <f ca="1">IFERROR(__xludf.DUMMYFUNCTION("""COMPUTED_VALUE"""),"中國")</f>
        <v>中國</v>
      </c>
      <c r="S845" s="12"/>
      <c r="T845" s="12"/>
      <c r="U845" s="12" t="str">
        <f ca="1">IFERROR(__xludf.DUMMYFUNCTION("""COMPUTED_VALUE"""),"1年")</f>
        <v>1年</v>
      </c>
      <c r="V845" s="12"/>
      <c r="W845" s="12"/>
      <c r="X845" s="12"/>
      <c r="Y845" s="12"/>
      <c r="Z845" s="14"/>
      <c r="AA845" s="15" t="str">
        <f ca="1">IFERROR(__xludf.DUMMYFUNCTION("""COMPUTED_VALUE"""),"*雙層防燙安全設計*兩檔火力可調，火力自由調整 *料理多功能，煎、炒、燉、煮*雙重安全保護：防空燒、溫度保險絲*3L大容量")</f>
        <v>*雙層防燙安全設計*兩檔火力可調，火力自由調整 *料理多功能，煎、炒、燉、煮*雙重安全保護：防空燒、溫度保險絲*3L大容量</v>
      </c>
    </row>
    <row r="846" spans="1:27" ht="19.5" customHeight="1">
      <c r="A846" s="12" t="str">
        <f ca="1">IFERROR(__xludf.DUMMYFUNCTION("""COMPUTED_VALUE"""),"廚房家電")</f>
        <v>廚房家電</v>
      </c>
      <c r="B846" s="12" t="str">
        <f ca="1">IFERROR(__xludf.DUMMYFUNCTION("""COMPUTED_VALUE"""),"旺德")</f>
        <v>旺德</v>
      </c>
      <c r="C846" s="12" t="str">
        <f ca="1">IFERROR(__xludf.DUMMYFUNCTION("""COMPUTED_VALUE"""),"WONDER")</f>
        <v>WONDER</v>
      </c>
      <c r="D846" s="12" t="str">
        <f ca="1">IFERROR(__xludf.DUMMYFUNCTION("""COMPUTED_VALUE"""),"WONDER 1.7L 陶瓷多功能直柄電火鍋 WH-K61")</f>
        <v>WONDER 1.7L 陶瓷多功能直柄電火鍋 WH-K61</v>
      </c>
      <c r="E846" s="12" t="str">
        <f ca="1">IFERROR(__xludf.DUMMYFUNCTION("""COMPUTED_VALUE"""),"WH-K61")</f>
        <v>WH-K61</v>
      </c>
      <c r="F846" s="12">
        <f ca="1">IFERROR(__xludf.DUMMYFUNCTION("""COMPUTED_VALUE"""),51092141)</f>
        <v>51092141</v>
      </c>
      <c r="G846" s="12" t="str">
        <f ca="1">IFERROR(__xludf.DUMMYFUNCTION("""COMPUTED_VALUE"""),"IGEM1121")</f>
        <v>IGEM1121</v>
      </c>
      <c r="H846" s="13">
        <f ca="1">IFERROR(__xludf.DUMMYFUNCTION("""COMPUTED_VALUE"""),990)</f>
        <v>990</v>
      </c>
      <c r="I846" s="14">
        <f ca="1">IFERROR(__xludf.DUMMYFUNCTION("""COMPUTED_VALUE"""),699)</f>
        <v>699</v>
      </c>
      <c r="J846" s="16">
        <f ca="1">IFERROR(__xludf.DUMMYFUNCTION("""COMPUTED_VALUE"""),45717)</f>
        <v>45717</v>
      </c>
      <c r="K846" s="12" t="str">
        <f ca="1">IFERROR(__xludf.DUMMYFUNCTION("""COMPUTED_VALUE"""),"回價")</f>
        <v>回價</v>
      </c>
      <c r="L846" s="12" t="str">
        <f ca="1">IFERROR(__xludf.DUMMYFUNCTION("""COMPUTED_VALUE"""),"上架中")</f>
        <v>上架中</v>
      </c>
      <c r="M846" s="12" t="str">
        <f ca="1">IFERROR(__xludf.DUMMYFUNCTION("""COMPUTED_VALUE"""),"2024/11/1新機上架")</f>
        <v>2024/11/1新機上架</v>
      </c>
      <c r="N846" s="12" t="str">
        <f ca="1">IFERROR(__xludf.DUMMYFUNCTION("""COMPUTED_VALUE"""),"美食鍋/料理鍋/快煮鍋")</f>
        <v>美食鍋/料理鍋/快煮鍋</v>
      </c>
      <c r="O846" s="12" t="str">
        <f ca="1">IFERROR(__xludf.DUMMYFUNCTION("""COMPUTED_VALUE"""),"藍")</f>
        <v>藍</v>
      </c>
      <c r="P846" s="12" t="str">
        <f ca="1">IFERROR(__xludf.DUMMYFUNCTION("""COMPUTED_VALUE"""),"額定電壓/頻率:110V~/60Hz
 總額定消耗電功率:600W
 容量:1.7L")</f>
        <v>額定電壓/頻率:110V~/60Hz
 總額定消耗電功率:600W
 容量:1.7L</v>
      </c>
      <c r="Q846" s="12" t="str">
        <f ca="1">IFERROR(__xludf.DUMMYFUNCTION("""COMPUTED_VALUE"""),"365*202*145(mm)")</f>
        <v>365*202*145(mm)</v>
      </c>
      <c r="R846" s="12" t="str">
        <f ca="1">IFERROR(__xludf.DUMMYFUNCTION("""COMPUTED_VALUE"""),"中國")</f>
        <v>中國</v>
      </c>
      <c r="S846" s="12"/>
      <c r="T846" s="12"/>
      <c r="U846" s="12"/>
      <c r="V846" s="12"/>
      <c r="W846" s="12"/>
      <c r="X846" s="12"/>
      <c r="Y846" s="12"/>
      <c r="Z846" s="14"/>
      <c r="AA846" s="15" t="str">
        <f ca="1">IFERROR(__xludf.DUMMYFUNCTION("""COMPUTED_VALUE"""),"*陶瓷不沾黏塗層*鍋身雙層防燙安全設計*燉煮、煎炒多功能*雙檔開關，簡易操作*分離式電源，小巧易收納*多重安全保護:防空燒、溫度保險絲、底盤防火阻燃材質")</f>
        <v>*陶瓷不沾黏塗層*鍋身雙層防燙安全設計*燉煮、煎炒多功能*雙檔開關，簡易操作*分離式電源，小巧易收納*多重安全保護:防空燒、溫度保險絲、底盤防火阻燃材質</v>
      </c>
    </row>
    <row r="847" spans="1:27" ht="19.5" customHeight="1">
      <c r="A847" s="12" t="str">
        <f ca="1">IFERROR(__xludf.DUMMYFUNCTION("""COMPUTED_VALUE"""),"廚房家電")</f>
        <v>廚房家電</v>
      </c>
      <c r="B847" s="12" t="str">
        <f ca="1">IFERROR(__xludf.DUMMYFUNCTION("""COMPUTED_VALUE"""),"凱創")</f>
        <v>凱創</v>
      </c>
      <c r="C847" s="12" t="str">
        <f ca="1">IFERROR(__xludf.DUMMYFUNCTION("""COMPUTED_VALUE"""),"Tefal")</f>
        <v>Tefal</v>
      </c>
      <c r="D847" s="12" t="str">
        <f ca="1">IFERROR(__xludf.DUMMYFUNCTION("""COMPUTED_VALUE"""),"法國特福 ActiFry氣炸鍋_舞滋芭蕾白_FZ760070 (贈酥炸籃)")</f>
        <v>法國特福 ActiFry氣炸鍋_舞滋芭蕾白_FZ760070 (贈酥炸籃)</v>
      </c>
      <c r="E847" s="12" t="str">
        <f ca="1">IFERROR(__xludf.DUMMYFUNCTION("""COMPUTED_VALUE"""),"FZ760070")</f>
        <v>FZ760070</v>
      </c>
      <c r="F847" s="12">
        <f ca="1">IFERROR(__xludf.DUMMYFUNCTION("""COMPUTED_VALUE"""),51084327)</f>
        <v>51084327</v>
      </c>
      <c r="G847" s="12" t="str">
        <f ca="1">IFERROR(__xludf.DUMMYFUNCTION("""COMPUTED_VALUE"""),"IGEM0994")</f>
        <v>IGEM0994</v>
      </c>
      <c r="H847" s="13">
        <f ca="1">IFERROR(__xludf.DUMMYFUNCTION("""COMPUTED_VALUE"""),10900)</f>
        <v>10900</v>
      </c>
      <c r="I847" s="14">
        <f ca="1">IFERROR(__xludf.DUMMYFUNCTION("""COMPUTED_VALUE"""),4590)</f>
        <v>4590</v>
      </c>
      <c r="J847" s="16">
        <f ca="1">IFERROR(__xludf.DUMMYFUNCTION("""COMPUTED_VALUE"""),45474)</f>
        <v>45474</v>
      </c>
      <c r="K847" s="12" t="str">
        <f ca="1">IFERROR(__xludf.DUMMYFUNCTION("""COMPUTED_VALUE"""),"短促")</f>
        <v>短促</v>
      </c>
      <c r="L847" s="12" t="str">
        <f ca="1">IFERROR(__xludf.DUMMYFUNCTION("""COMPUTED_VALUE"""),"上架中")</f>
        <v>上架中</v>
      </c>
      <c r="M847" s="12" t="str">
        <f ca="1">IFERROR(__xludf.DUMMYFUNCTION("""COMPUTED_VALUE"""),"2024/7/1短促，2024/6/1短促，2024/4/1新機上架")</f>
        <v>2024/7/1短促，2024/6/1短促，2024/4/1新機上架</v>
      </c>
      <c r="N847" s="12" t="str">
        <f ca="1">IFERROR(__xludf.DUMMYFUNCTION("""COMPUTED_VALUE"""),"氣炸鍋")</f>
        <v>氣炸鍋</v>
      </c>
      <c r="O847" s="12" t="str">
        <f ca="1">IFERROR(__xludf.DUMMYFUNCTION("""COMPUTED_VALUE"""),"白")</f>
        <v>白</v>
      </c>
      <c r="P847" s="12" t="str">
        <f ca="1">IFERROR(__xludf.DUMMYFUNCTION("""COMPUTED_VALUE"""),"◆容量：1.2kg
◆額定電壓/頻率：110V/60Hz
◆額定消耗功率：1000W
◆商品尺寸：寬27 x 長40 x 高25 cm
◆商品重量：3.7 kg
◆商品材質：機身-塑膠、玻璃／內鍋-鋁合金、塑膠
◆商檢字號：R31663")</f>
        <v>◆容量：1.2kg
◆額定電壓/頻率：110V/60Hz
◆額定消耗功率：1000W
◆商品尺寸：寬27 x 長40 x 高25 cm
◆商品重量：3.7 kg
◆商品材質：機身-塑膠、玻璃／內鍋-鋁合金、塑膠
◆商檢字號：R31663</v>
      </c>
      <c r="Q847" s="12" t="str">
        <f ca="1">IFERROR(__xludf.DUMMYFUNCTION("""COMPUTED_VALUE"""),"高250x寬270 x 長400mm")</f>
        <v>高250x寬270 x 長400mm</v>
      </c>
      <c r="R847" s="12" t="str">
        <f ca="1">IFERROR(__xludf.DUMMYFUNCTION("""COMPUTED_VALUE"""),"法國")</f>
        <v>法國</v>
      </c>
      <c r="S847" s="12"/>
      <c r="T847" s="12"/>
      <c r="U847" s="12" t="str">
        <f ca="1">IFERROR(__xludf.DUMMYFUNCTION("""COMPUTED_VALUE"""),"正常使用下保固1年，上網登錄再延長1年")</f>
        <v>正常使用下保固1年，上網登錄再延長1年</v>
      </c>
      <c r="V847" s="12"/>
      <c r="W847" s="12"/>
      <c r="X847" s="12"/>
      <c r="Y847" s="12"/>
      <c r="Z847" s="14"/>
      <c r="AA847" s="15" t="str">
        <f ca="1">IFERROR(__xludf.DUMMYFUNCTION("""COMPUTED_VALUE"""),"◆法國鍋具專家製造出品◆炒炸煎燉烤烘，樣樣都上手◆自動拌炒食材，無須手動翻面◆龍捲風動態熱流，循環熱能效率烹煮◆9種智慧模式，自動烹調◆25cm內鍋大容量，可放2隻全雞◆透明上蓋天窗，掌握料理進度")</f>
        <v>◆法國鍋具專家製造出品◆炒炸煎燉烤烘，樣樣都上手◆自動拌炒食材，無須手動翻面◆龍捲風動態熱流，循環熱能效率烹煮◆9種智慧模式，自動烹調◆25cm內鍋大容量，可放2隻全雞◆透明上蓋天窗，掌握料理進度</v>
      </c>
    </row>
    <row r="848" spans="1:27" ht="19.5" customHeight="1">
      <c r="A848" s="12" t="str">
        <f ca="1">IFERROR(__xludf.DUMMYFUNCTION("""COMPUTED_VALUE"""),"廚房家電")</f>
        <v>廚房家電</v>
      </c>
      <c r="B848" s="12" t="str">
        <f ca="1">IFERROR(__xludf.DUMMYFUNCTION("""COMPUTED_VALUE"""),"凱創")</f>
        <v>凱創</v>
      </c>
      <c r="C848" s="12" t="str">
        <f ca="1">IFERROR(__xludf.DUMMYFUNCTION("""COMPUTED_VALUE"""),"Tefal")</f>
        <v>Tefal</v>
      </c>
      <c r="D848" s="12" t="str">
        <f ca="1">IFERROR(__xludf.DUMMYFUNCTION("""COMPUTED_VALUE"""),"法國特福 ActiFry氣炸鍋_動滋旋風黑_FZ760070 (贈酥炸籃)")</f>
        <v>法國特福 ActiFry氣炸鍋_動滋旋風黑_FZ760070 (贈酥炸籃)</v>
      </c>
      <c r="E848" s="12" t="str">
        <f ca="1">IFERROR(__xludf.DUMMYFUNCTION("""COMPUTED_VALUE"""),"FZ760870")</f>
        <v>FZ760870</v>
      </c>
      <c r="F848" s="12">
        <f ca="1">IFERROR(__xludf.DUMMYFUNCTION("""COMPUTED_VALUE"""),51084328)</f>
        <v>51084328</v>
      </c>
      <c r="G848" s="12" t="str">
        <f ca="1">IFERROR(__xludf.DUMMYFUNCTION("""COMPUTED_VALUE"""),"IGEM0995")</f>
        <v>IGEM0995</v>
      </c>
      <c r="H848" s="13">
        <f ca="1">IFERROR(__xludf.DUMMYFUNCTION("""COMPUTED_VALUE"""),10900)</f>
        <v>10900</v>
      </c>
      <c r="I848" s="14">
        <f ca="1">IFERROR(__xludf.DUMMYFUNCTION("""COMPUTED_VALUE"""),4590)</f>
        <v>4590</v>
      </c>
      <c r="J848" s="16">
        <f ca="1">IFERROR(__xludf.DUMMYFUNCTION("""COMPUTED_VALUE"""),45474)</f>
        <v>45474</v>
      </c>
      <c r="K848" s="12" t="str">
        <f ca="1">IFERROR(__xludf.DUMMYFUNCTION("""COMPUTED_VALUE"""),"短促")</f>
        <v>短促</v>
      </c>
      <c r="L848" s="12" t="str">
        <f ca="1">IFERROR(__xludf.DUMMYFUNCTION("""COMPUTED_VALUE"""),"上架中")</f>
        <v>上架中</v>
      </c>
      <c r="M848" s="12" t="str">
        <f ca="1">IFERROR(__xludf.DUMMYFUNCTION("""COMPUTED_VALUE"""),"2024/7/1短促，2024/6/1短促，2024/4/1新機上架")</f>
        <v>2024/7/1短促，2024/6/1短促，2024/4/1新機上架</v>
      </c>
      <c r="N848" s="12" t="str">
        <f ca="1">IFERROR(__xludf.DUMMYFUNCTION("""COMPUTED_VALUE"""),"氣炸鍋")</f>
        <v>氣炸鍋</v>
      </c>
      <c r="O848" s="12" t="str">
        <f ca="1">IFERROR(__xludf.DUMMYFUNCTION("""COMPUTED_VALUE"""),"黑")</f>
        <v>黑</v>
      </c>
      <c r="P848" s="12" t="str">
        <f ca="1">IFERROR(__xludf.DUMMYFUNCTION("""COMPUTED_VALUE"""),"◆容量：1.2kg
◆額定電壓/頻率：110V/60Hz
◆額定消耗功率：1000W
◆商品尺寸：寬27 x 長40 x 高25 cm
◆商品重量：3.7 kg
◆商品材質：機身-塑膠、玻璃／內鍋-鋁合金、塑膠
◆商檢字號：R31663")</f>
        <v>◆容量：1.2kg
◆額定電壓/頻率：110V/60Hz
◆額定消耗功率：1000W
◆商品尺寸：寬27 x 長40 x 高25 cm
◆商品重量：3.7 kg
◆商品材質：機身-塑膠、玻璃／內鍋-鋁合金、塑膠
◆商檢字號：R31663</v>
      </c>
      <c r="Q848" s="12" t="str">
        <f ca="1">IFERROR(__xludf.DUMMYFUNCTION("""COMPUTED_VALUE""")," 高250 x寬270 x 長400mm")</f>
        <v xml:space="preserve"> 高250 x寬270 x 長400mm</v>
      </c>
      <c r="R848" s="12" t="str">
        <f ca="1">IFERROR(__xludf.DUMMYFUNCTION("""COMPUTED_VALUE"""),"法國")</f>
        <v>法國</v>
      </c>
      <c r="S848" s="12"/>
      <c r="T848" s="12"/>
      <c r="U848" s="12" t="str">
        <f ca="1">IFERROR(__xludf.DUMMYFUNCTION("""COMPUTED_VALUE"""),"正常使用下保固1年，上網登錄再延長1年")</f>
        <v>正常使用下保固1年，上網登錄再延長1年</v>
      </c>
      <c r="V848" s="12"/>
      <c r="W848" s="12"/>
      <c r="X848" s="12"/>
      <c r="Y848" s="12"/>
      <c r="Z848" s="14"/>
      <c r="AA848" s="15" t="str">
        <f ca="1">IFERROR(__xludf.DUMMYFUNCTION("""COMPUTED_VALUE"""),"◆法國鍋具專家製造出品◆炒炸煎燉烤烘，樣樣都上手◆自動拌炒食材，無須手動翻面◆龍捲風動態熱流，循環熱能效率烹煮◆9種智慧模式，自動烹調◆25cm內鍋大容量，可放2隻全雞◆透明上蓋天窗，掌握料理進度")</f>
        <v>◆法國鍋具專家製造出品◆炒炸煎燉烤烘，樣樣都上手◆自動拌炒食材，無須手動翻面◆龍捲風動態熱流，循環熱能效率烹煮◆9種智慧模式，自動烹調◆25cm內鍋大容量，可放2隻全雞◆透明上蓋天窗，掌握料理進度</v>
      </c>
    </row>
    <row r="849" spans="1:27" ht="19.5" customHeight="1">
      <c r="A849" s="12" t="str">
        <f ca="1">IFERROR(__xludf.DUMMYFUNCTION("""COMPUTED_VALUE"""),"廚房家電")</f>
        <v>廚房家電</v>
      </c>
      <c r="B849" s="12" t="str">
        <f ca="1">IFERROR(__xludf.DUMMYFUNCTION("""COMPUTED_VALUE"""),"凱創")</f>
        <v>凱創</v>
      </c>
      <c r="C849" s="12" t="str">
        <f ca="1">IFERROR(__xludf.DUMMYFUNCTION("""COMPUTED_VALUE"""),"Siroca")</f>
        <v>Siroca</v>
      </c>
      <c r="D849" s="12" t="str">
        <f ca="1">IFERROR(__xludf.DUMMYFUNCTION("""COMPUTED_VALUE"""),"日本Siroca 4L微電腦壓力鍋SP-4D1510-W")</f>
        <v>日本Siroca 4L微電腦壓力鍋SP-4D1510-W</v>
      </c>
      <c r="E849" s="12" t="str">
        <f ca="1">IFERROR(__xludf.DUMMYFUNCTION("""COMPUTED_VALUE"""),"SP-4D1510-W")</f>
        <v>SP-4D1510-W</v>
      </c>
      <c r="F849" s="12">
        <f ca="1">IFERROR(__xludf.DUMMYFUNCTION("""COMPUTED_VALUE"""),51084311)</f>
        <v>51084311</v>
      </c>
      <c r="G849" s="12" t="str">
        <f ca="1">IFERROR(__xludf.DUMMYFUNCTION("""COMPUTED_VALUE"""),"IGEM0925")</f>
        <v>IGEM0925</v>
      </c>
      <c r="H849" s="12">
        <f ca="1">IFERROR(__xludf.DUMMYFUNCTION("""COMPUTED_VALUE"""),8990)</f>
        <v>8990</v>
      </c>
      <c r="I849" s="14">
        <f ca="1">IFERROR(__xludf.DUMMYFUNCTION("""COMPUTED_VALUE"""),3000)</f>
        <v>3000</v>
      </c>
      <c r="J849" s="21">
        <f ca="1">IFERROR(__xludf.DUMMYFUNCTION("""COMPUTED_VALUE"""),45413)</f>
        <v>45413</v>
      </c>
      <c r="K849" s="12" t="str">
        <f ca="1">IFERROR(__xludf.DUMMYFUNCTION("""COMPUTED_VALUE"""),"短促")</f>
        <v>短促</v>
      </c>
      <c r="L849" s="12" t="str">
        <f ca="1">IFERROR(__xludf.DUMMYFUNCTION("""COMPUTED_VALUE"""),"上架中")</f>
        <v>上架中</v>
      </c>
      <c r="M849" s="12"/>
      <c r="N849" s="12" t="str">
        <f ca="1">IFERROR(__xludf.DUMMYFUNCTION("""COMPUTED_VALUE"""),"壓力鍋/燉鍋/萬用鍋/蒸煮鍋")</f>
        <v>壓力鍋/燉鍋/萬用鍋/蒸煮鍋</v>
      </c>
      <c r="O849" s="12" t="str">
        <f ca="1">IFERROR(__xludf.DUMMYFUNCTION("""COMPUTED_VALUE"""),"白")</f>
        <v>白</v>
      </c>
      <c r="P849" s="12" t="str">
        <f ca="1">IFERROR(__xludf.DUMMYFUNCTION("""COMPUTED_VALUE"""),"◆額定電壓/頻率：110V/60Hz
◆消耗功率：800W
◆商品尺寸：寬26.5 x 深28.2 x 高28.3 cm
◆商品重量：4.4 kg
◆烹調容量：2.6L
◆公稱容量(滿水容量)：4L
◆最高使用壓力：90 kPa表壓力
◆溫度保險絲：157°C
◆配件：量杯、蒸盤、內蓋用墊圈(備用)、食譜
◆電源線長度：1.2 公尺
◆BSMI認證字號：R41A01")</f>
        <v>◆額定電壓/頻率：110V/60Hz
◆消耗功率：800W
◆商品尺寸：寬26.5 x 深28.2 x 高28.3 cm
◆商品重量：4.4 kg
◆烹調容量：2.6L
◆公稱容量(滿水容量)：4L
◆最高使用壓力：90 kPa表壓力
◆溫度保險絲：157°C
◆配件：量杯、蒸盤、內蓋用墊圈(備用)、食譜
◆電源線長度：1.2 公尺
◆BSMI認證字號：R41A01</v>
      </c>
      <c r="Q849" s="12" t="str">
        <f ca="1">IFERROR(__xludf.DUMMYFUNCTION("""COMPUTED_VALUE"""),"
283x265x282mm")</f>
        <v xml:space="preserve">
283x265x282mm</v>
      </c>
      <c r="R849" s="12" t="str">
        <f ca="1">IFERROR(__xludf.DUMMYFUNCTION("""COMPUTED_VALUE"""),"中國")</f>
        <v>中國</v>
      </c>
      <c r="S849" s="12"/>
      <c r="T849" s="12"/>
      <c r="U849" s="12" t="str">
        <f ca="1">IFERROR(__xludf.DUMMYFUNCTION("""COMPUTED_VALUE"""),"正常使用下全機一年保固")</f>
        <v>正常使用下全機一年保固</v>
      </c>
      <c r="V849" s="12"/>
      <c r="W849" s="12"/>
      <c r="X849" s="12"/>
      <c r="Y849" s="12"/>
      <c r="Z849" s="14"/>
      <c r="AA849" s="15" t="str">
        <f ca="1">IFERROR(__xludf.DUMMYFUNCTION("""COMPUTED_VALUE"""),"*日本熱銷*只要3步驟，家常菜升級大廚菜*蒸/煮/燉/滷/燜多功能合一*壓力烹調，營養省時又美味*慢燉烹調，入味不軟爛*無水烹調，保留鮮美原味")</f>
        <v>*日本熱銷*只要3步驟，家常菜升級大廚菜*蒸/煮/燉/滷/燜多功能合一*壓力烹調，營養省時又美味*慢燉烹調，入味不軟爛*無水烹調，保留鮮美原味</v>
      </c>
    </row>
    <row r="850" spans="1:27" ht="19.5" customHeight="1">
      <c r="A850" s="12" t="str">
        <f ca="1">IFERROR(__xludf.DUMMYFUNCTION("""COMPUTED_VALUE"""),"廚房家電")</f>
        <v>廚房家電</v>
      </c>
      <c r="B850" s="12" t="str">
        <f ca="1">IFERROR(__xludf.DUMMYFUNCTION("""COMPUTED_VALUE"""),"順發")</f>
        <v>順發</v>
      </c>
      <c r="C850" s="12" t="str">
        <f ca="1">IFERROR(__xludf.DUMMYFUNCTION("""COMPUTED_VALUE"""),"PHILIPS")</f>
        <v>PHILIPS</v>
      </c>
      <c r="D850" s="12" t="str">
        <f ca="1">IFERROR(__xludf.DUMMYFUNCTION("""COMPUTED_VALUE"""),"PHILIPS_雙重脈衝智慧萬用鍋(金小萬)_763077_HD2195")</f>
        <v>PHILIPS_雙重脈衝智慧萬用鍋(金小萬)_763077_HD2195</v>
      </c>
      <c r="E850" s="12" t="str">
        <f ca="1">IFERROR(__xludf.DUMMYFUNCTION("""COMPUTED_VALUE"""),"HD2195")</f>
        <v>HD2195</v>
      </c>
      <c r="F850" s="12">
        <f ca="1">IFERROR(__xludf.DUMMYFUNCTION("""COMPUTED_VALUE"""),51095300)</f>
        <v>51095300</v>
      </c>
      <c r="G850" s="12" t="str">
        <f ca="1">IFERROR(__xludf.DUMMYFUNCTION("""COMPUTED_VALUE"""),"IGEM023E")</f>
        <v>IGEM023E</v>
      </c>
      <c r="H850" s="12">
        <f ca="1">IFERROR(__xludf.DUMMYFUNCTION("""COMPUTED_VALUE"""),13888)</f>
        <v>13888</v>
      </c>
      <c r="I850" s="14">
        <f ca="1">IFERROR(__xludf.DUMMYFUNCTION("""COMPUTED_VALUE"""),11900)</f>
        <v>11900</v>
      </c>
      <c r="J850" s="21">
        <f ca="1">IFERROR(__xludf.DUMMYFUNCTION("""COMPUTED_VALUE"""),45717)</f>
        <v>45717</v>
      </c>
      <c r="K850" s="12" t="str">
        <f ca="1">IFERROR(__xludf.DUMMYFUNCTION("""COMPUTED_VALUE"""),"回價")</f>
        <v>回價</v>
      </c>
      <c r="L850" s="12" t="str">
        <f ca="1">IFERROR(__xludf.DUMMYFUNCTION("""COMPUTED_VALUE"""),"上架中")</f>
        <v>上架中</v>
      </c>
      <c r="M850" s="12" t="str">
        <f ca="1">IFERROR(__xludf.DUMMYFUNCTION("""COMPUTED_VALUE"""),"2025/1/21短促，2021/1/1短促")</f>
        <v>2025/1/21短促，2021/1/1短促</v>
      </c>
      <c r="N850" s="12" t="str">
        <f ca="1">IFERROR(__xludf.DUMMYFUNCTION("""COMPUTED_VALUE"""),"壓力鍋/燉鍋/萬用鍋/蒸煮鍋")</f>
        <v>壓力鍋/燉鍋/萬用鍋/蒸煮鍋</v>
      </c>
      <c r="O850" s="12" t="str">
        <f ca="1">IFERROR(__xludf.DUMMYFUNCTION("""COMPUTED_VALUE"""),"金")</f>
        <v>金</v>
      </c>
      <c r="P850" s="12" t="str">
        <f ca="1">IFERROR(__xludf.DUMMYFUNCTION("""COMPUTED_VALUE"""),"．電壓:110V
．額定功率:1250瓦
．電線長度:1米
．內鍋容量:5L")</f>
        <v>．電壓:110V
．額定功率:1250瓦
．電線長度:1米
．內鍋容量:5L</v>
      </c>
      <c r="Q850" s="12" t="str">
        <f ca="1">IFERROR(__xludf.DUMMYFUNCTION("""COMPUTED_VALUE"""),"285x335x285mm")</f>
        <v>285x335x285mm</v>
      </c>
      <c r="R850" s="12" t="str">
        <f ca="1">IFERROR(__xludf.DUMMYFUNCTION("""COMPUTED_VALUE"""),"中國")</f>
        <v>中國</v>
      </c>
      <c r="S850" s="12"/>
      <c r="T850" s="12" t="str">
        <f ca="1">IFERROR(__xludf.DUMMYFUNCTION("""COMPUTED_VALUE"""),"4級能效")</f>
        <v>4級能效</v>
      </c>
      <c r="U850" s="12" t="str">
        <f ca="1">IFERROR(__xludf.DUMMYFUNCTION("""COMPUTED_VALUE"""),"2年")</f>
        <v>2年</v>
      </c>
      <c r="V850" s="12"/>
      <c r="W850" s="12" t="str">
        <f ca="1">IFERROR(__xludf.DUMMYFUNCTION("""COMPUTED_VALUE"""),"隨貨送內鍋HD2779")</f>
        <v>隨貨送內鍋HD2779</v>
      </c>
      <c r="X850" s="12"/>
      <c r="Y850" s="12"/>
      <c r="Z850" s="14"/>
      <c r="AA850" s="15" t="str">
        <f ca="1">IFERROR(__xludf.DUMMYFUNCTION("""COMPUTED_VALUE"""),"*風味加乘、營養釋放，雙重脈衝科技通過持續動態變壓科技促使食材營養釋放，增加醇香鮮甜/IH+火紋鍋設計，加強沸騰翻滾，讓食材加熱更均勻*精準控溫科技，讓肉類更加鮮嫩多汁*中途投料功能，讓各食材口感表現完美/收汁入味功能，料理兼具色香味/科技通過持續動態變壓科技促使食材營養釋放，增加醇香鮮甜*縮時料理，美味無須等待
獨家渦輪靜排科技，無須等待洩壓，美味上桌無須等待/獨家無水烹調技術，蒸煮燉滷一鍋抵多鍋*全隱藏觸控介面、全天幕式超大LED面板/黑配金色系*全球保固")</f>
        <v>*風味加乘、營養釋放，雙重脈衝科技通過持續動態變壓科技促使食材營養釋放，增加醇香鮮甜/IH+火紋鍋設計，加強沸騰翻滾，讓食材加熱更均勻*精準控溫科技，讓肉類更加鮮嫩多汁*中途投料功能，讓各食材口感表現完美/收汁入味功能，料理兼具色香味/科技通過持續動態變壓科技促使食材營養釋放，增加醇香鮮甜*縮時料理，美味無須等待
獨家渦輪靜排科技，無須等待洩壓，美味上桌無須等待/獨家無水烹調技術，蒸煮燉滷一鍋抵多鍋*全隱藏觸控介面、全天幕式超大LED面板/黑配金色系*全球保固</v>
      </c>
    </row>
    <row r="851" spans="1:27" ht="19.5" customHeight="1">
      <c r="A851" s="12" t="str">
        <f ca="1">IFERROR(__xludf.DUMMYFUNCTION("""COMPUTED_VALUE"""),"廚房家電")</f>
        <v>廚房家電</v>
      </c>
      <c r="B851" s="12" t="str">
        <f ca="1">IFERROR(__xludf.DUMMYFUNCTION("""COMPUTED_VALUE"""),"順發")</f>
        <v>順發</v>
      </c>
      <c r="C851" s="12" t="str">
        <f ca="1">IFERROR(__xludf.DUMMYFUNCTION("""COMPUTED_VALUE"""),"Philips")</f>
        <v>Philips</v>
      </c>
      <c r="D851" s="12" t="str">
        <f ca="1">IFERROR(__xludf.DUMMYFUNCTION("""COMPUTED_VALUE"""),"Philips_飛利浦健康氣炸鍋_774601_HD9270")</f>
        <v>Philips_飛利浦健康氣炸鍋_774601_HD9270</v>
      </c>
      <c r="E851" s="12" t="str">
        <f ca="1">IFERROR(__xludf.DUMMYFUNCTION("""COMPUTED_VALUE"""),"HD9270")</f>
        <v>HD9270</v>
      </c>
      <c r="F851" s="12">
        <f ca="1">IFERROR(__xludf.DUMMYFUNCTION("""COMPUTED_VALUE"""),51095463)</f>
        <v>51095463</v>
      </c>
      <c r="G851" s="12" t="str">
        <f ca="1">IFERROR(__xludf.DUMMYFUNCTION("""COMPUTED_VALUE"""),"IGEM0559")</f>
        <v>IGEM0559</v>
      </c>
      <c r="H851" s="12">
        <f ca="1">IFERROR(__xludf.DUMMYFUNCTION("""COMPUTED_VALUE"""),8990)</f>
        <v>8990</v>
      </c>
      <c r="I851" s="14">
        <f ca="1">IFERROR(__xludf.DUMMYFUNCTION("""COMPUTED_VALUE"""),6590)</f>
        <v>6590</v>
      </c>
      <c r="J851" s="16">
        <f ca="1">IFERROR(__xludf.DUMMYFUNCTION("""COMPUTED_VALUE"""),45717)</f>
        <v>45717</v>
      </c>
      <c r="K851" s="12" t="str">
        <f ca="1">IFERROR(__xludf.DUMMYFUNCTION("""COMPUTED_VALUE"""),"回價")</f>
        <v>回價</v>
      </c>
      <c r="L851" s="12" t="str">
        <f ca="1">IFERROR(__xludf.DUMMYFUNCTION("""COMPUTED_VALUE"""),"上架中")</f>
        <v>上架中</v>
      </c>
      <c r="M851" s="12" t="str">
        <f ca="1">IFERROR(__xludf.DUMMYFUNCTION("""COMPUTED_VALUE"""),"2024/7/1短促")</f>
        <v>2024/7/1短促</v>
      </c>
      <c r="N851" s="12" t="str">
        <f ca="1">IFERROR(__xludf.DUMMYFUNCTION("""COMPUTED_VALUE"""),"氣炸鍋")</f>
        <v>氣炸鍋</v>
      </c>
      <c r="O851" s="12" t="str">
        <f ca="1">IFERROR(__xludf.DUMMYFUNCTION("""COMPUTED_VALUE"""),"白")</f>
        <v>白</v>
      </c>
      <c r="P851" s="12" t="str">
        <f ca="1">IFERROR(__xludf.DUMMYFUNCTION("""COMPUTED_VALUE"""),"6.2L")</f>
        <v>6.2L</v>
      </c>
      <c r="Q851" s="12" t="str">
        <f ca="1">IFERROR(__xludf.DUMMYFUNCTION("""COMPUTED_VALUE"""),"367*388*368mm")</f>
        <v>367*388*368mm</v>
      </c>
      <c r="R851" s="12" t="str">
        <f ca="1">IFERROR(__xludf.DUMMYFUNCTION("""COMPUTED_VALUE"""),"中國")</f>
        <v>中國</v>
      </c>
      <c r="S851" s="12"/>
      <c r="T851" s="12"/>
      <c r="U851" s="12" t="str">
        <f ca="1">IFERROR(__xludf.DUMMYFUNCTION("""COMPUTED_VALUE"""),"2年")</f>
        <v>2年</v>
      </c>
      <c r="V851" s="12"/>
      <c r="W851" s="12"/>
      <c r="X851" s="12"/>
      <c r="Y851" s="12"/>
      <c r="Z851" s="14"/>
      <c r="AA851" s="15" t="str">
        <f ca="1">IFERROR(__xludf.DUMMYFUNCTION("""COMPUTED_VALUE"""),"*專利熱穿透氣旋*免預熱、免解凍、免翻面，大幅縮短烹調時間*減油90%!*60-200度廣域溫控，隨心所欲創造多樣料理*7種預設模式，讓你0失敗輕鬆料理*一機搞定焗、煎、蒸、炸、烤、烘、焙7種料理!")</f>
        <v>*專利熱穿透氣旋*免預熱、免解凍、免翻面，大幅縮短烹調時間*減油90%!*60-200度廣域溫控，隨心所欲創造多樣料理*7種預設模式，讓你0失敗輕鬆料理*一機搞定焗、煎、蒸、炸、烤、烘、焙7種料理!</v>
      </c>
    </row>
    <row r="852" spans="1:27" ht="19.5" customHeight="1">
      <c r="A852" s="12" t="str">
        <f ca="1">IFERROR(__xludf.DUMMYFUNCTION("""COMPUTED_VALUE"""),"廚房家電")</f>
        <v>廚房家電</v>
      </c>
      <c r="B852" s="12" t="str">
        <f ca="1">IFERROR(__xludf.DUMMYFUNCTION("""COMPUTED_VALUE"""),"順發")</f>
        <v>順發</v>
      </c>
      <c r="C852" s="12" t="str">
        <f ca="1">IFERROR(__xludf.DUMMYFUNCTION("""COMPUTED_VALUE"""),"Philips")</f>
        <v>Philips</v>
      </c>
      <c r="D852" s="12" t="str">
        <f ca="1">IFERROR(__xludf.DUMMYFUNCTION("""COMPUTED_VALUE"""),"Philips_飛利浦健康氣炸鍋_774600_HD9742")</f>
        <v>Philips_飛利浦健康氣炸鍋_774600_HD9742</v>
      </c>
      <c r="E852" s="12" t="str">
        <f ca="1">IFERROR(__xludf.DUMMYFUNCTION("""COMPUTED_VALUE"""),"HD9742")</f>
        <v>HD9742</v>
      </c>
      <c r="F852" s="12">
        <f ca="1">IFERROR(__xludf.DUMMYFUNCTION("""COMPUTED_VALUE"""),51095464)</f>
        <v>51095464</v>
      </c>
      <c r="G852" s="12" t="str">
        <f ca="1">IFERROR(__xludf.DUMMYFUNCTION("""COMPUTED_VALUE"""),"IGEM0560")</f>
        <v>IGEM0560</v>
      </c>
      <c r="H852" s="12">
        <f ca="1">IFERROR(__xludf.DUMMYFUNCTION("""COMPUTED_VALUE"""),10990)</f>
        <v>10990</v>
      </c>
      <c r="I852" s="14">
        <f ca="1">IFERROR(__xludf.DUMMYFUNCTION("""COMPUTED_VALUE"""),8990)</f>
        <v>8990</v>
      </c>
      <c r="J852" s="16">
        <f ca="1">IFERROR(__xludf.DUMMYFUNCTION("""COMPUTED_VALUE"""),45279)</f>
        <v>45279</v>
      </c>
      <c r="K852" s="12" t="str">
        <f ca="1">IFERROR(__xludf.DUMMYFUNCTION("""COMPUTED_VALUE"""),"缺貨")</f>
        <v>缺貨</v>
      </c>
      <c r="L852" s="12" t="str">
        <f ca="1">IFERROR(__xludf.DUMMYFUNCTION("""COMPUTED_VALUE"""),"上架中")</f>
        <v>上架中</v>
      </c>
      <c r="M852" s="12"/>
      <c r="N852" s="12" t="str">
        <f ca="1">IFERROR(__xludf.DUMMYFUNCTION("""COMPUTED_VALUE"""),"氣炸鍋")</f>
        <v>氣炸鍋</v>
      </c>
      <c r="O852" s="12" t="str">
        <f ca="1">IFERROR(__xludf.DUMMYFUNCTION("""COMPUTED_VALUE"""),"白")</f>
        <v>白</v>
      </c>
      <c r="P852" s="12" t="str">
        <f ca="1">IFERROR(__xludf.DUMMYFUNCTION("""COMPUTED_VALUE"""),"4.5L")</f>
        <v>4.5L</v>
      </c>
      <c r="Q852" s="12" t="str">
        <f ca="1">IFERROR(__xludf.DUMMYFUNCTION("""COMPUTED_VALUE"""),"287*266*365mm")</f>
        <v>287*266*365mm</v>
      </c>
      <c r="R852" s="12" t="str">
        <f ca="1">IFERROR(__xludf.DUMMYFUNCTION("""COMPUTED_VALUE"""),"中國")</f>
        <v>中國</v>
      </c>
      <c r="S852" s="12"/>
      <c r="T852" s="12"/>
      <c r="U852" s="12" t="str">
        <f ca="1">IFERROR(__xludf.DUMMYFUNCTION("""COMPUTED_VALUE"""),"2年")</f>
        <v>2年</v>
      </c>
      <c r="V852" s="12"/>
      <c r="W852" s="12" t="str">
        <f ca="1">IFERROR(__xludf.DUMMYFUNCTION("""COMPUTED_VALUE"""),"隨貨送1.烘烤鍋(HD9925);2.煎烤盤+串針(HD9941)
")</f>
        <v xml:space="preserve">隨貨送1.烘烤鍋(HD9925);2.煎烤盤+串針(HD9941)
</v>
      </c>
      <c r="X852" s="12"/>
      <c r="Y852" s="12"/>
      <c r="Z852" s="14"/>
      <c r="AA852" s="15" t="str">
        <f ca="1">IFERROR(__xludf.DUMMYFUNCTION("""COMPUTED_VALUE"""),"*時尚外型玫瑰金手把，為廚房增添食尚*7倍極速專利熱穿透氣旋，大幅縮短烹調時間*FatRemoval減油少煙科技，享受健康自煮生活*減少油煙99%*!減油90%!*40-200度廣域溫控，隨心所欲創造多樣料理*一機搞定焗、煎、蒸、炸、烤、烘、焙7種料理!*可拆式配件，方便快速清洗")</f>
        <v>*時尚外型玫瑰金手把，為廚房增添食尚*7倍極速專利熱穿透氣旋，大幅縮短烹調時間*FatRemoval減油少煙科技，享受健康自煮生活*減少油煙99%*!減油90%!*40-200度廣域溫控，隨心所欲創造多樣料理*一機搞定焗、煎、蒸、炸、烤、烘、焙7種料理!*可拆式配件，方便快速清洗</v>
      </c>
    </row>
    <row r="853" spans="1:27" ht="19.5" customHeight="1">
      <c r="A853" s="12" t="str">
        <f ca="1">IFERROR(__xludf.DUMMYFUNCTION("""COMPUTED_VALUE"""),"廚房家電")</f>
        <v>廚房家電</v>
      </c>
      <c r="B853" s="12" t="str">
        <f ca="1">IFERROR(__xludf.DUMMYFUNCTION("""COMPUTED_VALUE"""),"順發")</f>
        <v>順發</v>
      </c>
      <c r="C853" s="12" t="str">
        <f ca="1">IFERROR(__xludf.DUMMYFUNCTION("""COMPUTED_VALUE"""),"Philips")</f>
        <v>Philips</v>
      </c>
      <c r="D853" s="12" t="str">
        <f ca="1">IFERROR(__xludf.DUMMYFUNCTION("""COMPUTED_VALUE"""),"Philips 智慧萬用鍋HD2140/50(銀白色)")</f>
        <v>Philips 智慧萬用鍋HD2140/50(銀白色)</v>
      </c>
      <c r="E853" s="12" t="str">
        <f ca="1">IFERROR(__xludf.DUMMYFUNCTION("""COMPUTED_VALUE"""),"HD2140/50")</f>
        <v>HD2140/50</v>
      </c>
      <c r="F853" s="12">
        <f ca="1">IFERROR(__xludf.DUMMYFUNCTION("""COMPUTED_VALUE"""),51095702)</f>
        <v>51095702</v>
      </c>
      <c r="G853" s="12" t="str">
        <f ca="1">IFERROR(__xludf.DUMMYFUNCTION("""COMPUTED_VALUE"""),"IGEM0912")</f>
        <v>IGEM0912</v>
      </c>
      <c r="H853" s="13">
        <f ca="1">IFERROR(__xludf.DUMMYFUNCTION("""COMPUTED_VALUE"""),4980)</f>
        <v>4980</v>
      </c>
      <c r="I853" s="14">
        <f ca="1">IFERROR(__xludf.DUMMYFUNCTION("""COMPUTED_VALUE"""),3980)</f>
        <v>3980</v>
      </c>
      <c r="J853" s="16">
        <f ca="1">IFERROR(__xludf.DUMMYFUNCTION("""COMPUTED_VALUE"""),45216)</f>
        <v>45216</v>
      </c>
      <c r="K853" s="12" t="str">
        <f ca="1">IFERROR(__xludf.DUMMYFUNCTION("""COMPUTED_VALUE"""),"新機上架")</f>
        <v>新機上架</v>
      </c>
      <c r="L853" s="12" t="str">
        <f ca="1">IFERROR(__xludf.DUMMYFUNCTION("""COMPUTED_VALUE"""),"上架中")</f>
        <v>上架中</v>
      </c>
      <c r="M853" s="12" t="str">
        <f ca="1">IFERROR(__xludf.DUMMYFUNCTION("""COMPUTED_VALUE"""),"10/17新機上架")</f>
        <v>10/17新機上架</v>
      </c>
      <c r="N853" s="12" t="str">
        <f ca="1">IFERROR(__xludf.DUMMYFUNCTION("""COMPUTED_VALUE"""),"壓力鍋/燉鍋/萬用鍋/蒸煮鍋")</f>
        <v>壓力鍋/燉鍋/萬用鍋/蒸煮鍋</v>
      </c>
      <c r="O853" s="12" t="str">
        <f ca="1">IFERROR(__xludf.DUMMYFUNCTION("""COMPUTED_VALUE"""),"銀白色
")</f>
        <v xml:space="preserve">銀白色
</v>
      </c>
      <c r="P853" s="12" t="str">
        <f ca="1">IFERROR(__xludf.DUMMYFUNCTION("""COMPUTED_VALUE"""),"重量：8.14kg")</f>
        <v>重量：8.14kg</v>
      </c>
      <c r="Q853" s="12" t="str">
        <f ca="1">IFERROR(__xludf.DUMMYFUNCTION("""COMPUTED_VALUE"""),"460mmx370mmx362mm")</f>
        <v>460mmx370mmx362mm</v>
      </c>
      <c r="R853" s="12" t="str">
        <f ca="1">IFERROR(__xludf.DUMMYFUNCTION("""COMPUTED_VALUE"""),"中國")</f>
        <v>中國</v>
      </c>
      <c r="S853" s="12"/>
      <c r="T853" s="12" t="str">
        <f ca="1">IFERROR(__xludf.DUMMYFUNCTION("""COMPUTED_VALUE"""),"3級能效")</f>
        <v>3級能效</v>
      </c>
      <c r="U853" s="12" t="str">
        <f ca="1">IFERROR(__xludf.DUMMYFUNCTION("""COMPUTED_VALUE"""),"全球保固兩年")</f>
        <v>全球保固兩年</v>
      </c>
      <c r="V853" s="12" t="str">
        <f ca="1">IFERROR(__xludf.DUMMYFUNCTION("""COMPUTED_VALUE"""),"全球保固兩年")</f>
        <v>全球保固兩年</v>
      </c>
      <c r="W853" s="12" t="str">
        <f ca="1">IFERROR(__xludf.DUMMYFUNCTION("""COMPUTED_VALUE"""),"隨貨送內鍋HD2140")</f>
        <v>隨貨送內鍋HD2140</v>
      </c>
      <c r="X853" s="12"/>
      <c r="Y853" s="12"/>
      <c r="Z853" s="14"/>
      <c r="AA853" s="15" t="str">
        <f ca="1">IFERROR(__xludf.DUMMYFUNCTION("""COMPUTED_VALUE"""),"*蒸煮燉滷煎炒烤，一鍋抵多鍋*雙重控溫科技，精準鎖住營養*5層聚熱內鍋，高效導熱均勻熟成*16種智慧烹調，智能菜單料理豐富
")</f>
        <v xml:space="preserve">*蒸煮燉滷煎炒烤，一鍋抵多鍋*雙重控溫科技，精準鎖住營養*5層聚熱內鍋，高效導熱均勻熟成*16種智慧烹調，智能菜單料理豐富
</v>
      </c>
    </row>
    <row r="854" spans="1:27" ht="19.5" customHeight="1">
      <c r="A854" s="12" t="str">
        <f ca="1">IFERROR(__xludf.DUMMYFUNCTION("""COMPUTED_VALUE"""),"廚房家電")</f>
        <v>廚房家電</v>
      </c>
      <c r="B854" s="12" t="str">
        <f ca="1">IFERROR(__xludf.DUMMYFUNCTION("""COMPUTED_VALUE"""),"順發")</f>
        <v>順發</v>
      </c>
      <c r="C854" s="12" t="str">
        <f ca="1">IFERROR(__xludf.DUMMYFUNCTION("""COMPUTED_VALUE"""),"Philips")</f>
        <v>Philips</v>
      </c>
      <c r="D854" s="12" t="str">
        <f ca="1">IFERROR(__xludf.DUMMYFUNCTION("""COMPUTED_VALUE"""),"Philips 飛利浦 4.2L星樂視透視海星氣炸鍋 NA221(黑色)_774605")</f>
        <v>Philips 飛利浦 4.2L星樂視透視海星氣炸鍋 NA221(黑色)_774605</v>
      </c>
      <c r="E854" s="12" t="str">
        <f ca="1">IFERROR(__xludf.DUMMYFUNCTION("""COMPUTED_VALUE"""),"NA221(黑色)")</f>
        <v>NA221(黑色)</v>
      </c>
      <c r="F854" s="12">
        <f ca="1">IFERROR(__xludf.DUMMYFUNCTION("""COMPUTED_VALUE"""),51095874)</f>
        <v>51095874</v>
      </c>
      <c r="G854" s="12" t="str">
        <f ca="1">IFERROR(__xludf.DUMMYFUNCTION("""COMPUTED_VALUE"""),"IGEM112P")</f>
        <v>IGEM112P</v>
      </c>
      <c r="H854" s="13">
        <f ca="1">IFERROR(__xludf.DUMMYFUNCTION("""COMPUTED_VALUE"""),6990)</f>
        <v>6990</v>
      </c>
      <c r="I854" s="14">
        <f ca="1">IFERROR(__xludf.DUMMYFUNCTION("""COMPUTED_VALUE"""),4990)</f>
        <v>4990</v>
      </c>
      <c r="J854" s="16">
        <f ca="1">IFERROR(__xludf.DUMMYFUNCTION("""COMPUTED_VALUE"""),45597)</f>
        <v>45597</v>
      </c>
      <c r="K854" s="12" t="str">
        <f ca="1">IFERROR(__xludf.DUMMYFUNCTION("""COMPUTED_VALUE"""),"新機上架")</f>
        <v>新機上架</v>
      </c>
      <c r="L854" s="12" t="str">
        <f ca="1">IFERROR(__xludf.DUMMYFUNCTION("""COMPUTED_VALUE"""),"上架中")</f>
        <v>上架中</v>
      </c>
      <c r="M854" s="12" t="str">
        <f ca="1">IFERROR(__xludf.DUMMYFUNCTION("""COMPUTED_VALUE"""),"2024/11/1新機上架")</f>
        <v>2024/11/1新機上架</v>
      </c>
      <c r="N854" s="12" t="str">
        <f ca="1">IFERROR(__xludf.DUMMYFUNCTION("""COMPUTED_VALUE"""),"氣炸鍋")</f>
        <v>氣炸鍋</v>
      </c>
      <c r="O854" s="12" t="str">
        <f ca="1">IFERROR(__xludf.DUMMYFUNCTION("""COMPUTED_VALUE"""),"黑色")</f>
        <v>黑色</v>
      </c>
      <c r="P854" s="12" t="str">
        <f ca="1">IFERROR(__xludf.DUMMYFUNCTION("""COMPUTED_VALUE"""),"4.2L")</f>
        <v>4.2L</v>
      </c>
      <c r="Q854" s="12" t="str">
        <f ca="1">IFERROR(__xludf.DUMMYFUNCTION("""COMPUTED_VALUE"""),"高328mm x 寬330mm x 長330mm")</f>
        <v>高328mm x 寬330mm x 長330mm</v>
      </c>
      <c r="R854" s="12" t="str">
        <f ca="1">IFERROR(__xludf.DUMMYFUNCTION("""COMPUTED_VALUE"""),"中國")</f>
        <v>中國</v>
      </c>
      <c r="S854" s="12"/>
      <c r="T854" s="12"/>
      <c r="U854" s="12"/>
      <c r="V854" s="12"/>
      <c r="W854" s="12" t="str">
        <f ca="1">IFERROR(__xludf.DUMMYFUNCTION("""COMPUTED_VALUE"""),"隨貨送專用配送三件組(805167)")</f>
        <v>隨貨送專用配送三件組(805167)</v>
      </c>
      <c r="X854" s="12"/>
      <c r="Y854" s="12"/>
      <c r="Z854" s="14"/>
      <c r="AA854" s="15" t="str">
        <f ca="1">IFERROR(__xludf.DUMMYFUNCTION("""COMPUTED_VALUE"""),"*透視炸鍋直播料理進度*專利海星底盤減油90%*9 種預設模式*溫度控制: 60 - 200 °C*免預熱免解凍免翻面")</f>
        <v>*透視炸鍋直播料理進度*專利海星底盤減油90%*9 種預設模式*溫度控制: 60 - 200 °C*免預熱免解凍免翻面</v>
      </c>
    </row>
    <row r="855" spans="1:27" ht="19.5" customHeight="1">
      <c r="A855" s="12" t="str">
        <f ca="1">IFERROR(__xludf.DUMMYFUNCTION("""COMPUTED_VALUE"""),"廚房家電")</f>
        <v>廚房家電</v>
      </c>
      <c r="B855" s="12" t="str">
        <f ca="1">IFERROR(__xludf.DUMMYFUNCTION("""COMPUTED_VALUE"""),"順發")</f>
        <v>順發</v>
      </c>
      <c r="C855" s="12" t="str">
        <f ca="1">IFERROR(__xludf.DUMMYFUNCTION("""COMPUTED_VALUE"""),"Philips")</f>
        <v>Philips</v>
      </c>
      <c r="D855" s="12" t="str">
        <f ca="1">IFERROR(__xludf.DUMMYFUNCTION("""COMPUTED_VALUE"""),"Philips 飛利浦 4.2L星樂視透視海星氣炸鍋 NA221(白色)_774606")</f>
        <v>Philips 飛利浦 4.2L星樂視透視海星氣炸鍋 NA221(白色)_774606</v>
      </c>
      <c r="E855" s="12" t="str">
        <f ca="1">IFERROR(__xludf.DUMMYFUNCTION("""COMPUTED_VALUE"""),"NA221(白色)")</f>
        <v>NA221(白色)</v>
      </c>
      <c r="F855" s="12">
        <f ca="1">IFERROR(__xludf.DUMMYFUNCTION("""COMPUTED_VALUE"""),51095875)</f>
        <v>51095875</v>
      </c>
      <c r="G855" s="12" t="str">
        <f ca="1">IFERROR(__xludf.DUMMYFUNCTION("""COMPUTED_VALUE"""),"IGEM112Q")</f>
        <v>IGEM112Q</v>
      </c>
      <c r="H855" s="13">
        <f ca="1">IFERROR(__xludf.DUMMYFUNCTION("""COMPUTED_VALUE"""),6990)</f>
        <v>6990</v>
      </c>
      <c r="I855" s="14">
        <f ca="1">IFERROR(__xludf.DUMMYFUNCTION("""COMPUTED_VALUE"""),4990)</f>
        <v>4990</v>
      </c>
      <c r="J855" s="16">
        <f ca="1">IFERROR(__xludf.DUMMYFUNCTION("""COMPUTED_VALUE"""),45597)</f>
        <v>45597</v>
      </c>
      <c r="K855" s="12" t="str">
        <f ca="1">IFERROR(__xludf.DUMMYFUNCTION("""COMPUTED_VALUE"""),"新機上架")</f>
        <v>新機上架</v>
      </c>
      <c r="L855" s="12" t="str">
        <f ca="1">IFERROR(__xludf.DUMMYFUNCTION("""COMPUTED_VALUE"""),"上架中")</f>
        <v>上架中</v>
      </c>
      <c r="M855" s="12" t="str">
        <f ca="1">IFERROR(__xludf.DUMMYFUNCTION("""COMPUTED_VALUE"""),"2024/11/1新機上架")</f>
        <v>2024/11/1新機上架</v>
      </c>
      <c r="N855" s="12" t="str">
        <f ca="1">IFERROR(__xludf.DUMMYFUNCTION("""COMPUTED_VALUE"""),"氣炸鍋")</f>
        <v>氣炸鍋</v>
      </c>
      <c r="O855" s="12" t="str">
        <f ca="1">IFERROR(__xludf.DUMMYFUNCTION("""COMPUTED_VALUE"""),"白色")</f>
        <v>白色</v>
      </c>
      <c r="P855" s="12" t="str">
        <f ca="1">IFERROR(__xludf.DUMMYFUNCTION("""COMPUTED_VALUE"""),"4.2L")</f>
        <v>4.2L</v>
      </c>
      <c r="Q855" s="12" t="str">
        <f ca="1">IFERROR(__xludf.DUMMYFUNCTION("""COMPUTED_VALUE"""),"高328mm x 寬330mm x 長330mm")</f>
        <v>高328mm x 寬330mm x 長330mm</v>
      </c>
      <c r="R855" s="12" t="str">
        <f ca="1">IFERROR(__xludf.DUMMYFUNCTION("""COMPUTED_VALUE"""),"中國")</f>
        <v>中國</v>
      </c>
      <c r="S855" s="12"/>
      <c r="T855" s="12"/>
      <c r="U855" s="12"/>
      <c r="V855" s="12"/>
      <c r="W855" s="12" t="str">
        <f ca="1">IFERROR(__xludf.DUMMYFUNCTION("""COMPUTED_VALUE"""),"隨貨送專用配送三件組(805167)")</f>
        <v>隨貨送專用配送三件組(805167)</v>
      </c>
      <c r="X855" s="12"/>
      <c r="Y855" s="12"/>
      <c r="Z855" s="14"/>
      <c r="AA855" s="15" t="str">
        <f ca="1">IFERROR(__xludf.DUMMYFUNCTION("""COMPUTED_VALUE"""),"*透視炸鍋直播料理進度*專利海星底盤減油90%*9 種預設模式*溫度控制: 60 - 200 °C*免預熱免解凍免翻面")</f>
        <v>*透視炸鍋直播料理進度*專利海星底盤減油90%*9 種預設模式*溫度控制: 60 - 200 °C*免預熱免解凍免翻面</v>
      </c>
    </row>
    <row r="856" spans="1:27" ht="19.5" customHeight="1">
      <c r="A856" s="12" t="str">
        <f ca="1">IFERROR(__xludf.DUMMYFUNCTION("""COMPUTED_VALUE"""),"廚房家電")</f>
        <v>廚房家電</v>
      </c>
      <c r="B856" s="12" t="str">
        <f ca="1">IFERROR(__xludf.DUMMYFUNCTION("""COMPUTED_VALUE"""),"大同")</f>
        <v>大同</v>
      </c>
      <c r="C856" s="12" t="str">
        <f ca="1">IFERROR(__xludf.DUMMYFUNCTION("""COMPUTED_VALUE"""),"PANASONIC")</f>
        <v>PANASONIC</v>
      </c>
      <c r="D856" s="12" t="str">
        <f ca="1">IFERROR(__xludf.DUMMYFUNCTION("""COMPUTED_VALUE"""),"Panasonic32L變頻微波爐NN-ST65J")</f>
        <v>Panasonic32L變頻微波爐NN-ST65J</v>
      </c>
      <c r="E856" s="12" t="str">
        <f ca="1">IFERROR(__xludf.DUMMYFUNCTION("""COMPUTED_VALUE"""),"NN-ST65J")</f>
        <v>NN-ST65J</v>
      </c>
      <c r="F856" s="12">
        <f ca="1">IFERROR(__xludf.DUMMYFUNCTION("""COMPUTED_VALUE"""),51089126)</f>
        <v>51089126</v>
      </c>
      <c r="G856" s="12" t="str">
        <f ca="1">IFERROR(__xludf.DUMMYFUNCTION("""COMPUTED_VALUE"""),"IGEM00WS")</f>
        <v>IGEM00WS</v>
      </c>
      <c r="H856" s="12">
        <f ca="1">IFERROR(__xludf.DUMMYFUNCTION("""COMPUTED_VALUE"""),4990)</f>
        <v>4990</v>
      </c>
      <c r="I856" s="14">
        <f ca="1">IFERROR(__xludf.DUMMYFUNCTION("""COMPUTED_VALUE"""),4690)</f>
        <v>4690</v>
      </c>
      <c r="J856" s="16">
        <f ca="1">IFERROR(__xludf.DUMMYFUNCTION("""COMPUTED_VALUE"""),45659)</f>
        <v>45659</v>
      </c>
      <c r="K856" s="12" t="str">
        <f ca="1">IFERROR(__xludf.DUMMYFUNCTION("""COMPUTED_VALUE"""),"短促")</f>
        <v>短促</v>
      </c>
      <c r="L856" s="12" t="str">
        <f ca="1">IFERROR(__xludf.DUMMYFUNCTION("""COMPUTED_VALUE"""),"上架中")</f>
        <v>上架中</v>
      </c>
      <c r="M856" s="12" t="str">
        <f ca="1">IFERROR(__xludf.DUMMYFUNCTION("""COMPUTED_VALUE"""),"2025/1/2短促，2024/12/1回價，2024/8/1短促，2024/7/1回價，2024/4/1短促，2024/2/1短促，7/1短促，6/1短促，3/1短促，2023/1/1回價，2022/12/1短促，11/22到貨，10/24 下架，8/1到貨、5月缺貨回價、4/26缺貨預計6月到貨、4/18限量7台，售完待5月中到貨。2021/12/21缺貨，預計1月初到貨，可改推NN-ST34H")</f>
        <v>2025/1/2短促，2024/12/1回價，2024/8/1短促，2024/7/1回價，2024/4/1短促，2024/2/1短促，7/1短促，6/1短促，3/1短促，2023/1/1回價，2022/12/1短促，11/22到貨，10/24 下架，8/1到貨、5月缺貨回價、4/26缺貨預計6月到貨、4/18限量7台，售完待5月中到貨。2021/12/21缺貨，預計1月初到貨，可改推NN-ST34H</v>
      </c>
      <c r="N856" s="12" t="str">
        <f ca="1">IFERROR(__xludf.DUMMYFUNCTION("""COMPUTED_VALUE"""),"微波爐")</f>
        <v>微波爐</v>
      </c>
      <c r="O856" s="12" t="str">
        <f ca="1">IFERROR(__xludf.DUMMYFUNCTION("""COMPUTED_VALUE"""),"黑")</f>
        <v>黑</v>
      </c>
      <c r="P856" s="12" t="str">
        <f ca="1">IFERROR(__xludf.DUMMYFUNCTION("""COMPUTED_VALUE"""),"32L")</f>
        <v>32L</v>
      </c>
      <c r="Q856" s="12" t="str">
        <f ca="1">IFERROR(__xludf.DUMMYFUNCTION("""COMPUTED_VALUE"""),"高310*寬525*深401mm")</f>
        <v>高310*寬525*深401mm</v>
      </c>
      <c r="R856" s="12" t="str">
        <f ca="1">IFERROR(__xludf.DUMMYFUNCTION("""COMPUTED_VALUE"""),"中國")</f>
        <v>中國</v>
      </c>
      <c r="S856" s="12"/>
      <c r="T856" s="12"/>
      <c r="U856" s="12" t="str">
        <f ca="1">IFERROR(__xludf.DUMMYFUNCTION("""COMPUTED_VALUE"""),"1年")</f>
        <v>1年</v>
      </c>
      <c r="V856" s="12"/>
      <c r="W856" s="12" t="str">
        <f ca="1">IFERROR(__xludf.DUMMYFUNCTION("""COMPUTED_VALUE"""),"(10/1-114/2/28)隨貨送SP-2115-PR矽膠隔熱組")</f>
        <v>(10/1-114/2/28)隨貨送SP-2115-PR矽膠隔熱組</v>
      </c>
      <c r="X856" s="12"/>
      <c r="Y856" s="12"/>
      <c r="Z856" s="14"/>
      <c r="AA856" s="15" t="str">
        <f ca="1">IFERROR(__xludf.DUMMYFUNCTION("""COMPUTED_VALUE"""),"*LED內燈更省電*18項自動菜單*文火軟化*快速30秒加熱")</f>
        <v>*LED內燈更省電*18項自動菜單*文火軟化*快速30秒加熱</v>
      </c>
    </row>
    <row r="857" spans="1:27" ht="19.5" customHeight="1">
      <c r="A857" s="12" t="str">
        <f ca="1">IFERROR(__xludf.DUMMYFUNCTION("""COMPUTED_VALUE"""),"廚房家電")</f>
        <v>廚房家電</v>
      </c>
      <c r="B857" s="12" t="str">
        <f ca="1">IFERROR(__xludf.DUMMYFUNCTION("""COMPUTED_VALUE"""),"大同")</f>
        <v>大同</v>
      </c>
      <c r="C857" s="12" t="str">
        <f ca="1">IFERROR(__xludf.DUMMYFUNCTION("""COMPUTED_VALUE"""),"PANASONIC")</f>
        <v>PANASONIC</v>
      </c>
      <c r="D857" s="12" t="str">
        <f ca="1">IFERROR(__xludf.DUMMYFUNCTION("""COMPUTED_VALUE"""),"Panasonic咖啡機4人份NC-R601")</f>
        <v>Panasonic咖啡機4人份NC-R601</v>
      </c>
      <c r="E857" s="12" t="str">
        <f ca="1">IFERROR(__xludf.DUMMYFUNCTION("""COMPUTED_VALUE"""),"NC-R601")</f>
        <v>NC-R601</v>
      </c>
      <c r="F857" s="12">
        <f ca="1">IFERROR(__xludf.DUMMYFUNCTION("""COMPUTED_VALUE"""),51089297)</f>
        <v>51089297</v>
      </c>
      <c r="G857" s="12" t="str">
        <f ca="1">IFERROR(__xludf.DUMMYFUNCTION("""COMPUTED_VALUE"""),"IGEM01RV")</f>
        <v>IGEM01RV</v>
      </c>
      <c r="H857" s="12">
        <f ca="1">IFERROR(__xludf.DUMMYFUNCTION("""COMPUTED_VALUE"""),3990)</f>
        <v>3990</v>
      </c>
      <c r="I857" s="14">
        <f ca="1">IFERROR(__xludf.DUMMYFUNCTION("""COMPUTED_VALUE"""),2990)</f>
        <v>2990</v>
      </c>
      <c r="J857" s="16">
        <f ca="1">IFERROR(__xludf.DUMMYFUNCTION("""COMPUTED_VALUE"""),45261)</f>
        <v>45261</v>
      </c>
      <c r="K857" s="12" t="str">
        <f ca="1">IFERROR(__xludf.DUMMYFUNCTION("""COMPUTED_VALUE"""),"短促")</f>
        <v>短促</v>
      </c>
      <c r="L857" s="12" t="str">
        <f ca="1">IFERROR(__xludf.DUMMYFUNCTION("""COMPUTED_VALUE"""),"上架中")</f>
        <v>上架中</v>
      </c>
      <c r="M857" s="12" t="str">
        <f ca="1">IFERROR(__xludf.DUMMYFUNCTION("""COMPUTED_VALUE"""),"12/1短促，7/1短促，4/6到貨，2023/3/13缺貨，2022/12/1回價，7/21 上架、7/8缺貨，5/18到貨、5/4缺貨月初尚未到貨、預計4月中到貨、3/18少量到貨、3/9缺貨、2021/6/10到貨、5/14缺貨、4/1-4/30短促。5/1新機上架")</f>
        <v>12/1短促，7/1短促，4/6到貨，2023/3/13缺貨，2022/12/1回價，7/21 上架、7/8缺貨，5/18到貨、5/4缺貨月初尚未到貨、預計4月中到貨、3/18少量到貨、3/9缺貨、2021/6/10到貨、5/14缺貨、4/1-4/30短促。5/1新機上架</v>
      </c>
      <c r="N857" s="12" t="str">
        <f ca="1">IFERROR(__xludf.DUMMYFUNCTION("""COMPUTED_VALUE"""),"咖啡機/磨豆器")</f>
        <v>咖啡機/磨豆器</v>
      </c>
      <c r="O857" s="12" t="str">
        <f ca="1">IFERROR(__xludf.DUMMYFUNCTION("""COMPUTED_VALUE"""),"咖啡色")</f>
        <v>咖啡色</v>
      </c>
      <c r="P857" s="12" t="str">
        <f ca="1">IFERROR(__xludf.DUMMYFUNCTION("""COMPUTED_VALUE"""),"4人份")</f>
        <v>4人份</v>
      </c>
      <c r="Q857" s="12" t="str">
        <f ca="1">IFERROR(__xludf.DUMMYFUNCTION("""COMPUTED_VALUE"""),"高292*寬155*深292(mm)")</f>
        <v>高292*寬155*深292(mm)</v>
      </c>
      <c r="R857" s="12" t="str">
        <f ca="1">IFERROR(__xludf.DUMMYFUNCTION("""COMPUTED_VALUE"""),"中國")</f>
        <v>中國</v>
      </c>
      <c r="S857" s="12"/>
      <c r="T857" s="12"/>
      <c r="U857" s="12" t="str">
        <f ca="1">IFERROR(__xludf.DUMMYFUNCTION("""COMPUTED_VALUE"""),"1年")</f>
        <v>1年</v>
      </c>
      <c r="V857" s="12"/>
      <c r="W857" s="12" t="str">
        <f ca="1">IFERROR(__xludf.DUMMYFUNCTION("""COMPUTED_VALUE"""),"(10/1-114/2/28)隨貨送NC-SP1701-PR(咖啡豆一包)")</f>
        <v>(10/1-114/2/28)隨貨送NC-SP1701-PR(咖啡豆一包)</v>
      </c>
      <c r="X857" s="12"/>
      <c r="Y857" s="12"/>
      <c r="Z857" s="14"/>
      <c r="AA857" s="15" t="str">
        <f ca="1">IFERROR(__xludf.DUMMYFUNCTION("""COMPUTED_VALUE"""),"*咖啡豆/粉兩用，可調整濃度*研磨粗/細兩種模式*一鍵自動清*保溫40分鐘")</f>
        <v>*咖啡豆/粉兩用，可調整濃度*研磨粗/細兩種模式*一鍵自動清*保溫40分鐘</v>
      </c>
    </row>
    <row r="858" spans="1:27" ht="19.5" customHeight="1">
      <c r="A858" s="12" t="str">
        <f ca="1">IFERROR(__xludf.DUMMYFUNCTION("""COMPUTED_VALUE"""),"廚房家電")</f>
        <v>廚房家電</v>
      </c>
      <c r="B858" s="12" t="str">
        <f ca="1">IFERROR(__xludf.DUMMYFUNCTION("""COMPUTED_VALUE"""),"大同")</f>
        <v>大同</v>
      </c>
      <c r="C858" s="12" t="str">
        <f ca="1">IFERROR(__xludf.DUMMYFUNCTION("""COMPUTED_VALUE"""),"PANASONIC")</f>
        <v>PANASONIC</v>
      </c>
      <c r="D858" s="12" t="str">
        <f ca="1">IFERROR(__xludf.DUMMYFUNCTION("""COMPUTED_VALUE"""),"(專案)Panasonic 全自動義式咖啡機 NC-EA801")</f>
        <v>(專案)Panasonic 全自動義式咖啡機 NC-EA801</v>
      </c>
      <c r="E858" s="12" t="str">
        <f ca="1">IFERROR(__xludf.DUMMYFUNCTION("""COMPUTED_VALUE"""),"NC-EA801")</f>
        <v>NC-EA801</v>
      </c>
      <c r="F858" s="12">
        <f ca="1">IFERROR(__xludf.DUMMYFUNCTION("""COMPUTED_VALUE"""),51012237)</f>
        <v>51012237</v>
      </c>
      <c r="G858" s="12" t="str">
        <f ca="1">IFERROR(__xludf.DUMMYFUNCTION("""COMPUTED_VALUE"""),"IGEM094V")</f>
        <v>IGEM094V</v>
      </c>
      <c r="H858" s="13">
        <f ca="1">IFERROR(__xludf.DUMMYFUNCTION("""COMPUTED_VALUE"""),26900)</f>
        <v>26900</v>
      </c>
      <c r="I858" s="18">
        <f ca="1">IFERROR(__xludf.DUMMYFUNCTION("""COMPUTED_VALUE"""),20590)</f>
        <v>20590</v>
      </c>
      <c r="J858" s="16">
        <f ca="1">IFERROR(__xludf.DUMMYFUNCTION("""COMPUTED_VALUE"""),45658)</f>
        <v>45658</v>
      </c>
      <c r="K858" s="12" t="str">
        <f ca="1">IFERROR(__xludf.DUMMYFUNCTION("""COMPUTED_VALUE"""),"回價")</f>
        <v>回價</v>
      </c>
      <c r="L858" s="12" t="str">
        <f ca="1">IFERROR(__xludf.DUMMYFUNCTION("""COMPUTED_VALUE"""),"上架中")</f>
        <v>上架中</v>
      </c>
      <c r="M858" s="12" t="str">
        <f ca="1">IFERROR(__xludf.DUMMYFUNCTION("""COMPUTED_VALUE"""),"2025/1/1回價，2024/12/1短促，2024/8/16短促，12/9新機上架，專案機種少量到貨")</f>
        <v>2025/1/1回價，2024/12/1短促，2024/8/16短促，12/9新機上架，專案機種少量到貨</v>
      </c>
      <c r="N858" s="12" t="str">
        <f ca="1">IFERROR(__xludf.DUMMYFUNCTION("""COMPUTED_VALUE"""),"咖啡機/磨豆器")</f>
        <v>咖啡機/磨豆器</v>
      </c>
      <c r="O858" s="12" t="str">
        <f ca="1">IFERROR(__xludf.DUMMYFUNCTION("""COMPUTED_VALUE"""),"銀黑")</f>
        <v>銀黑</v>
      </c>
      <c r="P858" s="12"/>
      <c r="Q858" s="12" t="str">
        <f ca="1">IFERROR(__xludf.DUMMYFUNCTION("""COMPUTED_VALUE"""),"高340×寬215×深455(mm)
")</f>
        <v xml:space="preserve">高340×寬215×深455(mm)
</v>
      </c>
      <c r="R858" s="12" t="str">
        <f ca="1">IFERROR(__xludf.DUMMYFUNCTION("""COMPUTED_VALUE"""),"中國")</f>
        <v>中國</v>
      </c>
      <c r="S858" s="12"/>
      <c r="T858" s="12"/>
      <c r="U858" s="12" t="str">
        <f ca="1">IFERROR(__xludf.DUMMYFUNCTION("""COMPUTED_VALUE"""),"1年")</f>
        <v>1年</v>
      </c>
      <c r="V858" s="12"/>
      <c r="W858" s="12"/>
      <c r="X858" s="12" t="str">
        <f ca="1">IFERROR(__xludf.DUMMYFUNCTION("""COMPUTED_VALUE"""),"(10/1-114/2/28)登錄送歐克佬咖啡豆一組
")</f>
        <v xml:space="preserve">(10/1-114/2/28)登錄送歐克佬咖啡豆一組
</v>
      </c>
      <c r="Y858" s="12"/>
      <c r="Z858" s="14"/>
      <c r="AA858" s="15" t="str">
        <f ca="1">IFERROR(__xludf.DUMMYFUNCTION("""COMPUTED_VALUE"""),"*12項自動行程*中文觸控螢幕*預浸式壓力萃取*5大自動清潔*9段研磨選擇*奶泡系統")</f>
        <v>*12項自動行程*中文觸控螢幕*預浸式壓力萃取*5大自動清潔*9段研磨選擇*奶泡系統</v>
      </c>
    </row>
    <row r="859" spans="1:27" ht="19.5" customHeight="1">
      <c r="A859" s="12" t="str">
        <f ca="1">IFERROR(__xludf.DUMMYFUNCTION("""COMPUTED_VALUE"""),"廚房家電")</f>
        <v>廚房家電</v>
      </c>
      <c r="B859" s="12" t="str">
        <f ca="1">IFERROR(__xludf.DUMMYFUNCTION("""COMPUTED_VALUE"""),"大同")</f>
        <v>大同</v>
      </c>
      <c r="C859" s="12" t="str">
        <f ca="1">IFERROR(__xludf.DUMMYFUNCTION("""COMPUTED_VALUE"""),"PANASONIC")</f>
        <v>PANASONIC</v>
      </c>
      <c r="D859" s="12" t="str">
        <f ca="1">IFERROR(__xludf.DUMMYFUNCTION("""COMPUTED_VALUE"""),"PANASONIC IH電磁爐KY-T31")</f>
        <v>PANASONIC IH電磁爐KY-T31</v>
      </c>
      <c r="E859" s="12" t="str">
        <f ca="1">IFERROR(__xludf.DUMMYFUNCTION("""COMPUTED_VALUE"""),"KY-T31")</f>
        <v>KY-T31</v>
      </c>
      <c r="F859" s="12">
        <f ca="1">IFERROR(__xludf.DUMMYFUNCTION("""COMPUTED_VALUE"""),51081354)</f>
        <v>51081354</v>
      </c>
      <c r="G859" s="12" t="str">
        <f ca="1">IFERROR(__xludf.DUMMYFUNCTION("""COMPUTED_VALUE"""),"IGEM094P")</f>
        <v>IGEM094P</v>
      </c>
      <c r="H859" s="12">
        <f ca="1">IFERROR(__xludf.DUMMYFUNCTION("""COMPUTED_VALUE"""),2890)</f>
        <v>2890</v>
      </c>
      <c r="I859" s="14">
        <f ca="1">IFERROR(__xludf.DUMMYFUNCTION("""COMPUTED_VALUE"""),2390)</f>
        <v>2390</v>
      </c>
      <c r="J859" s="16">
        <f ca="1">IFERROR(__xludf.DUMMYFUNCTION("""COMPUTED_VALUE"""),45292)</f>
        <v>45292</v>
      </c>
      <c r="K859" s="12" t="str">
        <f ca="1">IFERROR(__xludf.DUMMYFUNCTION("""COMPUTED_VALUE"""),"回價")</f>
        <v>回價</v>
      </c>
      <c r="L859" s="12" t="str">
        <f ca="1">IFERROR(__xludf.DUMMYFUNCTION("""COMPUTED_VALUE"""),"上架中")</f>
        <v>上架中</v>
      </c>
      <c r="M859" s="12" t="str">
        <f ca="1">IFERROR(__xludf.DUMMYFUNCTION("""COMPUTED_VALUE"""),"2024/1/1 回價，12/1新機上架+短促")</f>
        <v>2024/1/1 回價，12/1新機上架+短促</v>
      </c>
      <c r="N859" s="12" t="str">
        <f ca="1">IFERROR(__xludf.DUMMYFUNCTION("""COMPUTED_VALUE"""),"電磁爐/電陶爐")</f>
        <v>電磁爐/電陶爐</v>
      </c>
      <c r="O859" s="12" t="str">
        <f ca="1">IFERROR(__xludf.DUMMYFUNCTION("""COMPUTED_VALUE"""),"銀黑")</f>
        <v>銀黑</v>
      </c>
      <c r="P859" s="12"/>
      <c r="Q859" s="12" t="str">
        <f ca="1">IFERROR(__xludf.DUMMYFUNCTION("""COMPUTED_VALUE"""),"高64×寬273×深310(mm)")</f>
        <v>高64×寬273×深310(mm)</v>
      </c>
      <c r="R859" s="12" t="str">
        <f ca="1">IFERROR(__xludf.DUMMYFUNCTION("""COMPUTED_VALUE"""),"大陸")</f>
        <v>大陸</v>
      </c>
      <c r="S859" s="12"/>
      <c r="T859" s="12"/>
      <c r="U859" s="12" t="str">
        <f ca="1">IFERROR(__xludf.DUMMYFUNCTION("""COMPUTED_VALUE"""),"1年")</f>
        <v>1年</v>
      </c>
      <c r="V859" s="12"/>
      <c r="W859" s="12"/>
      <c r="X859" s="12"/>
      <c r="Y859" s="12"/>
      <c r="Z859" s="14"/>
      <c r="AA859" s="15" t="str">
        <f ca="1">IFERROR(__xludf.DUMMYFUNCTION("""COMPUTED_VALUE"""),"*1400W大火力*7段火力設定*4H定時設定*4項防異物保護*10項安全裝置*觸控式按鍵")</f>
        <v>*1400W大火力*7段火力設定*4H定時設定*4項防異物保護*10項安全裝置*觸控式按鍵</v>
      </c>
    </row>
    <row r="860" spans="1:27" ht="19.5" customHeight="1">
      <c r="A860" s="12" t="str">
        <f ca="1">IFERROR(__xludf.DUMMYFUNCTION("""COMPUTED_VALUE"""),"廚房家電")</f>
        <v>廚房家電</v>
      </c>
      <c r="B860" s="12" t="str">
        <f ca="1">IFERROR(__xludf.DUMMYFUNCTION("""COMPUTED_VALUE"""),"大同")</f>
        <v>大同</v>
      </c>
      <c r="C860" s="12" t="str">
        <f ca="1">IFERROR(__xludf.DUMMYFUNCTION("""COMPUTED_VALUE"""),"PANASONIC")</f>
        <v>PANASONIC</v>
      </c>
      <c r="D860" s="12" t="str">
        <f ca="1">IFERROR(__xludf.DUMMYFUNCTION("""COMPUTED_VALUE"""),"PANASONIC_遠近紅外線9公升微電腦烤箱_NB-DT52")</f>
        <v>PANASONIC_遠近紅外線9公升微電腦烤箱_NB-DT52</v>
      </c>
      <c r="E860" s="12" t="str">
        <f ca="1">IFERROR(__xludf.DUMMYFUNCTION("""COMPUTED_VALUE"""),"NB-DT52")</f>
        <v>NB-DT52</v>
      </c>
      <c r="F860" s="12">
        <f ca="1">IFERROR(__xludf.DUMMYFUNCTION("""COMPUTED_VALUE"""),51012147)</f>
        <v>51012147</v>
      </c>
      <c r="G860" s="12" t="str">
        <f ca="1">IFERROR(__xludf.DUMMYFUNCTION("""COMPUTED_VALUE"""),"IGEM037E")</f>
        <v>IGEM037E</v>
      </c>
      <c r="H860" s="12">
        <f ca="1">IFERROR(__xludf.DUMMYFUNCTION("""COMPUTED_VALUE"""),4990)</f>
        <v>4990</v>
      </c>
      <c r="I860" s="14">
        <f ca="1">IFERROR(__xludf.DUMMYFUNCTION("""COMPUTED_VALUE"""),4690)</f>
        <v>4690</v>
      </c>
      <c r="J860" s="12"/>
      <c r="K860" s="12"/>
      <c r="L860" s="12" t="str">
        <f ca="1">IFERROR(__xludf.DUMMYFUNCTION("""COMPUTED_VALUE"""),"上架中")</f>
        <v>上架中</v>
      </c>
      <c r="M860" s="12" t="str">
        <f ca="1">IFERROR(__xludf.DUMMYFUNCTION("""COMPUTED_VALUE"""),"專案商品，請洽廠商是否有貨可供")</f>
        <v>專案商品，請洽廠商是否有貨可供</v>
      </c>
      <c r="N860" s="12" t="str">
        <f ca="1">IFERROR(__xludf.DUMMYFUNCTION("""COMPUTED_VALUE"""),"烤箱")</f>
        <v>烤箱</v>
      </c>
      <c r="O860" s="12"/>
      <c r="P860" s="12" t="str">
        <f ca="1">IFERROR(__xludf.DUMMYFUNCTION("""COMPUTED_VALUE"""),"9L")</f>
        <v>9L</v>
      </c>
      <c r="Q860" s="12" t="str">
        <f ca="1">IFERROR(__xludf.DUMMYFUNCTION("""COMPUTED_VALUE"""),"高330寬300*深260mm")</f>
        <v>高330寬300*深260mm</v>
      </c>
      <c r="R860" s="12" t="str">
        <f ca="1">IFERROR(__xludf.DUMMYFUNCTION("""COMPUTED_VALUE"""),"台灣")</f>
        <v>台灣</v>
      </c>
      <c r="S860" s="12"/>
      <c r="T860" s="12"/>
      <c r="U860" s="12" t="str">
        <f ca="1">IFERROR(__xludf.DUMMYFUNCTION("""COMPUTED_VALUE"""),"1年")</f>
        <v>1年</v>
      </c>
      <c r="V860" s="12"/>
      <c r="W860" s="12"/>
      <c r="X860" s="12"/>
      <c r="Y860" s="12"/>
      <c r="Z860" s="14"/>
      <c r="AA860" s="15" t="str">
        <f ca="1">IFERROR(__xludf.DUMMYFUNCTION("""COMPUTED_VALUE"""),"*遠近紅外線雙重加熱技術*外酥內熱完整還原食物美味*冷凍加熱(吐司/可頌/披薩)*7道自動料理行程、精準控溫""")</f>
        <v>*遠近紅外線雙重加熱技術*外酥內熱完整還原食物美味*冷凍加熱(吐司/可頌/披薩)*7道自動料理行程、精準控溫"</v>
      </c>
    </row>
    <row r="861" spans="1:27" ht="19.5" customHeight="1">
      <c r="A861" s="12" t="str">
        <f ca="1">IFERROR(__xludf.DUMMYFUNCTION("""COMPUTED_VALUE"""),"廚房家電")</f>
        <v>廚房家電</v>
      </c>
      <c r="B861" s="12" t="str">
        <f ca="1">IFERROR(__xludf.DUMMYFUNCTION("""COMPUTED_VALUE"""),"順發")</f>
        <v>順發</v>
      </c>
      <c r="C861" s="12" t="str">
        <f ca="1">IFERROR(__xludf.DUMMYFUNCTION("""COMPUTED_VALUE"""),"HITACHI")</f>
        <v>HITACHI</v>
      </c>
      <c r="D861" s="12" t="str">
        <f ca="1">IFERROR(__xludf.DUMMYFUNCTION("""COMPUTED_VALUE"""),"HITACHI 日立22L過熱水蒸氣烘烤微波爐 MRO-VS700TR(晶鑽紅)_783210")</f>
        <v>HITACHI 日立22L過熱水蒸氣烘烤微波爐 MRO-VS700TR(晶鑽紅)_783210</v>
      </c>
      <c r="E861" s="12" t="str">
        <f ca="1">IFERROR(__xludf.DUMMYFUNCTION("""COMPUTED_VALUE"""),"MRO-VS700TR")</f>
        <v>MRO-VS700TR</v>
      </c>
      <c r="F861" s="12">
        <f ca="1">IFERROR(__xludf.DUMMYFUNCTION("""COMPUTED_VALUE"""),51095022)</f>
        <v>51095022</v>
      </c>
      <c r="G861" s="12" t="str">
        <f ca="1">IFERROR(__xludf.DUMMYFUNCTION("""COMPUTED_VALUE"""),"IGEM00UA")</f>
        <v>IGEM00UA</v>
      </c>
      <c r="H861" s="12">
        <f ca="1">IFERROR(__xludf.DUMMYFUNCTION("""COMPUTED_VALUE"""),17500)</f>
        <v>17500</v>
      </c>
      <c r="I861" s="14">
        <f ca="1">IFERROR(__xludf.DUMMYFUNCTION("""COMPUTED_VALUE"""),13600)</f>
        <v>13600</v>
      </c>
      <c r="J861" s="16">
        <f ca="1">IFERROR(__xludf.DUMMYFUNCTION("""COMPUTED_VALUE"""),45658)</f>
        <v>45658</v>
      </c>
      <c r="K861" s="12" t="str">
        <f ca="1">IFERROR(__xludf.DUMMYFUNCTION("""COMPUTED_VALUE"""),"短促")</f>
        <v>短促</v>
      </c>
      <c r="L861" s="12" t="str">
        <f ca="1">IFERROR(__xludf.DUMMYFUNCTION("""COMPUTED_VALUE"""),"上架中")</f>
        <v>上架中</v>
      </c>
      <c r="M861" s="12" t="str">
        <f ca="1">IFERROR(__xludf.DUMMYFUNCTION("""COMPUTED_VALUE"""),"2025/1/1短促，10/14短促，7/1短促，5/1回價，4/1短促，3/1回價")</f>
        <v>2025/1/1短促，10/14短促，7/1短促，5/1回價，4/1短促，3/1回價</v>
      </c>
      <c r="N861" s="12" t="str">
        <f ca="1">IFERROR(__xludf.DUMMYFUNCTION("""COMPUTED_VALUE"""),"微波爐")</f>
        <v>微波爐</v>
      </c>
      <c r="O861" s="12" t="str">
        <f ca="1">IFERROR(__xludf.DUMMYFUNCTION("""COMPUTED_VALUE"""),"晶鑽紅")</f>
        <v>晶鑽紅</v>
      </c>
      <c r="P861" s="12" t="str">
        <f ca="1">IFERROR(__xludf.DUMMYFUNCTION("""COMPUTED_VALUE"""),"22L")</f>
        <v>22L</v>
      </c>
      <c r="Q861" s="12" t="str">
        <f ca="1">IFERROR(__xludf.DUMMYFUNCTION("""COMPUTED_VALUE"""),"高340*寬483*深388(mm)")</f>
        <v>高340*寬483*深388(mm)</v>
      </c>
      <c r="R861" s="12" t="str">
        <f ca="1">IFERROR(__xludf.DUMMYFUNCTION("""COMPUTED_VALUE"""),"泰國")</f>
        <v>泰國</v>
      </c>
      <c r="S861" s="12"/>
      <c r="T861" s="12"/>
      <c r="U861" s="12" t="str">
        <f ca="1">IFERROR(__xludf.DUMMYFUNCTION("""COMPUTED_VALUE"""),"1年")</f>
        <v>1年</v>
      </c>
      <c r="V861" s="12"/>
      <c r="W861" s="12"/>
      <c r="X861" s="12" t="str">
        <f ca="1">IFERROR(__xludf.DUMMYFUNCTION("""COMPUTED_VALUE"""),"(114/1/1~2/28)隨貨送獨家送易百拉密封罐3入組(市價890)
")</f>
        <v xml:space="preserve">(114/1/1~2/28)隨貨送獨家送易百拉密封罐3入組(市價890)
</v>
      </c>
      <c r="Y861" s="12"/>
      <c r="Z861" s="14"/>
      <c r="AA861" s="15" t="str">
        <f ca="1">IFERROR(__xludf.DUMMYFUNCTION("""COMPUTED_VALUE"""),"*紅外線溫度感測*92道自動料理、125道食譜料理*過熱水蒸氣*熱風烘烤最高溫度250℃*大火力平面燒烤*自動清潔功能*背面貼壁設計")</f>
        <v>*紅外線溫度感測*92道自動料理、125道食譜料理*過熱水蒸氣*熱風烘烤最高溫度250℃*大火力平面燒烤*自動清潔功能*背面貼壁設計</v>
      </c>
    </row>
    <row r="862" spans="1:27" ht="19.5" customHeight="1">
      <c r="A862" s="12" t="str">
        <f ca="1">IFERROR(__xludf.DUMMYFUNCTION("""COMPUTED_VALUE"""),"廚房家電")</f>
        <v>廚房家電</v>
      </c>
      <c r="B862" s="12" t="str">
        <f ca="1">IFERROR(__xludf.DUMMYFUNCTION("""COMPUTED_VALUE"""),"順發")</f>
        <v>順發</v>
      </c>
      <c r="C862" s="12" t="str">
        <f ca="1">IFERROR(__xludf.DUMMYFUNCTION("""COMPUTED_VALUE"""),"HITACHI")</f>
        <v>HITACHI</v>
      </c>
      <c r="D862" s="12" t="str">
        <f ca="1">IFERROR(__xludf.DUMMYFUNCTION("""COMPUTED_VALUE"""),"日立30L過熱水蒸氣烘烤微波爐_783213_MROW1000YT")</f>
        <v>日立30L過熱水蒸氣烘烤微波爐_783213_MROW1000YT</v>
      </c>
      <c r="E862" s="12" t="str">
        <f ca="1">IFERROR(__xludf.DUMMYFUNCTION("""COMPUTED_VALUE"""),"MROW1000YT")</f>
        <v>MROW1000YT</v>
      </c>
      <c r="F862" s="12">
        <f ca="1">IFERROR(__xludf.DUMMYFUNCTION("""COMPUTED_VALUE"""),51095337)</f>
        <v>51095337</v>
      </c>
      <c r="G862" s="12" t="str">
        <f ca="1">IFERROR(__xludf.DUMMYFUNCTION("""COMPUTED_VALUE"""),"IGEM031H")</f>
        <v>IGEM031H</v>
      </c>
      <c r="H862" s="12">
        <f ca="1">IFERROR(__xludf.DUMMYFUNCTION("""COMPUTED_VALUE"""),31900)</f>
        <v>31900</v>
      </c>
      <c r="I862" s="14">
        <f ca="1">IFERROR(__xludf.DUMMYFUNCTION("""COMPUTED_VALUE"""),28800)</f>
        <v>28800</v>
      </c>
      <c r="J862" s="16">
        <f ca="1">IFERROR(__xludf.DUMMYFUNCTION("""COMPUTED_VALUE"""),45717)</f>
        <v>45717</v>
      </c>
      <c r="K862" s="12" t="str">
        <f ca="1">IFERROR(__xludf.DUMMYFUNCTION("""COMPUTED_VALUE"""),"回價")</f>
        <v>回價</v>
      </c>
      <c r="L862" s="12" t="str">
        <f ca="1">IFERROR(__xludf.DUMMYFUNCTION("""COMPUTED_VALUE"""),"上架中")</f>
        <v>上架中</v>
      </c>
      <c r="M862" s="12" t="str">
        <f ca="1">IFERROR(__xludf.DUMMYFUNCTION("""COMPUTED_VALUE"""),"2025/1/1短促，2024/12/1回價，2024/11/1短促，2024/5/1回價，2024/4/1短促")</f>
        <v>2025/1/1短促，2024/12/1回價，2024/11/1短促，2024/5/1回價，2024/4/1短促</v>
      </c>
      <c r="N862" s="12" t="str">
        <f ca="1">IFERROR(__xludf.DUMMYFUNCTION("""COMPUTED_VALUE"""),"微波爐")</f>
        <v>微波爐</v>
      </c>
      <c r="O862" s="12" t="str">
        <f ca="1">IFERROR(__xludf.DUMMYFUNCTION("""COMPUTED_VALUE"""),"珍珠白")</f>
        <v>珍珠白</v>
      </c>
      <c r="P862" s="12" t="str">
        <f ca="1">IFERROR(__xludf.DUMMYFUNCTION("""COMPUTED_VALUE"""),"30L")</f>
        <v>30L</v>
      </c>
      <c r="Q862" s="12" t="str">
        <f ca="1">IFERROR(__xludf.DUMMYFUNCTION("""COMPUTED_VALUE"""),"高375*寬497*深442mm
")</f>
        <v xml:space="preserve">高375*寬497*深442mm
</v>
      </c>
      <c r="R862" s="12" t="str">
        <f ca="1">IFERROR(__xludf.DUMMYFUNCTION("""COMPUTED_VALUE"""),"泰國")</f>
        <v>泰國</v>
      </c>
      <c r="S862" s="12"/>
      <c r="T862" s="12"/>
      <c r="U862" s="12" t="str">
        <f ca="1">IFERROR(__xludf.DUMMYFUNCTION("""COMPUTED_VALUE"""),"1年")</f>
        <v>1年</v>
      </c>
      <c r="V862" s="12" t="str">
        <f ca="1">IFERROR(__xludf.DUMMYFUNCTION("""COMPUTED_VALUE"""),"1年")</f>
        <v>1年</v>
      </c>
      <c r="W862" s="12" t="str">
        <f ca="1">IFERROR(__xludf.DUMMYFUNCTION("""COMPUTED_VALUE"""),"(9/21~114/1/31)線上申請送即享券$2,000元")</f>
        <v>(9/21~114/1/31)線上申請送即享券$2,000元</v>
      </c>
      <c r="X862" s="12" t="str">
        <f ca="1">IFERROR(__xludf.DUMMYFUNCTION("""COMPUTED_VALUE"""),"(114/1/1~2/28)隨貨送獨家送易百拉密封罐3入組(市價890)
")</f>
        <v xml:space="preserve">(114/1/1~2/28)隨貨送獨家送易百拉密封罐3入組(市價890)
</v>
      </c>
      <c r="Y862" s="12"/>
      <c r="Z862" s="14"/>
      <c r="AA862" s="15" t="str">
        <f ca="1">IFERROR(__xludf.DUMMYFUNCTION("""COMPUTED_VALUE"""),"*主廚級烹調197道食譜152道自動調理*多元烤架料理高效率*W雙光速加熱器快速預熱2層式熱風對流均勻烘烤*頂部平面加熱器大火力燒烤免解凍*2品同時料理大份量家庭套餐一次搞定*冷凍冷藏同時溫熱有效率*零微波料理模式*黑底液晶畫面按鍵+旋鈕一體式操作*LED箱內明亮及大視窗設計*貼心庫內設計簡單保養易清潔*極致貼壁設計左右後三面不須預留空間*時尚生活美學日本GOODDESIGN優良設計獲獎")</f>
        <v>*主廚級烹調197道食譜152道自動調理*多元烤架料理高效率*W雙光速加熱器快速預熱2層式熱風對流均勻烘烤*頂部平面加熱器大火力燒烤免解凍*2品同時料理大份量家庭套餐一次搞定*冷凍冷藏同時溫熱有效率*零微波料理模式*黑底液晶畫面按鍵+旋鈕一體式操作*LED箱內明亮及大視窗設計*貼心庫內設計簡單保養易清潔*極致貼壁設計左右後三面不須預留空間*時尚生活美學日本GOODDESIGN優良設計獲獎</v>
      </c>
    </row>
    <row r="863" spans="1:27" ht="19.5" customHeight="1">
      <c r="A863" s="12" t="str">
        <f ca="1">IFERROR(__xludf.DUMMYFUNCTION("""COMPUTED_VALUE"""),"廚房家電")</f>
        <v>廚房家電</v>
      </c>
      <c r="B863" s="12" t="str">
        <f ca="1">IFERROR(__xludf.DUMMYFUNCTION("""COMPUTED_VALUE"""),"順發")</f>
        <v>順發</v>
      </c>
      <c r="C863" s="12" t="str">
        <f ca="1">IFERROR(__xludf.DUMMYFUNCTION("""COMPUTED_VALUE"""),"HITACHI")</f>
        <v>HITACHI</v>
      </c>
      <c r="D863" s="12" t="str">
        <f ca="1">IFERROR(__xludf.DUMMYFUNCTION("""COMPUTED_VALUE"""),"HITACHI 日立22L過熱水蒸氣烘烤微波爐 MRO-VS700TW(珍珠白)_783214")</f>
        <v>HITACHI 日立22L過熱水蒸氣烘烤微波爐 MRO-VS700TW(珍珠白)_783214</v>
      </c>
      <c r="E863" s="12" t="str">
        <f ca="1">IFERROR(__xludf.DUMMYFUNCTION("""COMPUTED_VALUE"""),"MRO-VS700TW")</f>
        <v>MRO-VS700TW</v>
      </c>
      <c r="F863" s="12">
        <f ca="1">IFERROR(__xludf.DUMMYFUNCTION("""COMPUTED_VALUE"""),51095891)</f>
        <v>51095891</v>
      </c>
      <c r="G863" s="12" t="str">
        <f ca="1">IFERROR(__xludf.DUMMYFUNCTION("""COMPUTED_VALUE"""),"IGEM1169")</f>
        <v>IGEM1169</v>
      </c>
      <c r="H863" s="13">
        <f ca="1">IFERROR(__xludf.DUMMYFUNCTION("""COMPUTED_VALUE"""),17500)</f>
        <v>17500</v>
      </c>
      <c r="I863" s="14">
        <f ca="1">IFERROR(__xludf.DUMMYFUNCTION("""COMPUTED_VALUE"""),13600)</f>
        <v>13600</v>
      </c>
      <c r="J863" s="16">
        <f ca="1">IFERROR(__xludf.DUMMYFUNCTION("""COMPUTED_VALUE"""),45658)</f>
        <v>45658</v>
      </c>
      <c r="K863" s="12" t="str">
        <f ca="1">IFERROR(__xludf.DUMMYFUNCTION("""COMPUTED_VALUE"""),"新機上架")</f>
        <v>新機上架</v>
      </c>
      <c r="L863" s="12" t="str">
        <f ca="1">IFERROR(__xludf.DUMMYFUNCTION("""COMPUTED_VALUE"""),"上架中")</f>
        <v>上架中</v>
      </c>
      <c r="M863" s="12" t="str">
        <f ca="1">IFERROR(__xludf.DUMMYFUNCTION("""COMPUTED_VALUE"""),"2025/1/1短促")</f>
        <v>2025/1/1短促</v>
      </c>
      <c r="N863" s="12" t="str">
        <f ca="1">IFERROR(__xludf.DUMMYFUNCTION("""COMPUTED_VALUE"""),"微波爐")</f>
        <v>微波爐</v>
      </c>
      <c r="O863" s="12" t="str">
        <f ca="1">IFERROR(__xludf.DUMMYFUNCTION("""COMPUTED_VALUE"""),"珍珠白")</f>
        <v>珍珠白</v>
      </c>
      <c r="P863" s="12" t="str">
        <f ca="1">IFERROR(__xludf.DUMMYFUNCTION("""COMPUTED_VALUE"""),"22L")</f>
        <v>22L</v>
      </c>
      <c r="Q863" s="12" t="str">
        <f ca="1">IFERROR(__xludf.DUMMYFUNCTION("""COMPUTED_VALUE"""),"本機尺寸: 高度:340x寬度:503x深度:416(mm)本機重量14kg 外箱尺寸: 高度:380x寬度:550x深度:440(mm)")</f>
        <v>本機尺寸: 高度:340x寬度:503x深度:416(mm)本機重量14kg 外箱尺寸: 高度:380x寬度:550x深度:440(mm)</v>
      </c>
      <c r="R863" s="12" t="str">
        <f ca="1">IFERROR(__xludf.DUMMYFUNCTION("""COMPUTED_VALUE"""),"泰國")</f>
        <v>泰國</v>
      </c>
      <c r="S863" s="12"/>
      <c r="T863" s="12"/>
      <c r="U863" s="12" t="str">
        <f ca="1">IFERROR(__xludf.DUMMYFUNCTION("""COMPUTED_VALUE"""),"1年")</f>
        <v>1年</v>
      </c>
      <c r="V863" s="12"/>
      <c r="W863" s="12"/>
      <c r="X863" s="12" t="str">
        <f ca="1">IFERROR(__xludf.DUMMYFUNCTION("""COMPUTED_VALUE"""),"(114/1/1~2/28)隨貨送獨家送易百拉密封罐3入組(市價890)
")</f>
        <v xml:space="preserve">(114/1/1~2/28)隨貨送獨家送易百拉密封罐3入組(市價890)
</v>
      </c>
      <c r="Y863" s="12"/>
      <c r="Z863" s="14"/>
      <c r="AA863" s="15" t="str">
        <f ca="1">IFERROR(__xludf.DUMMYFUNCTION("""COMPUTED_VALUE"""),"*22L大容量，可放入全雞*精巧收納 極大容量*紅外線溫度感測 均勻加熱*92道自動料理、125道食譜*過熱水蒸氣健康調理")</f>
        <v>*22L大容量，可放入全雞*精巧收納 極大容量*紅外線溫度感測 均勻加熱*92道自動料理、125道食譜*過熱水蒸氣健康調理</v>
      </c>
    </row>
    <row r="864" spans="1:27" ht="19.5" customHeight="1">
      <c r="A864" s="12" t="str">
        <f ca="1">IFERROR(__xludf.DUMMYFUNCTION("""COMPUTED_VALUE"""),"廚房家電")</f>
        <v>廚房家電</v>
      </c>
      <c r="B864" s="12" t="str">
        <f ca="1">IFERROR(__xludf.DUMMYFUNCTION("""COMPUTED_VALUE"""),"順發")</f>
        <v>順發</v>
      </c>
      <c r="C864" s="12" t="str">
        <f ca="1">IFERROR(__xludf.DUMMYFUNCTION("""COMPUTED_VALUE"""),"HITACHI")</f>
        <v>HITACHI</v>
      </c>
      <c r="D864" s="12" t="str">
        <f ca="1">IFERROR(__xludf.DUMMYFUNCTION("""COMPUTED_VALUE"""),"HITACHI 日立27L變頻氣炸微波烤箱 HMRDA2713_783217")</f>
        <v>HITACHI 日立27L變頻氣炸微波烤箱 HMRDA2713_783217</v>
      </c>
      <c r="E864" s="12" t="str">
        <f ca="1">IFERROR(__xludf.DUMMYFUNCTION("""COMPUTED_VALUE"""),"HMRDA2713")</f>
        <v>HMRDA2713</v>
      </c>
      <c r="F864" s="12">
        <f ca="1">IFERROR(__xludf.DUMMYFUNCTION("""COMPUTED_VALUE"""),51095936)</f>
        <v>51095936</v>
      </c>
      <c r="G864" s="12" t="str">
        <f ca="1">IFERROR(__xludf.DUMMYFUNCTION("""COMPUTED_VALUE"""),"IGEM119B")</f>
        <v>IGEM119B</v>
      </c>
      <c r="H864" s="13">
        <f ca="1">IFERROR(__xludf.DUMMYFUNCTION("""COMPUTED_VALUE"""),8690)</f>
        <v>8690</v>
      </c>
      <c r="I864" s="14">
        <f ca="1">IFERROR(__xludf.DUMMYFUNCTION("""COMPUTED_VALUE"""),7100)</f>
        <v>7100</v>
      </c>
      <c r="J864" s="16">
        <f ca="1">IFERROR(__xludf.DUMMYFUNCTION("""COMPUTED_VALUE"""),45693)</f>
        <v>45693</v>
      </c>
      <c r="K864" s="12" t="str">
        <f ca="1">IFERROR(__xludf.DUMMYFUNCTION("""COMPUTED_VALUE"""),"短促")</f>
        <v>短促</v>
      </c>
      <c r="L864" s="12" t="str">
        <f ca="1">IFERROR(__xludf.DUMMYFUNCTION("""COMPUTED_VALUE"""),"上架中")</f>
        <v>上架中</v>
      </c>
      <c r="M864" s="12" t="str">
        <f ca="1">IFERROR(__xludf.DUMMYFUNCTION("""COMPUTED_VALUE"""),"2025/2/5短促，2025/2/1新機上架")</f>
        <v>2025/2/5短促，2025/2/1新機上架</v>
      </c>
      <c r="N864" s="12" t="str">
        <f ca="1">IFERROR(__xludf.DUMMYFUNCTION("""COMPUTED_VALUE"""),"微波爐")</f>
        <v>微波爐</v>
      </c>
      <c r="O864" s="12" t="str">
        <f ca="1">IFERROR(__xludf.DUMMYFUNCTION("""COMPUTED_VALUE"""),"黑色")</f>
        <v>黑色</v>
      </c>
      <c r="P864" s="12" t="str">
        <f ca="1">IFERROR(__xludf.DUMMYFUNCTION("""COMPUTED_VALUE"""),"27L")</f>
        <v>27L</v>
      </c>
      <c r="Q864" s="12" t="str">
        <f ca="1">IFERROR(__xludf.DUMMYFUNCTION("""COMPUTED_VALUE"""),"高300*寬523*深410(mm)")</f>
        <v>高300*寬523*深410(mm)</v>
      </c>
      <c r="R864" s="12" t="str">
        <f ca="1">IFERROR(__xludf.DUMMYFUNCTION("""COMPUTED_VALUE"""),"中國")</f>
        <v>中國</v>
      </c>
      <c r="S864" s="12"/>
      <c r="T864" s="12"/>
      <c r="U864" s="12" t="str">
        <f ca="1">IFERROR(__xludf.DUMMYFUNCTION("""COMPUTED_VALUE"""),"1年")</f>
        <v>1年</v>
      </c>
      <c r="V864" s="12"/>
      <c r="W864" s="12"/>
      <c r="X864" s="12"/>
      <c r="Y864" s="12"/>
      <c r="Z864" s="14"/>
      <c r="AA864" s="15" t="str">
        <f ca="1">IFERROR(__xludf.DUMMYFUNCTION("""COMPUTED_VALUE"""),"*27L大容量*氣炸、燒烤、微波多功能*5段微波火力調節*最高微波火力900W*內建33道自動料理行程*微電腦按鍵*防輻射視窗、防燙傷把手設計、兒童安全鎖")</f>
        <v>*27L大容量*氣炸、燒烤、微波多功能*5段微波火力調節*最高微波火力900W*內建33道自動料理行程*微電腦按鍵*防輻射視窗、防燙傷把手設計、兒童安全鎖</v>
      </c>
    </row>
    <row r="865" spans="1:27" ht="19.5" customHeight="1">
      <c r="A865" s="12" t="str">
        <f ca="1">IFERROR(__xludf.DUMMYFUNCTION("""COMPUTED_VALUE"""),"廚房家電")</f>
        <v>廚房家電</v>
      </c>
      <c r="B865" s="12" t="str">
        <f ca="1">IFERROR(__xludf.DUMMYFUNCTION("""COMPUTED_VALUE"""),"凱創")</f>
        <v>凱創</v>
      </c>
      <c r="C865" s="12" t="str">
        <f ca="1">IFERROR(__xludf.DUMMYFUNCTION("""COMPUTED_VALUE"""),"Cuisinart")</f>
        <v>Cuisinart</v>
      </c>
      <c r="D865" s="12" t="str">
        <f ca="1">IFERROR(__xludf.DUMMYFUNCTION("""COMPUTED_VALUE"""),"Cuisinart美膳雅液晶溫控多功能煎烤盤GR-5NTW")</f>
        <v>Cuisinart美膳雅液晶溫控多功能煎烤盤GR-5NTW</v>
      </c>
      <c r="E865" s="12" t="str">
        <f ca="1">IFERROR(__xludf.DUMMYFUNCTION("""COMPUTED_VALUE"""),"GR-5NTW")</f>
        <v>GR-5NTW</v>
      </c>
      <c r="F865" s="12">
        <f ca="1">IFERROR(__xludf.DUMMYFUNCTION("""COMPUTED_VALUE"""),51084093)</f>
        <v>51084093</v>
      </c>
      <c r="G865" s="12" t="str">
        <f ca="1">IFERROR(__xludf.DUMMYFUNCTION("""COMPUTED_VALUE"""),"IGEM00ST")</f>
        <v>IGEM00ST</v>
      </c>
      <c r="H865" s="12">
        <f ca="1">IFERROR(__xludf.DUMMYFUNCTION("""COMPUTED_VALUE"""),5980)</f>
        <v>5980</v>
      </c>
      <c r="I865" s="14">
        <f ca="1">IFERROR(__xludf.DUMMYFUNCTION("""COMPUTED_VALUE"""),2680)</f>
        <v>2680</v>
      </c>
      <c r="J865" s="16">
        <f ca="1">IFERROR(__xludf.DUMMYFUNCTION("""COMPUTED_VALUE"""),45505)</f>
        <v>45505</v>
      </c>
      <c r="K865" s="12" t="str">
        <f ca="1">IFERROR(__xludf.DUMMYFUNCTION("""COMPUTED_VALUE"""),"短促")</f>
        <v>短促</v>
      </c>
      <c r="L865" s="12" t="str">
        <f ca="1">IFERROR(__xludf.DUMMYFUNCTION("""COMPUTED_VALUE"""),"上架中")</f>
        <v>上架中</v>
      </c>
      <c r="M865" s="12" t="str">
        <f ca="1">IFERROR(__xludf.DUMMYFUNCTION("""COMPUTED_VALUE"""),"2024/8/1短促，10/1回價，8/1短促，2022/3/1回價，2021/4/1短促，2019/8/22調降")</f>
        <v>2024/8/1短促，10/1回價，8/1短促，2022/3/1回價，2021/4/1短促，2019/8/22調降</v>
      </c>
      <c r="N865" s="12" t="str">
        <f ca="1">IFERROR(__xludf.DUMMYFUNCTION("""COMPUTED_VALUE"""),"電烤盤/爐")</f>
        <v>電烤盤/爐</v>
      </c>
      <c r="O865" s="12" t="str">
        <f ca="1">IFERROR(__xludf.DUMMYFUNCTION("""COMPUTED_VALUE"""),"銀色")</f>
        <v>銀色</v>
      </c>
      <c r="P865" s="12" t="str">
        <f ca="1">IFERROR(__xludf.DUMMYFUNCTION("""COMPUTED_VALUE"""),"無")</f>
        <v>無</v>
      </c>
      <c r="Q865" s="12" t="str">
        <f ca="1">IFERROR(__xludf.DUMMYFUNCTION("""COMPUTED_VALUE"""),"328x320x183mm")</f>
        <v>328x320x183mm</v>
      </c>
      <c r="R865" s="12" t="str">
        <f ca="1">IFERROR(__xludf.DUMMYFUNCTION("""COMPUTED_VALUE"""),"中國")</f>
        <v>中國</v>
      </c>
      <c r="S865" s="12"/>
      <c r="T865" s="12"/>
      <c r="U865" s="12" t="str">
        <f ca="1">IFERROR(__xludf.DUMMYFUNCTION("""COMPUTED_VALUE"""),"2年")</f>
        <v>2年</v>
      </c>
      <c r="V865" s="12"/>
      <c r="W865" s="12"/>
      <c r="X865" s="12" t="str">
        <f ca="1">IFERROR(__xludf.DUMMYFUNCTION("""COMPUTED_VALUE"""),"(114/1/1-2/28)隨貨送Cuisinart章魚燒專用烤盤(市價$980)")</f>
        <v>(114/1/1-2/28)隨貨送Cuisinart章魚燒專用烤盤(市價$980)</v>
      </c>
      <c r="Y865" s="12"/>
      <c r="Z865" s="14"/>
      <c r="AA865" s="15" t="str">
        <f ca="1">IFERROR(__xludf.DUMMYFUNCTION("""COMPUTED_VALUE"""),"*一機五功能*可卸式烤/乾煎盤*不鏽鋼拉絲外型*紅/綠操作指示燈")</f>
        <v>*一機五功能*可卸式烤/乾煎盤*不鏽鋼拉絲外型*紅/綠操作指示燈</v>
      </c>
    </row>
    <row r="866" spans="1:27" ht="19.5" customHeight="1">
      <c r="A866" s="12" t="str">
        <f ca="1">IFERROR(__xludf.DUMMYFUNCTION("""COMPUTED_VALUE"""),"廚房家電")</f>
        <v>廚房家電</v>
      </c>
      <c r="B866" s="12" t="str">
        <f ca="1">IFERROR(__xludf.DUMMYFUNCTION("""COMPUTED_VALUE"""),"順發")</f>
        <v>順發</v>
      </c>
      <c r="C866" s="12" t="str">
        <f ca="1">IFERROR(__xludf.DUMMYFUNCTION("""COMPUTED_VALUE"""),"TIGER")</f>
        <v>TIGER</v>
      </c>
      <c r="D866" s="12" t="str">
        <f ca="1">IFERROR(__xludf.DUMMYFUNCTION("""COMPUTED_VALUE"""),"虎牌6人份微電腦炊飯電子鍋_JBV-S10R")</f>
        <v>虎牌6人份微電腦炊飯電子鍋_JBV-S10R</v>
      </c>
      <c r="E866" s="12" t="str">
        <f ca="1">IFERROR(__xludf.DUMMYFUNCTION("""COMPUTED_VALUE"""),"JBV-S10R")</f>
        <v>JBV-S10R</v>
      </c>
      <c r="F866" s="12">
        <f ca="1">IFERROR(__xludf.DUMMYFUNCTION("""COMPUTED_VALUE"""),51095204)</f>
        <v>51095204</v>
      </c>
      <c r="G866" s="12" t="str">
        <f ca="1">IFERROR(__xludf.DUMMYFUNCTION("""COMPUTED_VALUE"""),"IGEM01KU")</f>
        <v>IGEM01KU</v>
      </c>
      <c r="H866" s="12">
        <f ca="1">IFERROR(__xludf.DUMMYFUNCTION("""COMPUTED_VALUE"""),3990)</f>
        <v>3990</v>
      </c>
      <c r="I866" s="14">
        <f ca="1">IFERROR(__xludf.DUMMYFUNCTION("""COMPUTED_VALUE"""),2990)</f>
        <v>2990</v>
      </c>
      <c r="J866" s="12"/>
      <c r="K866" s="12"/>
      <c r="L866" s="12" t="str">
        <f ca="1">IFERROR(__xludf.DUMMYFUNCTION("""COMPUTED_VALUE"""),"上架中")</f>
        <v>上架中</v>
      </c>
      <c r="M866" s="12" t="str">
        <f ca="1">IFERROR(__xludf.DUMMYFUNCTION("""COMPUTED_VALUE"""),"2020/1/1新機上架")</f>
        <v>2020/1/1新機上架</v>
      </c>
      <c r="N866" s="12" t="str">
        <f ca="1">IFERROR(__xludf.DUMMYFUNCTION("""COMPUTED_VALUE"""),"電子鍋")</f>
        <v>電子鍋</v>
      </c>
      <c r="O866" s="12" t="str">
        <f ca="1">IFERROR(__xludf.DUMMYFUNCTION("""COMPUTED_VALUE"""),"白")</f>
        <v>白</v>
      </c>
      <c r="P866" s="12" t="str">
        <f ca="1">IFERROR(__xludf.DUMMYFUNCTION("""COMPUTED_VALUE"""),"6人份")</f>
        <v>6人份</v>
      </c>
      <c r="Q866" s="12" t="str">
        <f ca="1">IFERROR(__xludf.DUMMYFUNCTION("""COMPUTED_VALUE"""),"214x270x353mm")</f>
        <v>214x270x353mm</v>
      </c>
      <c r="R866" s="12" t="str">
        <f ca="1">IFERROR(__xludf.DUMMYFUNCTION("""COMPUTED_VALUE"""),"日本")</f>
        <v>日本</v>
      </c>
      <c r="S866" s="12"/>
      <c r="T866" s="12"/>
      <c r="U866" s="12" t="str">
        <f ca="1">IFERROR(__xludf.DUMMYFUNCTION("""COMPUTED_VALUE"""),"1年")</f>
        <v>1年</v>
      </c>
      <c r="V866" s="12"/>
      <c r="W866" s="12"/>
      <c r="X866" s="12"/>
      <c r="Y866" s="12"/>
      <c r="Z866" s="14"/>
      <c r="AA866" s="15" t="str">
        <f ca="1">IFERROR(__xludf.DUMMYFUNCTION("""COMPUTED_VALUE"""),"*厚鍋1.7mm*全面加熱*內鍋可洗米*同時烹煮*2組預約設定")</f>
        <v>*厚鍋1.7mm*全面加熱*內鍋可洗米*同時烹煮*2組預約設定</v>
      </c>
    </row>
    <row r="867" spans="1:27" ht="19.5" customHeight="1">
      <c r="A867" s="12" t="str">
        <f ca="1">IFERROR(__xludf.DUMMYFUNCTION("""COMPUTED_VALUE"""),"廚房家電")</f>
        <v>廚房家電</v>
      </c>
      <c r="B867" s="12" t="str">
        <f ca="1">IFERROR(__xludf.DUMMYFUNCTION("""COMPUTED_VALUE"""),"順發")</f>
        <v>順發</v>
      </c>
      <c r="C867" s="12" t="str">
        <f ca="1">IFERROR(__xludf.DUMMYFUNCTION("""COMPUTED_VALUE"""),"TIGER")</f>
        <v>TIGER</v>
      </c>
      <c r="D867" s="12" t="str">
        <f ca="1">IFERROR(__xludf.DUMMYFUNCTION("""COMPUTED_VALUE"""),"虎牌10人份微電腦炊飯電子鍋_JBV-S18R")</f>
        <v>虎牌10人份微電腦炊飯電子鍋_JBV-S18R</v>
      </c>
      <c r="E867" s="12" t="str">
        <f ca="1">IFERROR(__xludf.DUMMYFUNCTION("""COMPUTED_VALUE"""),"JBV-S18R")</f>
        <v>JBV-S18R</v>
      </c>
      <c r="F867" s="12">
        <f ca="1">IFERROR(__xludf.DUMMYFUNCTION("""COMPUTED_VALUE"""),51095205)</f>
        <v>51095205</v>
      </c>
      <c r="G867" s="12" t="str">
        <f ca="1">IFERROR(__xludf.DUMMYFUNCTION("""COMPUTED_VALUE"""),"IGEM01KV")</f>
        <v>IGEM01KV</v>
      </c>
      <c r="H867" s="12">
        <f ca="1">IFERROR(__xludf.DUMMYFUNCTION("""COMPUTED_VALUE"""),4590)</f>
        <v>4590</v>
      </c>
      <c r="I867" s="14">
        <f ca="1">IFERROR(__xludf.DUMMYFUNCTION("""COMPUTED_VALUE"""),3290)</f>
        <v>3290</v>
      </c>
      <c r="J867" s="12"/>
      <c r="K867" s="12"/>
      <c r="L867" s="12" t="str">
        <f ca="1">IFERROR(__xludf.DUMMYFUNCTION("""COMPUTED_VALUE"""),"上架中")</f>
        <v>上架中</v>
      </c>
      <c r="M867" s="12" t="str">
        <f ca="1">IFERROR(__xludf.DUMMYFUNCTION("""COMPUTED_VALUE"""),"2020/1/1新機上架")</f>
        <v>2020/1/1新機上架</v>
      </c>
      <c r="N867" s="12" t="str">
        <f ca="1">IFERROR(__xludf.DUMMYFUNCTION("""COMPUTED_VALUE"""),"電子鍋")</f>
        <v>電子鍋</v>
      </c>
      <c r="O867" s="12" t="str">
        <f ca="1">IFERROR(__xludf.DUMMYFUNCTION("""COMPUTED_VALUE"""),"白")</f>
        <v>白</v>
      </c>
      <c r="P867" s="12" t="str">
        <f ca="1">IFERROR(__xludf.DUMMYFUNCTION("""COMPUTED_VALUE"""),"10人份")</f>
        <v>10人份</v>
      </c>
      <c r="Q867" s="12"/>
      <c r="R867" s="12" t="str">
        <f ca="1">IFERROR(__xludf.DUMMYFUNCTION("""COMPUTED_VALUE"""),"日本")</f>
        <v>日本</v>
      </c>
      <c r="S867" s="12"/>
      <c r="T867" s="12"/>
      <c r="U867" s="12" t="str">
        <f ca="1">IFERROR(__xludf.DUMMYFUNCTION("""COMPUTED_VALUE"""),"1年")</f>
        <v>1年</v>
      </c>
      <c r="V867" s="12"/>
      <c r="W867" s="12"/>
      <c r="X867" s="12"/>
      <c r="Y867" s="12"/>
      <c r="Z867" s="14"/>
      <c r="AA867" s="15" t="str">
        <f ca="1">IFERROR(__xludf.DUMMYFUNCTION("""COMPUTED_VALUE"""),"*厚鍋1.7mm*全面加熱*內鍋可洗米*同時烹煮*2組預約設定")</f>
        <v>*厚鍋1.7mm*全面加熱*內鍋可洗米*同時烹煮*2組預約設定</v>
      </c>
    </row>
    <row r="868" spans="1:27" ht="19.5" customHeight="1">
      <c r="A868" s="12" t="str">
        <f ca="1">IFERROR(__xludf.DUMMYFUNCTION("""COMPUTED_VALUE"""),"廚房家電")</f>
        <v>廚房家電</v>
      </c>
      <c r="B868" s="12" t="str">
        <f ca="1">IFERROR(__xludf.DUMMYFUNCTION("""COMPUTED_VALUE"""),"順發")</f>
        <v>順發</v>
      </c>
      <c r="C868" s="12" t="str">
        <f ca="1">IFERROR(__xludf.DUMMYFUNCTION("""COMPUTED_VALUE"""),"TIGER")</f>
        <v>TIGER</v>
      </c>
      <c r="D868" s="12" t="str">
        <f ca="1">IFERROR(__xludf.DUMMYFUNCTION("""COMPUTED_VALUE"""),"虎牌3公升微電腦熱水瓶_PDR-S30R")</f>
        <v>虎牌3公升微電腦熱水瓶_PDR-S30R</v>
      </c>
      <c r="E868" s="12" t="str">
        <f ca="1">IFERROR(__xludf.DUMMYFUNCTION("""COMPUTED_VALUE"""),"PDR-S30R")</f>
        <v>PDR-S30R</v>
      </c>
      <c r="F868" s="12">
        <f ca="1">IFERROR(__xludf.DUMMYFUNCTION("""COMPUTED_VALUE"""),51095206)</f>
        <v>51095206</v>
      </c>
      <c r="G868" s="12" t="str">
        <f ca="1">IFERROR(__xludf.DUMMYFUNCTION("""COMPUTED_VALUE"""),"IGEM01KW")</f>
        <v>IGEM01KW</v>
      </c>
      <c r="H868" s="12">
        <f ca="1">IFERROR(__xludf.DUMMYFUNCTION("""COMPUTED_VALUE"""),4690)</f>
        <v>4690</v>
      </c>
      <c r="I868" s="14">
        <f ca="1">IFERROR(__xludf.DUMMYFUNCTION("""COMPUTED_VALUE"""),2790)</f>
        <v>2790</v>
      </c>
      <c r="J868" s="12"/>
      <c r="K868" s="12"/>
      <c r="L868" s="12" t="str">
        <f ca="1">IFERROR(__xludf.DUMMYFUNCTION("""COMPUTED_VALUE"""),"上架中")</f>
        <v>上架中</v>
      </c>
      <c r="M868" s="12" t="str">
        <f ca="1">IFERROR(__xludf.DUMMYFUNCTION("""COMPUTED_VALUE"""),"2020/1/1新機上架")</f>
        <v>2020/1/1新機上架</v>
      </c>
      <c r="N868" s="12" t="str">
        <f ca="1">IFERROR(__xludf.DUMMYFUNCTION("""COMPUTED_VALUE"""),"熱水瓶")</f>
        <v>熱水瓶</v>
      </c>
      <c r="O868" s="12" t="str">
        <f ca="1">IFERROR(__xludf.DUMMYFUNCTION("""COMPUTED_VALUE"""),"卡其色")</f>
        <v>卡其色</v>
      </c>
      <c r="P868" s="12" t="str">
        <f ca="1">IFERROR(__xludf.DUMMYFUNCTION("""COMPUTED_VALUE"""),"3L")</f>
        <v>3L</v>
      </c>
      <c r="Q868" s="12" t="str">
        <f ca="1">IFERROR(__xludf.DUMMYFUNCTION("""COMPUTED_VALUE"""),"高294*寬280*長212mm")</f>
        <v>高294*寬280*長212mm</v>
      </c>
      <c r="R868" s="12" t="str">
        <f ca="1">IFERROR(__xludf.DUMMYFUNCTION("""COMPUTED_VALUE"""),"日本")</f>
        <v>日本</v>
      </c>
      <c r="S868" s="12"/>
      <c r="T868" s="12" t="str">
        <f ca="1">IFERROR(__xludf.DUMMYFUNCTION("""COMPUTED_VALUE"""),"4級能效")</f>
        <v>4級能效</v>
      </c>
      <c r="U868" s="12" t="str">
        <f ca="1">IFERROR(__xludf.DUMMYFUNCTION("""COMPUTED_VALUE"""),"1年")</f>
        <v>1年</v>
      </c>
      <c r="V868" s="12"/>
      <c r="W868" s="12"/>
      <c r="X868" s="12"/>
      <c r="Y868" s="12"/>
      <c r="Z868" s="14"/>
      <c r="AA868" s="15" t="str">
        <f ca="1">IFERROR(__xludf.DUMMYFUNCTION("""COMPUTED_VALUE"""),"*節能功能模式*五階段省電溫度節能定時設定*過熱自動斷電的空燒安全保護設計*自動啟動上鎖裝置")</f>
        <v>*節能功能模式*五階段省電溫度節能定時設定*過熱自動斷電的空燒安全保護設計*自動啟動上鎖裝置</v>
      </c>
    </row>
    <row r="869" spans="1:27" ht="19.5" customHeight="1">
      <c r="A869" s="12" t="str">
        <f ca="1">IFERROR(__xludf.DUMMYFUNCTION("""COMPUTED_VALUE"""),"廚房家電")</f>
        <v>廚房家電</v>
      </c>
      <c r="B869" s="12" t="str">
        <f ca="1">IFERROR(__xludf.DUMMYFUNCTION("""COMPUTED_VALUE"""),"順發")</f>
        <v>順發</v>
      </c>
      <c r="C869" s="12" t="str">
        <f ca="1">IFERROR(__xludf.DUMMYFUNCTION("""COMPUTED_VALUE"""),"TIGER")</f>
        <v>TIGER</v>
      </c>
      <c r="D869" s="12" t="str">
        <f ca="1">IFERROR(__xludf.DUMMYFUNCTION("""COMPUTED_VALUE"""),"虎牌4公升微電腦熱水瓶_PDR-S40R")</f>
        <v>虎牌4公升微電腦熱水瓶_PDR-S40R</v>
      </c>
      <c r="E869" s="12" t="str">
        <f ca="1">IFERROR(__xludf.DUMMYFUNCTION("""COMPUTED_VALUE"""),"PDR-S40R")</f>
        <v>PDR-S40R</v>
      </c>
      <c r="F869" s="12">
        <f ca="1">IFERROR(__xludf.DUMMYFUNCTION("""COMPUTED_VALUE"""),51095207)</f>
        <v>51095207</v>
      </c>
      <c r="G869" s="12" t="str">
        <f ca="1">IFERROR(__xludf.DUMMYFUNCTION("""COMPUTED_VALUE"""),"IGEM01KX")</f>
        <v>IGEM01KX</v>
      </c>
      <c r="H869" s="12">
        <f ca="1">IFERROR(__xludf.DUMMYFUNCTION("""COMPUTED_VALUE"""),4990)</f>
        <v>4990</v>
      </c>
      <c r="I869" s="14">
        <f ca="1">IFERROR(__xludf.DUMMYFUNCTION("""COMPUTED_VALUE"""),3290)</f>
        <v>3290</v>
      </c>
      <c r="J869" s="12"/>
      <c r="K869" s="12"/>
      <c r="L869" s="12" t="str">
        <f ca="1">IFERROR(__xludf.DUMMYFUNCTION("""COMPUTED_VALUE"""),"上架中")</f>
        <v>上架中</v>
      </c>
      <c r="M869" s="12" t="str">
        <f ca="1">IFERROR(__xludf.DUMMYFUNCTION("""COMPUTED_VALUE"""),"2020/1/1新機上架")</f>
        <v>2020/1/1新機上架</v>
      </c>
      <c r="N869" s="12" t="str">
        <f ca="1">IFERROR(__xludf.DUMMYFUNCTION("""COMPUTED_VALUE"""),"熱水瓶")</f>
        <v>熱水瓶</v>
      </c>
      <c r="O869" s="12" t="str">
        <f ca="1">IFERROR(__xludf.DUMMYFUNCTION("""COMPUTED_VALUE"""),"卡其色")</f>
        <v>卡其色</v>
      </c>
      <c r="P869" s="12" t="str">
        <f ca="1">IFERROR(__xludf.DUMMYFUNCTION("""COMPUTED_VALUE"""),"4L")</f>
        <v>4L</v>
      </c>
      <c r="Q869" s="12" t="str">
        <f ca="1">IFERROR(__xludf.DUMMYFUNCTION("""COMPUTED_VALUE"""),"高344*寬280*長212mm")</f>
        <v>高344*寬280*長212mm</v>
      </c>
      <c r="R869" s="12" t="str">
        <f ca="1">IFERROR(__xludf.DUMMYFUNCTION("""COMPUTED_VALUE"""),"日本")</f>
        <v>日本</v>
      </c>
      <c r="S869" s="12"/>
      <c r="T869" s="12" t="str">
        <f ca="1">IFERROR(__xludf.DUMMYFUNCTION("""COMPUTED_VALUE"""),"4級能效")</f>
        <v>4級能效</v>
      </c>
      <c r="U869" s="12" t="str">
        <f ca="1">IFERROR(__xludf.DUMMYFUNCTION("""COMPUTED_VALUE"""),"1年")</f>
        <v>1年</v>
      </c>
      <c r="V869" s="12"/>
      <c r="W869" s="12"/>
      <c r="X869" s="12"/>
      <c r="Y869" s="12"/>
      <c r="Z869" s="14"/>
      <c r="AA869" s="15" t="str">
        <f ca="1">IFERROR(__xludf.DUMMYFUNCTION("""COMPUTED_VALUE"""),"*節能功能模式*五階段省電溫度節能定時設定*過熱自動斷電的空燒安全保護設計*自動啟動上鎖裝置")</f>
        <v>*節能功能模式*五階段省電溫度節能定時設定*過熱自動斷電的空燒安全保護設計*自動啟動上鎖裝置</v>
      </c>
    </row>
    <row r="870" spans="1:27" ht="19.5" customHeight="1">
      <c r="A870" s="12" t="str">
        <f ca="1">IFERROR(__xludf.DUMMYFUNCTION("""COMPUTED_VALUE"""),"廚房家電")</f>
        <v>廚房家電</v>
      </c>
      <c r="B870" s="12" t="str">
        <f ca="1">IFERROR(__xludf.DUMMYFUNCTION("""COMPUTED_VALUE"""),"大同")</f>
        <v>大同</v>
      </c>
      <c r="C870" s="12" t="str">
        <f ca="1">IFERROR(__xludf.DUMMYFUNCTION("""COMPUTED_VALUE"""),"PANASONIC")</f>
        <v>PANASONIC</v>
      </c>
      <c r="D870" s="12" t="str">
        <f ca="1">IFERROR(__xludf.DUMMYFUNCTION("""COMPUTED_VALUE"""),"Panasonic_32公升雙液脹式溫控烤箱_NB-F3200")</f>
        <v>Panasonic_32公升雙液脹式溫控烤箱_NB-F3200</v>
      </c>
      <c r="E870" s="12" t="str">
        <f ca="1">IFERROR(__xludf.DUMMYFUNCTION("""COMPUTED_VALUE"""),"NB-F3200")</f>
        <v>NB-F3200</v>
      </c>
      <c r="F870" s="12">
        <f ca="1">IFERROR(__xludf.DUMMYFUNCTION("""COMPUTED_VALUE"""),51089415)</f>
        <v>51089415</v>
      </c>
      <c r="G870" s="12" t="str">
        <f ca="1">IFERROR(__xludf.DUMMYFUNCTION("""COMPUTED_VALUE"""),"IGEM068J")</f>
        <v>IGEM068J</v>
      </c>
      <c r="H870" s="12">
        <f ca="1">IFERROR(__xludf.DUMMYFUNCTION("""COMPUTED_VALUE"""),3490)</f>
        <v>3490</v>
      </c>
      <c r="I870" s="14">
        <f ca="1">IFERROR(__xludf.DUMMYFUNCTION("""COMPUTED_VALUE"""),3200)</f>
        <v>3200</v>
      </c>
      <c r="J870" s="16">
        <f ca="1">IFERROR(__xludf.DUMMYFUNCTION("""COMPUTED_VALUE"""),45505)</f>
        <v>45505</v>
      </c>
      <c r="K870" s="12" t="str">
        <f ca="1">IFERROR(__xludf.DUMMYFUNCTION("""COMPUTED_VALUE"""),"回價")</f>
        <v>回價</v>
      </c>
      <c r="L870" s="12" t="str">
        <f ca="1">IFERROR(__xludf.DUMMYFUNCTION("""COMPUTED_VALUE"""),"上架中")</f>
        <v>上架中</v>
      </c>
      <c r="M870" s="12" t="str">
        <f ca="1">IFERROR(__xludf.DUMMYFUNCTION("""COMPUTED_VALUE"""),"2024/8/1回價，2024/7/1短促，2024/4/1回價，2024/2/1短促，2024/1/1 回價，12/1短促，10/1回價，8/1短促，7/1短促，3/1短促，2023/1/1回價，2022/12/1短促，2022/11/1新機上架")</f>
        <v>2024/8/1回價，2024/7/1短促，2024/4/1回價，2024/2/1短促，2024/1/1 回價，12/1短促，10/1回價，8/1短促，7/1短促，3/1短促，2023/1/1回價，2022/12/1短促，2022/11/1新機上架</v>
      </c>
      <c r="N870" s="12" t="str">
        <f ca="1">IFERROR(__xludf.DUMMYFUNCTION("""COMPUTED_VALUE"""),"烤箱")</f>
        <v>烤箱</v>
      </c>
      <c r="O870" s="12" t="str">
        <f ca="1">IFERROR(__xludf.DUMMYFUNCTION("""COMPUTED_VALUE"""),"黑")</f>
        <v>黑</v>
      </c>
      <c r="P870" s="12" t="str">
        <f ca="1">IFERROR(__xludf.DUMMYFUNCTION("""COMPUTED_VALUE"""),"32L")</f>
        <v>32L</v>
      </c>
      <c r="Q870" s="12" t="str">
        <f ca="1">IFERROR(__xludf.DUMMYFUNCTION("""COMPUTED_VALUE"""),"高515*寬380*深345mm")</f>
        <v>高515*寬380*深345mm</v>
      </c>
      <c r="R870" s="12" t="str">
        <f ca="1">IFERROR(__xludf.DUMMYFUNCTION("""COMPUTED_VALUE"""),"中國")</f>
        <v>中國</v>
      </c>
      <c r="S870" s="12"/>
      <c r="T870" s="12"/>
      <c r="U870" s="12" t="str">
        <f ca="1">IFERROR(__xludf.DUMMYFUNCTION("""COMPUTED_VALUE"""),"1年")</f>
        <v>1年</v>
      </c>
      <c r="V870" s="12"/>
      <c r="W870" s="12" t="str">
        <f ca="1">IFERROR(__xludf.DUMMYFUNCTION("""COMPUTED_VALUE"""),"(10/1-114/2/28)隨貨送SP-2115-PR矽膠隔熱組")</f>
        <v>(10/1-114/2/28)隨貨送SP-2115-PR矽膠隔熱組</v>
      </c>
      <c r="X870" s="12"/>
      <c r="Y870" s="12"/>
      <c r="Z870" s="14"/>
      <c r="AA870" s="15" t="str">
        <f ca="1">IFERROR(__xludf.DUMMYFUNCTION("""COMPUTED_VALUE"""),"*雙液脹式溫控器*上/下火獨立控溫*70℃~230℃溫度控制* 360°自動旋轉燒烤*3D熱風對流*發酵烘烤一機完成*9項食譜*雙層防燙隔熱門*搭載搪瓷烤盤")</f>
        <v>*雙液脹式溫控器*上/下火獨立控溫*70℃~230℃溫度控制* 360°自動旋轉燒烤*3D熱風對流*發酵烘烤一機完成*9項食譜*雙層防燙隔熱門*搭載搪瓷烤盤</v>
      </c>
    </row>
    <row r="871" spans="1:27" ht="19.5" customHeight="1">
      <c r="A871" s="12" t="str">
        <f ca="1">IFERROR(__xludf.DUMMYFUNCTION("""COMPUTED_VALUE"""),"廚房家電")</f>
        <v>廚房家電</v>
      </c>
      <c r="B871" s="12" t="str">
        <f ca="1">IFERROR(__xludf.DUMMYFUNCTION("""COMPUTED_VALUE"""),"大同")</f>
        <v>大同</v>
      </c>
      <c r="C871" s="12" t="str">
        <f ca="1">IFERROR(__xludf.DUMMYFUNCTION("""COMPUTED_VALUE"""),"Panasonic")</f>
        <v>Panasonic</v>
      </c>
      <c r="D871" s="12" t="str">
        <f ca="1">IFERROR(__xludf.DUMMYFUNCTION("""COMPUTED_VALUE"""),"Panasonic 20L 蒸氣烘烤爐 NU-SC180B")</f>
        <v>Panasonic 20L 蒸氣烘烤爐 NU-SC180B</v>
      </c>
      <c r="E871" s="12" t="str">
        <f ca="1">IFERROR(__xludf.DUMMYFUNCTION("""COMPUTED_VALUE"""),"NU-SC180B")</f>
        <v>NU-SC180B</v>
      </c>
      <c r="F871" s="12">
        <f ca="1">IFERROR(__xludf.DUMMYFUNCTION("""COMPUTED_VALUE"""),51012251)</f>
        <v>51012251</v>
      </c>
      <c r="G871" s="12" t="str">
        <f ca="1">IFERROR(__xludf.DUMMYFUNCTION("""COMPUTED_VALUE"""),"IGEM102B")</f>
        <v>IGEM102B</v>
      </c>
      <c r="H871" s="13">
        <f ca="1">IFERROR(__xludf.DUMMYFUNCTION("""COMPUTED_VALUE"""),13900)</f>
        <v>13900</v>
      </c>
      <c r="I871" s="18">
        <f ca="1">IFERROR(__xludf.DUMMYFUNCTION("""COMPUTED_VALUE"""),10000)</f>
        <v>10000</v>
      </c>
      <c r="J871" s="16">
        <f ca="1">IFERROR(__xludf.DUMMYFUNCTION("""COMPUTED_VALUE"""),45439)</f>
        <v>45439</v>
      </c>
      <c r="K871" s="12" t="str">
        <f ca="1">IFERROR(__xludf.DUMMYFUNCTION("""COMPUTED_VALUE"""),"新機上架")</f>
        <v>新機上架</v>
      </c>
      <c r="L871" s="12" t="str">
        <f ca="1">IFERROR(__xludf.DUMMYFUNCTION("""COMPUTED_VALUE"""),"上架中")</f>
        <v>上架中</v>
      </c>
      <c r="M871" s="12" t="str">
        <f ca="1">IFERROR(__xludf.DUMMYFUNCTION("""COMPUTED_VALUE"""),"113/5/27新機上架")</f>
        <v>113/5/27新機上架</v>
      </c>
      <c r="N871" s="12" t="str">
        <f ca="1">IFERROR(__xludf.DUMMYFUNCTION("""COMPUTED_VALUE"""),"多功能調理鍋/蒸氣烘烤爐")</f>
        <v>多功能調理鍋/蒸氣烘烤爐</v>
      </c>
      <c r="O871" s="12" t="str">
        <f ca="1">IFERROR(__xludf.DUMMYFUNCTION("""COMPUTED_VALUE"""),"黑色")</f>
        <v>黑色</v>
      </c>
      <c r="P871" s="12" t="str">
        <f ca="1">IFERROR(__xludf.DUMMYFUNCTION("""COMPUTED_VALUE"""),"20L")</f>
        <v>20L</v>
      </c>
      <c r="Q871" s="12" t="str">
        <f ca="1">IFERROR(__xludf.DUMMYFUNCTION("""COMPUTED_VALUE"""),"404X438X376mm")</f>
        <v>404X438X376mm</v>
      </c>
      <c r="R871" s="12" t="str">
        <f ca="1">IFERROR(__xludf.DUMMYFUNCTION("""COMPUTED_VALUE"""),"中國")</f>
        <v>中國</v>
      </c>
      <c r="S871" s="12"/>
      <c r="T871" s="12"/>
      <c r="U871" s="12" t="str">
        <f ca="1">IFERROR(__xludf.DUMMYFUNCTION("""COMPUTED_VALUE"""),"1年")</f>
        <v>1年</v>
      </c>
      <c r="V871" s="12"/>
      <c r="W871" s="12"/>
      <c r="X871" s="12" t="str">
        <f ca="1">IFERROR(__xludf.DUMMYFUNCTION("""COMPUTED_VALUE"""),"(10/1~114/2/28)隨貨送SP-2503-PR德國Othello可微波不鏽鋼保鮮盒三件組+登錄送MX-XPT103隨行果汁機")</f>
        <v>(10/1~114/2/28)隨貨送SP-2503-PR德國Othello可微波不鏽鋼保鮮盒三件組+登錄送MX-XPT103隨行果汁機</v>
      </c>
      <c r="Y871" s="12"/>
      <c r="Z871" s="14"/>
      <c r="AA871" s="15" t="str">
        <f ca="1">IFERROR(__xludf.DUMMYFUNCTION("""COMPUTED_VALUE"""),"*蒸、烤、煎、炸、烘、燉、發酵一爐OK*直噴過熱水蒸氣鎖住營養美味*18道自動食譜*20L小體積大容量*6項清潔模式*雙層防燙玻璃門")</f>
        <v>*蒸、烤、煎、炸、烘、燉、發酵一爐OK*直噴過熱水蒸氣鎖住營養美味*18道自動食譜*20L小體積大容量*6項清潔模式*雙層防燙玻璃門</v>
      </c>
    </row>
    <row r="872" spans="1:27" ht="19.5" customHeight="1">
      <c r="A872" s="12" t="str">
        <f ca="1">IFERROR(__xludf.DUMMYFUNCTION("""COMPUTED_VALUE"""),"廚房家電")</f>
        <v>廚房家電</v>
      </c>
      <c r="B872" s="12" t="str">
        <f ca="1">IFERROR(__xludf.DUMMYFUNCTION("""COMPUTED_VALUE"""),"大同")</f>
        <v>大同</v>
      </c>
      <c r="C872" s="12" t="str">
        <f ca="1">IFERROR(__xludf.DUMMYFUNCTION("""COMPUTED_VALUE"""),"Panasonic")</f>
        <v>Panasonic</v>
      </c>
      <c r="D872" s="12" t="str">
        <f ca="1">IFERROR(__xludf.DUMMYFUNCTION("""COMPUTED_VALUE"""),"Panasonic 20L微電腦微波爐 NN-ST21QW")</f>
        <v>Panasonic 20L微電腦微波爐 NN-ST21QW</v>
      </c>
      <c r="E872" s="12" t="str">
        <f ca="1">IFERROR(__xludf.DUMMYFUNCTION("""COMPUTED_VALUE"""),"NN-ST21QW")</f>
        <v>NN-ST21QW</v>
      </c>
      <c r="F872" s="12">
        <f ca="1">IFERROR(__xludf.DUMMYFUNCTION("""COMPUTED_VALUE"""),51081428)</f>
        <v>51081428</v>
      </c>
      <c r="G872" s="12" t="str">
        <f ca="1">IFERROR(__xludf.DUMMYFUNCTION("""COMPUTED_VALUE"""),"IGEM1149")</f>
        <v>IGEM1149</v>
      </c>
      <c r="H872" s="12">
        <f ca="1">IFERROR(__xludf.DUMMYFUNCTION("""COMPUTED_VALUE"""),3690)</f>
        <v>3690</v>
      </c>
      <c r="I872" s="14">
        <f ca="1">IFERROR(__xludf.DUMMYFUNCTION("""COMPUTED_VALUE"""),3690)</f>
        <v>3690</v>
      </c>
      <c r="J872" s="12"/>
      <c r="K872" s="12"/>
      <c r="L872" s="12" t="str">
        <f ca="1">IFERROR(__xludf.DUMMYFUNCTION("""COMPUTED_VALUE"""),"專案")</f>
        <v>專案</v>
      </c>
      <c r="M872" s="12" t="str">
        <f ca="1">IFERROR(__xludf.DUMMYFUNCTION("""COMPUTED_VALUE"""),"專案商品，請洽廠商是否有貨可供")</f>
        <v>專案商品，請洽廠商是否有貨可供</v>
      </c>
      <c r="N872" s="12" t="str">
        <f ca="1">IFERROR(__xludf.DUMMYFUNCTION("""COMPUTED_VALUE"""),"微波爐")</f>
        <v>微波爐</v>
      </c>
      <c r="O872" s="12" t="str">
        <f ca="1">IFERROR(__xludf.DUMMYFUNCTION("""COMPUTED_VALUE"""),"白色")</f>
        <v>白色</v>
      </c>
      <c r="P872" s="12" t="str">
        <f ca="1">IFERROR(__xludf.DUMMYFUNCTION("""COMPUTED_VALUE"""),"20L")</f>
        <v>20L</v>
      </c>
      <c r="Q872" s="12" t="str">
        <f ca="1">IFERROR(__xludf.DUMMYFUNCTION("""COMPUTED_VALUE"""),"高258 x 寬440 x 深324 (mm)")</f>
        <v>高258 x 寬440 x 深324 (mm)</v>
      </c>
      <c r="R872" s="12" t="str">
        <f ca="1">IFERROR(__xludf.DUMMYFUNCTION("""COMPUTED_VALUE"""),"中國")</f>
        <v>中國</v>
      </c>
      <c r="S872" s="12"/>
      <c r="T872" s="12"/>
      <c r="U872" s="12" t="str">
        <f ca="1">IFERROR(__xludf.DUMMYFUNCTION("""COMPUTED_VALUE"""),"1年")</f>
        <v>1年</v>
      </c>
      <c r="V872" s="12"/>
      <c r="W872" s="12"/>
      <c r="X872" s="12"/>
      <c r="Y872" s="12"/>
      <c r="Z872" s="14"/>
      <c r="AA872" s="15" t="str">
        <f ca="1">IFERROR(__xludf.DUMMYFUNCTION("""COMPUTED_VALUE"""),"*容量：20L*微波火力5段*自動料理10道*自動解凍*爐內燈*兒童安全鎖")</f>
        <v>*容量：20L*微波火力5段*自動料理10道*自動解凍*爐內燈*兒童安全鎖</v>
      </c>
    </row>
    <row r="873" spans="1:27" ht="19.5" customHeight="1">
      <c r="A873" s="12" t="str">
        <f ca="1">IFERROR(__xludf.DUMMYFUNCTION("""COMPUTED_VALUE"""),"廚房家電")</f>
        <v>廚房家電</v>
      </c>
      <c r="B873" s="12" t="str">
        <f ca="1">IFERROR(__xludf.DUMMYFUNCTION("""COMPUTED_VALUE"""),"凱創")</f>
        <v>凱創</v>
      </c>
      <c r="C873" s="12" t="str">
        <f ca="1">IFERROR(__xludf.DUMMYFUNCTION("""COMPUTED_VALUE"""),"Cuisinart")</f>
        <v>Cuisinart</v>
      </c>
      <c r="D873" s="12" t="str">
        <f ca="1">IFERROR(__xludf.DUMMYFUNCTION("""COMPUTED_VALUE"""),"Cuisinart美膳雅 專業型手提式攪拌機HM-70TW")</f>
        <v>Cuisinart美膳雅 專業型手提式攪拌機HM-70TW</v>
      </c>
      <c r="E873" s="12" t="str">
        <f ca="1">IFERROR(__xludf.DUMMYFUNCTION("""COMPUTED_VALUE"""),"HM-70TW")</f>
        <v>HM-70TW</v>
      </c>
      <c r="F873" s="12">
        <f ca="1">IFERROR(__xludf.DUMMYFUNCTION("""COMPUTED_VALUE"""),51084276)</f>
        <v>51084276</v>
      </c>
      <c r="G873" s="12" t="str">
        <f ca="1">IFERROR(__xludf.DUMMYFUNCTION("""COMPUTED_VALUE"""),"IGEM053F")</f>
        <v>IGEM053F</v>
      </c>
      <c r="H873" s="12">
        <f ca="1">IFERROR(__xludf.DUMMYFUNCTION("""COMPUTED_VALUE"""),3680)</f>
        <v>3680</v>
      </c>
      <c r="I873" s="14">
        <f ca="1">IFERROR(__xludf.DUMMYFUNCTION("""COMPUTED_VALUE"""),2380)</f>
        <v>2380</v>
      </c>
      <c r="J873" s="12"/>
      <c r="K873" s="12"/>
      <c r="L873" s="12" t="str">
        <f ca="1">IFERROR(__xludf.DUMMYFUNCTION("""COMPUTED_VALUE"""),"上架中")</f>
        <v>上架中</v>
      </c>
      <c r="M873" s="12" t="str">
        <f ca="1">IFERROR(__xludf.DUMMYFUNCTION("""COMPUTED_VALUE"""),"2022/1/1新機上架")</f>
        <v>2022/1/1新機上架</v>
      </c>
      <c r="N873" s="12" t="str">
        <f ca="1">IFERROR(__xludf.DUMMYFUNCTION("""COMPUTED_VALUE"""),"果汁機/調理機/豆漿機")</f>
        <v>果汁機/調理機/豆漿機</v>
      </c>
      <c r="O873" s="12" t="str">
        <f ca="1">IFERROR(__xludf.DUMMYFUNCTION("""COMPUTED_VALUE"""),"X")</f>
        <v>X</v>
      </c>
      <c r="P873" s="12" t="str">
        <f ca="1">IFERROR(__xludf.DUMMYFUNCTION("""COMPUTED_VALUE"""),"◆配件：打蛋器、抹刀、食譜
◆額定電壓/頻率：110V/60Hz
◆消耗功率：200W
◆重量：1.25kg")</f>
        <v>◆配件：打蛋器、抹刀、食譜
◆額定電壓/頻率：110V/60Hz
◆消耗功率：200W
◆重量：1.25kg</v>
      </c>
      <c r="Q873" s="12" t="str">
        <f ca="1">IFERROR(__xludf.DUMMYFUNCTION("""COMPUTED_VALUE"""),"300*94*206mm")</f>
        <v>300*94*206mm</v>
      </c>
      <c r="R873" s="12" t="str">
        <f ca="1">IFERROR(__xludf.DUMMYFUNCTION("""COMPUTED_VALUE"""),"中國")</f>
        <v>中國</v>
      </c>
      <c r="S873" s="12"/>
      <c r="T873" s="12"/>
      <c r="U873" s="22" t="str">
        <f ca="1">IFERROR(__xludf.DUMMYFUNCTION("""COMPUTED_VALUE"""),"正常使用下主機保固兩年")</f>
        <v>正常使用下主機保固兩年</v>
      </c>
      <c r="V873" s="12"/>
      <c r="W873" s="12"/>
      <c r="X873" s="12"/>
      <c r="Y873" s="12"/>
      <c r="Z873" s="14"/>
      <c r="AA873" s="15" t="str">
        <f ca="1">IFERROR(__xludf.DUMMYFUNCTION("""COMPUTED_VALUE"""),"*200瓦的超強馬力，7段速度選擇*3種低攪拌速度，按鍵選擇上/下加速或減速*單鍵攪拌器釋放桿輕鬆更換配件*附專業打蛋器與抹刀*附中/英文食譜")</f>
        <v>*200瓦的超強馬力，7段速度選擇*3種低攪拌速度，按鍵選擇上/下加速或減速*單鍵攪拌器釋放桿輕鬆更換配件*附專業打蛋器與抹刀*附中/英文食譜</v>
      </c>
    </row>
    <row r="874" spans="1:27" ht="19.5" customHeight="1">
      <c r="A874" s="12" t="str">
        <f ca="1">IFERROR(__xludf.DUMMYFUNCTION("""COMPUTED_VALUE"""),"廚房家電")</f>
        <v>廚房家電</v>
      </c>
      <c r="B874" s="12" t="str">
        <f ca="1">IFERROR(__xludf.DUMMYFUNCTION("""COMPUTED_VALUE"""),"凱創")</f>
        <v>凱創</v>
      </c>
      <c r="C874" s="12" t="str">
        <f ca="1">IFERROR(__xludf.DUMMYFUNCTION("""COMPUTED_VALUE"""),"Cuisinart")</f>
        <v>Cuisinart</v>
      </c>
      <c r="D874" s="12" t="str">
        <f ca="1">IFERROR(__xludf.DUMMYFUNCTION("""COMPUTED_VALUE"""),"Cuisinart 美膳雅 20L 多功能蒸氣氣炸烤箱 CSO-500TW")</f>
        <v>Cuisinart 美膳雅 20L 多功能蒸氣氣炸烤箱 CSO-500TW</v>
      </c>
      <c r="E874" s="12" t="str">
        <f ca="1">IFERROR(__xludf.DUMMYFUNCTION("""COMPUTED_VALUE"""),"CSO-500TW")</f>
        <v>CSO-500TW</v>
      </c>
      <c r="F874" s="12">
        <f ca="1">IFERROR(__xludf.DUMMYFUNCTION("""COMPUTED_VALUE"""),51084333)</f>
        <v>51084333</v>
      </c>
      <c r="G874" s="12" t="str">
        <f ca="1">IFERROR(__xludf.DUMMYFUNCTION("""COMPUTED_VALUE"""),"IGEM100F")</f>
        <v>IGEM100F</v>
      </c>
      <c r="H874" s="13">
        <f ca="1">IFERROR(__xludf.DUMMYFUNCTION("""COMPUTED_VALUE"""),16800)</f>
        <v>16800</v>
      </c>
      <c r="I874" s="18">
        <f ca="1">IFERROR(__xludf.DUMMYFUNCTION("""COMPUTED_VALUE"""),12800)</f>
        <v>12800</v>
      </c>
      <c r="J874" s="12"/>
      <c r="K874" s="12" t="str">
        <f ca="1">IFERROR(__xludf.DUMMYFUNCTION("""COMPUTED_VALUE"""),"新機上架")</f>
        <v>新機上架</v>
      </c>
      <c r="L874" s="12" t="str">
        <f ca="1">IFERROR(__xludf.DUMMYFUNCTION("""COMPUTED_VALUE"""),"上架中")</f>
        <v>上架中</v>
      </c>
      <c r="M874" s="12" t="str">
        <f ca="1">IFERROR(__xludf.DUMMYFUNCTION("""COMPUTED_VALUE"""),"2024/4/24新機上架")</f>
        <v>2024/4/24新機上架</v>
      </c>
      <c r="N874" s="12" t="str">
        <f ca="1">IFERROR(__xludf.DUMMYFUNCTION("""COMPUTED_VALUE"""),"烤箱")</f>
        <v>烤箱</v>
      </c>
      <c r="O874" s="12" t="str">
        <f ca="1">IFERROR(__xludf.DUMMYFUNCTION("""COMPUTED_VALUE"""),"黑色")</f>
        <v>黑色</v>
      </c>
      <c r="P874" s="12" t="str">
        <f ca="1">IFERROR(__xludf.DUMMYFUNCTION("""COMPUTED_VALUE"""),"◆額定電壓/頻率：110V/60Hz
 ◆額定消耗功率：1550W
 ◆商品重量：12.56 kg(含所有配件)
 ◆配件：水箱、集水盒、氣炸籃、烤架、烤盤、集屑盤、說明書
 ◆商檢字號：R39519(2027.01.25到期)")</f>
        <v>◆額定電壓/頻率：110V/60Hz
 ◆額定消耗功率：1550W
 ◆商品重量：12.56 kg(含所有配件)
 ◆配件：水箱、集水盒、氣炸籃、烤架、烤盤、集屑盤、說明書
 ◆商檢字號：R39519(2027.01.25到期)</v>
      </c>
      <c r="Q874" s="12" t="str">
        <f ca="1">IFERROR(__xludf.DUMMYFUNCTION("""COMPUTED_VALUE"""),"高380x寬421.5x長413mm")</f>
        <v>高380x寬421.5x長413mm</v>
      </c>
      <c r="R874" s="12" t="str">
        <f ca="1">IFERROR(__xludf.DUMMYFUNCTION("""COMPUTED_VALUE"""),"中國")</f>
        <v>中國</v>
      </c>
      <c r="S874" s="12"/>
      <c r="T874" s="12"/>
      <c r="U874" s="22" t="str">
        <f ca="1">IFERROR(__xludf.DUMMYFUNCTION("""COMPUTED_VALUE"""),"正常使用下，原廠2年保固")</f>
        <v>正常使用下，原廠2年保固</v>
      </c>
      <c r="V874" s="12"/>
      <c r="W874" s="12"/>
      <c r="X874" s="12"/>
      <c r="Y874" s="12"/>
      <c r="Z874" s="14"/>
      <c r="AA874" s="15" t="str">
        <f ca="1">IFERROR(__xludf.DUMMYFUNCTION("""COMPUTED_VALUE"""),"*多功能多合一烤箱，蒸氣/氣炸/烘烤/發酵/消毒，一機搞定*1公升水箱，支持60分鐘料理，不需要中途加水*LED螢幕顯示，清楚選擇菜單及模式*創新雙烹飪模式，可先蒸氣再氣炸，多種模式選擇，可靈活運用*高溫殺菌功能，更可以當消毒鍋使用 *25度-230度高廣度溫控，溫控精準，滿足不同烹飪方式")</f>
        <v>*多功能多合一烤箱，蒸氣/氣炸/烘烤/發酵/消毒，一機搞定*1公升水箱，支持60分鐘料理，不需要中途加水*LED螢幕顯示，清楚選擇菜單及模式*創新雙烹飪模式，可先蒸氣再氣炸，多種模式選擇，可靈活運用*高溫殺菌功能，更可以當消毒鍋使用 *25度-230度高廣度溫控，溫控精準，滿足不同烹飪方式</v>
      </c>
    </row>
    <row r="875" spans="1:27" ht="19.5" customHeight="1">
      <c r="A875" s="12" t="str">
        <f ca="1">IFERROR(__xludf.DUMMYFUNCTION("""COMPUTED_VALUE"""),"廚房家電")</f>
        <v>廚房家電</v>
      </c>
      <c r="B875" s="12" t="str">
        <f ca="1">IFERROR(__xludf.DUMMYFUNCTION("""COMPUTED_VALUE"""),"凱創")</f>
        <v>凱創</v>
      </c>
      <c r="C875" s="12" t="str">
        <f ca="1">IFERROR(__xludf.DUMMYFUNCTION("""COMPUTED_VALUE"""),"Cuisinart")</f>
        <v>Cuisinart</v>
      </c>
      <c r="D875" s="12" t="str">
        <f ca="1">IFERROR(__xludf.DUMMYFUNCTION("""COMPUTED_VALUE"""),"Cuisinart 美膳雅 多功能高效鮮榨攪拌機 BJC-550TW")</f>
        <v>Cuisinart 美膳雅 多功能高效鮮榨攪拌機 BJC-550TW</v>
      </c>
      <c r="E875" s="12" t="str">
        <f ca="1">IFERROR(__xludf.DUMMYFUNCTION("""COMPUTED_VALUE"""),"BJC-550TW")</f>
        <v>BJC-550TW</v>
      </c>
      <c r="F875" s="12">
        <f ca="1">IFERROR(__xludf.DUMMYFUNCTION("""COMPUTED_VALUE"""),51084335)</f>
        <v>51084335</v>
      </c>
      <c r="G875" s="12" t="str">
        <f ca="1">IFERROR(__xludf.DUMMYFUNCTION("""COMPUTED_VALUE"""),"IGEM102U")</f>
        <v>IGEM102U</v>
      </c>
      <c r="H875" s="13">
        <f ca="1">IFERROR(__xludf.DUMMYFUNCTION("""COMPUTED_VALUE"""),4980)</f>
        <v>4980</v>
      </c>
      <c r="I875" s="14">
        <f ca="1">IFERROR(__xludf.DUMMYFUNCTION("""COMPUTED_VALUE"""),2680)</f>
        <v>2680</v>
      </c>
      <c r="J875" s="16">
        <f ca="1">IFERROR(__xludf.DUMMYFUNCTION("""COMPUTED_VALUE"""),45627)</f>
        <v>45627</v>
      </c>
      <c r="K875" s="12" t="str">
        <f ca="1">IFERROR(__xludf.DUMMYFUNCTION("""COMPUTED_VALUE"""),"回價")</f>
        <v>回價</v>
      </c>
      <c r="L875" s="12" t="str">
        <f ca="1">IFERROR(__xludf.DUMMYFUNCTION("""COMPUTED_VALUE"""),"上架中")</f>
        <v>上架中</v>
      </c>
      <c r="M875" s="12" t="str">
        <f ca="1">IFERROR(__xludf.DUMMYFUNCTION("""COMPUTED_VALUE"""),"2024/8/27短促，2024/8/6短促，2024/6/1新機上架")</f>
        <v>2024/8/27短促，2024/8/6短促，2024/6/1新機上架</v>
      </c>
      <c r="N875" s="12" t="str">
        <f ca="1">IFERROR(__xludf.DUMMYFUNCTION("""COMPUTED_VALUE"""),"果汁機/調理機/豆漿機")</f>
        <v>果汁機/調理機/豆漿機</v>
      </c>
      <c r="O875" s="12" t="str">
        <f ca="1">IFERROR(__xludf.DUMMYFUNCTION("""COMPUTED_VALUE"""),"黑色")</f>
        <v>黑色</v>
      </c>
      <c r="P875" s="12" t="str">
        <f ca="1">IFERROR(__xludf.DUMMYFUNCTION("""COMPUTED_VALUE"""),"◆額定電壓/頻率：110V/60Hz
 ◆額定消耗功率：榨汁300W／攪拌450W
 ◆榨汁機尺寸：長22.46 x 寬16.38 x 高31.74 cm
 ◆攪拌機/果汁機尺寸：長13.6 x 寬14.8 x 高35.5 cm
 ◆商品重量：2.51kg
 ◆商檢字號：R39519")</f>
        <v>◆額定電壓/頻率：110V/60Hz
 ◆額定消耗功率：榨汁300W／攪拌450W
 ◆榨汁機尺寸：長22.46 x 寬16.38 x 高31.74 cm
 ◆攪拌機/果汁機尺寸：長13.6 x 寬14.8 x 高35.5 cm
 ◆商品重量：2.51kg
 ◆商檢字號：R39519</v>
      </c>
      <c r="Q875" s="12" t="str">
        <f ca="1">IFERROR(__xludf.DUMMYFUNCTION("""COMPUTED_VALUE"""),"榨汁機尺寸： 高317.4 x 寬163.8 x 長224.6mm
攪拌機/果汁機尺寸： 高355 x 寬148 x 長136mm")</f>
        <v>榨汁機尺寸： 高317.4 x 寬163.8 x 長224.6mm
攪拌機/果汁機尺寸： 高355 x 寬148 x 長136mm</v>
      </c>
      <c r="R875" s="12" t="str">
        <f ca="1">IFERROR(__xludf.DUMMYFUNCTION("""COMPUTED_VALUE"""),"中國")</f>
        <v>中國</v>
      </c>
      <c r="S875" s="12"/>
      <c r="T875" s="12"/>
      <c r="U875" s="22" t="str">
        <f ca="1">IFERROR(__xludf.DUMMYFUNCTION("""COMPUTED_VALUE"""),"正常使用下，原廠2年保固")</f>
        <v>正常使用下，原廠2年保固</v>
      </c>
      <c r="V875" s="12"/>
      <c r="W875" s="12"/>
      <c r="X875" s="12"/>
      <c r="Y875" s="12"/>
      <c r="Z875" s="14"/>
      <c r="AA875" s="15" t="str">
        <f ca="1">IFERROR(__xludf.DUMMYFUNCTION("""COMPUTED_VALUE"""),"*榨汁/攪拌二合一，自由客製*可製作果汁果昔/植物奶/果渣料理*輕巧不佔位，放置面積比平板更小*附隨行杯蓋，攪拌後可直接帶出門*可拆可沖可刷(附清潔刷)，好清不卡渣*3重高標準安全設計，使用安心")</f>
        <v>*榨汁/攪拌二合一，自由客製*可製作果汁果昔/植物奶/果渣料理*輕巧不佔位，放置面積比平板更小*附隨行杯蓋，攪拌後可直接帶出門*可拆可沖可刷(附清潔刷)，好清不卡渣*3重高標準安全設計，使用安心</v>
      </c>
    </row>
    <row r="876" spans="1:27" ht="19.5" customHeight="1">
      <c r="A876" s="12" t="str">
        <f ca="1">IFERROR(__xludf.DUMMYFUNCTION("""COMPUTED_VALUE"""),"廚房家電")</f>
        <v>廚房家電</v>
      </c>
      <c r="B876" s="12" t="str">
        <f ca="1">IFERROR(__xludf.DUMMYFUNCTION("""COMPUTED_VALUE"""),"凱創")</f>
        <v>凱創</v>
      </c>
      <c r="C876" s="12" t="str">
        <f ca="1">IFERROR(__xludf.DUMMYFUNCTION("""COMPUTED_VALUE"""),"Cuisinart")</f>
        <v>Cuisinart</v>
      </c>
      <c r="D876" s="12" t="str">
        <f ca="1">IFERROR(__xludf.DUMMYFUNCTION("""COMPUTED_VALUE"""),"Cuisinart 美膳雅 5L美味蒸鮮鍋 STM-1000TW")</f>
        <v>Cuisinart 美膳雅 5L美味蒸鮮鍋 STM-1000TW</v>
      </c>
      <c r="E876" s="12" t="str">
        <f ca="1">IFERROR(__xludf.DUMMYFUNCTION("""COMPUTED_VALUE"""),"STM-1000TW")</f>
        <v>STM-1000TW</v>
      </c>
      <c r="F876" s="12">
        <f ca="1">IFERROR(__xludf.DUMMYFUNCTION("""COMPUTED_VALUE"""),51084352)</f>
        <v>51084352</v>
      </c>
      <c r="G876" s="12" t="str">
        <f ca="1">IFERROR(__xludf.DUMMYFUNCTION("""COMPUTED_VALUE"""),"IGEM111F")</f>
        <v>IGEM111F</v>
      </c>
      <c r="H876" s="13">
        <f ca="1">IFERROR(__xludf.DUMMYFUNCTION("""COMPUTED_VALUE"""),6990)</f>
        <v>6990</v>
      </c>
      <c r="I876" s="14">
        <f ca="1">IFERROR(__xludf.DUMMYFUNCTION("""COMPUTED_VALUE"""),3990)</f>
        <v>3990</v>
      </c>
      <c r="J876" s="16">
        <f ca="1">IFERROR(__xludf.DUMMYFUNCTION("""COMPUTED_VALUE"""),45658)</f>
        <v>45658</v>
      </c>
      <c r="K876" s="12" t="str">
        <f ca="1">IFERROR(__xludf.DUMMYFUNCTION("""COMPUTED_VALUE"""),"短促")</f>
        <v>短促</v>
      </c>
      <c r="L876" s="12" t="str">
        <f ca="1">IFERROR(__xludf.DUMMYFUNCTION("""COMPUTED_VALUE"""),"上架中")</f>
        <v>上架中</v>
      </c>
      <c r="M876" s="12" t="str">
        <f ca="1">IFERROR(__xludf.DUMMYFUNCTION("""COMPUTED_VALUE"""),"2025/1/1短促，2024/10/1新機上架")</f>
        <v>2025/1/1短促，2024/10/1新機上架</v>
      </c>
      <c r="N876" s="12" t="str">
        <f ca="1">IFERROR(__xludf.DUMMYFUNCTION("""COMPUTED_VALUE"""),"壓力鍋/燉鍋/萬用鍋/蒸煮鍋")</f>
        <v>壓力鍋/燉鍋/萬用鍋/蒸煮鍋</v>
      </c>
      <c r="O876" s="12" t="str">
        <f ca="1">IFERROR(__xludf.DUMMYFUNCTION("""COMPUTED_VALUE"""),"透明鍋+銀色")</f>
        <v>透明鍋+銀色</v>
      </c>
      <c r="P876" s="12" t="str">
        <f ca="1">IFERROR(__xludf.DUMMYFUNCTION("""COMPUTED_VALUE"""),"5L")</f>
        <v>5L</v>
      </c>
      <c r="Q876" s="12" t="str">
        <f ca="1">IFERROR(__xludf.DUMMYFUNCTION("""COMPUTED_VALUE"""),"高242 x 寬349 x 長412 mm")</f>
        <v>高242 x 寬349 x 長412 mm</v>
      </c>
      <c r="R876" s="12" t="str">
        <f ca="1">IFERROR(__xludf.DUMMYFUNCTION("""COMPUTED_VALUE"""),"中國")</f>
        <v>中國</v>
      </c>
      <c r="S876" s="12"/>
      <c r="T876" s="12"/>
      <c r="U876" s="22" t="str">
        <f ca="1">IFERROR(__xludf.DUMMYFUNCTION("""COMPUTED_VALUE"""),"2年")</f>
        <v>2年</v>
      </c>
      <c r="V876" s="12"/>
      <c r="W876" s="12"/>
      <c r="X876" s="12"/>
      <c r="Y876" s="12"/>
      <c r="Z876" s="14"/>
      <c r="AA876" s="15" t="str">
        <f ca="1">IFERROR(__xludf.DUMMYFUNCTION("""COMPUTED_VALUE"""),"*榮獲國內外雙料設計大獎*5L容量可透視玻璃蒸鍋*LCD控制面板，6種烹調模式*30秒快速噴射蒸氣，保留食物鮮味*附不鏽鋼蒸盤及食譜")</f>
        <v>*榮獲國內外雙料設計大獎*5L容量可透視玻璃蒸鍋*LCD控制面板，6種烹調模式*30秒快速噴射蒸氣，保留食物鮮味*附不鏽鋼蒸盤及食譜</v>
      </c>
    </row>
    <row r="877" spans="1:27" ht="19.5" customHeight="1">
      <c r="A877" s="12" t="str">
        <f ca="1">IFERROR(__xludf.DUMMYFUNCTION("""COMPUTED_VALUE"""),"廚房家電")</f>
        <v>廚房家電</v>
      </c>
      <c r="B877" s="12" t="str">
        <f ca="1">IFERROR(__xludf.DUMMYFUNCTION("""COMPUTED_VALUE"""),"凱創")</f>
        <v>凱創</v>
      </c>
      <c r="C877" s="12" t="str">
        <f ca="1">IFERROR(__xludf.DUMMYFUNCTION("""COMPUTED_VALUE"""),"BubbleSoda")</f>
        <v>BubbleSoda</v>
      </c>
      <c r="D877" s="12" t="str">
        <f ca="1">IFERROR(__xludf.DUMMYFUNCTION("""COMPUTED_VALUE"""),"全自動氣泡水機-經典白BU-BS-909")</f>
        <v>全自動氣泡水機-經典白BU-BS-909</v>
      </c>
      <c r="E877" s="12" t="str">
        <f ca="1">IFERROR(__xludf.DUMMYFUNCTION("""COMPUTED_VALUE"""),"BU-BS-909")</f>
        <v>BU-BS-909</v>
      </c>
      <c r="F877" s="12">
        <f ca="1">IFERROR(__xludf.DUMMYFUNCTION("""COMPUTED_VALUE"""),51084165)</f>
        <v>51084165</v>
      </c>
      <c r="G877" s="12" t="str">
        <f ca="1">IFERROR(__xludf.DUMMYFUNCTION("""COMPUTED_VALUE"""),"IGEM012K")</f>
        <v>IGEM012K</v>
      </c>
      <c r="H877" s="12">
        <f ca="1">IFERROR(__xludf.DUMMYFUNCTION("""COMPUTED_VALUE"""),3990)</f>
        <v>3990</v>
      </c>
      <c r="I877" s="14">
        <f ca="1">IFERROR(__xludf.DUMMYFUNCTION("""COMPUTED_VALUE"""),2780)</f>
        <v>2780</v>
      </c>
      <c r="J877" s="16">
        <f ca="1">IFERROR(__xludf.DUMMYFUNCTION("""COMPUTED_VALUE"""),45383)</f>
        <v>45383</v>
      </c>
      <c r="K877" s="12" t="str">
        <f ca="1">IFERROR(__xludf.DUMMYFUNCTION("""COMPUTED_VALUE"""),"短促")</f>
        <v>短促</v>
      </c>
      <c r="L877" s="12" t="str">
        <f ca="1">IFERROR(__xludf.DUMMYFUNCTION("""COMPUTED_VALUE"""),"上架中")</f>
        <v>上架中</v>
      </c>
      <c r="M877" s="12" t="str">
        <f ca="1">IFERROR(__xludf.DUMMYFUNCTION("""COMPUTED_VALUE"""),"2024/4/1短促，2021/10/1回價，2019/4/24新機上架")</f>
        <v>2024/4/1短促，2021/10/1回價，2019/4/24新機上架</v>
      </c>
      <c r="N877" s="12" t="str">
        <f ca="1">IFERROR(__xludf.DUMMYFUNCTION("""COMPUTED_VALUE"""),"氣泡水機")</f>
        <v>氣泡水機</v>
      </c>
      <c r="O877" s="12" t="str">
        <f ca="1">IFERROR(__xludf.DUMMYFUNCTION("""COMPUTED_VALUE"""),"白色")</f>
        <v>白色</v>
      </c>
      <c r="P877" s="12" t="str">
        <f ca="1">IFERROR(__xludf.DUMMYFUNCTION("""COMPUTED_VALUE"""),"1L")</f>
        <v>1L</v>
      </c>
      <c r="Q877" s="12" t="str">
        <f ca="1">IFERROR(__xludf.DUMMYFUNCTION("""COMPUTED_VALUE"""),"410x130x220mm")</f>
        <v>410x130x220mm</v>
      </c>
      <c r="R877" s="12" t="str">
        <f ca="1">IFERROR(__xludf.DUMMYFUNCTION("""COMPUTED_VALUE"""),"中國")</f>
        <v>中國</v>
      </c>
      <c r="S877" s="12"/>
      <c r="T877" s="12"/>
      <c r="U877" s="12" t="str">
        <f ca="1">IFERROR(__xludf.DUMMYFUNCTION("""COMPUTED_VALUE"""),"2年")</f>
        <v>2年</v>
      </c>
      <c r="V877" s="12" t="str">
        <f ca="1">IFERROR(__xludf.DUMMYFUNCTION("""COMPUTED_VALUE"""),"無")</f>
        <v>無</v>
      </c>
      <c r="W877" s="12"/>
      <c r="X877" s="12"/>
      <c r="Y877" s="12"/>
      <c r="Z877" s="14"/>
      <c r="AA877" s="15" t="str">
        <f ca="1">IFERROR(__xludf.DUMMYFUNCTION("""COMPUTED_VALUE"""),"*專利渦流進氣設計(Turbo-Bubbler)，氣泡口感最佳化*多閥門設計，延長機器使用壽命，提高氣瓶使用效率*創新設計，只需按壓一次，氣就會直接充飽，取下前只需把水瓶往外推，即會自動洩壓*內附鋼瓶1支+專用水瓶1支")</f>
        <v>*專利渦流進氣設計(Turbo-Bubbler)，氣泡口感最佳化*多閥門設計，延長機器使用壽命，提高氣瓶使用效率*創新設計，只需按壓一次，氣就會直接充飽，取下前只需把水瓶往外推，即會自動洩壓*內附鋼瓶1支+專用水瓶1支</v>
      </c>
    </row>
    <row r="878" spans="1:27" ht="19.5" customHeight="1">
      <c r="A878" s="12" t="str">
        <f ca="1">IFERROR(__xludf.DUMMYFUNCTION("""COMPUTED_VALUE"""),"廚房家電")</f>
        <v>廚房家電</v>
      </c>
      <c r="B878" s="12" t="str">
        <f ca="1">IFERROR(__xludf.DUMMYFUNCTION("""COMPUTED_VALUE"""),"順發")</f>
        <v>順發</v>
      </c>
      <c r="C878" s="12" t="str">
        <f ca="1">IFERROR(__xludf.DUMMYFUNCTION("""COMPUTED_VALUE"""),"Glolux")</f>
        <v>Glolux</v>
      </c>
      <c r="D878" s="12" t="str">
        <f ca="1">IFERROR(__xludf.DUMMYFUNCTION("""COMPUTED_VALUE"""),"Glolux6666 6L大健康氣炸鍋 GLX6001AF")</f>
        <v>Glolux6666 6L大健康氣炸鍋 GLX6001AF</v>
      </c>
      <c r="E878" s="12" t="str">
        <f ca="1">IFERROR(__xludf.DUMMYFUNCTION("""COMPUTED_VALUE"""),"GLX6001AF")</f>
        <v>GLX6001AF</v>
      </c>
      <c r="F878" s="12">
        <f ca="1">IFERROR(__xludf.DUMMYFUNCTION("""COMPUTED_VALUE"""),51095210)</f>
        <v>51095210</v>
      </c>
      <c r="G878" s="12" t="str">
        <f ca="1">IFERROR(__xludf.DUMMYFUNCTION("""COMPUTED_VALUE"""),"IGEM01N1")</f>
        <v>IGEM01N1</v>
      </c>
      <c r="H878" s="12">
        <f ca="1">IFERROR(__xludf.DUMMYFUNCTION("""COMPUTED_VALUE"""),3980)</f>
        <v>3980</v>
      </c>
      <c r="I878" s="14">
        <f ca="1">IFERROR(__xludf.DUMMYFUNCTION("""COMPUTED_VALUE"""),2580)</f>
        <v>2580</v>
      </c>
      <c r="J878" s="12"/>
      <c r="K878" s="12"/>
      <c r="L878" s="12" t="str">
        <f ca="1">IFERROR(__xludf.DUMMYFUNCTION("""COMPUTED_VALUE"""),"上架中")</f>
        <v>上架中</v>
      </c>
      <c r="M878" s="12"/>
      <c r="N878" s="12" t="str">
        <f ca="1">IFERROR(__xludf.DUMMYFUNCTION("""COMPUTED_VALUE"""),"氣炸鍋")</f>
        <v>氣炸鍋</v>
      </c>
      <c r="O878" s="12" t="str">
        <f ca="1">IFERROR(__xludf.DUMMYFUNCTION("""COMPUTED_VALUE"""),"黑")</f>
        <v>黑</v>
      </c>
      <c r="P878" s="12" t="str">
        <f ca="1">IFERROR(__xludf.DUMMYFUNCTION("""COMPUTED_VALUE"""),"炸鍋6公升(外鍋7.5公升)")</f>
        <v>炸鍋6公升(外鍋7.5公升)</v>
      </c>
      <c r="Q878" s="12" t="str">
        <f ca="1">IFERROR(__xludf.DUMMYFUNCTION("""COMPUTED_VALUE"""),"(H)397*(W)301*(L)348mm")</f>
        <v>(H)397*(W)301*(L)348mm</v>
      </c>
      <c r="R878" s="12" t="str">
        <f ca="1">IFERROR(__xludf.DUMMYFUNCTION("""COMPUTED_VALUE"""),"中國")</f>
        <v>中國</v>
      </c>
      <c r="S878" s="12"/>
      <c r="T878" s="12"/>
      <c r="U878" s="12" t="str">
        <f ca="1">IFERROR(__xludf.DUMMYFUNCTION("""COMPUTED_VALUE"""),"1年")</f>
        <v>1年</v>
      </c>
      <c r="V878" s="12"/>
      <c r="W878" s="12"/>
      <c r="X878" s="12" t="str">
        <f ca="1">IFERROR(__xludf.DUMMYFUNCTION("""COMPUTED_VALUE"""),"(114/1/1~2/28)隨貨送愛料理矽膠料理三件組 (805T10)")</f>
        <v>(114/1/1~2/28)隨貨送愛料理矽膠料理三件組 (805T10)</v>
      </c>
      <c r="Y878" s="12"/>
      <c r="Z878" s="14"/>
      <c r="AA878" s="15" t="str">
        <f ca="1">IFERROR(__xludf.DUMMYFUNCTION("""COMPUTED_VALUE"""),"*6公升超大容量、60分鐘超長時間、60℃最低溫度、6樣預設菜*360∘立體熱風平均發熱、1500W超大火力*LED高質感液晶觸控面板、貼心防燙手把設計*食品級陶瓷塗層，耐高溫、不沾鍋*四大功能配置：預熱、再次加熱、保溫、解凍*炸鍋內鍋分離*外掛式出風口，避免因炸鍋直接靠牆，導致散熱不佳引起火災*60~200℃溫度範圍，4項快速設置")</f>
        <v>*6公升超大容量、60分鐘超長時間、60℃最低溫度、6樣預設菜*360∘立體熱風平均發熱、1500W超大火力*LED高質感液晶觸控面板、貼心防燙手把設計*食品級陶瓷塗層，耐高溫、不沾鍋*四大功能配置：預熱、再次加熱、保溫、解凍*炸鍋內鍋分離*外掛式出風口，避免因炸鍋直接靠牆，導致散熱不佳引起火災*60~200℃溫度範圍，4項快速設置</v>
      </c>
    </row>
    <row r="879" spans="1:27" ht="19.5" customHeight="1">
      <c r="A879" s="12" t="str">
        <f ca="1">IFERROR(__xludf.DUMMYFUNCTION("""COMPUTED_VALUE"""),"廚房家電")</f>
        <v>廚房家電</v>
      </c>
      <c r="B879" s="12" t="str">
        <f ca="1">IFERROR(__xludf.DUMMYFUNCTION("""COMPUTED_VALUE"""),"聲寶")</f>
        <v>聲寶</v>
      </c>
      <c r="C879" s="12" t="str">
        <f ca="1">IFERROR(__xludf.DUMMYFUNCTION("""COMPUTED_VALUE"""),"聲寶")</f>
        <v>聲寶</v>
      </c>
      <c r="D879" s="12" t="str">
        <f ca="1">IFERROR(__xludf.DUMMYFUNCTION("""COMPUTED_VALUE"""),"聲寶天廚25L微電腦微波爐RE-N825TM")</f>
        <v>聲寶天廚25L微電腦微波爐RE-N825TM</v>
      </c>
      <c r="E879" s="12" t="str">
        <f ca="1">IFERROR(__xludf.DUMMYFUNCTION("""COMPUTED_VALUE"""),"RE-N825TM")</f>
        <v>RE-N825TM</v>
      </c>
      <c r="F879" s="12">
        <f ca="1">IFERROR(__xludf.DUMMYFUNCTION("""COMPUTED_VALUE"""),51086096)</f>
        <v>51086096</v>
      </c>
      <c r="G879" s="12" t="str">
        <f ca="1">IFERROR(__xludf.DUMMYFUNCTION("""COMPUTED_VALUE"""),"IGEM01T8")</f>
        <v>IGEM01T8</v>
      </c>
      <c r="H879" s="12">
        <f ca="1">IFERROR(__xludf.DUMMYFUNCTION("""COMPUTED_VALUE"""),3990)</f>
        <v>3990</v>
      </c>
      <c r="I879" s="14">
        <f ca="1">IFERROR(__xludf.DUMMYFUNCTION("""COMPUTED_VALUE"""),2640)</f>
        <v>2640</v>
      </c>
      <c r="J879" s="16">
        <f ca="1">IFERROR(__xludf.DUMMYFUNCTION("""COMPUTED_VALUE"""),45435)</f>
        <v>45435</v>
      </c>
      <c r="K879" s="12" t="str">
        <f ca="1">IFERROR(__xludf.DUMMYFUNCTION("""COMPUTED_VALUE"""),"到貨")</f>
        <v>到貨</v>
      </c>
      <c r="L879" s="12" t="str">
        <f ca="1">IFERROR(__xludf.DUMMYFUNCTION("""COMPUTED_VALUE"""),"上架中")</f>
        <v>上架中</v>
      </c>
      <c r="M879" s="12" t="str">
        <f ca="1">IFERROR(__xludf.DUMMYFUNCTION("""COMPUTED_VALUE"""),"2024/5/23少量到貨，2024/3/25缺貨，2024/3/1 回價，2023/12/21短促，7/1短促，2/21到貨，2/1缺貨，2021/10/1回價，2020/7/3新機上架")</f>
        <v>2024/5/23少量到貨，2024/3/25缺貨，2024/3/1 回價，2023/12/21短促，7/1短促，2/21到貨，2/1缺貨，2021/10/1回價，2020/7/3新機上架</v>
      </c>
      <c r="N879" s="12" t="str">
        <f ca="1">IFERROR(__xludf.DUMMYFUNCTION("""COMPUTED_VALUE"""),"微波爐")</f>
        <v>微波爐</v>
      </c>
      <c r="O879" s="12" t="str">
        <f ca="1">IFERROR(__xludf.DUMMYFUNCTION("""COMPUTED_VALUE"""),"白")</f>
        <v>白</v>
      </c>
      <c r="P879" s="12" t="str">
        <f ca="1">IFERROR(__xludf.DUMMYFUNCTION("""COMPUTED_VALUE"""),"25L")</f>
        <v>25L</v>
      </c>
      <c r="Q879" s="12" t="str">
        <f ca="1">IFERROR(__xludf.DUMMYFUNCTION("""COMPUTED_VALUE"""),"281(高)x483(寬)x417(深)mm")</f>
        <v>281(高)x483(寬)x417(深)mm</v>
      </c>
      <c r="R879" s="12" t="str">
        <f ca="1">IFERROR(__xludf.DUMMYFUNCTION("""COMPUTED_VALUE"""),"中國")</f>
        <v>中國</v>
      </c>
      <c r="S879" s="12"/>
      <c r="T879" s="12"/>
      <c r="U879" s="12" t="str">
        <f ca="1">IFERROR(__xludf.DUMMYFUNCTION("""COMPUTED_VALUE"""),"1年")</f>
        <v>1年</v>
      </c>
      <c r="V879" s="12"/>
      <c r="W879" s="12"/>
      <c r="X879" s="12"/>
      <c r="Y879" s="12"/>
      <c r="Z879" s="14"/>
      <c r="AA879" s="15" t="str">
        <f ca="1">IFERROR(__xludf.DUMMYFUNCTION("""COMPUTED_VALUE"""),"*觸控式操作按鍵，LCD大顯示螢幕*微波輸出功率900W*10段火力調整*100分鐘定時功能*解凍功能：時間解凍和重量解凍*快速烹調獨立啟動鍵*重量烹調功能：依據不同食材(牛肉/羊肉/豬肉)，*根據其重量自動設定時間進行烹調。")</f>
        <v>*觸控式操作按鍵，LCD大顯示螢幕*微波輸出功率900W*10段火力調整*100分鐘定時功能*解凍功能：時間解凍和重量解凍*快速烹調獨立啟動鍵*重量烹調功能：依據不同食材(牛肉/羊肉/豬肉)，*根據其重量自動設定時間進行烹調。</v>
      </c>
    </row>
    <row r="880" spans="1:27" ht="19.5" customHeight="1">
      <c r="A880" s="12" t="str">
        <f ca="1">IFERROR(__xludf.DUMMYFUNCTION("""COMPUTED_VALUE"""),"廚房家電")</f>
        <v>廚房家電</v>
      </c>
      <c r="B880" s="12" t="str">
        <f ca="1">IFERROR(__xludf.DUMMYFUNCTION("""COMPUTED_VALUE"""),"聲寶")</f>
        <v>聲寶</v>
      </c>
      <c r="C880" s="12" t="str">
        <f ca="1">IFERROR(__xludf.DUMMYFUNCTION("""COMPUTED_VALUE"""),"聲寶")</f>
        <v>聲寶</v>
      </c>
      <c r="D880" s="12" t="str">
        <f ca="1">IFERROR(__xludf.DUMMYFUNCTION("""COMPUTED_VALUE"""),"聲寶25L平台微波爐 RE-N225PR")</f>
        <v>聲寶25L平台微波爐 RE-N225PR</v>
      </c>
      <c r="E880" s="12" t="str">
        <f ca="1">IFERROR(__xludf.DUMMYFUNCTION("""COMPUTED_VALUE"""),"RE-N225PR")</f>
        <v>RE-N225PR</v>
      </c>
      <c r="F880" s="12">
        <f ca="1">IFERROR(__xludf.DUMMYFUNCTION("""COMPUTED_VALUE"""),51086277)</f>
        <v>51086277</v>
      </c>
      <c r="G880" s="12" t="str">
        <f ca="1">IFERROR(__xludf.DUMMYFUNCTION("""COMPUTED_VALUE"""),"IGEM074M")</f>
        <v>IGEM074M</v>
      </c>
      <c r="H880" s="12">
        <f ca="1">IFERROR(__xludf.DUMMYFUNCTION("""COMPUTED_VALUE"""),4290)</f>
        <v>4290</v>
      </c>
      <c r="I880" s="14">
        <f ca="1">IFERROR(__xludf.DUMMYFUNCTION("""COMPUTED_VALUE"""),3050)</f>
        <v>3050</v>
      </c>
      <c r="J880" s="12"/>
      <c r="K880" s="12"/>
      <c r="L880" s="12" t="str">
        <f ca="1">IFERROR(__xludf.DUMMYFUNCTION("""COMPUTED_VALUE"""),"上架中")</f>
        <v>上架中</v>
      </c>
      <c r="M880" s="12" t="str">
        <f ca="1">IFERROR(__xludf.DUMMYFUNCTION("""COMPUTED_VALUE"""),"2024/4/1回價，2024/3/28到貨，2024/3/25缺貨，2024/2/1短促，10/17少量到貨，9/19缺貨，6/1短促，2023/1/9新機上架")</f>
        <v>2024/4/1回價，2024/3/28到貨，2024/3/25缺貨，2024/2/1短促，10/17少量到貨，9/19缺貨，6/1短促，2023/1/9新機上架</v>
      </c>
      <c r="N880" s="12" t="str">
        <f ca="1">IFERROR(__xludf.DUMMYFUNCTION("""COMPUTED_VALUE"""),"微波爐")</f>
        <v>微波爐</v>
      </c>
      <c r="O880" s="12" t="str">
        <f ca="1">IFERROR(__xludf.DUMMYFUNCTION("""COMPUTED_VALUE"""),"白")</f>
        <v>白</v>
      </c>
      <c r="P880" s="12" t="str">
        <f ca="1">IFERROR(__xludf.DUMMYFUNCTION("""COMPUTED_VALUE"""),"25L")</f>
        <v>25L</v>
      </c>
      <c r="Q880" s="12" t="str">
        <f ca="1">IFERROR(__xludf.DUMMYFUNCTION("""COMPUTED_VALUE"""),"287(高) x 490(寬) x 392(深) (mm)")</f>
        <v>287(高) x 490(寬) x 392(深) (mm)</v>
      </c>
      <c r="R880" s="12" t="str">
        <f ca="1">IFERROR(__xludf.DUMMYFUNCTION("""COMPUTED_VALUE"""),"中國")</f>
        <v>中國</v>
      </c>
      <c r="S880" s="12"/>
      <c r="T880" s="12"/>
      <c r="U880" s="12" t="str">
        <f ca="1">IFERROR(__xludf.DUMMYFUNCTION("""COMPUTED_VALUE"""),"1年")</f>
        <v>1年</v>
      </c>
      <c r="V880" s="12"/>
      <c r="W880" s="12"/>
      <c r="X880" s="12"/>
      <c r="Y880" s="12"/>
      <c r="Z880" s="14"/>
      <c r="AA880" s="15" t="str">
        <f ca="1">IFERROR(__xludf.DUMMYFUNCTION("""COMPUTED_VALUE"""),"*5段火力控制+30分鐘定時*旋鈕操作簡單，使用好上手*解凍功能，縮短備料時間*多重安全防護，使用更安心")</f>
        <v>*5段火力控制+30分鐘定時*旋鈕操作簡單，使用好上手*解凍功能，縮短備料時間*多重安全防護，使用更安心</v>
      </c>
    </row>
    <row r="881" spans="1:27" ht="19.5" customHeight="1">
      <c r="A881" s="12" t="str">
        <f ca="1">IFERROR(__xludf.DUMMYFUNCTION("""COMPUTED_VALUE"""),"廚房家電")</f>
        <v>廚房家電</v>
      </c>
      <c r="B881" s="12" t="str">
        <f ca="1">IFERROR(__xludf.DUMMYFUNCTION("""COMPUTED_VALUE"""),"聲寶")</f>
        <v>聲寶</v>
      </c>
      <c r="C881" s="12" t="str">
        <f ca="1">IFERROR(__xludf.DUMMYFUNCTION("""COMPUTED_VALUE"""),"聲寶")</f>
        <v>聲寶</v>
      </c>
      <c r="D881" s="12" t="str">
        <f ca="1">IFERROR(__xludf.DUMMYFUNCTION("""COMPUTED_VALUE"""),"聲寶20L微電腦觸控式平台微波爐 RE-B020PM")</f>
        <v>聲寶20L微電腦觸控式平台微波爐 RE-B020PM</v>
      </c>
      <c r="E881" s="12" t="str">
        <f ca="1">IFERROR(__xludf.DUMMYFUNCTION("""COMPUTED_VALUE"""),"RE-B020PM")</f>
        <v>RE-B020PM</v>
      </c>
      <c r="F881" s="12">
        <f ca="1">IFERROR(__xludf.DUMMYFUNCTION("""COMPUTED_VALUE"""),51086278)</f>
        <v>51086278</v>
      </c>
      <c r="G881" s="12" t="str">
        <f ca="1">IFERROR(__xludf.DUMMYFUNCTION("""COMPUTED_VALUE"""),"IGEM074N")</f>
        <v>IGEM074N</v>
      </c>
      <c r="H881" s="12">
        <f ca="1">IFERROR(__xludf.DUMMYFUNCTION("""COMPUTED_VALUE"""),4390)</f>
        <v>4390</v>
      </c>
      <c r="I881" s="14">
        <f ca="1">IFERROR(__xludf.DUMMYFUNCTION("""COMPUTED_VALUE"""),3590)</f>
        <v>3590</v>
      </c>
      <c r="J881" s="12"/>
      <c r="K881" s="12"/>
      <c r="L881" s="12" t="str">
        <f ca="1">IFERROR(__xludf.DUMMYFUNCTION("""COMPUTED_VALUE"""),"上架中")</f>
        <v>上架中</v>
      </c>
      <c r="M881" s="12" t="str">
        <f ca="1">IFERROR(__xludf.DUMMYFUNCTION("""COMPUTED_VALUE"""),"2023/1/9新機上架")</f>
        <v>2023/1/9新機上架</v>
      </c>
      <c r="N881" s="12" t="str">
        <f ca="1">IFERROR(__xludf.DUMMYFUNCTION("""COMPUTED_VALUE"""),"微波爐")</f>
        <v>微波爐</v>
      </c>
      <c r="O881" s="12" t="str">
        <f ca="1">IFERROR(__xludf.DUMMYFUNCTION("""COMPUTED_VALUE"""),"白")</f>
        <v>白</v>
      </c>
      <c r="P881" s="12" t="str">
        <f ca="1">IFERROR(__xludf.DUMMYFUNCTION("""COMPUTED_VALUE"""),"25L")</f>
        <v>25L</v>
      </c>
      <c r="Q881" s="12" t="str">
        <f ca="1">IFERROR(__xludf.DUMMYFUNCTION("""COMPUTED_VALUE"""),"287(高) x 490(寬) x 392(深) (mm)")</f>
        <v>287(高) x 490(寬) x 392(深) (mm)</v>
      </c>
      <c r="R881" s="12" t="str">
        <f ca="1">IFERROR(__xludf.DUMMYFUNCTION("""COMPUTED_VALUE"""),"中國")</f>
        <v>中國</v>
      </c>
      <c r="S881" s="12"/>
      <c r="T881" s="12"/>
      <c r="U881" s="12" t="str">
        <f ca="1">IFERROR(__xludf.DUMMYFUNCTION("""COMPUTED_VALUE"""),"1年")</f>
        <v>1年</v>
      </c>
      <c r="V881" s="12"/>
      <c r="W881" s="12"/>
      <c r="X881" s="12"/>
      <c r="Y881" s="12"/>
      <c r="Z881" s="14"/>
      <c r="AA881" s="15" t="str">
        <f ca="1">IFERROR(__xludf.DUMMYFUNCTION("""COMPUTED_VALUE"""),"*平台式增40%空間，可一爐雙菜*4種寶寶菜單，新手爸媽輕鬆餵*5段火力控制+99分50秒定時*重量解凍+多段式烹調功能*鑽石內腔設計，提高微波效率")</f>
        <v>*平台式增40%空間，可一爐雙菜*4種寶寶菜單，新手爸媽輕鬆餵*5段火力控制+99分50秒定時*重量解凍+多段式烹調功能*鑽石內腔設計，提高微波效率</v>
      </c>
    </row>
    <row r="882" spans="1:27" ht="19.5" customHeight="1">
      <c r="A882" s="12" t="str">
        <f ca="1">IFERROR(__xludf.DUMMYFUNCTION("""COMPUTED_VALUE"""),"廚房家電")</f>
        <v>廚房家電</v>
      </c>
      <c r="B882" s="12" t="str">
        <f ca="1">IFERROR(__xludf.DUMMYFUNCTION("""COMPUTED_VALUE"""),"聲寶")</f>
        <v>聲寶</v>
      </c>
      <c r="C882" s="12" t="str">
        <f ca="1">IFERROR(__xludf.DUMMYFUNCTION("""COMPUTED_VALUE"""),"聲寶")</f>
        <v>聲寶</v>
      </c>
      <c r="D882" s="12" t="str">
        <f ca="1">IFERROR(__xludf.DUMMYFUNCTION("""COMPUTED_VALUE"""),"聲寶25L微電腦觸控式平台微波爐 RE-N125PM")</f>
        <v>聲寶25L微電腦觸控式平台微波爐 RE-N125PM</v>
      </c>
      <c r="E882" s="12" t="str">
        <f ca="1">IFERROR(__xludf.DUMMYFUNCTION("""COMPUTED_VALUE"""),"RE-N125PM")</f>
        <v>RE-N125PM</v>
      </c>
      <c r="F882" s="12">
        <f ca="1">IFERROR(__xludf.DUMMYFUNCTION("""COMPUTED_VALUE"""),51086279)</f>
        <v>51086279</v>
      </c>
      <c r="G882" s="12" t="str">
        <f ca="1">IFERROR(__xludf.DUMMYFUNCTION("""COMPUTED_VALUE"""),"IGEM074O")</f>
        <v>IGEM074O</v>
      </c>
      <c r="H882" s="12">
        <f ca="1">IFERROR(__xludf.DUMMYFUNCTION("""COMPUTED_VALUE"""),4990)</f>
        <v>4990</v>
      </c>
      <c r="I882" s="14">
        <f ca="1">IFERROR(__xludf.DUMMYFUNCTION("""COMPUTED_VALUE"""),3850)</f>
        <v>3850</v>
      </c>
      <c r="J882" s="12"/>
      <c r="K882" s="12"/>
      <c r="L882" s="12" t="str">
        <f ca="1">IFERROR(__xludf.DUMMYFUNCTION("""COMPUTED_VALUE"""),"上架中")</f>
        <v>上架中</v>
      </c>
      <c r="M882" s="12" t="str">
        <f ca="1">IFERROR(__xludf.DUMMYFUNCTION("""COMPUTED_VALUE"""),"2025/2/1回價，2024/5/1短促，2023/1/9新機上架")</f>
        <v>2025/2/1回價，2024/5/1短促，2023/1/9新機上架</v>
      </c>
      <c r="N882" s="12" t="str">
        <f ca="1">IFERROR(__xludf.DUMMYFUNCTION("""COMPUTED_VALUE"""),"微波爐")</f>
        <v>微波爐</v>
      </c>
      <c r="O882" s="12" t="str">
        <f ca="1">IFERROR(__xludf.DUMMYFUNCTION("""COMPUTED_VALUE"""),"白")</f>
        <v>白</v>
      </c>
      <c r="P882" s="12" t="str">
        <f ca="1">IFERROR(__xludf.DUMMYFUNCTION("""COMPUTED_VALUE"""),"25L")</f>
        <v>25L</v>
      </c>
      <c r="Q882" s="12" t="str">
        <f ca="1">IFERROR(__xludf.DUMMYFUNCTION("""COMPUTED_VALUE"""),"287(高) x 490(寬) x 392(深) (mm)")</f>
        <v>287(高) x 490(寬) x 392(深) (mm)</v>
      </c>
      <c r="R882" s="12" t="str">
        <f ca="1">IFERROR(__xludf.DUMMYFUNCTION("""COMPUTED_VALUE"""),"中國")</f>
        <v>中國</v>
      </c>
      <c r="S882" s="12"/>
      <c r="T882" s="12"/>
      <c r="U882" s="12" t="str">
        <f ca="1">IFERROR(__xludf.DUMMYFUNCTION("""COMPUTED_VALUE"""),"1年")</f>
        <v>1年</v>
      </c>
      <c r="V882" s="12"/>
      <c r="W882" s="12"/>
      <c r="X882" s="12"/>
      <c r="Y882" s="12"/>
      <c r="Z882" s="14"/>
      <c r="AA882" s="15" t="str">
        <f ca="1">IFERROR(__xludf.DUMMYFUNCTION("""COMPUTED_VALUE"""),"*飛梭旋鈕搭配觸控按鍵，操作便利*10段火力調整，烹飪料理更靈活*解凍雙選擇 : 重量解凍+時間解凍*異味除臭功能設計*貼心食物保溫，美味料理不失溫*平台式設計，使用空間提升40%*內崁式把手設計，省力好開啟*易潔防鏽防菌腔體")</f>
        <v>*飛梭旋鈕搭配觸控按鍵，操作便利*10段火力調整，烹飪料理更靈活*解凍雙選擇 : 重量解凍+時間解凍*異味除臭功能設計*貼心食物保溫，美味料理不失溫*平台式設計，使用空間提升40%*內崁式把手設計，省力好開啟*易潔防鏽防菌腔體</v>
      </c>
    </row>
    <row r="883" spans="1:27" ht="19.5" customHeight="1">
      <c r="A883" s="12" t="str">
        <f ca="1">IFERROR(__xludf.DUMMYFUNCTION("""COMPUTED_VALUE"""),"廚房家電")</f>
        <v>廚房家電</v>
      </c>
      <c r="B883" s="12" t="str">
        <f ca="1">IFERROR(__xludf.DUMMYFUNCTION("""COMPUTED_VALUE"""),"大同")</f>
        <v>大同</v>
      </c>
      <c r="C883" s="12" t="str">
        <f ca="1">IFERROR(__xludf.DUMMYFUNCTION("""COMPUTED_VALUE"""),"象印")</f>
        <v>象印</v>
      </c>
      <c r="D883" s="12" t="str">
        <f ca="1">IFERROR(__xludf.DUMMYFUNCTION("""COMPUTED_VALUE"""),"象印日本原裝6人份壓力IH電子鍋")</f>
        <v>象印日本原裝6人份壓力IH電子鍋</v>
      </c>
      <c r="E883" s="12" t="str">
        <f ca="1">IFERROR(__xludf.DUMMYFUNCTION("""COMPUTED_VALUE"""),"NP-HSF10")</f>
        <v>NP-HSF10</v>
      </c>
      <c r="F883" s="12">
        <f ca="1">IFERROR(__xludf.DUMMYFUNCTION("""COMPUTED_VALUE"""),51081149)</f>
        <v>51081149</v>
      </c>
      <c r="G883" s="12" t="str">
        <f ca="1">IFERROR(__xludf.DUMMYFUNCTION("""COMPUTED_VALUE"""),"IGEM026W")</f>
        <v>IGEM026W</v>
      </c>
      <c r="H883" s="13">
        <f ca="1">IFERROR(__xludf.DUMMYFUNCTION("""COMPUTED_VALUE"""),15990)</f>
        <v>15990</v>
      </c>
      <c r="I883" s="14">
        <f ca="1">IFERROR(__xludf.DUMMYFUNCTION("""COMPUTED_VALUE"""),12300)</f>
        <v>12300</v>
      </c>
      <c r="J883" s="21">
        <f ca="1">IFERROR(__xludf.DUMMYFUNCTION("""COMPUTED_VALUE"""),45383)</f>
        <v>45383</v>
      </c>
      <c r="K883" s="12" t="str">
        <f ca="1">IFERROR(__xludf.DUMMYFUNCTION("""COMPUTED_VALUE"""),"回價")</f>
        <v>回價</v>
      </c>
      <c r="L883" s="12" t="str">
        <f ca="1">IFERROR(__xludf.DUMMYFUNCTION("""COMPUTED_VALUE"""),"上架中")</f>
        <v>上架中</v>
      </c>
      <c r="M883" s="12" t="str">
        <f ca="1">IFERROR(__xludf.DUMMYFUNCTION("""COMPUTED_VALUE"""),"2024/4/1回價，2024/1/1 短促，2024/01短促，2020/12/7短促，客訂。2020/12/1上架")</f>
        <v>2024/4/1回價，2024/1/1 短促，2024/01短促，2020/12/7短促，客訂。2020/12/1上架</v>
      </c>
      <c r="N883" s="12" t="str">
        <f ca="1">IFERROR(__xludf.DUMMYFUNCTION("""COMPUTED_VALUE"""),"電子鍋")</f>
        <v>電子鍋</v>
      </c>
      <c r="O883" s="12" t="str">
        <f ca="1">IFERROR(__xludf.DUMMYFUNCTION("""COMPUTED_VALUE"""),"銀灰色")</f>
        <v>銀灰色</v>
      </c>
      <c r="P883" s="12"/>
      <c r="Q883" s="12" t="str">
        <f ca="1">IFERROR(__xludf.DUMMYFUNCTION("""COMPUTED_VALUE"""),"250x360x200(mm)")</f>
        <v>250x360x200(mm)</v>
      </c>
      <c r="R883" s="12" t="str">
        <f ca="1">IFERROR(__xludf.DUMMYFUNCTION("""COMPUTED_VALUE"""),"日本")</f>
        <v>日本</v>
      </c>
      <c r="S883" s="12"/>
      <c r="T883" s="12"/>
      <c r="U883" s="12" t="str">
        <f ca="1">IFERROR(__xludf.DUMMYFUNCTION("""COMPUTED_VALUE"""),"1年")</f>
        <v>1年</v>
      </c>
      <c r="V883" s="12"/>
      <c r="W883" s="12"/>
      <c r="X883" s="12"/>
      <c r="Y883" s="12"/>
      <c r="Z883" s="14"/>
      <c r="AA883" s="15" t="str">
        <f ca="1">IFERROR(__xludf.DUMMYFUNCTION("""COMPUTED_VALUE"""),"*多段式壓力(1.0-1.2氣壓)*白金微粒內釜*IH電磁式加熱*多樣米種炊煮功能*可拆洗不銹鋼內蓋")</f>
        <v>*多段式壓力(1.0-1.2氣壓)*白金微粒內釜*IH電磁式加熱*多樣米種炊煮功能*可拆洗不銹鋼內蓋</v>
      </c>
    </row>
    <row r="884" spans="1:27" ht="19.5" customHeight="1">
      <c r="A884" s="12" t="str">
        <f ca="1">IFERROR(__xludf.DUMMYFUNCTION("""COMPUTED_VALUE"""),"廚房家電")</f>
        <v>廚房家電</v>
      </c>
      <c r="B884" s="12" t="str">
        <f ca="1">IFERROR(__xludf.DUMMYFUNCTION("""COMPUTED_VALUE"""),"大同")</f>
        <v>大同</v>
      </c>
      <c r="C884" s="12" t="str">
        <f ca="1">IFERROR(__xludf.DUMMYFUNCTION("""COMPUTED_VALUE"""),"象印")</f>
        <v>象印</v>
      </c>
      <c r="D884" s="12" t="str">
        <f ca="1">IFERROR(__xludf.DUMMYFUNCTION("""COMPUTED_VALUE"""),"象印日本原裝10人份壓力IH電子鍋")</f>
        <v>象印日本原裝10人份壓力IH電子鍋</v>
      </c>
      <c r="E884" s="12" t="str">
        <f ca="1">IFERROR(__xludf.DUMMYFUNCTION("""COMPUTED_VALUE"""),"NP-HSF18")</f>
        <v>NP-HSF18</v>
      </c>
      <c r="F884" s="12">
        <f ca="1">IFERROR(__xludf.DUMMYFUNCTION("""COMPUTED_VALUE"""),51081150)</f>
        <v>51081150</v>
      </c>
      <c r="G884" s="12" t="str">
        <f ca="1">IFERROR(__xludf.DUMMYFUNCTION("""COMPUTED_VALUE"""),"IGEM026X")</f>
        <v>IGEM026X</v>
      </c>
      <c r="H884" s="12">
        <f ca="1">IFERROR(__xludf.DUMMYFUNCTION("""COMPUTED_VALUE"""),17990)</f>
        <v>17990</v>
      </c>
      <c r="I884" s="14">
        <f ca="1">IFERROR(__xludf.DUMMYFUNCTION("""COMPUTED_VALUE"""),14290)</f>
        <v>14290</v>
      </c>
      <c r="J884" s="21">
        <f ca="1">IFERROR(__xludf.DUMMYFUNCTION("""COMPUTED_VALUE"""),45383)</f>
        <v>45383</v>
      </c>
      <c r="K884" s="12" t="str">
        <f ca="1">IFERROR(__xludf.DUMMYFUNCTION("""COMPUTED_VALUE"""),"回價")</f>
        <v>回價</v>
      </c>
      <c r="L884" s="12" t="str">
        <f ca="1">IFERROR(__xludf.DUMMYFUNCTION("""COMPUTED_VALUE"""),"上架中")</f>
        <v>上架中</v>
      </c>
      <c r="M884" s="12" t="str">
        <f ca="1">IFERROR(__xludf.DUMMYFUNCTION("""COMPUTED_VALUE"""),"2024/4/1回價，2024/1/1短促，2020/12/7短促，客訂。2020/12/1上架")</f>
        <v>2024/4/1回價，2024/1/1短促，2020/12/7短促，客訂。2020/12/1上架</v>
      </c>
      <c r="N884" s="12" t="str">
        <f ca="1">IFERROR(__xludf.DUMMYFUNCTION("""COMPUTED_VALUE"""),"電子鍋")</f>
        <v>電子鍋</v>
      </c>
      <c r="O884" s="12" t="str">
        <f ca="1">IFERROR(__xludf.DUMMYFUNCTION("""COMPUTED_VALUE"""),"銀灰色")</f>
        <v>銀灰色</v>
      </c>
      <c r="P884" s="12"/>
      <c r="Q884" s="12" t="str">
        <f ca="1">IFERROR(__xludf.DUMMYFUNCTION("""COMPUTED_VALUE"""),"275x395x235(mm)")</f>
        <v>275x395x235(mm)</v>
      </c>
      <c r="R884" s="12" t="str">
        <f ca="1">IFERROR(__xludf.DUMMYFUNCTION("""COMPUTED_VALUE"""),"日本")</f>
        <v>日本</v>
      </c>
      <c r="S884" s="12"/>
      <c r="T884" s="12"/>
      <c r="U884" s="12" t="str">
        <f ca="1">IFERROR(__xludf.DUMMYFUNCTION("""COMPUTED_VALUE"""),"1年")</f>
        <v>1年</v>
      </c>
      <c r="V884" s="12"/>
      <c r="W884" s="12"/>
      <c r="X884" s="12"/>
      <c r="Y884" s="12"/>
      <c r="Z884" s="14"/>
      <c r="AA884" s="15" t="str">
        <f ca="1">IFERROR(__xludf.DUMMYFUNCTION("""COMPUTED_VALUE"""),"*多段式壓力(1.0-1.2氣壓)*白金微粒內釜*IH電磁式加熱*多樣米種炊煮功能*可拆洗不銹鋼內蓋")</f>
        <v>*多段式壓力(1.0-1.2氣壓)*白金微粒內釜*IH電磁式加熱*多樣米種炊煮功能*可拆洗不銹鋼內蓋</v>
      </c>
    </row>
    <row r="885" spans="1:27" ht="19.5" customHeight="1">
      <c r="A885" s="12" t="str">
        <f ca="1">IFERROR(__xludf.DUMMYFUNCTION("""COMPUTED_VALUE"""),"廚房家電")</f>
        <v>廚房家電</v>
      </c>
      <c r="B885" s="12" t="str">
        <f ca="1">IFERROR(__xludf.DUMMYFUNCTION("""COMPUTED_VALUE"""),"大同")</f>
        <v>大同</v>
      </c>
      <c r="C885" s="12" t="str">
        <f ca="1">IFERROR(__xludf.DUMMYFUNCTION("""COMPUTED_VALUE"""),"象印")</f>
        <v>象印</v>
      </c>
      <c r="D885" s="12" t="str">
        <f ca="1">IFERROR(__xludf.DUMMYFUNCTION("""COMPUTED_VALUE"""),"象印日本原裝6人份節能微電腦電子鍋")</f>
        <v>象印日本原裝6人份節能微電腦電子鍋</v>
      </c>
      <c r="E885" s="12" t="str">
        <f ca="1">IFERROR(__xludf.DUMMYFUNCTION("""COMPUTED_VALUE"""),"NS-ZEF10")</f>
        <v>NS-ZEF10</v>
      </c>
      <c r="F885" s="12">
        <f ca="1">IFERROR(__xludf.DUMMYFUNCTION("""COMPUTED_VALUE"""),51081151)</f>
        <v>51081151</v>
      </c>
      <c r="G885" s="12" t="str">
        <f ca="1">IFERROR(__xludf.DUMMYFUNCTION("""COMPUTED_VALUE"""),"IGEM026Y")</f>
        <v>IGEM026Y</v>
      </c>
      <c r="H885" s="12">
        <f ca="1">IFERROR(__xludf.DUMMYFUNCTION("""COMPUTED_VALUE"""),6890)</f>
        <v>6890</v>
      </c>
      <c r="I885" s="14">
        <f ca="1">IFERROR(__xludf.DUMMYFUNCTION("""COMPUTED_VALUE"""),5190)</f>
        <v>5190</v>
      </c>
      <c r="J885" s="21">
        <f ca="1">IFERROR(__xludf.DUMMYFUNCTION("""COMPUTED_VALUE"""),45383)</f>
        <v>45383</v>
      </c>
      <c r="K885" s="12" t="str">
        <f ca="1">IFERROR(__xludf.DUMMYFUNCTION("""COMPUTED_VALUE"""),"回價")</f>
        <v>回價</v>
      </c>
      <c r="L885" s="12" t="str">
        <f ca="1">IFERROR(__xludf.DUMMYFUNCTION("""COMPUTED_VALUE"""),"上架中")</f>
        <v>上架中</v>
      </c>
      <c r="M885" s="12" t="str">
        <f ca="1">IFERROR(__xludf.DUMMYFUNCTION("""COMPUTED_VALUE"""),"2024/4/1回價，2024/1/1短促，2022/10/3少量到貨，9/5缺貨、3/2到貨、2/15缺貨預計3月到貨、2020/12/1上架")</f>
        <v>2024/4/1回價，2024/1/1短促，2022/10/3少量到貨，9/5缺貨、3/2到貨、2/15缺貨預計3月到貨、2020/12/1上架</v>
      </c>
      <c r="N885" s="12" t="str">
        <f ca="1">IFERROR(__xludf.DUMMYFUNCTION("""COMPUTED_VALUE"""),"電子鍋")</f>
        <v>電子鍋</v>
      </c>
      <c r="O885" s="12" t="str">
        <f ca="1">IFERROR(__xludf.DUMMYFUNCTION("""COMPUTED_VALUE"""),"白色")</f>
        <v>白色</v>
      </c>
      <c r="P885" s="12"/>
      <c r="Q885" s="12" t="str">
        <f ca="1">IFERROR(__xludf.DUMMYFUNCTION("""COMPUTED_VALUE"""),"255x330x210(mm)")</f>
        <v>255x330x210(mm)</v>
      </c>
      <c r="R885" s="12" t="str">
        <f ca="1">IFERROR(__xludf.DUMMYFUNCTION("""COMPUTED_VALUE"""),"日本")</f>
        <v>日本</v>
      </c>
      <c r="S885" s="12"/>
      <c r="T885" s="12"/>
      <c r="U885" s="12" t="str">
        <f ca="1">IFERROR(__xludf.DUMMYFUNCTION("""COMPUTED_VALUE"""),"1年")</f>
        <v>1年</v>
      </c>
      <c r="V885" s="12"/>
      <c r="W885" s="12"/>
      <c r="X885" s="12"/>
      <c r="Y885" s="12"/>
      <c r="Z885" s="14"/>
      <c r="AA885" s="15" t="str">
        <f ca="1">IFERROR(__xludf.DUMMYFUNCTION("""COMPUTED_VALUE"""),"*免洗米炊飯功能*節能炊飯新機種*內鍋把手，貼心不燙手*可拆洗內蓋")</f>
        <v>*免洗米炊飯功能*節能炊飯新機種*內鍋把手，貼心不燙手*可拆洗內蓋</v>
      </c>
    </row>
    <row r="886" spans="1:27" ht="19.5" customHeight="1">
      <c r="A886" s="12" t="str">
        <f ca="1">IFERROR(__xludf.DUMMYFUNCTION("""COMPUTED_VALUE"""),"廚房家電")</f>
        <v>廚房家電</v>
      </c>
      <c r="B886" s="12" t="str">
        <f ca="1">IFERROR(__xludf.DUMMYFUNCTION("""COMPUTED_VALUE"""),"大同")</f>
        <v>大同</v>
      </c>
      <c r="C886" s="12" t="str">
        <f ca="1">IFERROR(__xludf.DUMMYFUNCTION("""COMPUTED_VALUE"""),"象印")</f>
        <v>象印</v>
      </c>
      <c r="D886" s="12" t="str">
        <f ca="1">IFERROR(__xludf.DUMMYFUNCTION("""COMPUTED_VALUE"""),"象印日本原裝10人份節能微電腦電子鍋")</f>
        <v>象印日本原裝10人份節能微電腦電子鍋</v>
      </c>
      <c r="E886" s="12" t="str">
        <f ca="1">IFERROR(__xludf.DUMMYFUNCTION("""COMPUTED_VALUE"""),"NS-ZEF18")</f>
        <v>NS-ZEF18</v>
      </c>
      <c r="F886" s="12">
        <f ca="1">IFERROR(__xludf.DUMMYFUNCTION("""COMPUTED_VALUE"""),51081152)</f>
        <v>51081152</v>
      </c>
      <c r="G886" s="12" t="str">
        <f ca="1">IFERROR(__xludf.DUMMYFUNCTION("""COMPUTED_VALUE"""),"IGEM026Z")</f>
        <v>IGEM026Z</v>
      </c>
      <c r="H886" s="12">
        <f ca="1">IFERROR(__xludf.DUMMYFUNCTION("""COMPUTED_VALUE"""),7290)</f>
        <v>7290</v>
      </c>
      <c r="I886" s="14">
        <f ca="1">IFERROR(__xludf.DUMMYFUNCTION("""COMPUTED_VALUE"""),5590)</f>
        <v>5590</v>
      </c>
      <c r="J886" s="21">
        <f ca="1">IFERROR(__xludf.DUMMYFUNCTION("""COMPUTED_VALUE"""),45383)</f>
        <v>45383</v>
      </c>
      <c r="K886" s="12" t="str">
        <f ca="1">IFERROR(__xludf.DUMMYFUNCTION("""COMPUTED_VALUE"""),"回價")</f>
        <v>回價</v>
      </c>
      <c r="L886" s="12" t="str">
        <f ca="1">IFERROR(__xludf.DUMMYFUNCTION("""COMPUTED_VALUE"""),"上架中")</f>
        <v>上架中</v>
      </c>
      <c r="M886" s="12" t="str">
        <f ca="1">IFERROR(__xludf.DUMMYFUNCTION("""COMPUTED_VALUE"""),"2024/4/1回價，2024/1/1短促，2022/10/3少量到貨，9/5缺貨、3/2到貨、2/15缺貨預計3月到貨、2021/9/22缺貨、預計10月初到貨。2020/12/1上架")</f>
        <v>2024/4/1回價，2024/1/1短促，2022/10/3少量到貨，9/5缺貨、3/2到貨、2/15缺貨預計3月到貨、2021/9/22缺貨、預計10月初到貨。2020/12/1上架</v>
      </c>
      <c r="N886" s="12" t="str">
        <f ca="1">IFERROR(__xludf.DUMMYFUNCTION("""COMPUTED_VALUE"""),"電子鍋")</f>
        <v>電子鍋</v>
      </c>
      <c r="O886" s="12" t="str">
        <f ca="1">IFERROR(__xludf.DUMMYFUNCTION("""COMPUTED_VALUE"""),"白色")</f>
        <v>白色</v>
      </c>
      <c r="P886" s="12"/>
      <c r="Q886" s="12" t="str">
        <f ca="1">IFERROR(__xludf.DUMMYFUNCTION("""COMPUTED_VALUE"""),"280x360x240(mm)")</f>
        <v>280x360x240(mm)</v>
      </c>
      <c r="R886" s="12" t="str">
        <f ca="1">IFERROR(__xludf.DUMMYFUNCTION("""COMPUTED_VALUE"""),"日本")</f>
        <v>日本</v>
      </c>
      <c r="S886" s="12"/>
      <c r="T886" s="12"/>
      <c r="U886" s="12" t="str">
        <f ca="1">IFERROR(__xludf.DUMMYFUNCTION("""COMPUTED_VALUE"""),"1年")</f>
        <v>1年</v>
      </c>
      <c r="V886" s="12"/>
      <c r="W886" s="12"/>
      <c r="X886" s="12"/>
      <c r="Y886" s="12"/>
      <c r="Z886" s="14"/>
      <c r="AA886" s="15" t="str">
        <f ca="1">IFERROR(__xludf.DUMMYFUNCTION("""COMPUTED_VALUE"""),"*免洗米炊飯功能*節能炊飯新機種*內鍋把手，貼心不燙手*可拆洗內蓋")</f>
        <v>*免洗米炊飯功能*節能炊飯新機種*內鍋把手，貼心不燙手*可拆洗內蓋</v>
      </c>
    </row>
    <row r="887" spans="1:27" ht="19.5" customHeight="1">
      <c r="A887" s="12" t="str">
        <f ca="1">IFERROR(__xludf.DUMMYFUNCTION("""COMPUTED_VALUE"""),"廚房家電")</f>
        <v>廚房家電</v>
      </c>
      <c r="B887" s="12" t="str">
        <f ca="1">IFERROR(__xludf.DUMMYFUNCTION("""COMPUTED_VALUE"""),"大同")</f>
        <v>大同</v>
      </c>
      <c r="C887" s="12" t="str">
        <f ca="1">IFERROR(__xludf.DUMMYFUNCTION("""COMPUTED_VALUE"""),"象印")</f>
        <v>象印</v>
      </c>
      <c r="D887" s="12" t="str">
        <f ca="1">IFERROR(__xludf.DUMMYFUNCTION("""COMPUTED_VALUE"""),"象印4LSuperVE真空省電微電腦熱水瓶")</f>
        <v>象印4LSuperVE真空省電微電腦熱水瓶</v>
      </c>
      <c r="E887" s="12" t="str">
        <f ca="1">IFERROR(__xludf.DUMMYFUNCTION("""COMPUTED_VALUE"""),"CV-DSF40")</f>
        <v>CV-DSF40</v>
      </c>
      <c r="F887" s="12">
        <f ca="1">IFERROR(__xludf.DUMMYFUNCTION("""COMPUTED_VALUE"""),51081153)</f>
        <v>51081153</v>
      </c>
      <c r="G887" s="12" t="str">
        <f ca="1">IFERROR(__xludf.DUMMYFUNCTION("""COMPUTED_VALUE"""),"IGEM0261")</f>
        <v>IGEM0261</v>
      </c>
      <c r="H887" s="12">
        <f ca="1">IFERROR(__xludf.DUMMYFUNCTION("""COMPUTED_VALUE"""),6990)</f>
        <v>6990</v>
      </c>
      <c r="I887" s="14">
        <f ca="1">IFERROR(__xludf.DUMMYFUNCTION("""COMPUTED_VALUE"""),5320)</f>
        <v>5320</v>
      </c>
      <c r="J887" s="12"/>
      <c r="K887" s="12"/>
      <c r="L887" s="12" t="str">
        <f ca="1">IFERROR(__xludf.DUMMYFUNCTION("""COMPUTED_VALUE"""),"上架中")</f>
        <v>上架中</v>
      </c>
      <c r="M887" s="12" t="str">
        <f ca="1">IFERROR(__xludf.DUMMYFUNCTION("""COMPUTED_VALUE"""),"3/1短促，2021/9/15缺貨，2020/12/1上架")</f>
        <v>3/1短促，2021/9/15缺貨，2020/12/1上架</v>
      </c>
      <c r="N887" s="12" t="str">
        <f ca="1">IFERROR(__xludf.DUMMYFUNCTION("""COMPUTED_VALUE"""),"熱水瓶")</f>
        <v>熱水瓶</v>
      </c>
      <c r="O887" s="12" t="str">
        <f ca="1">IFERROR(__xludf.DUMMYFUNCTION("""COMPUTED_VALUE"""),"銀色")</f>
        <v>銀色</v>
      </c>
      <c r="P887" s="12"/>
      <c r="Q887" s="12" t="str">
        <f ca="1">IFERROR(__xludf.DUMMYFUNCTION("""COMPUTED_VALUE"""),"220x280x350(mm)")</f>
        <v>220x280x350(mm)</v>
      </c>
      <c r="R887" s="12" t="str">
        <f ca="1">IFERROR(__xludf.DUMMYFUNCTION("""COMPUTED_VALUE"""),"日本")</f>
        <v>日本</v>
      </c>
      <c r="S887" s="12" t="str">
        <f ca="1">IFERROR(__xludf.DUMMYFUNCTION("""COMPUTED_VALUE"""),"V")</f>
        <v>V</v>
      </c>
      <c r="T887" s="12" t="str">
        <f ca="1">IFERROR(__xludf.DUMMYFUNCTION("""COMPUTED_VALUE"""),"1級能效")</f>
        <v>1級能效</v>
      </c>
      <c r="U887" s="12" t="str">
        <f ca="1">IFERROR(__xludf.DUMMYFUNCTION("""COMPUTED_VALUE"""),"1年")</f>
        <v>1年</v>
      </c>
      <c r="V887" s="12"/>
      <c r="W887" s="12"/>
      <c r="X887" s="12"/>
      <c r="Y887" s="12"/>
      <c r="Z887" s="14"/>
      <c r="AA887" s="15" t="str">
        <f ca="1">IFERROR(__xludf.DUMMYFUNCTION("""COMPUTED_VALUE"""),"*省電真空保溫*自動鎖定給水裝置*4段式溫度設定5段省電定時")</f>
        <v>*省電真空保溫*自動鎖定給水裝置*4段式溫度設定5段省電定時</v>
      </c>
    </row>
    <row r="888" spans="1:27" ht="19.5" customHeight="1">
      <c r="A888" s="12" t="str">
        <f ca="1">IFERROR(__xludf.DUMMYFUNCTION("""COMPUTED_VALUE"""),"廚房家電")</f>
        <v>廚房家電</v>
      </c>
      <c r="B888" s="12" t="str">
        <f ca="1">IFERROR(__xludf.DUMMYFUNCTION("""COMPUTED_VALUE"""),"聲寶")</f>
        <v>聲寶</v>
      </c>
      <c r="C888" s="12" t="str">
        <f ca="1">IFERROR(__xludf.DUMMYFUNCTION("""COMPUTED_VALUE"""),"聲寶")</f>
        <v>聲寶</v>
      </c>
      <c r="D888" s="12" t="str">
        <f ca="1">IFERROR(__xludf.DUMMYFUNCTION("""COMPUTED_VALUE"""),"聲寶9L電烤箱KZ-XF09")</f>
        <v>聲寶9L電烤箱KZ-XF09</v>
      </c>
      <c r="E888" s="12" t="str">
        <f ca="1">IFERROR(__xludf.DUMMYFUNCTION("""COMPUTED_VALUE"""),"KZ-XF09")</f>
        <v>KZ-XF09</v>
      </c>
      <c r="F888" s="12">
        <f ca="1">IFERROR(__xludf.DUMMYFUNCTION("""COMPUTED_VALUE"""),51086142)</f>
        <v>51086142</v>
      </c>
      <c r="G888" s="12" t="str">
        <f ca="1">IFERROR(__xludf.DUMMYFUNCTION("""COMPUTED_VALUE"""),"IGEM022H")</f>
        <v>IGEM022H</v>
      </c>
      <c r="H888" s="12">
        <f ca="1">IFERROR(__xludf.DUMMYFUNCTION("""COMPUTED_VALUE"""),1988)</f>
        <v>1988</v>
      </c>
      <c r="I888" s="14">
        <f ca="1">IFERROR(__xludf.DUMMYFUNCTION("""COMPUTED_VALUE"""),988)</f>
        <v>988</v>
      </c>
      <c r="J888" s="12"/>
      <c r="K888" s="12"/>
      <c r="L888" s="12" t="str">
        <f ca="1">IFERROR(__xludf.DUMMYFUNCTION("""COMPUTED_VALUE"""),"上架中")</f>
        <v>上架中</v>
      </c>
      <c r="M888" s="12" t="str">
        <f ca="1">IFERROR(__xludf.DUMMYFUNCTION("""COMPUTED_VALUE"""),"2021/5/26到貨，3/8缺貨，2021/2/3新機上架")</f>
        <v>2021/5/26到貨，3/8缺貨，2021/2/3新機上架</v>
      </c>
      <c r="N888" s="12" t="str">
        <f ca="1">IFERROR(__xludf.DUMMYFUNCTION("""COMPUTED_VALUE"""),"烤箱")</f>
        <v>烤箱</v>
      </c>
      <c r="O888" s="12" t="str">
        <f ca="1">IFERROR(__xludf.DUMMYFUNCTION("""COMPUTED_VALUE"""),"白色")</f>
        <v>白色</v>
      </c>
      <c r="P888" s="12"/>
      <c r="Q888" s="12" t="str">
        <f ca="1">IFERROR(__xludf.DUMMYFUNCTION("""COMPUTED_VALUE"""),"207(高)367(寬)xx260(深)mm")</f>
        <v>207(高)367(寬)xx260(深)mm</v>
      </c>
      <c r="R888" s="12" t="str">
        <f ca="1">IFERROR(__xludf.DUMMYFUNCTION("""COMPUTED_VALUE"""),"中國")</f>
        <v>中國</v>
      </c>
      <c r="S888" s="12"/>
      <c r="T888" s="12"/>
      <c r="U888" s="22" t="str">
        <f ca="1">IFERROR(__xludf.DUMMYFUNCTION("""COMPUTED_VALUE"""),"1年")</f>
        <v>1年</v>
      </c>
      <c r="V888" s="12"/>
      <c r="W888" s="12"/>
      <c r="X888" s="12"/>
      <c r="Y888" s="12"/>
      <c r="Z888" s="14"/>
      <c r="AA888" s="15" t="str">
        <f ca="1">IFERROR(__xludf.DUMMYFUNCTION("""COMPUTED_VALUE"""),"*石英紅外線加熱，快速加熱即熱炙燒*60分鐘定時功能*100~230℃溫控，滿足不同烘培行程*雙層烤位設計*下掀式集屑盤，清潔好便利*Low-E隔熱強化玻璃門設計")</f>
        <v>*石英紅外線加熱，快速加熱即熱炙燒*60分鐘定時功能*100~230℃溫控，滿足不同烘培行程*雙層烤位設計*下掀式集屑盤，清潔好便利*Low-E隔熱強化玻璃門設計</v>
      </c>
    </row>
    <row r="889" spans="1:27" ht="19.5" customHeight="1">
      <c r="A889" s="12" t="str">
        <f ca="1">IFERROR(__xludf.DUMMYFUNCTION("""COMPUTED_VALUE"""),"廚房家電")</f>
        <v>廚房家電</v>
      </c>
      <c r="B889" s="12" t="str">
        <f ca="1">IFERROR(__xludf.DUMMYFUNCTION("""COMPUTED_VALUE"""),"凱創")</f>
        <v>凱創</v>
      </c>
      <c r="C889" s="12" t="str">
        <f ca="1">IFERROR(__xludf.DUMMYFUNCTION("""COMPUTED_VALUE"""),"聲寶")</f>
        <v>聲寶</v>
      </c>
      <c r="D889" s="12" t="str">
        <f ca="1">IFERROR(__xludf.DUMMYFUNCTION("""COMPUTED_VALUE"""),"聲寶微電腦雙口IH電磁爐KA-VA-14GM")</f>
        <v>聲寶微電腦雙口IH電磁爐KA-VA-14GM</v>
      </c>
      <c r="E889" s="12" t="str">
        <f ca="1">IFERROR(__xludf.DUMMYFUNCTION("""COMPUTED_VALUE"""),"KM-VA14GM")</f>
        <v>KM-VA14GM</v>
      </c>
      <c r="F889" s="12">
        <f ca="1">IFERROR(__xludf.DUMMYFUNCTION("""COMPUTED_VALUE"""),51084133)</f>
        <v>51084133</v>
      </c>
      <c r="G889" s="12" t="str">
        <f ca="1">IFERROR(__xludf.DUMMYFUNCTION("""COMPUTED_VALUE"""),"IGEM01NX")</f>
        <v>IGEM01NX</v>
      </c>
      <c r="H889" s="12">
        <f ca="1">IFERROR(__xludf.DUMMYFUNCTION("""COMPUTED_VALUE"""),5988)</f>
        <v>5988</v>
      </c>
      <c r="I889" s="14">
        <f ca="1">IFERROR(__xludf.DUMMYFUNCTION("""COMPUTED_VALUE"""),4888)</f>
        <v>4888</v>
      </c>
      <c r="J889" s="12"/>
      <c r="K889" s="12"/>
      <c r="L889" s="12" t="str">
        <f ca="1">IFERROR(__xludf.DUMMYFUNCTION("""COMPUTED_VALUE"""),"上架中")</f>
        <v>上架中</v>
      </c>
      <c r="M889" s="12" t="str">
        <f ca="1">IFERROR(__xludf.DUMMYFUNCTION("""COMPUTED_VALUE"""),"2021/4/1短促，2020/4/1新機上架")</f>
        <v>2021/4/1短促，2020/4/1新機上架</v>
      </c>
      <c r="N889" s="12" t="str">
        <f ca="1">IFERROR(__xludf.DUMMYFUNCTION("""COMPUTED_VALUE"""),"電磁爐/電陶爐")</f>
        <v>電磁爐/電陶爐</v>
      </c>
      <c r="O889" s="12" t="str">
        <f ca="1">IFERROR(__xludf.DUMMYFUNCTION("""COMPUTED_VALUE"""),"黑")</f>
        <v>黑</v>
      </c>
      <c r="P889" s="12" t="str">
        <f ca="1">IFERROR(__xludf.DUMMYFUNCTION("""COMPUTED_VALUE"""),"4Kg")</f>
        <v>4Kg</v>
      </c>
      <c r="Q889" s="12" t="str">
        <f ca="1">IFERROR(__xludf.DUMMYFUNCTION("""COMPUTED_VALUE"""),"高60x寬520x深320(mm)")</f>
        <v>高60x寬520x深320(mm)</v>
      </c>
      <c r="R889" s="12" t="str">
        <f ca="1">IFERROR(__xludf.DUMMYFUNCTION("""COMPUTED_VALUE"""),"中國")</f>
        <v>中國</v>
      </c>
      <c r="S889" s="12"/>
      <c r="T889" s="12"/>
      <c r="U889" s="22" t="str">
        <f ca="1">IFERROR(__xludf.DUMMYFUNCTION("""COMPUTED_VALUE"""),"1年")</f>
        <v>1年</v>
      </c>
      <c r="V889" s="12"/>
      <c r="W889" s="12"/>
      <c r="X889" s="12"/>
      <c r="Y889" s="12"/>
      <c r="Z889" s="14"/>
      <c r="AA889" s="15" t="str">
        <f ca="1">IFERROR(__xludf.DUMMYFUNCTION("""COMPUTED_VALUE"""),"*一機雙爐設計。*IH變頻設計。*觸控式面板。*6段火力設定：保溫/200W/400W/700W/1000W/1400W。*6段溫度調節：150℃/160℃/170℃/180℃/190℃/200℃。*油炸烹調模式*。*9小時59分定時功能*。*耐高溫微晶面板，防滑好清理。*多重安全保護裝置**可直立擺放，方便收納，不佔空間。")</f>
        <v>*一機雙爐設計。*IH變頻設計。*觸控式面板。*6段火力設定：保溫/200W/400W/700W/1000W/1400W。*6段溫度調節：150℃/160℃/170℃/180℃/190℃/200℃。*油炸烹調模式*。*9小時59分定時功能*。*耐高溫微晶面板，防滑好清理。*多重安全保護裝置**可直立擺放，方便收納，不佔空間。</v>
      </c>
    </row>
    <row r="890" spans="1:27" ht="19.5" customHeight="1">
      <c r="A890" s="12" t="str">
        <f ca="1">IFERROR(__xludf.DUMMYFUNCTION("""COMPUTED_VALUE"""),"廚房家電")</f>
        <v>廚房家電</v>
      </c>
      <c r="B890" s="12" t="str">
        <f ca="1">IFERROR(__xludf.DUMMYFUNCTION("""COMPUTED_VALUE"""),"凱創")</f>
        <v>凱創</v>
      </c>
      <c r="C890" s="12" t="str">
        <f ca="1">IFERROR(__xludf.DUMMYFUNCTION("""COMPUTED_VALUE"""),"聲寶")</f>
        <v>聲寶</v>
      </c>
      <c r="D890" s="12" t="str">
        <f ca="1">IFERROR(__xludf.DUMMYFUNCTION("""COMPUTED_VALUE"""),"【聲寶】20公升微電腦多功能氣炸電烤箱KZ-XA20B")</f>
        <v>【聲寶】20公升微電腦多功能氣炸電烤箱KZ-XA20B</v>
      </c>
      <c r="E890" s="12" t="str">
        <f ca="1">IFERROR(__xludf.DUMMYFUNCTION("""COMPUTED_VALUE"""),"KZ-XA20B")</f>
        <v>KZ-XA20B</v>
      </c>
      <c r="F890" s="12">
        <f ca="1">IFERROR(__xludf.DUMMYFUNCTION("""COMPUTED_VALUE"""),51084274)</f>
        <v>51084274</v>
      </c>
      <c r="G890" s="12" t="str">
        <f ca="1">IFERROR(__xludf.DUMMYFUNCTION("""COMPUTED_VALUE"""),"IGEM053D")</f>
        <v>IGEM053D</v>
      </c>
      <c r="H890" s="12">
        <f ca="1">IFERROR(__xludf.DUMMYFUNCTION("""COMPUTED_VALUE"""),5490)</f>
        <v>5490</v>
      </c>
      <c r="I890" s="14">
        <f ca="1">IFERROR(__xludf.DUMMYFUNCTION("""COMPUTED_VALUE"""),4990)</f>
        <v>4990</v>
      </c>
      <c r="J890" s="12"/>
      <c r="K890" s="12"/>
      <c r="L890" s="12" t="str">
        <f ca="1">IFERROR(__xludf.DUMMYFUNCTION("""COMPUTED_VALUE"""),"上架中")</f>
        <v>上架中</v>
      </c>
      <c r="M890" s="12" t="str">
        <f ca="1">IFERROR(__xludf.DUMMYFUNCTION("""COMPUTED_VALUE"""),"2022/4/1回價，2022/3/1-3/31短促，2022/1/1新機上架")</f>
        <v>2022/4/1回價，2022/3/1-3/31短促，2022/1/1新機上架</v>
      </c>
      <c r="N890" s="12" t="str">
        <f ca="1">IFERROR(__xludf.DUMMYFUNCTION("""COMPUTED_VALUE"""),"烤箱")</f>
        <v>烤箱</v>
      </c>
      <c r="O890" s="12" t="str">
        <f ca="1">IFERROR(__xludf.DUMMYFUNCTION("""COMPUTED_VALUE"""),"黑")</f>
        <v>黑</v>
      </c>
      <c r="P890" s="12" t="str">
        <f ca="1">IFERROR(__xludf.DUMMYFUNCTION("""COMPUTED_VALUE"""),"◆商品淨重：8.7Kg
◆額定電壓：110V
◆額定頻率：60Hz
◆消耗功率：1500W
◆容量：20L
◆電源線長度：90cm")</f>
        <v>◆商品淨重：8.7Kg
◆額定電壓：110V
◆額定頻率：60Hz
◆消耗功率：1500W
◆容量：20L
◆電源線長度：90cm</v>
      </c>
      <c r="Q890" s="12" t="str">
        <f ca="1">IFERROR(__xludf.DUMMYFUNCTION("""COMPUTED_VALUE"""),"348*410*402mm")</f>
        <v>348*410*402mm</v>
      </c>
      <c r="R890" s="12" t="str">
        <f ca="1">IFERROR(__xludf.DUMMYFUNCTION("""COMPUTED_VALUE"""),"中國")</f>
        <v>中國</v>
      </c>
      <c r="S890" s="12"/>
      <c r="T890" s="12"/>
      <c r="U890" s="22" t="str">
        <f ca="1">IFERROR(__xludf.DUMMYFUNCTION("""COMPUTED_VALUE"""),"正常使用下主機保固一年")</f>
        <v>正常使用下主機保固一年</v>
      </c>
      <c r="V890" s="12"/>
      <c r="W890" s="12"/>
      <c r="X890" s="12"/>
      <c r="Y890" s="12"/>
      <c r="Z890" s="14"/>
      <c r="AA890" s="15" t="str">
        <f ca="1">IFERROR(__xludf.DUMMYFUNCTION("""COMPUTED_VALUE"""),"*結合氣炸鍋、烤箱、果乾機、發酵箱、解凍盤的功能，一機抵多機，全功能料理之王*高溫脫油健康油切，外酥內軟*9種智慧烹調，簡單啟動隨選隨用*可低溫烘果乾、發酵麵糰酸奶*35~230°C溫控，料理豐富多元")</f>
        <v>*結合氣炸鍋、烤箱、果乾機、發酵箱、解凍盤的功能，一機抵多機，全功能料理之王*高溫脫油健康油切，外酥內軟*9種智慧烹調，簡單啟動隨選隨用*可低溫烘果乾、發酵麵糰酸奶*35~230°C溫控，料理豐富多元</v>
      </c>
    </row>
    <row r="891" spans="1:27" ht="19.5" customHeight="1">
      <c r="A891" s="12" t="str">
        <f ca="1">IFERROR(__xludf.DUMMYFUNCTION("""COMPUTED_VALUE"""),"廚房家電")</f>
        <v>廚房家電</v>
      </c>
      <c r="B891" s="12" t="str">
        <f ca="1">IFERROR(__xludf.DUMMYFUNCTION("""COMPUTED_VALUE"""),"凱創")</f>
        <v>凱創</v>
      </c>
      <c r="C891" s="12" t="str">
        <f ca="1">IFERROR(__xludf.DUMMYFUNCTION("""COMPUTED_VALUE"""),"聲寶")</f>
        <v>聲寶</v>
      </c>
      <c r="D891" s="12" t="str">
        <f ca="1">IFERROR(__xludf.DUMMYFUNCTION("""COMPUTED_VALUE"""),"SAMPO聲寶美型20L多功能氣炸電烤箱KZ-SA20B(香草白)")</f>
        <v>SAMPO聲寶美型20L多功能氣炸電烤箱KZ-SA20B(香草白)</v>
      </c>
      <c r="E891" s="12" t="str">
        <f ca="1">IFERROR(__xludf.DUMMYFUNCTION("""COMPUTED_VALUE"""),"KZ-SA20B")</f>
        <v>KZ-SA20B</v>
      </c>
      <c r="F891" s="12">
        <f ca="1">IFERROR(__xludf.DUMMYFUNCTION("""COMPUTED_VALUE"""),51084296)</f>
        <v>51084296</v>
      </c>
      <c r="G891" s="12" t="str">
        <f ca="1">IFERROR(__xludf.DUMMYFUNCTION("""COMPUTED_VALUE"""),"IGEM080U")</f>
        <v>IGEM080U</v>
      </c>
      <c r="H891" s="13">
        <f ca="1">IFERROR(__xludf.DUMMYFUNCTION("""COMPUTED_VALUE"""),4290)</f>
        <v>4290</v>
      </c>
      <c r="I891" s="14">
        <f ca="1">IFERROR(__xludf.DUMMYFUNCTION("""COMPUTED_VALUE"""),3290)</f>
        <v>3290</v>
      </c>
      <c r="J891" s="16">
        <f ca="1">IFERROR(__xludf.DUMMYFUNCTION("""COMPUTED_VALUE"""),45695)</f>
        <v>45695</v>
      </c>
      <c r="K891" s="12" t="str">
        <f ca="1">IFERROR(__xludf.DUMMYFUNCTION("""COMPUTED_VALUE"""),"缺貨")</f>
        <v>缺貨</v>
      </c>
      <c r="L891" s="12" t="str">
        <f ca="1">IFERROR(__xludf.DUMMYFUNCTION("""COMPUTED_VALUE"""),"缺貨")</f>
        <v>缺貨</v>
      </c>
      <c r="M891" s="12" t="str">
        <f ca="1">IFERROR(__xludf.DUMMYFUNCTION("""COMPUTED_VALUE"""),"2025/2/7缺貨 預計4月到貨，6/7到貨，4/17缺貨，2023/4/12新機上架")</f>
        <v>2025/2/7缺貨 預計4月到貨，6/7到貨，4/17缺貨，2023/4/12新機上架</v>
      </c>
      <c r="N891" s="12" t="str">
        <f ca="1">IFERROR(__xludf.DUMMYFUNCTION("""COMPUTED_VALUE"""),"烤箱")</f>
        <v>烤箱</v>
      </c>
      <c r="O891" s="12" t="str">
        <f ca="1">IFERROR(__xludf.DUMMYFUNCTION("""COMPUTED_VALUE"""),"香草白")</f>
        <v>香草白</v>
      </c>
      <c r="P891" s="12" t="str">
        <f ca="1">IFERROR(__xludf.DUMMYFUNCTION("""COMPUTED_VALUE"""),"◆商品尺寸：寬414 x 高332 x 深383(mm)
◆內腔尺寸：寬320 x 高208 x 深310(mm)
◆商品重量：7.91 Kg
◆額定電壓：110V
◆額定頻率：60Hz
◆消耗功率：1500W
◆容量：20L
◆電源線長度：90cm
◆烤盤材質：搪瓷
◆烤網/炸籃材質：鍍鉻鐵絲
◆玻璃門材質：雙層強化玻璃
◆內腔材質：鍍鋅板
◆集屑盤材質：鍍鋅板
◆取盤夾材質：冷軋鋼板
◆商檢字號：R41A01")</f>
        <v>◆商品尺寸：寬414 x 高332 x 深383(mm)
◆內腔尺寸：寬320 x 高208 x 深310(mm)
◆商品重量：7.91 Kg
◆額定電壓：110V
◆額定頻率：60Hz
◆消耗功率：1500W
◆容量：20L
◆電源線長度：90cm
◆烤盤材質：搪瓷
◆烤網/炸籃材質：鍍鉻鐵絲
◆玻璃門材質：雙層強化玻璃
◆內腔材質：鍍鋅板
◆集屑盤材質：鍍鋅板
◆取盤夾材質：冷軋鋼板
◆商檢字號：R41A01</v>
      </c>
      <c r="Q891" s="12" t="str">
        <f ca="1">IFERROR(__xludf.DUMMYFUNCTION("""COMPUTED_VALUE"""),"332*414*383mm")</f>
        <v>332*414*383mm</v>
      </c>
      <c r="R891" s="12" t="str">
        <f ca="1">IFERROR(__xludf.DUMMYFUNCTION("""COMPUTED_VALUE"""),"中國")</f>
        <v>中國</v>
      </c>
      <c r="S891" s="12"/>
      <c r="T891" s="12"/>
      <c r="U891" s="22" t="str">
        <f ca="1">IFERROR(__xludf.DUMMYFUNCTION("""COMPUTED_VALUE"""),"正常使用下全機一年保固")</f>
        <v>正常使用下全機一年保固</v>
      </c>
      <c r="V891" s="12"/>
      <c r="W891" s="12"/>
      <c r="X891" s="12"/>
      <c r="Y891" s="12"/>
      <c r="Z891" s="14"/>
      <c r="AA891" s="15" t="str">
        <f ca="1">IFERROR(__xludf.DUMMYFUNCTION("""COMPUTED_VALUE"""),"*氣炸烘烤熱對流，口感更酥脆*氣炸/烘焙/烘烤/果乾/加熱5種功能*65~230°C溫控+60分鐘&amp;連續定時*鑽石內腔熱能反射，烹調有效率*雙層防燙玻璃門，溫度不流失*附搪瓷烤盤、烤網、炸籃、取盤夾")</f>
        <v>*氣炸烘烤熱對流，口感更酥脆*氣炸/烘焙/烘烤/果乾/加熱5種功能*65~230°C溫控+60分鐘&amp;連續定時*鑽石內腔熱能反射，烹調有效率*雙層防燙玻璃門，溫度不流失*附搪瓷烤盤、烤網、炸籃、取盤夾</v>
      </c>
    </row>
    <row r="892" spans="1:27" ht="19.5" customHeight="1">
      <c r="A892" s="12" t="str">
        <f ca="1">IFERROR(__xludf.DUMMYFUNCTION("""COMPUTED_VALUE"""),"廚房家電")</f>
        <v>廚房家電</v>
      </c>
      <c r="B892" s="12" t="str">
        <f ca="1">IFERROR(__xludf.DUMMYFUNCTION("""COMPUTED_VALUE"""),"凱創")</f>
        <v>凱創</v>
      </c>
      <c r="C892" s="12" t="str">
        <f ca="1">IFERROR(__xludf.DUMMYFUNCTION("""COMPUTED_VALUE"""),"聲寶")</f>
        <v>聲寶</v>
      </c>
      <c r="D892" s="12" t="str">
        <f ca="1">IFERROR(__xludf.DUMMYFUNCTION("""COMPUTED_VALUE"""),"SAMPO聲寶美型20L多功能氣炸電烤箱KZ-SF20B(薰衣草紫)")</f>
        <v>SAMPO聲寶美型20L多功能氣炸電烤箱KZ-SF20B(薰衣草紫)</v>
      </c>
      <c r="E892" s="12" t="str">
        <f ca="1">IFERROR(__xludf.DUMMYFUNCTION("""COMPUTED_VALUE"""),"KZ-SF20B")</f>
        <v>KZ-SF20B</v>
      </c>
      <c r="F892" s="12">
        <f ca="1">IFERROR(__xludf.DUMMYFUNCTION("""COMPUTED_VALUE"""),51084297)</f>
        <v>51084297</v>
      </c>
      <c r="G892" s="12" t="str">
        <f ca="1">IFERROR(__xludf.DUMMYFUNCTION("""COMPUTED_VALUE"""),"IGEM080V")</f>
        <v>IGEM080V</v>
      </c>
      <c r="H892" s="13">
        <f ca="1">IFERROR(__xludf.DUMMYFUNCTION("""COMPUTED_VALUE"""),4290)</f>
        <v>4290</v>
      </c>
      <c r="I892" s="14">
        <f ca="1">IFERROR(__xludf.DUMMYFUNCTION("""COMPUTED_VALUE"""),3290)</f>
        <v>3290</v>
      </c>
      <c r="J892" s="16">
        <f ca="1">IFERROR(__xludf.DUMMYFUNCTION("""COMPUTED_VALUE"""),45717)</f>
        <v>45717</v>
      </c>
      <c r="K892" s="12" t="str">
        <f ca="1">IFERROR(__xludf.DUMMYFUNCTION("""COMPUTED_VALUE"""),"短促")</f>
        <v>短促</v>
      </c>
      <c r="L892" s="12" t="str">
        <f ca="1">IFERROR(__xludf.DUMMYFUNCTION("""COMPUTED_VALUE"""),"上架中")</f>
        <v>上架中</v>
      </c>
      <c r="M892" s="12" t="str">
        <f ca="1">IFERROR(__xludf.DUMMYFUNCTION("""COMPUTED_VALUE"""),"2023/4/12新機上架")</f>
        <v>2023/4/12新機上架</v>
      </c>
      <c r="N892" s="12" t="str">
        <f ca="1">IFERROR(__xludf.DUMMYFUNCTION("""COMPUTED_VALUE"""),"烤箱")</f>
        <v>烤箱</v>
      </c>
      <c r="O892" s="12" t="str">
        <f ca="1">IFERROR(__xludf.DUMMYFUNCTION("""COMPUTED_VALUE"""),"薰衣草紫")</f>
        <v>薰衣草紫</v>
      </c>
      <c r="P892" s="12" t="str">
        <f ca="1">IFERROR(__xludf.DUMMYFUNCTION("""COMPUTED_VALUE"""),"◆商品尺寸：寬414 x 高332 x 深383(mm)
◆內腔尺寸：寬320 x 高208 x 深310(mm)
◆商品重量：7.91 Kg
◆額定電壓：110V
◆額定頻率：60Hz
◆消耗功率：1500W
◆容量：20L
◆電源線長度：90cm
◆烤盤材質：搪瓷
◆烤網/炸籃材質：鍍鉻鐵絲
◆玻璃門材質：雙層強化玻璃
◆內腔材質：鍍鋅板
◆集屑盤材質：鍍鋅板
◆取盤夾材質：冷軋鋼板
◆商檢字號：R41A01")</f>
        <v>◆商品尺寸：寬414 x 高332 x 深383(mm)
◆內腔尺寸：寬320 x 高208 x 深310(mm)
◆商品重量：7.91 Kg
◆額定電壓：110V
◆額定頻率：60Hz
◆消耗功率：1500W
◆容量：20L
◆電源線長度：90cm
◆烤盤材質：搪瓷
◆烤網/炸籃材質：鍍鉻鐵絲
◆玻璃門材質：雙層強化玻璃
◆內腔材質：鍍鋅板
◆集屑盤材質：鍍鋅板
◆取盤夾材質：冷軋鋼板
◆商檢字號：R41A01</v>
      </c>
      <c r="Q892" s="12" t="str">
        <f ca="1">IFERROR(__xludf.DUMMYFUNCTION("""COMPUTED_VALUE"""),"332*414*383mm")</f>
        <v>332*414*383mm</v>
      </c>
      <c r="R892" s="12" t="str">
        <f ca="1">IFERROR(__xludf.DUMMYFUNCTION("""COMPUTED_VALUE"""),"中國")</f>
        <v>中國</v>
      </c>
      <c r="S892" s="12"/>
      <c r="T892" s="12"/>
      <c r="U892" s="22" t="str">
        <f ca="1">IFERROR(__xludf.DUMMYFUNCTION("""COMPUTED_VALUE"""),"正常使用下全機一年保固")</f>
        <v>正常使用下全機一年保固</v>
      </c>
      <c r="V892" s="12"/>
      <c r="W892" s="12"/>
      <c r="X892" s="12"/>
      <c r="Y892" s="12"/>
      <c r="Z892" s="14"/>
      <c r="AA892" s="15" t="str">
        <f ca="1">IFERROR(__xludf.DUMMYFUNCTION("""COMPUTED_VALUE"""),"*氣炸烘烤熱對流，口感更酥脆*氣炸/烘焙/烘烤/果乾/加熱5種功能*65~230°C溫控+60分鐘&amp;連續定時*鑽石內腔熱能反射，烹調有效率*雙層防燙玻璃門，溫度不流失*附搪瓷烤盤、烤網、炸籃、取盤夾")</f>
        <v>*氣炸烘烤熱對流，口感更酥脆*氣炸/烘焙/烘烤/果乾/加熱5種功能*65~230°C溫控+60分鐘&amp;連續定時*鑽石內腔熱能反射，烹調有效率*雙層防燙玻璃門，溫度不流失*附搪瓷烤盤、烤網、炸籃、取盤夾</v>
      </c>
    </row>
    <row r="893" spans="1:27" ht="19.5" customHeight="1">
      <c r="A893" s="12" t="str">
        <f ca="1">IFERROR(__xludf.DUMMYFUNCTION("""COMPUTED_VALUE"""),"廚房家電")</f>
        <v>廚房家電</v>
      </c>
      <c r="B893" s="12" t="str">
        <f ca="1">IFERROR(__xludf.DUMMYFUNCTION("""COMPUTED_VALUE"""),"凱創")</f>
        <v>凱創</v>
      </c>
      <c r="C893" s="12" t="str">
        <f ca="1">IFERROR(__xludf.DUMMYFUNCTION("""COMPUTED_VALUE"""),"聲寶")</f>
        <v>聲寶</v>
      </c>
      <c r="D893" s="12" t="str">
        <f ca="1">IFERROR(__xludf.DUMMYFUNCTION("""COMPUTED_VALUE"""),"聲寶微電腦觸控不挑鍋黑晶電陶爐KM-ZA13P")</f>
        <v>聲寶微電腦觸控不挑鍋黑晶電陶爐KM-ZA13P</v>
      </c>
      <c r="E893" s="12" t="str">
        <f ca="1">IFERROR(__xludf.DUMMYFUNCTION("""COMPUTED_VALUE"""),"KM-ZA13P")</f>
        <v>KM-ZA13P</v>
      </c>
      <c r="F893" s="12">
        <f ca="1">IFERROR(__xludf.DUMMYFUNCTION("""COMPUTED_VALUE"""),51084216)</f>
        <v>51084216</v>
      </c>
      <c r="G893" s="12" t="str">
        <f ca="1">IFERROR(__xludf.DUMMYFUNCTION("""COMPUTED_VALUE"""),"IGEM028Z")</f>
        <v>IGEM028Z</v>
      </c>
      <c r="H893" s="12">
        <f ca="1">IFERROR(__xludf.DUMMYFUNCTION("""COMPUTED_VALUE"""),1588)</f>
        <v>1588</v>
      </c>
      <c r="I893" s="14">
        <f ca="1">IFERROR(__xludf.DUMMYFUNCTION("""COMPUTED_VALUE"""),1288)</f>
        <v>1288</v>
      </c>
      <c r="J893" s="12"/>
      <c r="K893" s="12"/>
      <c r="L893" s="12" t="str">
        <f ca="1">IFERROR(__xludf.DUMMYFUNCTION("""COMPUTED_VALUE"""),"上架中")</f>
        <v>上架中</v>
      </c>
      <c r="M893" s="12" t="str">
        <f ca="1">IFERROR(__xludf.DUMMYFUNCTION("""COMPUTED_VALUE"""),"2021/1新機")</f>
        <v>2021/1新機</v>
      </c>
      <c r="N893" s="12" t="str">
        <f ca="1">IFERROR(__xludf.DUMMYFUNCTION("""COMPUTED_VALUE"""),"電磁爐/電陶爐")</f>
        <v>電磁爐/電陶爐</v>
      </c>
      <c r="O893" s="12" t="str">
        <f ca="1">IFERROR(__xludf.DUMMYFUNCTION("""COMPUTED_VALUE"""),"黑")</f>
        <v>黑</v>
      </c>
      <c r="P893" s="12" t="str">
        <f ca="1">IFERROR(__xludf.DUMMYFUNCTION("""COMPUTED_VALUE"""),"2.3Kg")</f>
        <v>2.3Kg</v>
      </c>
      <c r="Q893" s="12" t="str">
        <f ca="1">IFERROR(__xludf.DUMMYFUNCTION("""COMPUTED_VALUE"""),"高60x寬280x深360mm")</f>
        <v>高60x寬280x深360mm</v>
      </c>
      <c r="R893" s="12" t="str">
        <f ca="1">IFERROR(__xludf.DUMMYFUNCTION("""COMPUTED_VALUE"""),"中國")</f>
        <v>中國</v>
      </c>
      <c r="S893" s="12"/>
      <c r="T893" s="12"/>
      <c r="U893" s="22" t="str">
        <f ca="1">IFERROR(__xludf.DUMMYFUNCTION("""COMPUTED_VALUE"""),"保固1年")</f>
        <v>保固1年</v>
      </c>
      <c r="V893" s="12"/>
      <c r="W893" s="12"/>
      <c r="X893" s="12"/>
      <c r="Y893" s="12"/>
      <c r="Z893" s="14"/>
      <c r="AA893" s="15" t="str">
        <f ca="1">IFERROR(__xludf.DUMMYFUNCTION("""COMPUTED_VALUE"""),"*不挑鍋具，適用各種材質*5組烹調模式+8段火力設定*觸控式操作更直覺*耐高溫微晶面板*4小時定時功能")</f>
        <v>*不挑鍋具，適用各種材質*5組烹調模式+8段火力設定*觸控式操作更直覺*耐高溫微晶面板*4小時定時功能</v>
      </c>
    </row>
    <row r="894" spans="1:27" ht="19.5" customHeight="1">
      <c r="A894" s="12" t="str">
        <f ca="1">IFERROR(__xludf.DUMMYFUNCTION("""COMPUTED_VALUE"""),"廚房家電")</f>
        <v>廚房家電</v>
      </c>
      <c r="B894" s="12" t="str">
        <f ca="1">IFERROR(__xludf.DUMMYFUNCTION("""COMPUTED_VALUE"""),"聲寶")</f>
        <v>聲寶</v>
      </c>
      <c r="C894" s="12" t="str">
        <f ca="1">IFERROR(__xludf.DUMMYFUNCTION("""COMPUTED_VALUE"""),"Claire")</f>
        <v>Claire</v>
      </c>
      <c r="D894" s="12" t="str">
        <f ca="1">IFERROR(__xludf.DUMMYFUNCTION("""COMPUTED_VALUE"""),"CLAIREminicooker電子鍋(北歐白)")</f>
        <v>CLAIREminicooker電子鍋(北歐白)</v>
      </c>
      <c r="E894" s="12" t="str">
        <f ca="1">IFERROR(__xludf.DUMMYFUNCTION("""COMPUTED_VALUE"""),"CKS-B030A")</f>
        <v>CKS-B030A</v>
      </c>
      <c r="F894" s="12">
        <f ca="1">IFERROR(__xludf.DUMMYFUNCTION("""COMPUTED_VALUE"""),51086137)</f>
        <v>51086137</v>
      </c>
      <c r="G894" s="12" t="str">
        <f ca="1">IFERROR(__xludf.DUMMYFUNCTION("""COMPUTED_VALUE"""),"IGEM022C")</f>
        <v>IGEM022C</v>
      </c>
      <c r="H894" s="12">
        <f ca="1">IFERROR(__xludf.DUMMYFUNCTION("""COMPUTED_VALUE"""),2188)</f>
        <v>2188</v>
      </c>
      <c r="I894" s="14">
        <f ca="1">IFERROR(__xludf.DUMMYFUNCTION("""COMPUTED_VALUE"""),1588)</f>
        <v>1588</v>
      </c>
      <c r="J894" s="12"/>
      <c r="K894" s="12"/>
      <c r="L894" s="12" t="str">
        <f ca="1">IFERROR(__xludf.DUMMYFUNCTION("""COMPUTED_VALUE"""),"上架中")</f>
        <v>上架中</v>
      </c>
      <c r="M894" s="12" t="str">
        <f ca="1">IFERROR(__xludf.DUMMYFUNCTION("""COMPUTED_VALUE"""),"2022/5/4回價&amp;到貨，2022/1/5缺貨，2020/11/1新機上架")</f>
        <v>2022/5/4回價&amp;到貨，2022/1/5缺貨，2020/11/1新機上架</v>
      </c>
      <c r="N894" s="12" t="str">
        <f ca="1">IFERROR(__xludf.DUMMYFUNCTION("""COMPUTED_VALUE"""),"電子鍋")</f>
        <v>電子鍋</v>
      </c>
      <c r="O894" s="12" t="str">
        <f ca="1">IFERROR(__xludf.DUMMYFUNCTION("""COMPUTED_VALUE"""),"北歐白")</f>
        <v>北歐白</v>
      </c>
      <c r="P894" s="12" t="str">
        <f ca="1">IFERROR(__xludf.DUMMYFUNCTION("""COMPUTED_VALUE"""),"0.8L(1.5杯米)")</f>
        <v>0.8L(1.5杯米)</v>
      </c>
      <c r="Q894" s="12" t="str">
        <f ca="1">IFERROR(__xludf.DUMMYFUNCTION("""COMPUTED_VALUE"""),"192(高)*170(寬)*180(深)(mm)")</f>
        <v>192(高)*170(寬)*180(深)(mm)</v>
      </c>
      <c r="R894" s="12" t="str">
        <f ca="1">IFERROR(__xludf.DUMMYFUNCTION("""COMPUTED_VALUE"""),"中國")</f>
        <v>中國</v>
      </c>
      <c r="S894" s="12"/>
      <c r="T894" s="12"/>
      <c r="U894" s="12" t="str">
        <f ca="1">IFERROR(__xludf.DUMMYFUNCTION("""COMPUTED_VALUE"""),"1年")</f>
        <v>1年</v>
      </c>
      <c r="V894" s="12"/>
      <c r="W894" s="12"/>
      <c r="X894" s="12"/>
      <c r="Y894" s="12"/>
      <c r="Z894" s="14"/>
      <c r="AA894" s="15" t="str">
        <f ca="1">IFERROR(__xludf.DUMMYFUNCTION("""COMPUTED_VALUE"""),"*1.5杯米量，25分鐘快速出飯*煮飯/煮粥，一機皆可享用*自動保溫12小時*24小時預約功能*可拆洗式的內壓力蓋及蒸氣閥*手提式把手移動方便")</f>
        <v>*1.5杯米量，25分鐘快速出飯*煮飯/煮粥，一機皆可享用*自動保溫12小時*24小時預約功能*可拆洗式的內壓力蓋及蒸氣閥*手提式把手移動方便</v>
      </c>
    </row>
    <row r="895" spans="1:27" ht="19.5" customHeight="1">
      <c r="A895" s="12" t="str">
        <f ca="1">IFERROR(__xludf.DUMMYFUNCTION("""COMPUTED_VALUE"""),"廚房家電")</f>
        <v>廚房家電</v>
      </c>
      <c r="B895" s="12" t="str">
        <f ca="1">IFERROR(__xludf.DUMMYFUNCTION("""COMPUTED_VALUE"""),"聲寶")</f>
        <v>聲寶</v>
      </c>
      <c r="C895" s="12" t="str">
        <f ca="1">IFERROR(__xludf.DUMMYFUNCTION("""COMPUTED_VALUE"""),"Claire")</f>
        <v>Claire</v>
      </c>
      <c r="D895" s="12" t="str">
        <f ca="1">IFERROR(__xludf.DUMMYFUNCTION("""COMPUTED_VALUE"""),"CLAIREminicooker電子鍋(蜜桃粉)")</f>
        <v>CLAIREminicooker電子鍋(蜜桃粉)</v>
      </c>
      <c r="E895" s="12" t="str">
        <f ca="1">IFERROR(__xludf.DUMMYFUNCTION("""COMPUTED_VALUE"""),"CKS-B030P")</f>
        <v>CKS-B030P</v>
      </c>
      <c r="F895" s="12">
        <f ca="1">IFERROR(__xludf.DUMMYFUNCTION("""COMPUTED_VALUE"""),51086138)</f>
        <v>51086138</v>
      </c>
      <c r="G895" s="12" t="str">
        <f ca="1">IFERROR(__xludf.DUMMYFUNCTION("""COMPUTED_VALUE"""),"IGEM022D")</f>
        <v>IGEM022D</v>
      </c>
      <c r="H895" s="12">
        <f ca="1">IFERROR(__xludf.DUMMYFUNCTION("""COMPUTED_VALUE"""),2188)</f>
        <v>2188</v>
      </c>
      <c r="I895" s="14">
        <f ca="1">IFERROR(__xludf.DUMMYFUNCTION("""COMPUTED_VALUE"""),1588)</f>
        <v>1588</v>
      </c>
      <c r="J895" s="12"/>
      <c r="K895" s="12"/>
      <c r="L895" s="12" t="str">
        <f ca="1">IFERROR(__xludf.DUMMYFUNCTION("""COMPUTED_VALUE"""),"上架中")</f>
        <v>上架中</v>
      </c>
      <c r="M895" s="12" t="str">
        <f ca="1">IFERROR(__xludf.DUMMYFUNCTION("""COMPUTED_VALUE"""),"2021/5/4回價&amp;到貨，4/6缺貨，2020/11/1新機上架")</f>
        <v>2021/5/4回價&amp;到貨，4/6缺貨，2020/11/1新機上架</v>
      </c>
      <c r="N895" s="12" t="str">
        <f ca="1">IFERROR(__xludf.DUMMYFUNCTION("""COMPUTED_VALUE"""),"電子鍋")</f>
        <v>電子鍋</v>
      </c>
      <c r="O895" s="12" t="str">
        <f ca="1">IFERROR(__xludf.DUMMYFUNCTION("""COMPUTED_VALUE"""),"蜜桃粉")</f>
        <v>蜜桃粉</v>
      </c>
      <c r="P895" s="12" t="str">
        <f ca="1">IFERROR(__xludf.DUMMYFUNCTION("""COMPUTED_VALUE"""),"0.8L(1.5杯米)")</f>
        <v>0.8L(1.5杯米)</v>
      </c>
      <c r="Q895" s="12" t="str">
        <f ca="1">IFERROR(__xludf.DUMMYFUNCTION("""COMPUTED_VALUE"""),"192(高)*170(寬)*180(深)(mm)")</f>
        <v>192(高)*170(寬)*180(深)(mm)</v>
      </c>
      <c r="R895" s="12" t="str">
        <f ca="1">IFERROR(__xludf.DUMMYFUNCTION("""COMPUTED_VALUE"""),"中國")</f>
        <v>中國</v>
      </c>
      <c r="S895" s="12"/>
      <c r="T895" s="12"/>
      <c r="U895" s="12" t="str">
        <f ca="1">IFERROR(__xludf.DUMMYFUNCTION("""COMPUTED_VALUE"""),"1年")</f>
        <v>1年</v>
      </c>
      <c r="V895" s="12"/>
      <c r="W895" s="12"/>
      <c r="X895" s="12"/>
      <c r="Y895" s="12"/>
      <c r="Z895" s="14"/>
      <c r="AA895" s="15" t="str">
        <f ca="1">IFERROR(__xludf.DUMMYFUNCTION("""COMPUTED_VALUE"""),"*1.5杯米量，25分鐘快速出飯*煮飯/煮粥，一機皆可享用*自動保溫12小時*24小時預約功能*可拆洗式的內壓力蓋及蒸氣閥*手提式把手移動方便")</f>
        <v>*1.5杯米量，25分鐘快速出飯*煮飯/煮粥，一機皆可享用*自動保溫12小時*24小時預約功能*可拆洗式的內壓力蓋及蒸氣閥*手提式把手移動方便</v>
      </c>
    </row>
    <row r="896" spans="1:27" ht="19.5" customHeight="1">
      <c r="A896" s="12" t="str">
        <f ca="1">IFERROR(__xludf.DUMMYFUNCTION("""COMPUTED_VALUE"""),"廚房家電")</f>
        <v>廚房家電</v>
      </c>
      <c r="B896" s="12" t="str">
        <f ca="1">IFERROR(__xludf.DUMMYFUNCTION("""COMPUTED_VALUE"""),"聲寶")</f>
        <v>聲寶</v>
      </c>
      <c r="C896" s="12" t="str">
        <f ca="1">IFERROR(__xludf.DUMMYFUNCTION("""COMPUTED_VALUE"""),"聲寶")</f>
        <v>聲寶</v>
      </c>
      <c r="D896" s="12" t="str">
        <f ca="1">IFERROR(__xludf.DUMMYFUNCTION("""COMPUTED_VALUE"""),"聲寶 25L 微電腦變頻燒烤微波爐 RE-N253PDG")</f>
        <v>聲寶 25L 微電腦變頻燒烤微波爐 RE-N253PDG</v>
      </c>
      <c r="E896" s="12" t="str">
        <f ca="1">IFERROR(__xludf.DUMMYFUNCTION("""COMPUTED_VALUE"""),"RE-N253PDG")</f>
        <v>RE-N253PDG</v>
      </c>
      <c r="F896" s="12">
        <f ca="1">IFERROR(__xludf.DUMMYFUNCTION("""COMPUTED_VALUE"""),51001316)</f>
        <v>51001316</v>
      </c>
      <c r="G896" s="12" t="str">
        <f ca="1">IFERROR(__xludf.DUMMYFUNCTION("""COMPUTED_VALUE"""),"IGEM107A")</f>
        <v>IGEM107A</v>
      </c>
      <c r="H896" s="13">
        <f ca="1">IFERROR(__xludf.DUMMYFUNCTION("""COMPUTED_VALUE"""),6990)</f>
        <v>6990</v>
      </c>
      <c r="I896" s="14">
        <f ca="1">IFERROR(__xludf.DUMMYFUNCTION("""COMPUTED_VALUE"""),4990)</f>
        <v>4990</v>
      </c>
      <c r="J896" s="16">
        <f ca="1">IFERROR(__xludf.DUMMYFUNCTION("""COMPUTED_VALUE"""),45748)</f>
        <v>45748</v>
      </c>
      <c r="K896" s="12" t="str">
        <f ca="1">IFERROR(__xludf.DUMMYFUNCTION("""COMPUTED_VALUE"""),"回價")</f>
        <v>回價</v>
      </c>
      <c r="L896" s="12" t="str">
        <f ca="1">IFERROR(__xludf.DUMMYFUNCTION("""COMPUTED_VALUE"""),"上架中")</f>
        <v>上架中</v>
      </c>
      <c r="M896" s="12" t="str">
        <f ca="1">IFERROR(__xludf.DUMMYFUNCTION("""COMPUTED_VALUE"""),"2024/11/1短促，2024/8/1新機上架")</f>
        <v>2024/11/1短促，2024/8/1新機上架</v>
      </c>
      <c r="N896" s="12" t="str">
        <f ca="1">IFERROR(__xludf.DUMMYFUNCTION("""COMPUTED_VALUE"""),"微波爐")</f>
        <v>微波爐</v>
      </c>
      <c r="O896" s="12" t="str">
        <f ca="1">IFERROR(__xludf.DUMMYFUNCTION("""COMPUTED_VALUE"""),"白色")</f>
        <v>白色</v>
      </c>
      <c r="P896" s="12" t="str">
        <f ca="1">IFERROR(__xludf.DUMMYFUNCTION("""COMPUTED_VALUE"""),"25L")</f>
        <v>25L</v>
      </c>
      <c r="Q896" s="12" t="str">
        <f ca="1">IFERROR(__xludf.DUMMYFUNCTION("""COMPUTED_VALUE"""),"高333 x 寬590 x 深382 (mm)")</f>
        <v>高333 x 寬590 x 深382 (mm)</v>
      </c>
      <c r="R896" s="12" t="str">
        <f ca="1">IFERROR(__xludf.DUMMYFUNCTION("""COMPUTED_VALUE"""),"中國")</f>
        <v>中國</v>
      </c>
      <c r="S896" s="12"/>
      <c r="T896" s="12"/>
      <c r="U896" s="12" t="str">
        <f ca="1">IFERROR(__xludf.DUMMYFUNCTION("""COMPUTED_VALUE"""),"1年")</f>
        <v>1年</v>
      </c>
      <c r="V896" s="12"/>
      <c r="W896" s="12"/>
      <c r="X896" s="12"/>
      <c r="Y896" s="12"/>
      <c r="Z896" s="14"/>
      <c r="AA896" s="15" t="str">
        <f ca="1">IFERROR(__xludf.DUMMYFUNCTION("""COMPUTED_VALUE"""),"*容量：25L*微波輸出功率：800W*飛梭旋鈕搭配觸控按鍵，操作便利*微波燒烤一機兩用，食材外酥內嫩*6段火力調整，烹飪料理更靈活 *超長95分鐘定時，烹煮便利*常見燒烤菜單，還原酥脆極致美味*智慧快速解凍模式選擇*燒烤+微波混合烹調，烹調料理一氣呵成*快捷微波鍵，料理省時又快速*兒童安全鎖，避免誤觸更安全*異味除臭更能設計，味道不重疊*防鏽防菌腔體，清潔好擦拭")</f>
        <v>*容量：25L*微波輸出功率：800W*飛梭旋鈕搭配觸控按鍵，操作便利*微波燒烤一機兩用，食材外酥內嫩*6段火力調整，烹飪料理更靈活 *超長95分鐘定時，烹煮便利*常見燒烤菜單，還原酥脆極致美味*智慧快速解凍模式選擇*燒烤+微波混合烹調，烹調料理一氣呵成*快捷微波鍵，料理省時又快速*兒童安全鎖，避免誤觸更安全*異味除臭更能設計，味道不重疊*防鏽防菌腔體，清潔好擦拭</v>
      </c>
    </row>
    <row r="897" spans="1:27" ht="19.5" customHeight="1">
      <c r="A897" s="12" t="str">
        <f ca="1">IFERROR(__xludf.DUMMYFUNCTION("""COMPUTED_VALUE"""),"廚房家電")</f>
        <v>廚房家電</v>
      </c>
      <c r="B897" s="12" t="str">
        <f ca="1">IFERROR(__xludf.DUMMYFUNCTION("""COMPUTED_VALUE"""),"聲寶")</f>
        <v>聲寶</v>
      </c>
      <c r="C897" s="12" t="str">
        <f ca="1">IFERROR(__xludf.DUMMYFUNCTION("""COMPUTED_VALUE"""),"聲寶")</f>
        <v>聲寶</v>
      </c>
      <c r="D897" s="12" t="str">
        <f ca="1">IFERROR(__xludf.DUMMYFUNCTION("""COMPUTED_VALUE"""),"聲寶 25L 微電腦微波爐 RE-J253TM")</f>
        <v>聲寶 25L 微電腦微波爐 RE-J253TM</v>
      </c>
      <c r="E897" s="12" t="str">
        <f ca="1">IFERROR(__xludf.DUMMYFUNCTION("""COMPUTED_VALUE"""),"RE-J253TM")</f>
        <v>RE-J253TM</v>
      </c>
      <c r="F897" s="12">
        <f ca="1">IFERROR(__xludf.DUMMYFUNCTION("""COMPUTED_VALUE"""),51001317)</f>
        <v>51001317</v>
      </c>
      <c r="G897" s="12" t="str">
        <f ca="1">IFERROR(__xludf.DUMMYFUNCTION("""COMPUTED_VALUE"""),"IGEM107B")</f>
        <v>IGEM107B</v>
      </c>
      <c r="H897" s="13">
        <f ca="1">IFERROR(__xludf.DUMMYFUNCTION("""COMPUTED_VALUE"""),4290)</f>
        <v>4290</v>
      </c>
      <c r="I897" s="14">
        <f ca="1">IFERROR(__xludf.DUMMYFUNCTION("""COMPUTED_VALUE"""),3290)</f>
        <v>3290</v>
      </c>
      <c r="J897" s="16">
        <f ca="1">IFERROR(__xludf.DUMMYFUNCTION("""COMPUTED_VALUE"""),45505)</f>
        <v>45505</v>
      </c>
      <c r="K897" s="12" t="str">
        <f ca="1">IFERROR(__xludf.DUMMYFUNCTION("""COMPUTED_VALUE"""),"新機上架")</f>
        <v>新機上架</v>
      </c>
      <c r="L897" s="12" t="str">
        <f ca="1">IFERROR(__xludf.DUMMYFUNCTION("""COMPUTED_VALUE"""),"上架中")</f>
        <v>上架中</v>
      </c>
      <c r="M897" s="12" t="str">
        <f ca="1">IFERROR(__xludf.DUMMYFUNCTION("""COMPUTED_VALUE"""),"2024/8/1新機上架")</f>
        <v>2024/8/1新機上架</v>
      </c>
      <c r="N897" s="12" t="str">
        <f ca="1">IFERROR(__xludf.DUMMYFUNCTION("""COMPUTED_VALUE"""),"微波爐")</f>
        <v>微波爐</v>
      </c>
      <c r="O897" s="12" t="str">
        <f ca="1">IFERROR(__xludf.DUMMYFUNCTION("""COMPUTED_VALUE"""),"黑色")</f>
        <v>黑色</v>
      </c>
      <c r="P897" s="12" t="str">
        <f ca="1">IFERROR(__xludf.DUMMYFUNCTION("""COMPUTED_VALUE"""),"25L")</f>
        <v>25L</v>
      </c>
      <c r="Q897" s="12" t="str">
        <f ca="1">IFERROR(__xludf.DUMMYFUNCTION("""COMPUTED_VALUE"""),"高280x 寬465 x 深377 (mm)")</f>
        <v>高280x 寬465 x 深377 (mm)</v>
      </c>
      <c r="R897" s="12" t="str">
        <f ca="1">IFERROR(__xludf.DUMMYFUNCTION("""COMPUTED_VALUE"""),"中國")</f>
        <v>中國</v>
      </c>
      <c r="S897" s="12"/>
      <c r="T897" s="12"/>
      <c r="U897" s="12" t="str">
        <f ca="1">IFERROR(__xludf.DUMMYFUNCTION("""COMPUTED_VALUE"""),"1年")</f>
        <v>1年</v>
      </c>
      <c r="V897" s="12"/>
      <c r="W897" s="12"/>
      <c r="X897" s="12"/>
      <c r="Y897" s="12"/>
      <c r="Z897" s="14"/>
      <c r="AA897" s="15" t="str">
        <f ca="1">IFERROR(__xludf.DUMMYFUNCTION("""COMPUTED_VALUE"""),"*容量：25L*微波輸出功率：900W*直覺式按鍵搭配大螢幕，操作清楚便利*轉盤式設計，玻璃盤直徑達29CM*10段火力調整，烹飪料理更靈活 *超長95分鐘定時，烹煮便利*10道菜單設計，常用料理真方便*軟化菜單，多元料理好幫手*解凍雙選擇：重量解凍+時間解凍*多段烹調，烹調料理一氣呵成*快速烹調，料理省時又快速*兒童安全鎖，避免誤觸更安全*防鏽防菌腔體，清潔好擦拭")</f>
        <v>*容量：25L*微波輸出功率：900W*直覺式按鍵搭配大螢幕，操作清楚便利*轉盤式設計，玻璃盤直徑達29CM*10段火力調整，烹飪料理更靈活 *超長95分鐘定時，烹煮便利*10道菜單設計，常用料理真方便*軟化菜單，多元料理好幫手*解凍雙選擇：重量解凍+時間解凍*多段烹調，烹調料理一氣呵成*快速烹調，料理省時又快速*兒童安全鎖，避免誤觸更安全*防鏽防菌腔體，清潔好擦拭</v>
      </c>
    </row>
    <row r="898" spans="1:27" ht="19.5" customHeight="1">
      <c r="A898" s="12" t="str">
        <f ca="1">IFERROR(__xludf.DUMMYFUNCTION("""COMPUTED_VALUE"""),"廚房家電")</f>
        <v>廚房家電</v>
      </c>
      <c r="B898" s="12" t="str">
        <f ca="1">IFERROR(__xludf.DUMMYFUNCTION("""COMPUTED_VALUE"""),"聲寶")</f>
        <v>聲寶</v>
      </c>
      <c r="C898" s="12" t="str">
        <f ca="1">IFERROR(__xludf.DUMMYFUNCTION("""COMPUTED_VALUE"""),"聲寶")</f>
        <v>聲寶</v>
      </c>
      <c r="D898" s="12" t="str">
        <f ca="1">IFERROR(__xludf.DUMMYFUNCTION("""COMPUTED_VALUE"""),"聲寶 日式蒸煮美食鍋 KQ-YB10D(紫)")</f>
        <v>聲寶 日式蒸煮美食鍋 KQ-YB10D(紫)</v>
      </c>
      <c r="E898" s="12" t="str">
        <f ca="1">IFERROR(__xludf.DUMMYFUNCTION("""COMPUTED_VALUE"""),"KQ-YB10D")</f>
        <v>KQ-YB10D</v>
      </c>
      <c r="F898" s="12">
        <f ca="1">IFERROR(__xludf.DUMMYFUNCTION("""COMPUTED_VALUE"""),51001324)</f>
        <v>51001324</v>
      </c>
      <c r="G898" s="12" t="str">
        <f ca="1">IFERROR(__xludf.DUMMYFUNCTION("""COMPUTED_VALUE"""),"IGEM1147")</f>
        <v>IGEM1147</v>
      </c>
      <c r="H898" s="12">
        <f ca="1">IFERROR(__xludf.DUMMYFUNCTION("""COMPUTED_VALUE"""),588)</f>
        <v>588</v>
      </c>
      <c r="I898" s="14">
        <f ca="1">IFERROR(__xludf.DUMMYFUNCTION("""COMPUTED_VALUE"""),499)</f>
        <v>499</v>
      </c>
      <c r="J898" s="16">
        <f ca="1">IFERROR(__xludf.DUMMYFUNCTION("""COMPUTED_VALUE"""),45627)</f>
        <v>45627</v>
      </c>
      <c r="K898" s="12" t="str">
        <f ca="1">IFERROR(__xludf.DUMMYFUNCTION("""COMPUTED_VALUE"""),"新機上架")</f>
        <v>新機上架</v>
      </c>
      <c r="L898" s="12" t="str">
        <f ca="1">IFERROR(__xludf.DUMMYFUNCTION("""COMPUTED_VALUE"""),"上架中")</f>
        <v>上架中</v>
      </c>
      <c r="M898" s="12" t="str">
        <f ca="1">IFERROR(__xludf.DUMMYFUNCTION("""COMPUTED_VALUE"""),"2024/12/1新機上架")</f>
        <v>2024/12/1新機上架</v>
      </c>
      <c r="N898" s="12" t="str">
        <f ca="1">IFERROR(__xludf.DUMMYFUNCTION("""COMPUTED_VALUE"""),"美食鍋/料理鍋/快煮鍋")</f>
        <v>美食鍋/料理鍋/快煮鍋</v>
      </c>
      <c r="O898" s="12" t="str">
        <f ca="1">IFERROR(__xludf.DUMMYFUNCTION("""COMPUTED_VALUE"""),"紫色")</f>
        <v>紫色</v>
      </c>
      <c r="P898" s="12" t="str">
        <f ca="1">IFERROR(__xludf.DUMMYFUNCTION("""COMPUTED_VALUE"""),"1L")</f>
        <v>1L</v>
      </c>
      <c r="Q898" s="12" t="str">
        <f ca="1">IFERROR(__xludf.DUMMYFUNCTION("""COMPUTED_VALUE"""),"高178 x 寬209 x 深170 (mm)")</f>
        <v>高178 x 寬209 x 深170 (mm)</v>
      </c>
      <c r="R898" s="12" t="str">
        <f ca="1">IFERROR(__xludf.DUMMYFUNCTION("""COMPUTED_VALUE"""),"中國")</f>
        <v>中國</v>
      </c>
      <c r="S898" s="12"/>
      <c r="T898" s="12"/>
      <c r="U898" s="12" t="str">
        <f ca="1">IFERROR(__xludf.DUMMYFUNCTION("""COMPUTED_VALUE"""),"1年")</f>
        <v>1年</v>
      </c>
      <c r="V898" s="12"/>
      <c r="W898" s="12"/>
      <c r="X898" s="12"/>
      <c r="Y898" s="12"/>
      <c r="Z898" s="14"/>
      <c r="AA898" s="15" t="str">
        <f ca="1">IFERROR(__xludf.DUMMYFUNCTION("""COMPUTED_VALUE"""),"*小巧美型，易收納*1.0L雙層防燙美食鍋*上蓋鋼化透明玻璃，料理看的見*人體工學把手，輕巧拿取* 二段式火力． 小火慢燉、大火快煮，隨心所欲*食在安心：內膽均採用304不鏽鋼*多重安全保護：防空燒保護、溫度保險絲、底座防火阻燃材質 *附蒸架")</f>
        <v>*小巧美型，易收納*1.0L雙層防燙美食鍋*上蓋鋼化透明玻璃，料理看的見*人體工學把手，輕巧拿取* 二段式火力． 小火慢燉、大火快煮，隨心所欲*食在安心：內膽均採用304不鏽鋼*多重安全保護：防空燒保護、溫度保險絲、底座防火阻燃材質 *附蒸架</v>
      </c>
    </row>
    <row r="899" spans="1:27" ht="19.5" customHeight="1">
      <c r="A899" s="12" t="str">
        <f ca="1">IFERROR(__xludf.DUMMYFUNCTION("""COMPUTED_VALUE"""),"廚房家電")</f>
        <v>廚房家電</v>
      </c>
      <c r="B899" s="12" t="str">
        <f ca="1">IFERROR(__xludf.DUMMYFUNCTION("""COMPUTED_VALUE"""),"聲寶")</f>
        <v>聲寶</v>
      </c>
      <c r="C899" s="12" t="str">
        <f ca="1">IFERROR(__xludf.DUMMYFUNCTION("""COMPUTED_VALUE"""),"聲寶")</f>
        <v>聲寶</v>
      </c>
      <c r="D899" s="12" t="str">
        <f ca="1">IFERROR(__xludf.DUMMYFUNCTION("""COMPUTED_VALUE"""),"聲寶 天廚20L 微電腦微波爐 RE-J204TM")</f>
        <v>聲寶 天廚20L 微電腦微波爐 RE-J204TM</v>
      </c>
      <c r="E899" s="12" t="str">
        <f ca="1">IFERROR(__xludf.DUMMYFUNCTION("""COMPUTED_VALUE"""),"RE-J204TM")</f>
        <v>RE-J204TM</v>
      </c>
      <c r="F899" s="12">
        <f ca="1">IFERROR(__xludf.DUMMYFUNCTION("""COMPUTED_VALUE"""),51001325)</f>
        <v>51001325</v>
      </c>
      <c r="G899" s="12" t="str">
        <f ca="1">IFERROR(__xludf.DUMMYFUNCTION("""COMPUTED_VALUE"""),"IGEM1148")</f>
        <v>IGEM1148</v>
      </c>
      <c r="H899" s="12">
        <f ca="1">IFERROR(__xludf.DUMMYFUNCTION("""COMPUTED_VALUE"""),2490)</f>
        <v>2490</v>
      </c>
      <c r="I899" s="14">
        <f ca="1">IFERROR(__xludf.DUMMYFUNCTION("""COMPUTED_VALUE"""),2490)</f>
        <v>2490</v>
      </c>
      <c r="J899" s="16">
        <f ca="1">IFERROR(__xludf.DUMMYFUNCTION("""COMPUTED_VALUE"""),45627)</f>
        <v>45627</v>
      </c>
      <c r="K899" s="12" t="str">
        <f ca="1">IFERROR(__xludf.DUMMYFUNCTION("""COMPUTED_VALUE"""),"新機上架")</f>
        <v>新機上架</v>
      </c>
      <c r="L899" s="12" t="str">
        <f ca="1">IFERROR(__xludf.DUMMYFUNCTION("""COMPUTED_VALUE"""),"上架中")</f>
        <v>上架中</v>
      </c>
      <c r="M899" s="12" t="str">
        <f ca="1">IFERROR(__xludf.DUMMYFUNCTION("""COMPUTED_VALUE"""),"2024/12/1新機上架")</f>
        <v>2024/12/1新機上架</v>
      </c>
      <c r="N899" s="12" t="str">
        <f ca="1">IFERROR(__xludf.DUMMYFUNCTION("""COMPUTED_VALUE"""),"微波爐")</f>
        <v>微波爐</v>
      </c>
      <c r="O899" s="12" t="str">
        <f ca="1">IFERROR(__xludf.DUMMYFUNCTION("""COMPUTED_VALUE"""),"白色")</f>
        <v>白色</v>
      </c>
      <c r="P899" s="12" t="str">
        <f ca="1">IFERROR(__xludf.DUMMYFUNCTION("""COMPUTED_VALUE"""),"20L")</f>
        <v>20L</v>
      </c>
      <c r="Q899" s="12" t="str">
        <f ca="1">IFERROR(__xludf.DUMMYFUNCTION("""COMPUTED_VALUE"""),"高258 x 寬440 x 深334 (mm)")</f>
        <v>高258 x 寬440 x 深334 (mm)</v>
      </c>
      <c r="R899" s="12" t="str">
        <f ca="1">IFERROR(__xludf.DUMMYFUNCTION("""COMPUTED_VALUE"""),"中國")</f>
        <v>中國</v>
      </c>
      <c r="S899" s="12"/>
      <c r="T899" s="12"/>
      <c r="U899" s="12" t="str">
        <f ca="1">IFERROR(__xludf.DUMMYFUNCTION("""COMPUTED_VALUE"""),"1年")</f>
        <v>1年</v>
      </c>
      <c r="V899" s="12"/>
      <c r="W899" s="12"/>
      <c r="X899" s="12"/>
      <c r="Y899" s="12"/>
      <c r="Z899" s="14"/>
      <c r="AA899" s="15" t="str">
        <f ca="1">IFERROR(__xludf.DUMMYFUNCTION("""COMPUTED_VALUE"""),"*容量：20L*微波輸出功率：800W*直覺式大字體觸控按鍵，清楚簡單操作*轉盤式設計，玻璃盤直徑達26CM*10段火力調整，烹飪料理更靈活，超長99分鐘定時，烹煮便利*6道菜單設計，常用料理真方便*解凍雙選擇：重量解凍+時間解凍*多段烹調，烹調料理一氣呵成*快速烹調，料理省時又快速*兒童安全鎖，避免誤觸更安全*防鏽防菌腔體，清潔好擦拭")</f>
        <v>*容量：20L*微波輸出功率：800W*直覺式大字體觸控按鍵，清楚簡單操作*轉盤式設計，玻璃盤直徑達26CM*10段火力調整，烹飪料理更靈活，超長99分鐘定時，烹煮便利*6道菜單設計，常用料理真方便*解凍雙選擇：重量解凍+時間解凍*多段烹調，烹調料理一氣呵成*快速烹調，料理省時又快速*兒童安全鎖，避免誤觸更安全*防鏽防菌腔體，清潔好擦拭</v>
      </c>
    </row>
    <row r="900" spans="1:27" ht="19.5" customHeight="1">
      <c r="A900" s="12" t="str">
        <f ca="1">IFERROR(__xludf.DUMMYFUNCTION("""COMPUTED_VALUE"""),"廚房家電")</f>
        <v>廚房家電</v>
      </c>
      <c r="B900" s="12" t="str">
        <f ca="1">IFERROR(__xludf.DUMMYFUNCTION("""COMPUTED_VALUE"""),"聲寶")</f>
        <v>聲寶</v>
      </c>
      <c r="C900" s="12" t="str">
        <f ca="1">IFERROR(__xludf.DUMMYFUNCTION("""COMPUTED_VALUE"""),"Balzano")</f>
        <v>Balzano</v>
      </c>
      <c r="D900" s="12" t="str">
        <f ca="1">IFERROR(__xludf.DUMMYFUNCTION("""COMPUTED_VALUE"""),"Balzano 義式半自動雙膠囊 3 in 1咖啡機 (芭蕾白) BZ-CCM806")</f>
        <v>Balzano 義式半自動雙膠囊 3 in 1咖啡機 (芭蕾白) BZ-CCM806</v>
      </c>
      <c r="E900" s="12" t="str">
        <f ca="1">IFERROR(__xludf.DUMMYFUNCTION("""COMPUTED_VALUE"""),"BZ-CCM806")</f>
        <v>BZ-CCM806</v>
      </c>
      <c r="F900" s="12">
        <f ca="1">IFERROR(__xludf.DUMMYFUNCTION("""COMPUTED_VALUE"""),51086307)</f>
        <v>51086307</v>
      </c>
      <c r="G900" s="12" t="str">
        <f ca="1">IFERROR(__xludf.DUMMYFUNCTION("""COMPUTED_VALUE"""),"IGEM101C")</f>
        <v>IGEM101C</v>
      </c>
      <c r="H900" s="13">
        <f ca="1">IFERROR(__xludf.DUMMYFUNCTION("""COMPUTED_VALUE"""),6990)</f>
        <v>6990</v>
      </c>
      <c r="I900" s="18">
        <f ca="1">IFERROR(__xludf.DUMMYFUNCTION("""COMPUTED_VALUE"""),4990)</f>
        <v>4990</v>
      </c>
      <c r="J900" s="16">
        <f ca="1">IFERROR(__xludf.DUMMYFUNCTION("""COMPUTED_VALUE"""),45444)</f>
        <v>45444</v>
      </c>
      <c r="K900" s="12" t="str">
        <f ca="1">IFERROR(__xludf.DUMMYFUNCTION("""COMPUTED_VALUE"""),"短促")</f>
        <v>短促</v>
      </c>
      <c r="L900" s="12" t="str">
        <f ca="1">IFERROR(__xludf.DUMMYFUNCTION("""COMPUTED_VALUE"""),"上架中")</f>
        <v>上架中</v>
      </c>
      <c r="M900" s="12" t="str">
        <f ca="1">IFERROR(__xludf.DUMMYFUNCTION("""COMPUTED_VALUE"""),"2024/6/1短促，2024/5/15新機上架")</f>
        <v>2024/6/1短促，2024/5/15新機上架</v>
      </c>
      <c r="N900" s="12" t="str">
        <f ca="1">IFERROR(__xludf.DUMMYFUNCTION("""COMPUTED_VALUE"""),"咖啡機/磨豆器")</f>
        <v>咖啡機/磨豆器</v>
      </c>
      <c r="O900" s="12" t="str">
        <f ca="1">IFERROR(__xludf.DUMMYFUNCTION("""COMPUTED_VALUE"""),"芭蕾白")</f>
        <v>芭蕾白</v>
      </c>
      <c r="P900" s="12" t="str">
        <f ca="1">IFERROR(__xludf.DUMMYFUNCTION("""COMPUTED_VALUE"""),"50ml/100ml/150ml")</f>
        <v>50ml/100ml/150ml</v>
      </c>
      <c r="Q900" s="12"/>
      <c r="R900" s="12" t="str">
        <f ca="1">IFERROR(__xludf.DUMMYFUNCTION("""COMPUTED_VALUE"""),"中國")</f>
        <v>中國</v>
      </c>
      <c r="S900" s="12"/>
      <c r="T900" s="12"/>
      <c r="U900" s="22" t="str">
        <f ca="1">IFERROR(__xludf.DUMMYFUNCTION("""COMPUTED_VALUE"""),"正常使用下一年保固")</f>
        <v>正常使用下一年保固</v>
      </c>
      <c r="V900" s="12"/>
      <c r="W900" s="12"/>
      <c r="X900" s="12"/>
      <c r="Y900" s="12"/>
      <c r="Z900" s="14"/>
      <c r="AA900" s="15" t="str">
        <f ca="1">IFERROR(__xludf.DUMMYFUNCTION("""COMPUTED_VALUE"""),"*纖薄機身設計，不占空間*3芯一體，一鍵喝上好咖啡*3種選擇 咖啡粉/大、小膠囊轉換器*15Bar高壓萃取，完整釋放咖啡精華與香氣*3種杯量選擇：50ml/100ml/150ml*杯量亦可搭配膠囊合適水量設定*可拆式水箱，水箱容量800ml*附咖啡量匙")</f>
        <v>*纖薄機身設計，不占空間*3芯一體，一鍵喝上好咖啡*3種選擇 咖啡粉/大、小膠囊轉換器*15Bar高壓萃取，完整釋放咖啡精華與香氣*3種杯量選擇：50ml/100ml/150ml*杯量亦可搭配膠囊合適水量設定*可拆式水箱，水箱容量800ml*附咖啡量匙</v>
      </c>
    </row>
    <row r="901" spans="1:27" ht="19.5" customHeight="1">
      <c r="A901" s="12" t="str">
        <f ca="1">IFERROR(__xludf.DUMMYFUNCTION("""COMPUTED_VALUE"""),"廚房家電")</f>
        <v>廚房家電</v>
      </c>
      <c r="B901" s="12" t="str">
        <f ca="1">IFERROR(__xludf.DUMMYFUNCTION("""COMPUTED_VALUE"""),"聲寶")</f>
        <v>聲寶</v>
      </c>
      <c r="C901" s="12" t="str">
        <f ca="1">IFERROR(__xludf.DUMMYFUNCTION("""COMPUTED_VALUE"""),"Balzano")</f>
        <v>Balzano</v>
      </c>
      <c r="D901" s="12" t="str">
        <f ca="1">IFERROR(__xludf.DUMMYFUNCTION("""COMPUTED_VALUE"""),"Balzano 義式半自動雙膠囊 3 in 1咖啡機 (探戈橘) BZ-CCM807")</f>
        <v>Balzano 義式半自動雙膠囊 3 in 1咖啡機 (探戈橘) BZ-CCM807</v>
      </c>
      <c r="E901" s="12" t="str">
        <f ca="1">IFERROR(__xludf.DUMMYFUNCTION("""COMPUTED_VALUE"""),"BZ-CCM807")</f>
        <v>BZ-CCM807</v>
      </c>
      <c r="F901" s="12">
        <f ca="1">IFERROR(__xludf.DUMMYFUNCTION("""COMPUTED_VALUE"""),51086308)</f>
        <v>51086308</v>
      </c>
      <c r="G901" s="12" t="str">
        <f ca="1">IFERROR(__xludf.DUMMYFUNCTION("""COMPUTED_VALUE"""),"IGEM101D")</f>
        <v>IGEM101D</v>
      </c>
      <c r="H901" s="13">
        <f ca="1">IFERROR(__xludf.DUMMYFUNCTION("""COMPUTED_VALUE"""),6990)</f>
        <v>6990</v>
      </c>
      <c r="I901" s="18">
        <f ca="1">IFERROR(__xludf.DUMMYFUNCTION("""COMPUTED_VALUE"""),4990)</f>
        <v>4990</v>
      </c>
      <c r="J901" s="16">
        <f ca="1">IFERROR(__xludf.DUMMYFUNCTION("""COMPUTED_VALUE"""),45444)</f>
        <v>45444</v>
      </c>
      <c r="K901" s="12" t="str">
        <f ca="1">IFERROR(__xludf.DUMMYFUNCTION("""COMPUTED_VALUE"""),"短促")</f>
        <v>短促</v>
      </c>
      <c r="L901" s="12" t="str">
        <f ca="1">IFERROR(__xludf.DUMMYFUNCTION("""COMPUTED_VALUE"""),"上架中")</f>
        <v>上架中</v>
      </c>
      <c r="M901" s="12" t="str">
        <f ca="1">IFERROR(__xludf.DUMMYFUNCTION("""COMPUTED_VALUE"""),"2024/5/15新機上架")</f>
        <v>2024/5/15新機上架</v>
      </c>
      <c r="N901" s="12" t="str">
        <f ca="1">IFERROR(__xludf.DUMMYFUNCTION("""COMPUTED_VALUE"""),"咖啡機/磨豆器")</f>
        <v>咖啡機/磨豆器</v>
      </c>
      <c r="O901" s="12" t="str">
        <f ca="1">IFERROR(__xludf.DUMMYFUNCTION("""COMPUTED_VALUE"""),"探戈橘")</f>
        <v>探戈橘</v>
      </c>
      <c r="P901" s="12" t="str">
        <f ca="1">IFERROR(__xludf.DUMMYFUNCTION("""COMPUTED_VALUE"""),"50ml/100ml/150ml")</f>
        <v>50ml/100ml/150ml</v>
      </c>
      <c r="Q901" s="12"/>
      <c r="R901" s="12" t="str">
        <f ca="1">IFERROR(__xludf.DUMMYFUNCTION("""COMPUTED_VALUE"""),"中國")</f>
        <v>中國</v>
      </c>
      <c r="S901" s="12"/>
      <c r="T901" s="12"/>
      <c r="U901" s="22" t="str">
        <f ca="1">IFERROR(__xludf.DUMMYFUNCTION("""COMPUTED_VALUE"""),"正常使用下一年保固")</f>
        <v>正常使用下一年保固</v>
      </c>
      <c r="V901" s="12"/>
      <c r="W901" s="12"/>
      <c r="X901" s="12"/>
      <c r="Y901" s="12"/>
      <c r="Z901" s="14"/>
      <c r="AA901" s="15" t="str">
        <f ca="1">IFERROR(__xludf.DUMMYFUNCTION("""COMPUTED_VALUE"""),"*纖薄機身設計，不占空間*3芯一體，一鍵喝上好咖啡*3種選擇 咖啡粉/大、小膠囊轉換器*15Bar高壓萃取，完整釋放咖啡精華與香氣*3種杯量選擇：50ml/100ml/150ml*杯量亦可搭配膠囊合適水量設定*可拆式水箱，水箱容量800ml*附咖啡量匙")</f>
        <v>*纖薄機身設計，不占空間*3芯一體，一鍵喝上好咖啡*3種選擇 咖啡粉/大、小膠囊轉換器*15Bar高壓萃取，完整釋放咖啡精華與香氣*3種杯量選擇：50ml/100ml/150ml*杯量亦可搭配膠囊合適水量設定*可拆式水箱，水箱容量800ml*附咖啡量匙</v>
      </c>
    </row>
    <row r="902" spans="1:27" ht="19.5" customHeight="1">
      <c r="A902" s="12" t="str">
        <f ca="1">IFERROR(__xludf.DUMMYFUNCTION("""COMPUTED_VALUE"""),"廚房家電")</f>
        <v>廚房家電</v>
      </c>
      <c r="B902" s="12" t="str">
        <f ca="1">IFERROR(__xludf.DUMMYFUNCTION("""COMPUTED_VALUE"""),"凱創")</f>
        <v>凱創</v>
      </c>
      <c r="C902" s="12" t="str">
        <f ca="1">IFERROR(__xludf.DUMMYFUNCTION("""COMPUTED_VALUE"""),"聲寶")</f>
        <v>聲寶</v>
      </c>
      <c r="D902" s="12" t="str">
        <f ca="1">IFERROR(__xludf.DUMMYFUNCTION("""COMPUTED_VALUE"""),"聲寶90L四層紫外線烘碗機KB-GK90U")</f>
        <v>聲寶90L四層紫外線烘碗機KB-GK90U</v>
      </c>
      <c r="E902" s="12" t="str">
        <f ca="1">IFERROR(__xludf.DUMMYFUNCTION("""COMPUTED_VALUE"""),"KB-GK90U")</f>
        <v>KB-GK90U</v>
      </c>
      <c r="F902" s="12">
        <f ca="1">IFERROR(__xludf.DUMMYFUNCTION("""COMPUTED_VALUE"""),51084234)</f>
        <v>51084234</v>
      </c>
      <c r="G902" s="12" t="str">
        <f ca="1">IFERROR(__xludf.DUMMYFUNCTION("""COMPUTED_VALUE"""),"IGEM045P")</f>
        <v>IGEM045P</v>
      </c>
      <c r="H902" s="12">
        <f ca="1">IFERROR(__xludf.DUMMYFUNCTION("""COMPUTED_VALUE"""),7490)</f>
        <v>7490</v>
      </c>
      <c r="I902" s="14">
        <f ca="1">IFERROR(__xludf.DUMMYFUNCTION("""COMPUTED_VALUE"""),5690)</f>
        <v>5690</v>
      </c>
      <c r="J902" s="16">
        <f ca="1">IFERROR(__xludf.DUMMYFUNCTION("""COMPUTED_VALUE"""),45413)</f>
        <v>45413</v>
      </c>
      <c r="K902" s="12" t="str">
        <f ca="1">IFERROR(__xludf.DUMMYFUNCTION("""COMPUTED_VALUE"""),"短促")</f>
        <v>短促</v>
      </c>
      <c r="L902" s="12" t="str">
        <f ca="1">IFERROR(__xludf.DUMMYFUNCTION("""COMPUTED_VALUE"""),"上架中")</f>
        <v>上架中</v>
      </c>
      <c r="M902" s="12" t="str">
        <f ca="1">IFERROR(__xludf.DUMMYFUNCTION("""COMPUTED_VALUE"""),"2024/5/1短促，2024/3/1 回價，2024/02/16短促，2022/4/1回價，2021/11/1短促，2021/8/19新機上架")</f>
        <v>2024/5/1短促，2024/3/1 回價，2024/02/16短促，2022/4/1回價，2021/11/1短促，2021/8/19新機上架</v>
      </c>
      <c r="N902" s="12" t="str">
        <f ca="1">IFERROR(__xludf.DUMMYFUNCTION("""COMPUTED_VALUE"""),"洗/烘碗機")</f>
        <v>洗/烘碗機</v>
      </c>
      <c r="O902" s="12" t="str">
        <f ca="1">IFERROR(__xludf.DUMMYFUNCTION("""COMPUTED_VALUE"""),"X")</f>
        <v>X</v>
      </c>
      <c r="P902" s="12" t="str">
        <f ca="1">IFERROR(__xludf.DUMMYFUNCTION("""COMPUTED_VALUE"""),"◆產品淨重：15Kg◆額定電壓：110V◆額定頻率：60Hz◆額定消耗功率：198W")</f>
        <v>◆產品淨重：15Kg◆額定電壓：110V◆額定頻率：60Hz◆額定消耗功率：198W</v>
      </c>
      <c r="Q902" s="12" t="str">
        <f ca="1">IFERROR(__xludf.DUMMYFUNCTION("""COMPUTED_VALUE"""),"高715x寬380x長470(mm)")</f>
        <v>高715x寬380x長470(mm)</v>
      </c>
      <c r="R902" s="12" t="str">
        <f ca="1">IFERROR(__xludf.DUMMYFUNCTION("""COMPUTED_VALUE"""),"台灣")</f>
        <v>台灣</v>
      </c>
      <c r="S902" s="22" t="str">
        <f ca="1">IFERROR(__xludf.DUMMYFUNCTION("""COMPUTED_VALUE"""),"MIT")</f>
        <v>MIT</v>
      </c>
      <c r="T902" s="12"/>
      <c r="U902" s="22" t="str">
        <f ca="1">IFERROR(__xludf.DUMMYFUNCTION("""COMPUTED_VALUE"""),"正常使用下全機一年保固")</f>
        <v>正常使用下全機一年保固</v>
      </c>
      <c r="V902" s="12"/>
      <c r="W902" s="12"/>
      <c r="X902" s="12"/>
      <c r="Y902" s="12"/>
      <c r="Z902" s="14"/>
      <c r="AA902" s="15" t="str">
        <f ca="1">IFERROR(__xludf.DUMMYFUNCTION("""COMPUTED_VALUE"""),"*90公升四層盤架大容量設計，各式餐具都好放。*UV紫外線殺菌、高溫熱風烘乾、奈米光觸媒除臭三道流程。*採食用級304不鏽鋼內腔與層架，全機符合RoHS認證標準。*4段定時功能，貼心記憶前次設定*獨立殺菌功能，可單獨啟動紫外線燈殺菌*強化玻璃門+開門自動切換照明，避免紫外線外洩*電壓、溫度、馬達運轉3種自動斷電安全保護裝置。")</f>
        <v>*90公升四層盤架大容量設計，各式餐具都好放。*UV紫外線殺菌、高溫熱風烘乾、奈米光觸媒除臭三道流程。*採食用級304不鏽鋼內腔與層架，全機符合RoHS認證標準。*4段定時功能，貼心記憶前次設定*獨立殺菌功能，可單獨啟動紫外線燈殺菌*強化玻璃門+開門自動切換照明，避免紫外線外洩*電壓、溫度、馬達運轉3種自動斷電安全保護裝置。</v>
      </c>
    </row>
    <row r="903" spans="1:27" ht="19.5" customHeight="1">
      <c r="A903" s="12" t="str">
        <f ca="1">IFERROR(__xludf.DUMMYFUNCTION("""COMPUTED_VALUE"""),"廚房家電")</f>
        <v>廚房家電</v>
      </c>
      <c r="B903" s="12" t="str">
        <f ca="1">IFERROR(__xludf.DUMMYFUNCTION("""COMPUTED_VALUE"""),"凱創")</f>
        <v>凱創</v>
      </c>
      <c r="C903" s="12" t="str">
        <f ca="1">IFERROR(__xludf.DUMMYFUNCTION("""COMPUTED_VALUE"""),"聲寶")</f>
        <v>聲寶</v>
      </c>
      <c r="D903" s="12" t="str">
        <f ca="1">IFERROR(__xludf.DUMMYFUNCTION("""COMPUTED_VALUE"""),"聲寶4.5L多功能火烤萬用爐TG-HA12C")</f>
        <v>聲寶4.5L多功能火烤萬用爐TG-HA12C</v>
      </c>
      <c r="E903" s="12" t="str">
        <f ca="1">IFERROR(__xludf.DUMMYFUNCTION("""COMPUTED_VALUE"""),"TG-HA12C")</f>
        <v>TG-HA12C</v>
      </c>
      <c r="F903" s="12">
        <f ca="1">IFERROR(__xludf.DUMMYFUNCTION("""COMPUTED_VALUE"""),51084247)</f>
        <v>51084247</v>
      </c>
      <c r="G903" s="12" t="str">
        <f ca="1">IFERROR(__xludf.DUMMYFUNCTION("""COMPUTED_VALUE"""),"IGEM049C")</f>
        <v>IGEM049C</v>
      </c>
      <c r="H903" s="12">
        <f ca="1">IFERROR(__xludf.DUMMYFUNCTION("""COMPUTED_VALUE"""),2988)</f>
        <v>2988</v>
      </c>
      <c r="I903" s="14">
        <f ca="1">IFERROR(__xludf.DUMMYFUNCTION("""COMPUTED_VALUE"""),2480)</f>
        <v>2480</v>
      </c>
      <c r="J903" s="12"/>
      <c r="K903" s="12"/>
      <c r="L903" s="12" t="str">
        <f ca="1">IFERROR(__xludf.DUMMYFUNCTION("""COMPUTED_VALUE"""),"上架中")</f>
        <v>上架中</v>
      </c>
      <c r="M903" s="12" t="str">
        <f ca="1">IFERROR(__xludf.DUMMYFUNCTION("""COMPUTED_VALUE"""),"2023/1/1回價，2022/10/17-10/31雙11短促，2021/10/19新品上市")</f>
        <v>2023/1/1回價，2022/10/17-10/31雙11短促，2021/10/19新品上市</v>
      </c>
      <c r="N903" s="12" t="str">
        <f ca="1">IFERROR(__xludf.DUMMYFUNCTION("""COMPUTED_VALUE"""),"電烤盤/爐")</f>
        <v>電烤盤/爐</v>
      </c>
      <c r="O903" s="12" t="str">
        <f ca="1">IFERROR(__xludf.DUMMYFUNCTION("""COMPUTED_VALUE"""),"X")</f>
        <v>X</v>
      </c>
      <c r="P903" s="12" t="str">
        <f ca="1">IFERROR(__xludf.DUMMYFUNCTION("""COMPUTED_VALUE"""),"◆產品型號：TG-HA12C
◆商品尺寸：寬414x高91x深232(mm)
◆煎烤盤實際尺寸：長335x寬226x深39(mm)
◆深煮鍋實際尺寸：長395x寬226x深83(mm)
◆深煮鍋容量：4.5L(水位僅能加至2L)
◆商品重量：4.5Kg
◆額定電壓：110V
◆額定頻率：60Hz
◆消耗功率：1200W
◆電源線長度：約0.85公尺
◆深煮鍋/煎烤盤材質：食品級不沾黏塗層
◆玻璃蓋材質：鋼化玻璃
◆蒸盤/玻璃蓋邊框/螺絲/墊片材質：SUS304不銹鋼
◆BSMI商檢字號：R3A112
◆國"&amp;"際條碼：4718060385802
◆產地：中國
◆保固：正常使用下一年保固
【注意事項】
請使用木製、矽膠或塑膠製耐熱餐具翻烤食材，可常保不沾塗層最佳效果，並勿使用金屬或粗糙之刷洗工具如鋼刷擦拭本體內外部，避免刮傷。")</f>
        <v>◆產品型號：TG-HA12C
◆商品尺寸：寬414x高91x深232(mm)
◆煎烤盤實際尺寸：長335x寬226x深39(mm)
◆深煮鍋實際尺寸：長395x寬226x深83(mm)
◆深煮鍋容量：4.5L(水位僅能加至2L)
◆商品重量：4.5Kg
◆額定電壓：110V
◆額定頻率：60Hz
◆消耗功率：1200W
◆電源線長度：約0.85公尺
◆深煮鍋/煎烤盤材質：食品級不沾黏塗層
◆玻璃蓋材質：鋼化玻璃
◆蒸盤/玻璃蓋邊框/螺絲/墊片材質：SUS304不銹鋼
◆BSMI商檢字號：R3A112
◆國際條碼：4718060385802
◆產地：中國
◆保固：正常使用下一年保固
【注意事項】
請使用木製、矽膠或塑膠製耐熱餐具翻烤食材，可常保不沾塗層最佳效果，並勿使用金屬或粗糙之刷洗工具如鋼刷擦拭本體內外部，避免刮傷。</v>
      </c>
      <c r="Q903" s="12" t="str">
        <f ca="1">IFERROR(__xludf.DUMMYFUNCTION("""COMPUTED_VALUE"""),"商品尺寸：高91x寬414x深232(mm)
煎烤盤實際尺寸：長335x寬226x深39(mm)
深煮鍋實際尺寸：長395x寬226x深83(mm)")</f>
        <v>商品尺寸：高91x寬414x深232(mm)
煎烤盤實際尺寸：長335x寬226x深39(mm)
深煮鍋實際尺寸：長395x寬226x深83(mm)</v>
      </c>
      <c r="R903" s="12" t="str">
        <f ca="1">IFERROR(__xludf.DUMMYFUNCTION("""COMPUTED_VALUE"""),"中國")</f>
        <v>中國</v>
      </c>
      <c r="S903" s="12"/>
      <c r="T903" s="12"/>
      <c r="U903" s="22" t="str">
        <f ca="1">IFERROR(__xludf.DUMMYFUNCTION("""COMPUTED_VALUE"""),"正常使用下一年保固")</f>
        <v>正常使用下一年保固</v>
      </c>
      <c r="V903" s="12"/>
      <c r="W903" s="12"/>
      <c r="X903" s="12"/>
      <c r="Y903" s="12"/>
      <c r="Z903" s="14"/>
      <c r="AA903" s="15" t="str">
        <f ca="1">IFERROR(__xludf.DUMMYFUNCTION("""COMPUTED_VALUE"""),"*蒸煮煎烤燉百變料理*大容量深煮鍋，搞定多人料理*304不鏽鋼蒸盤+定時功能輕鬆蒸*95-230°C溫控，保溫-強火都OK*60分鐘定時+連續加熱設定免顧火*食用級不沾塗層，清潔好簡單")</f>
        <v>*蒸煮煎烤燉百變料理*大容量深煮鍋，搞定多人料理*304不鏽鋼蒸盤+定時功能輕鬆蒸*95-230°C溫控，保溫-強火都OK*60分鐘定時+連續加熱設定免顧火*食用級不沾塗層，清潔好簡單</v>
      </c>
    </row>
    <row r="904" spans="1:27" ht="19.5" customHeight="1">
      <c r="A904" s="12" t="str">
        <f ca="1">IFERROR(__xludf.DUMMYFUNCTION("""COMPUTED_VALUE"""),"廚房家電")</f>
        <v>廚房家電</v>
      </c>
      <c r="B904" s="12" t="str">
        <f ca="1">IFERROR(__xludf.DUMMYFUNCTION("""COMPUTED_VALUE"""),"凱創")</f>
        <v>凱創</v>
      </c>
      <c r="C904" s="12" t="str">
        <f ca="1">IFERROR(__xludf.DUMMYFUNCTION("""COMPUTED_VALUE"""),"聲寶")</f>
        <v>聲寶</v>
      </c>
      <c r="D904" s="12" t="str">
        <f ca="1">IFERROR(__xludf.DUMMYFUNCTION("""COMPUTED_VALUE"""),"聲寶SAMPO 全自動極速製冰機 KJ-CA12R(冷杉綠)")</f>
        <v>聲寶SAMPO 全自動極速製冰機 KJ-CA12R(冷杉綠)</v>
      </c>
      <c r="E904" s="12" t="str">
        <f ca="1">IFERROR(__xludf.DUMMYFUNCTION("""COMPUTED_VALUE"""),"KJ-CA12R")</f>
        <v>KJ-CA12R</v>
      </c>
      <c r="F904" s="12">
        <f ca="1">IFERROR(__xludf.DUMMYFUNCTION("""COMPUTED_VALUE"""),51084299)</f>
        <v>51084299</v>
      </c>
      <c r="G904" s="12" t="str">
        <f ca="1">IFERROR(__xludf.DUMMYFUNCTION("""COMPUTED_VALUE"""),"IGEM085A")</f>
        <v>IGEM085A</v>
      </c>
      <c r="H904" s="13">
        <f ca="1">IFERROR(__xludf.DUMMYFUNCTION("""COMPUTED_VALUE"""),4990)</f>
        <v>4990</v>
      </c>
      <c r="I904" s="14">
        <f ca="1">IFERROR(__xludf.DUMMYFUNCTION("""COMPUTED_VALUE"""),3960)</f>
        <v>3960</v>
      </c>
      <c r="J904" s="16">
        <f ca="1">IFERROR(__xludf.DUMMYFUNCTION("""COMPUTED_VALUE"""),45505)</f>
        <v>45505</v>
      </c>
      <c r="K904" s="12" t="str">
        <f ca="1">IFERROR(__xludf.DUMMYFUNCTION("""COMPUTED_VALUE"""),"短促")</f>
        <v>短促</v>
      </c>
      <c r="L904" s="12" t="str">
        <f ca="1">IFERROR(__xludf.DUMMYFUNCTION("""COMPUTED_VALUE"""),"上架中")</f>
        <v>上架中</v>
      </c>
      <c r="M904" s="12" t="str">
        <f ca="1">IFERROR(__xludf.DUMMYFUNCTION("""COMPUTED_VALUE"""),"2024/8/1短促，2024/7/1短促，2024/4/1短促，2023/6/12新機上架")</f>
        <v>2024/8/1短促，2024/7/1短促，2024/4/1短促，2023/6/12新機上架</v>
      </c>
      <c r="N904" s="12" t="str">
        <f ca="1">IFERROR(__xludf.DUMMYFUNCTION("""COMPUTED_VALUE"""),"冰淇淋/刨冰/製冰機")</f>
        <v>冰淇淋/刨冰/製冰機</v>
      </c>
      <c r="O904" s="12" t="str">
        <f ca="1">IFERROR(__xludf.DUMMYFUNCTION("""COMPUTED_VALUE"""),"冷杉綠")</f>
        <v>冷杉綠</v>
      </c>
      <c r="P904" s="12" t="str">
        <f ca="1">IFERROR(__xludf.DUMMYFUNCTION("""COMPUTED_VALUE"""),"水槽容量：1.2L
 儲冰量：400g")</f>
        <v>水槽容量：1.2L
 儲冰量：400g</v>
      </c>
      <c r="Q904" s="12" t="str">
        <f ca="1">IFERROR(__xludf.DUMMYFUNCTION("""COMPUTED_VALUE"""),"282x249x303mm")</f>
        <v>282x249x303mm</v>
      </c>
      <c r="R904" s="12" t="str">
        <f ca="1">IFERROR(__xludf.DUMMYFUNCTION("""COMPUTED_VALUE"""),"中國")</f>
        <v>中國</v>
      </c>
      <c r="S904" s="12"/>
      <c r="T904" s="12"/>
      <c r="U904" s="22" t="str">
        <f ca="1">IFERROR(__xludf.DUMMYFUNCTION("""COMPUTED_VALUE"""),"1年")</f>
        <v>1年</v>
      </c>
      <c r="V904" s="12"/>
      <c r="W904" s="12"/>
      <c r="X904" s="12"/>
      <c r="Y904" s="12"/>
      <c r="Z904" s="14"/>
      <c r="AA904" s="15" t="str">
        <f ca="1">IFERROR(__xludf.DUMMYFUNCTION("""COMPUTED_VALUE"""),"*簡單3步驟7分鐘極速出冰*一次9顆冰，尺寸大小隨選*體積縮減13%+超輕量，攜帶方便*105W省電低功率，露營不怕跳電*一鍵自動清洗方便衛生，不需沾手*滿冰/缺水，自動停止運轉*配件：冰杓、冰盒
")</f>
        <v xml:space="preserve">*簡單3步驟7分鐘極速出冰*一次9顆冰，尺寸大小隨選*體積縮減13%+超輕量，攜帶方便*105W省電低功率，露營不怕跳電*一鍵自動清洗方便衛生，不需沾手*滿冰/缺水，自動停止運轉*配件：冰杓、冰盒
</v>
      </c>
    </row>
    <row r="905" spans="1:27" ht="19.5" customHeight="1">
      <c r="A905" s="12" t="str">
        <f ca="1">IFERROR(__xludf.DUMMYFUNCTION("""COMPUTED_VALUE"""),"廚房家電")</f>
        <v>廚房家電</v>
      </c>
      <c r="B905" s="12" t="str">
        <f ca="1">IFERROR(__xludf.DUMMYFUNCTION("""COMPUTED_VALUE"""),"凱創")</f>
        <v>凱創</v>
      </c>
      <c r="C905" s="12" t="str">
        <f ca="1">IFERROR(__xludf.DUMMYFUNCTION("""COMPUTED_VALUE"""),"聲寶")</f>
        <v>聲寶</v>
      </c>
      <c r="D905" s="12" t="str">
        <f ca="1">IFERROR(__xludf.DUMMYFUNCTION("""COMPUTED_VALUE"""),"聲寶SAMPO 全自動極速製冰機 KJ-CH12R(灰霧藍)")</f>
        <v>聲寶SAMPO 全自動極速製冰機 KJ-CH12R(灰霧藍)</v>
      </c>
      <c r="E905" s="12" t="str">
        <f ca="1">IFERROR(__xludf.DUMMYFUNCTION("""COMPUTED_VALUE"""),"KJ-CH12R")</f>
        <v>KJ-CH12R</v>
      </c>
      <c r="F905" s="12">
        <f ca="1">IFERROR(__xludf.DUMMYFUNCTION("""COMPUTED_VALUE"""),51084300)</f>
        <v>51084300</v>
      </c>
      <c r="G905" s="12" t="str">
        <f ca="1">IFERROR(__xludf.DUMMYFUNCTION("""COMPUTED_VALUE"""),"IGEM085B")</f>
        <v>IGEM085B</v>
      </c>
      <c r="H905" s="13">
        <f ca="1">IFERROR(__xludf.DUMMYFUNCTION("""COMPUTED_VALUE"""),4990)</f>
        <v>4990</v>
      </c>
      <c r="I905" s="14">
        <f ca="1">IFERROR(__xludf.DUMMYFUNCTION("""COMPUTED_VALUE"""),3960)</f>
        <v>3960</v>
      </c>
      <c r="J905" s="16">
        <f ca="1">IFERROR(__xludf.DUMMYFUNCTION("""COMPUTED_VALUE"""),45505)</f>
        <v>45505</v>
      </c>
      <c r="K905" s="12" t="str">
        <f ca="1">IFERROR(__xludf.DUMMYFUNCTION("""COMPUTED_VALUE"""),"短促")</f>
        <v>短促</v>
      </c>
      <c r="L905" s="12" t="str">
        <f ca="1">IFERROR(__xludf.DUMMYFUNCTION("""COMPUTED_VALUE"""),"上架中")</f>
        <v>上架中</v>
      </c>
      <c r="M905" s="12" t="str">
        <f ca="1">IFERROR(__xludf.DUMMYFUNCTION("""COMPUTED_VALUE"""),"2024/8/1短促，2024/7/1短促，2024/4/1短促，2023/6/12新機上架")</f>
        <v>2024/8/1短促，2024/7/1短促，2024/4/1短促，2023/6/12新機上架</v>
      </c>
      <c r="N905" s="12" t="str">
        <f ca="1">IFERROR(__xludf.DUMMYFUNCTION("""COMPUTED_VALUE"""),"冰淇淋/刨冰/製冰機")</f>
        <v>冰淇淋/刨冰/製冰機</v>
      </c>
      <c r="O905" s="12" t="str">
        <f ca="1">IFERROR(__xludf.DUMMYFUNCTION("""COMPUTED_VALUE"""),"灰霧藍")</f>
        <v>灰霧藍</v>
      </c>
      <c r="P905" s="12" t="str">
        <f ca="1">IFERROR(__xludf.DUMMYFUNCTION("""COMPUTED_VALUE"""),"水槽容量：1.2L
 儲冰量：400g")</f>
        <v>水槽容量：1.2L
 儲冰量：400g</v>
      </c>
      <c r="Q905" s="12" t="str">
        <f ca="1">IFERROR(__xludf.DUMMYFUNCTION("""COMPUTED_VALUE"""),"282x249x303mm")</f>
        <v>282x249x303mm</v>
      </c>
      <c r="R905" s="12" t="str">
        <f ca="1">IFERROR(__xludf.DUMMYFUNCTION("""COMPUTED_VALUE"""),"中國")</f>
        <v>中國</v>
      </c>
      <c r="S905" s="12"/>
      <c r="T905" s="12"/>
      <c r="U905" s="22" t="str">
        <f ca="1">IFERROR(__xludf.DUMMYFUNCTION("""COMPUTED_VALUE"""),"1年")</f>
        <v>1年</v>
      </c>
      <c r="V905" s="12"/>
      <c r="W905" s="12"/>
      <c r="X905" s="12"/>
      <c r="Y905" s="12"/>
      <c r="Z905" s="14"/>
      <c r="AA905" s="15" t="str">
        <f ca="1">IFERROR(__xludf.DUMMYFUNCTION("""COMPUTED_VALUE"""),"*簡單3步驟7分鐘極速出冰*一次9顆冰，尺寸大小隨選*體積縮減13%+超輕量，攜帶方便*105W省電低功率，露營不怕跳電*一鍵自動清洗方便衛生，不需沾手*滿冰/缺水，自動停止運轉*配件：冰杓、冰盒
")</f>
        <v xml:space="preserve">*簡單3步驟7分鐘極速出冰*一次9顆冰，尺寸大小隨選*體積縮減13%+超輕量，攜帶方便*105W省電低功率，露營不怕跳電*一鍵自動清洗方便衛生，不需沾手*滿冰/缺水，自動停止運轉*配件：冰杓、冰盒
</v>
      </c>
    </row>
    <row r="906" spans="1:27" ht="19.5" customHeight="1">
      <c r="A906" s="12" t="str">
        <f ca="1">IFERROR(__xludf.DUMMYFUNCTION("""COMPUTED_VALUE"""),"廚房家電")</f>
        <v>廚房家電</v>
      </c>
      <c r="B906" s="12" t="str">
        <f ca="1">IFERROR(__xludf.DUMMYFUNCTION("""COMPUTED_VALUE"""),"凱創")</f>
        <v>凱創</v>
      </c>
      <c r="C906" s="12" t="str">
        <f ca="1">IFERROR(__xludf.DUMMYFUNCTION("""COMPUTED_VALUE"""),"聲寶")</f>
        <v>聲寶</v>
      </c>
      <c r="D906" s="12" t="str">
        <f ca="1">IFERROR(__xludf.DUMMYFUNCTION("""COMPUTED_VALUE"""),"聲寶SAMPO 全自動極速製冰機 KJ-CK12R(厚奶茶)")</f>
        <v>聲寶SAMPO 全自動極速製冰機 KJ-CK12R(厚奶茶)</v>
      </c>
      <c r="E906" s="12" t="str">
        <f ca="1">IFERROR(__xludf.DUMMYFUNCTION("""COMPUTED_VALUE"""),"KJ-CK12R")</f>
        <v>KJ-CK12R</v>
      </c>
      <c r="F906" s="12">
        <f ca="1">IFERROR(__xludf.DUMMYFUNCTION("""COMPUTED_VALUE"""),51084336)</f>
        <v>51084336</v>
      </c>
      <c r="G906" s="12" t="str">
        <f ca="1">IFERROR(__xludf.DUMMYFUNCTION("""COMPUTED_VALUE"""),"IGEM102V")</f>
        <v>IGEM102V</v>
      </c>
      <c r="H906" s="13">
        <f ca="1">IFERROR(__xludf.DUMMYFUNCTION("""COMPUTED_VALUE"""),4990)</f>
        <v>4990</v>
      </c>
      <c r="I906" s="14">
        <f ca="1">IFERROR(__xludf.DUMMYFUNCTION("""COMPUTED_VALUE"""),3960)</f>
        <v>3960</v>
      </c>
      <c r="J906" s="16">
        <f ca="1">IFERROR(__xludf.DUMMYFUNCTION("""COMPUTED_VALUE"""),45505)</f>
        <v>45505</v>
      </c>
      <c r="K906" s="12" t="str">
        <f ca="1">IFERROR(__xludf.DUMMYFUNCTION("""COMPUTED_VALUE"""),"短促")</f>
        <v>短促</v>
      </c>
      <c r="L906" s="12" t="str">
        <f ca="1">IFERROR(__xludf.DUMMYFUNCTION("""COMPUTED_VALUE"""),"上架中")</f>
        <v>上架中</v>
      </c>
      <c r="M906" s="12" t="str">
        <f ca="1">IFERROR(__xludf.DUMMYFUNCTION("""COMPUTED_VALUE"""),"2024/8/1短促，2024/7/1短促，2024/6/1新機上架")</f>
        <v>2024/8/1短促，2024/7/1短促，2024/6/1新機上架</v>
      </c>
      <c r="N906" s="12" t="str">
        <f ca="1">IFERROR(__xludf.DUMMYFUNCTION("""COMPUTED_VALUE"""),"冰淇淋/刨冰/製冰機")</f>
        <v>冰淇淋/刨冰/製冰機</v>
      </c>
      <c r="O906" s="12" t="str">
        <f ca="1">IFERROR(__xludf.DUMMYFUNCTION("""COMPUTED_VALUE"""),"奶茶色")</f>
        <v>奶茶色</v>
      </c>
      <c r="P906" s="12" t="str">
        <f ca="1">IFERROR(__xludf.DUMMYFUNCTION("""COMPUTED_VALUE"""),"◆額定電壓：110V
 ◆額定頻率：60Hz
  ◆商品重量：6.1 kg
 ◆額定消耗功率：105 W
 ◆水槽容量：1.2L
 ◆儲冰量：400g
 ◆冷媒種類/填充量：R600a/23g
 ◆配件：冰杓、冰盒
 ◆冰杓/冰盒材質：ABS
 ◆電源線長度：1.8公尺")</f>
        <v>◆額定電壓：110V
 ◆額定頻率：60Hz
  ◆商品重量：6.1 kg
 ◆額定消耗功率：105 W
 ◆水槽容量：1.2L
 ◆儲冰量：400g
 ◆冷媒種類/填充量：R600a/23g
 ◆配件：冰杓、冰盒
 ◆冰杓/冰盒材質：ABS
 ◆電源線長度：1.8公尺</v>
      </c>
      <c r="Q906" s="12" t="str">
        <f ca="1">IFERROR(__xludf.DUMMYFUNCTION("""COMPUTED_VALUE""")," 高282 x寬249 x 深303 mm")</f>
        <v xml:space="preserve"> 高282 x寬249 x 深303 mm</v>
      </c>
      <c r="R906" s="12" t="str">
        <f ca="1">IFERROR(__xludf.DUMMYFUNCTION("""COMPUTED_VALUE"""),"中國")</f>
        <v>中國</v>
      </c>
      <c r="S906" s="12"/>
      <c r="T906" s="12"/>
      <c r="U906" s="22" t="str">
        <f ca="1">IFERROR(__xludf.DUMMYFUNCTION("""COMPUTED_VALUE"""),"正常使用下保固1年")</f>
        <v>正常使用下保固1年</v>
      </c>
      <c r="V906" s="12"/>
      <c r="W906" s="12"/>
      <c r="X906" s="12"/>
      <c r="Y906" s="12"/>
      <c r="Z906" s="14"/>
      <c r="AA906" s="15" t="str">
        <f ca="1">IFERROR(__xludf.DUMMYFUNCTION("""COMPUTED_VALUE"""),"*簡單3步驟7分鐘極速出冰*一次9顆冰，尺寸大小隨選*體積縮減13%+超輕量，攜帶方便*105W省電低功率，露營不怕跳電*一鍵自動清洗方便衛生，不需沾手*滿冰/缺水，自動停止運轉")</f>
        <v>*簡單3步驟7分鐘極速出冰*一次9顆冰，尺寸大小隨選*體積縮減13%+超輕量，攜帶方便*105W省電低功率，露營不怕跳電*一鍵自動清洗方便衛生，不需沾手*滿冰/缺水，自動停止運轉</v>
      </c>
    </row>
    <row r="907" spans="1:27" ht="19.5" customHeight="1">
      <c r="A907" s="12" t="str">
        <f ca="1">IFERROR(__xludf.DUMMYFUNCTION("""COMPUTED_VALUE"""),"生活家電")</f>
        <v>生活家電</v>
      </c>
      <c r="B907" s="12" t="str">
        <f ca="1">IFERROR(__xludf.DUMMYFUNCTION("""COMPUTED_VALUE"""),"凱創")</f>
        <v>凱創</v>
      </c>
      <c r="C907" s="12" t="str">
        <f ca="1">IFERROR(__xludf.DUMMYFUNCTION("""COMPUTED_VALUE"""),"聲寶")</f>
        <v>聲寶</v>
      </c>
      <c r="D907" s="12" t="str">
        <f ca="1">IFERROR(__xludf.DUMMYFUNCTION("""COMPUTED_VALUE"""),"SAMPO聲寶 9吋360度4D擺頭空氣循環扇SK-TG09CS")</f>
        <v>SAMPO聲寶 9吋360度4D擺頭空氣循環扇SK-TG09CS</v>
      </c>
      <c r="E907" s="12" t="str">
        <f ca="1">IFERROR(__xludf.DUMMYFUNCTION("""COMPUTED_VALUE"""),"SK-TG09CS")</f>
        <v>SK-TG09CS</v>
      </c>
      <c r="F907" s="12">
        <f ca="1">IFERROR(__xludf.DUMMYFUNCTION("""COMPUTED_VALUE"""),51084330)</f>
        <v>51084330</v>
      </c>
      <c r="G907" s="12" t="str">
        <f ca="1">IFERROR(__xludf.DUMMYFUNCTION("""COMPUTED_VALUE"""),"IGEM1004")</f>
        <v>IGEM1004</v>
      </c>
      <c r="H907" s="13">
        <f ca="1">IFERROR(__xludf.DUMMYFUNCTION("""COMPUTED_VALUE"""),1788)</f>
        <v>1788</v>
      </c>
      <c r="I907" s="14">
        <f ca="1">IFERROR(__xludf.DUMMYFUNCTION("""COMPUTED_VALUE"""),1488)</f>
        <v>1488</v>
      </c>
      <c r="J907" s="16">
        <f ca="1">IFERROR(__xludf.DUMMYFUNCTION("""COMPUTED_VALUE"""),45622)</f>
        <v>45622</v>
      </c>
      <c r="K907" s="12" t="str">
        <f ca="1">IFERROR(__xludf.DUMMYFUNCTION("""COMPUTED_VALUE"""),"缺貨")</f>
        <v>缺貨</v>
      </c>
      <c r="L907" s="12" t="str">
        <f ca="1">IFERROR(__xludf.DUMMYFUNCTION("""COMPUTED_VALUE"""),"缺貨")</f>
        <v>缺貨</v>
      </c>
      <c r="M907" s="12" t="str">
        <f ca="1">IFERROR(__xludf.DUMMYFUNCTION("""COMPUTED_VALUE"""),"11/26缺貨，6/1短促，2024/5/1新機上架")</f>
        <v>11/26缺貨，6/1短促，2024/5/1新機上架</v>
      </c>
      <c r="N907" s="12" t="str">
        <f ca="1">IFERROR(__xludf.DUMMYFUNCTION("""COMPUTED_VALUE"""),"循環扇")</f>
        <v>循環扇</v>
      </c>
      <c r="O907" s="12" t="str">
        <f ca="1">IFERROR(__xludf.DUMMYFUNCTION("""COMPUTED_VALUE"""),"白")</f>
        <v>白</v>
      </c>
      <c r="P907" s="12" t="str">
        <f ca="1">IFERROR(__xludf.DUMMYFUNCTION("""COMPUTED_VALUE"""),"◆商品尺寸：寬23 x 高33 x 深23 (cm)
 ◆商品重量：2.24 Kg
 ◆額定電壓及額定頻率：110V/60Hz
 ◆總額定消耗電功率：30W
 ◆電源線長度：約1.5公尺
 ◆BSMI認證字號：R41A01(2026.12.26到期)")</f>
        <v>◆商品尺寸：寬23 x 高33 x 深23 (cm)
 ◆商品重量：2.24 Kg
 ◆額定電壓及額定頻率：110V/60Hz
 ◆總額定消耗電功率：30W
 ◆電源線長度：約1.5公尺
 ◆BSMI認證字號：R41A01(2026.12.26到期)</v>
      </c>
      <c r="Q907" s="12" t="str">
        <f ca="1">IFERROR(__xludf.DUMMYFUNCTION("""COMPUTED_VALUE"""),"330x230x230 mm")</f>
        <v>330x230x230 mm</v>
      </c>
      <c r="R907" s="12" t="str">
        <f ca="1">IFERROR(__xludf.DUMMYFUNCTION("""COMPUTED_VALUE"""),"中國")</f>
        <v>中國</v>
      </c>
      <c r="S907" s="12"/>
      <c r="T907" s="12"/>
      <c r="U907" s="22" t="str">
        <f ca="1">IFERROR(__xludf.DUMMYFUNCTION("""COMPUTED_VALUE"""),"正常使用下保固1年")</f>
        <v>正常使用下保固1年</v>
      </c>
      <c r="V907" s="12"/>
      <c r="W907" s="12"/>
      <c r="X907" s="12"/>
      <c r="Y907" s="12"/>
      <c r="Z907" s="14"/>
      <c r="AA907" s="15" t="str">
        <f ca="1">IFERROR(__xludf.DUMMYFUNCTION("""COMPUTED_VALUE"""),"*前後網+扇葉全可拆洗，不積灰塵*4D超廣角，左右360度+上下90度擺頭*2300rpm強勁風速+9公尺長距送風*純銅線馬達，高傳導低耗能*冷暖房/乾衣/浴廁乾燥，一機多用")</f>
        <v>*前後網+扇葉全可拆洗，不積灰塵*4D超廣角，左右360度+上下90度擺頭*2300rpm強勁風速+9公尺長距送風*純銅線馬達，高傳導低耗能*冷暖房/乾衣/浴廁乾燥，一機多用</v>
      </c>
    </row>
    <row r="908" spans="1:27" ht="19.5" customHeight="1">
      <c r="A908" s="12" t="str">
        <f ca="1">IFERROR(__xludf.DUMMYFUNCTION("""COMPUTED_VALUE"""),"生活家電")</f>
        <v>生活家電</v>
      </c>
      <c r="B908" s="12" t="str">
        <f ca="1">IFERROR(__xludf.DUMMYFUNCTION("""COMPUTED_VALUE"""),"凱創")</f>
        <v>凱創</v>
      </c>
      <c r="C908" s="12" t="str">
        <f ca="1">IFERROR(__xludf.DUMMYFUNCTION("""COMPUTED_VALUE"""),"聲寶")</f>
        <v>聲寶</v>
      </c>
      <c r="D908" s="12" t="str">
        <f ca="1">IFERROR(__xludf.DUMMYFUNCTION("""COMPUTED_VALUE"""),"SAMPO聲寶14吋智能聲控3D循環DC立扇SK-GA14VBD")</f>
        <v>SAMPO聲寶14吋智能聲控3D循環DC立扇SK-GA14VBD</v>
      </c>
      <c r="E908" s="12" t="str">
        <f ca="1">IFERROR(__xludf.DUMMYFUNCTION("""COMPUTED_VALUE"""),"SK-GA14VBD")</f>
        <v>SK-GA14VBD</v>
      </c>
      <c r="F908" s="12">
        <f ca="1">IFERROR(__xludf.DUMMYFUNCTION("""COMPUTED_VALUE"""),51084331)</f>
        <v>51084331</v>
      </c>
      <c r="G908" s="12" t="str">
        <f ca="1">IFERROR(__xludf.DUMMYFUNCTION("""COMPUTED_VALUE"""),"IGEM1005")</f>
        <v>IGEM1005</v>
      </c>
      <c r="H908" s="13">
        <f ca="1">IFERROR(__xludf.DUMMYFUNCTION("""COMPUTED_VALUE"""),3288)</f>
        <v>3288</v>
      </c>
      <c r="I908" s="14">
        <f ca="1">IFERROR(__xludf.DUMMYFUNCTION("""COMPUTED_VALUE"""),2588)</f>
        <v>2588</v>
      </c>
      <c r="J908" s="16">
        <f ca="1">IFERROR(__xludf.DUMMYFUNCTION("""COMPUTED_VALUE"""),45475)</f>
        <v>45475</v>
      </c>
      <c r="K908" s="12" t="str">
        <f ca="1">IFERROR(__xludf.DUMMYFUNCTION("""COMPUTED_VALUE"""),"到貨")</f>
        <v>到貨</v>
      </c>
      <c r="L908" s="12" t="str">
        <f ca="1">IFERROR(__xludf.DUMMYFUNCTION("""COMPUTED_VALUE"""),"上架中")</f>
        <v>上架中</v>
      </c>
      <c r="M908" s="12" t="str">
        <f ca="1">IFERROR(__xludf.DUMMYFUNCTION("""COMPUTED_VALUE"""),"7/2少量到貨，6/13缺貨，6/1短促，2024/5/1新機上架")</f>
        <v>7/2少量到貨，6/13缺貨，6/1短促，2024/5/1新機上架</v>
      </c>
      <c r="N908" s="12" t="str">
        <f ca="1">IFERROR(__xludf.DUMMYFUNCTION("""COMPUTED_VALUE"""),"循環扇")</f>
        <v>循環扇</v>
      </c>
      <c r="O908" s="12" t="str">
        <f ca="1">IFERROR(__xludf.DUMMYFUNCTION("""COMPUTED_VALUE"""),"白")</f>
        <v>白</v>
      </c>
      <c r="P908" s="12" t="str">
        <f ca="1">IFERROR(__xludf.DUMMYFUNCTION("""COMPUTED_VALUE"""),"◆商品尺寸：寬38.5 x 高87~110 x 深37 (cm)
 ◆商品重量：3.32 Kg
 ◆額定電壓及額定頻率：110V/60Hz
 ◆總額定消耗電功率：30W
 ◆電源線長度：約1.7公尺
 ◆BSMI認證字號：R41A01(2027.01.29到期)")</f>
        <v>◆商品尺寸：寬38.5 x 高87~110 x 深37 (cm)
 ◆商品重量：3.32 Kg
 ◆額定電壓及額定頻率：110V/60Hz
 ◆總額定消耗電功率：30W
 ◆電源線長度：約1.7公尺
 ◆BSMI認證字號：R41A01(2027.01.29到期)</v>
      </c>
      <c r="Q908" s="12" t="str">
        <f ca="1">IFERROR(__xludf.DUMMYFUNCTION("""COMPUTED_VALUE"""),"870-1100x385x370 mm")</f>
        <v>870-1100x385x370 mm</v>
      </c>
      <c r="R908" s="12" t="str">
        <f ca="1">IFERROR(__xludf.DUMMYFUNCTION("""COMPUTED_VALUE"""),"中國")</f>
        <v>中國</v>
      </c>
      <c r="S908" s="12"/>
      <c r="T908" s="12"/>
      <c r="U908" s="22" t="str">
        <f ca="1">IFERROR(__xludf.DUMMYFUNCTION("""COMPUTED_VALUE"""),"正常使用下保固1年")</f>
        <v>正常使用下保固1年</v>
      </c>
      <c r="V908" s="12"/>
      <c r="W908" s="12"/>
      <c r="X908" s="12"/>
      <c r="Y908" s="12"/>
      <c r="Z908" s="14"/>
      <c r="AA908" s="15" t="str">
        <f ca="1">IFERROR(__xludf.DUMMYFUNCTION("""COMPUTED_VALUE"""),"*智慧聲控，免設定藍芽/網路/APP*簡易指令，只要說話不需遙控器*3D自動擺頭，全室空氣循環*節能DC直流馬達，省電60%*ECO溫控，偵測室溫自動調整*一般風/自然風/睡眠風3種模式")</f>
        <v>*智慧聲控，免設定藍芽/網路/APP*簡易指令，只要說話不需遙控器*3D自動擺頭，全室空氣循環*節能DC直流馬達，省電60%*ECO溫控，偵測室溫自動調整*一般風/自然風/睡眠風3種模式</v>
      </c>
    </row>
    <row r="909" spans="1:27" ht="19.5" customHeight="1">
      <c r="A909" s="12" t="str">
        <f ca="1">IFERROR(__xludf.DUMMYFUNCTION("""COMPUTED_VALUE"""),"生活家電")</f>
        <v>生活家電</v>
      </c>
      <c r="B909" s="12" t="str">
        <f ca="1">IFERROR(__xludf.DUMMYFUNCTION("""COMPUTED_VALUE"""),"凱創")</f>
        <v>凱創</v>
      </c>
      <c r="C909" s="12" t="str">
        <f ca="1">IFERROR(__xludf.DUMMYFUNCTION("""COMPUTED_VALUE"""),"Deep")</f>
        <v>Deep</v>
      </c>
      <c r="D909" s="12" t="str">
        <f ca="1">IFERROR(__xludf.DUMMYFUNCTION("""COMPUTED_VALUE"""),"Deep  多功能智控捕蚊燈 DB-A12W")</f>
        <v>Deep  多功能智控捕蚊燈 DB-A12W</v>
      </c>
      <c r="E909" s="12" t="str">
        <f ca="1">IFERROR(__xludf.DUMMYFUNCTION("""COMPUTED_VALUE"""),"DB-A12W")</f>
        <v>DB-A12W</v>
      </c>
      <c r="F909" s="12">
        <f ca="1">IFERROR(__xludf.DUMMYFUNCTION("""COMPUTED_VALUE"""),51084329)</f>
        <v>51084329</v>
      </c>
      <c r="G909" s="12" t="str">
        <f ca="1">IFERROR(__xludf.DUMMYFUNCTION("""COMPUTED_VALUE"""),"IGEM1003")</f>
        <v>IGEM1003</v>
      </c>
      <c r="H909" s="13">
        <f ca="1">IFERROR(__xludf.DUMMYFUNCTION("""COMPUTED_VALUE"""),1480)</f>
        <v>1480</v>
      </c>
      <c r="I909" s="14">
        <f ca="1">IFERROR(__xludf.DUMMYFUNCTION("""COMPUTED_VALUE"""),799)</f>
        <v>799</v>
      </c>
      <c r="J909" s="16">
        <f ca="1">IFERROR(__xludf.DUMMYFUNCTION("""COMPUTED_VALUE"""),45474)</f>
        <v>45474</v>
      </c>
      <c r="K909" s="12" t="str">
        <f ca="1">IFERROR(__xludf.DUMMYFUNCTION("""COMPUTED_VALUE"""),"短促")</f>
        <v>短促</v>
      </c>
      <c r="L909" s="12" t="str">
        <f ca="1">IFERROR(__xludf.DUMMYFUNCTION("""COMPUTED_VALUE"""),"上架中")</f>
        <v>上架中</v>
      </c>
      <c r="M909" s="12" t="str">
        <f ca="1">IFERROR(__xludf.DUMMYFUNCTION("""COMPUTED_VALUE"""),"7/1短促，2024/5/1新機上架")</f>
        <v>7/1短促，2024/5/1新機上架</v>
      </c>
      <c r="N909" s="12" t="str">
        <f ca="1">IFERROR(__xludf.DUMMYFUNCTION("""COMPUTED_VALUE"""),"捕蚊燈")</f>
        <v>捕蚊燈</v>
      </c>
      <c r="O909" s="12" t="str">
        <f ca="1">IFERROR(__xludf.DUMMYFUNCTION("""COMPUTED_VALUE"""),"白")</f>
        <v>白</v>
      </c>
      <c r="P909" s="12" t="str">
        <f ca="1">IFERROR(__xludf.DUMMYFUNCTION("""COMPUTED_VALUE"""),"◆機體尺寸：直徑200 mm X 高300 mm
 ◆機體重量：1.2 Kg
 ◆額定電壓：110V
 ◆額定頻率：60Hz
 ◆總消耗功率：12 W")</f>
        <v>◆機體尺寸：直徑200 mm X 高300 mm
 ◆機體重量：1.2 Kg
 ◆額定電壓：110V
 ◆額定頻率：60Hz
 ◆總消耗功率：12 W</v>
      </c>
      <c r="Q909" s="12" t="str">
        <f ca="1">IFERROR(__xludf.DUMMYFUNCTION("""COMPUTED_VALUE"""),"直徑200 mm X 高300 mm")</f>
        <v>直徑200 mm X 高300 mm</v>
      </c>
      <c r="R909" s="12" t="str">
        <f ca="1">IFERROR(__xludf.DUMMYFUNCTION("""COMPUTED_VALUE"""),"中國")</f>
        <v>中國</v>
      </c>
      <c r="S909" s="12"/>
      <c r="T909" s="12"/>
      <c r="U909" s="22" t="str">
        <f ca="1">IFERROR(__xludf.DUMMYFUNCTION("""COMPUTED_VALUE"""),"正常使用下保固1年")</f>
        <v>正常使用下保固1年</v>
      </c>
      <c r="V909" s="12"/>
      <c r="W909" s="12"/>
      <c r="X909" s="12"/>
      <c r="Y909" s="12"/>
      <c r="Z909" s="14"/>
      <c r="AA909" s="15" t="str">
        <f ca="1">IFERROR(__xludf.DUMMYFUNCTION("""COMPUTED_VALUE"""),"*智能光控開關*HCFL專用誘蚊燈*節能環保低功率*極致靜音，不影響睡眠*夜燈、氣氛燈、滅蚊燈3in1")</f>
        <v>*智能光控開關*HCFL專用誘蚊燈*節能環保低功率*極致靜音，不影響睡眠*夜燈、氣氛燈、滅蚊燈3in1</v>
      </c>
    </row>
    <row r="910" spans="1:27" ht="19.5" customHeight="1">
      <c r="A910" s="12" t="str">
        <f ca="1">IFERROR(__xludf.DUMMYFUNCTION("""COMPUTED_VALUE"""),"廚房家電")</f>
        <v>廚房家電</v>
      </c>
      <c r="B910" s="12" t="str">
        <f ca="1">IFERROR(__xludf.DUMMYFUNCTION("""COMPUTED_VALUE"""),"凱創")</f>
        <v>凱創</v>
      </c>
      <c r="C910" s="12" t="str">
        <f ca="1">IFERROR(__xludf.DUMMYFUNCTION("""COMPUTED_VALUE"""),"東元")</f>
        <v>東元</v>
      </c>
      <c r="D910" s="12" t="str">
        <f ca="1">IFERROR(__xludf.DUMMYFUNCTION("""COMPUTED_VALUE"""),"TECO5L智能溫控熱水瓶YD5201CBW")</f>
        <v>TECO5L智能溫控熱水瓶YD5201CBW</v>
      </c>
      <c r="E910" s="12" t="str">
        <f ca="1">IFERROR(__xludf.DUMMYFUNCTION("""COMPUTED_VALUE"""),"YD5201CBW")</f>
        <v>YD5201CBW</v>
      </c>
      <c r="F910" s="12">
        <f ca="1">IFERROR(__xludf.DUMMYFUNCTION("""COMPUTED_VALUE"""),51084162)</f>
        <v>51084162</v>
      </c>
      <c r="G910" s="12" t="str">
        <f ca="1">IFERROR(__xludf.DUMMYFUNCTION("""COMPUTED_VALUE"""),"IGEM012H")</f>
        <v>IGEM012H</v>
      </c>
      <c r="H910" s="12">
        <f ca="1">IFERROR(__xludf.DUMMYFUNCTION("""COMPUTED_VALUE"""),3490)</f>
        <v>3490</v>
      </c>
      <c r="I910" s="14">
        <f ca="1">IFERROR(__xludf.DUMMYFUNCTION("""COMPUTED_VALUE"""),2880)</f>
        <v>2880</v>
      </c>
      <c r="J910" s="12"/>
      <c r="K910" s="12"/>
      <c r="L910" s="12" t="str">
        <f ca="1">IFERROR(__xludf.DUMMYFUNCTION("""COMPUTED_VALUE"""),"上架中")</f>
        <v>上架中</v>
      </c>
      <c r="M910" s="12" t="str">
        <f ca="1">IFERROR(__xludf.DUMMYFUNCTION("""COMPUTED_VALUE"""),"2022/1/1再短促，2021/4/1短促，2019/4/24新機上架")</f>
        <v>2022/1/1再短促，2021/4/1短促，2019/4/24新機上架</v>
      </c>
      <c r="N910" s="12" t="str">
        <f ca="1">IFERROR(__xludf.DUMMYFUNCTION("""COMPUTED_VALUE"""),"開飲機")</f>
        <v>開飲機</v>
      </c>
      <c r="O910" s="12" t="str">
        <f ca="1">IFERROR(__xludf.DUMMYFUNCTION("""COMPUTED_VALUE"""),"白色")</f>
        <v>白色</v>
      </c>
      <c r="P910" s="12" t="str">
        <f ca="1">IFERROR(__xludf.DUMMYFUNCTION("""COMPUTED_VALUE"""),"5L")</f>
        <v>5L</v>
      </c>
      <c r="Q910" s="12" t="str">
        <f ca="1">IFERROR(__xludf.DUMMYFUNCTION("""COMPUTED_VALUE"""),"220x365x290mm")</f>
        <v>220x365x290mm</v>
      </c>
      <c r="R910" s="12" t="str">
        <f ca="1">IFERROR(__xludf.DUMMYFUNCTION("""COMPUTED_VALUE"""),"中國")</f>
        <v>中國</v>
      </c>
      <c r="S910" s="12" t="str">
        <f ca="1">IFERROR(__xludf.DUMMYFUNCTION("""COMPUTED_VALUE"""),"V")</f>
        <v>V</v>
      </c>
      <c r="T910" s="12" t="str">
        <f ca="1">IFERROR(__xludf.DUMMYFUNCTION("""COMPUTED_VALUE"""),"1級能效")</f>
        <v>1級能效</v>
      </c>
      <c r="U910" s="12" t="str">
        <f ca="1">IFERROR(__xludf.DUMMYFUNCTION("""COMPUTED_VALUE"""),"1年")</f>
        <v>1年</v>
      </c>
      <c r="V910" s="12" t="str">
        <f ca="1">IFERROR(__xludf.DUMMYFUNCTION("""COMPUTED_VALUE"""),"無")</f>
        <v>無</v>
      </c>
      <c r="W910" s="12"/>
      <c r="X910" s="12"/>
      <c r="Y910" s="12"/>
      <c r="Z910" s="14"/>
      <c r="AA910" s="15" t="str">
        <f ca="1">IFERROR(__xludf.DUMMYFUNCTION("""COMPUTED_VALUE"""),"*食用級304不鏽鋼*LED數位顯示螢幕大按鍵電動給水*7段溫控選*水位監測，缺水提示◆冷風快速降溫免等待*電動給水安全上鎖裝置*多重安全保護裝置*智能防乾燒保護")</f>
        <v>*食用級304不鏽鋼*LED數位顯示螢幕大按鍵電動給水*7段溫控選*水位監測，缺水提示◆冷風快速降溫免等待*電動給水安全上鎖裝置*多重安全保護裝置*智能防乾燒保護</v>
      </c>
    </row>
    <row r="911" spans="1:27" ht="19.5" customHeight="1">
      <c r="A911" s="12" t="str">
        <f ca="1">IFERROR(__xludf.DUMMYFUNCTION("""COMPUTED_VALUE"""),"廚房家電")</f>
        <v>廚房家電</v>
      </c>
      <c r="B911" s="12" t="str">
        <f ca="1">IFERROR(__xludf.DUMMYFUNCTION("""COMPUTED_VALUE"""),"凱創")</f>
        <v>凱創</v>
      </c>
      <c r="C911" s="12" t="str">
        <f ca="1">IFERROR(__xludf.DUMMYFUNCTION("""COMPUTED_VALUE"""),"奇美")</f>
        <v>奇美</v>
      </c>
      <c r="D911" s="12" t="str">
        <f ca="1">IFERROR(__xludf.DUMMYFUNCTION("""COMPUTED_VALUE"""),"奇美1.5L溫控快煮壺KT-15MDT0")</f>
        <v>奇美1.5L溫控快煮壺KT-15MDT0</v>
      </c>
      <c r="E911" s="12" t="str">
        <f ca="1">IFERROR(__xludf.DUMMYFUNCTION("""COMPUTED_VALUE"""),"KT-15MDT0")</f>
        <v>KT-15MDT0</v>
      </c>
      <c r="F911" s="12">
        <f ca="1">IFERROR(__xludf.DUMMYFUNCTION("""COMPUTED_VALUE"""),51084083)</f>
        <v>51084083</v>
      </c>
      <c r="G911" s="12" t="str">
        <f ca="1">IFERROR(__xludf.DUMMYFUNCTION("""COMPUTED_VALUE"""),"IGEM00SJ")</f>
        <v>IGEM00SJ</v>
      </c>
      <c r="H911" s="12">
        <f ca="1">IFERROR(__xludf.DUMMYFUNCTION("""COMPUTED_VALUE"""),2488)</f>
        <v>2488</v>
      </c>
      <c r="I911" s="14">
        <f ca="1">IFERROR(__xludf.DUMMYFUNCTION("""COMPUTED_VALUE"""),1788)</f>
        <v>1788</v>
      </c>
      <c r="J911" s="12"/>
      <c r="K911" s="12"/>
      <c r="L911" s="12" t="str">
        <f ca="1">IFERROR(__xludf.DUMMYFUNCTION("""COMPUTED_VALUE"""),"上架中")</f>
        <v>上架中</v>
      </c>
      <c r="M911" s="12" t="str">
        <f ca="1">IFERROR(__xludf.DUMMYFUNCTION("""COMPUTED_VALUE"""),"3/1短促，2018/12/14新機上架")</f>
        <v>3/1短促，2018/12/14新機上架</v>
      </c>
      <c r="N911" s="12" t="str">
        <f ca="1">IFERROR(__xludf.DUMMYFUNCTION("""COMPUTED_VALUE"""),"快煮壺/料理壺/手沖壺")</f>
        <v>快煮壺/料理壺/手沖壺</v>
      </c>
      <c r="O911" s="12" t="str">
        <f ca="1">IFERROR(__xludf.DUMMYFUNCTION("""COMPUTED_VALUE"""),"銀色")</f>
        <v>銀色</v>
      </c>
      <c r="P911" s="12" t="str">
        <f ca="1">IFERROR(__xludf.DUMMYFUNCTION("""COMPUTED_VALUE"""),"1.5L")</f>
        <v>1.5L</v>
      </c>
      <c r="Q911" s="12" t="str">
        <f ca="1">IFERROR(__xludf.DUMMYFUNCTION("""COMPUTED_VALUE"""),"225x137x230mm")</f>
        <v>225x137x230mm</v>
      </c>
      <c r="R911" s="12" t="str">
        <f ca="1">IFERROR(__xludf.DUMMYFUNCTION("""COMPUTED_VALUE"""),"中國")</f>
        <v>中國</v>
      </c>
      <c r="S911" s="12"/>
      <c r="T911" s="12"/>
      <c r="U911" s="12" t="str">
        <f ca="1">IFERROR(__xludf.DUMMYFUNCTION("""COMPUTED_VALUE"""),"1年")</f>
        <v>1年</v>
      </c>
      <c r="V911" s="12"/>
      <c r="W911" s="12"/>
      <c r="X911" s="12"/>
      <c r="Y911" s="12"/>
      <c r="Z911" s="14"/>
      <c r="AA911" s="15" t="str">
        <f ca="1">IFERROR(__xludf.DUMMYFUNCTION("""COMPUTED_VALUE"""),"*五級智能溫控：45、60、70、85、95度溫控加熱*可保溫45分鐘*可設定回溫、直接加溫的溫度。*四層防燙壺體、全鋼無縫內膽*73度下沿式壺嘴，倒水時更加順暢、集中*聚水環設計，防止波濺燙傷*304不鏽鋼上蓋、內膽。")</f>
        <v>*五級智能溫控：45、60、70、85、95度溫控加熱*可保溫45分鐘*可設定回溫、直接加溫的溫度。*四層防燙壺體、全鋼無縫內膽*73度下沿式壺嘴，倒水時更加順暢、集中*聚水環設計，防止波濺燙傷*304不鏽鋼上蓋、內膽。</v>
      </c>
    </row>
    <row r="912" spans="1:27" ht="19.5" customHeight="1">
      <c r="A912" s="12" t="str">
        <f ca="1">IFERROR(__xludf.DUMMYFUNCTION("""COMPUTED_VALUE"""),"廚房家電")</f>
        <v>廚房家電</v>
      </c>
      <c r="B912" s="12" t="str">
        <f ca="1">IFERROR(__xludf.DUMMYFUNCTION("""COMPUTED_VALUE"""),"凱創")</f>
        <v>凱創</v>
      </c>
      <c r="C912" s="12" t="str">
        <f ca="1">IFERROR(__xludf.DUMMYFUNCTION("""COMPUTED_VALUE"""),"奇美")</f>
        <v>奇美</v>
      </c>
      <c r="D912" s="12" t="str">
        <f ca="1">IFERROR(__xludf.DUMMYFUNCTION("""COMPUTED_VALUE"""),"CHIMEI奇美 1.5L萬用玻璃燉煮壺 KT-15SGM0")</f>
        <v>CHIMEI奇美 1.5L萬用玻璃燉煮壺 KT-15SGM0</v>
      </c>
      <c r="E912" s="12" t="str">
        <f ca="1">IFERROR(__xludf.DUMMYFUNCTION("""COMPUTED_VALUE"""),"KT-15SGM0")</f>
        <v>KT-15SGM0</v>
      </c>
      <c r="F912" s="12">
        <f ca="1">IFERROR(__xludf.DUMMYFUNCTION("""COMPUTED_VALUE"""),51057265)</f>
        <v>51057265</v>
      </c>
      <c r="G912" s="12" t="str">
        <f ca="1">IFERROR(__xludf.DUMMYFUNCTION("""COMPUTED_VALUE"""),"IGEM078E")</f>
        <v>IGEM078E</v>
      </c>
      <c r="H912" s="12">
        <f ca="1">IFERROR(__xludf.DUMMYFUNCTION("""COMPUTED_VALUE"""),3288)</f>
        <v>3288</v>
      </c>
      <c r="I912" s="14">
        <f ca="1">IFERROR(__xludf.DUMMYFUNCTION("""COMPUTED_VALUE"""),2280)</f>
        <v>2280</v>
      </c>
      <c r="J912" s="16">
        <f ca="1">IFERROR(__xludf.DUMMYFUNCTION("""COMPUTED_VALUE"""),45536)</f>
        <v>45536</v>
      </c>
      <c r="K912" s="12" t="str">
        <f ca="1">IFERROR(__xludf.DUMMYFUNCTION("""COMPUTED_VALUE"""),"回價")</f>
        <v>回價</v>
      </c>
      <c r="L912" s="12" t="str">
        <f ca="1">IFERROR(__xludf.DUMMYFUNCTION("""COMPUTED_VALUE"""),"上架中")</f>
        <v>上架中</v>
      </c>
      <c r="M912" s="12" t="str">
        <f ca="1">IFERROR(__xludf.DUMMYFUNCTION("""COMPUTED_VALUE"""),"2024/9/1回價，2024/8/1短促，2024/4/1短促，3/17新機上架")</f>
        <v>2024/9/1回價，2024/8/1短促，2024/4/1短促，3/17新機上架</v>
      </c>
      <c r="N912" s="12" t="str">
        <f ca="1">IFERROR(__xludf.DUMMYFUNCTION("""COMPUTED_VALUE"""),"快煮壺/料理壺/手沖壺")</f>
        <v>快煮壺/料理壺/手沖壺</v>
      </c>
      <c r="O912" s="12" t="str">
        <f ca="1">IFERROR(__xludf.DUMMYFUNCTION("""COMPUTED_VALUE"""),"深灰")</f>
        <v>深灰</v>
      </c>
      <c r="P912" s="12" t="str">
        <f ca="1">IFERROR(__xludf.DUMMYFUNCTION("""COMPUTED_VALUE"""),"1.5L")</f>
        <v>1.5L</v>
      </c>
      <c r="Q912" s="12" t="str">
        <f ca="1">IFERROR(__xludf.DUMMYFUNCTION("""COMPUTED_VALUE"""),"233x207x230mm")</f>
        <v>233x207x230mm</v>
      </c>
      <c r="R912" s="12" t="str">
        <f ca="1">IFERROR(__xludf.DUMMYFUNCTION("""COMPUTED_VALUE"""),"中國")</f>
        <v>中國</v>
      </c>
      <c r="S912" s="12"/>
      <c r="T912" s="12"/>
      <c r="U912" s="12" t="str">
        <f ca="1">IFERROR(__xludf.DUMMYFUNCTION("""COMPUTED_VALUE"""),"1年")</f>
        <v>1年</v>
      </c>
      <c r="V912" s="12"/>
      <c r="W912" s="12"/>
      <c r="X912" s="12"/>
      <c r="Y912" s="12"/>
      <c r="Z912" s="14"/>
      <c r="AA912" s="15" t="str">
        <f ca="1">IFERROR(__xludf.DUMMYFUNCTION("""COMPUTED_VALUE"""),"*可舒肥/燉煮/蒸蛋/泡茶/做甜品*智能變頻溫控烹調，8種模式選擇*可同時內炊外燉，一壺多用*40~90°C調溫+保溫2小時*觸水面皆通過食品級檢測標準*最長12小時預約，美味自動完成*超大顯示螢幕，掌握時間溫度")</f>
        <v>*可舒肥/燉煮/蒸蛋/泡茶/做甜品*智能變頻溫控烹調，8種模式選擇*可同時內炊外燉，一壺多用*40~90°C調溫+保溫2小時*觸水面皆通過食品級檢測標準*最長12小時預約，美味自動完成*超大顯示螢幕，掌握時間溫度</v>
      </c>
    </row>
    <row r="913" spans="1:27" ht="19.5" customHeight="1">
      <c r="A913" s="12" t="str">
        <f ca="1">IFERROR(__xludf.DUMMYFUNCTION("""COMPUTED_VALUE"""),"廚房家電")</f>
        <v>廚房家電</v>
      </c>
      <c r="B913" s="12" t="str">
        <f ca="1">IFERROR(__xludf.DUMMYFUNCTION("""COMPUTED_VALUE"""),"凱創")</f>
        <v>凱創</v>
      </c>
      <c r="C913" s="12" t="str">
        <f ca="1">IFERROR(__xludf.DUMMYFUNCTION("""COMPUTED_VALUE"""),"奇美")</f>
        <v>奇美</v>
      </c>
      <c r="D913" s="12" t="str">
        <f ca="1">IFERROR(__xludf.DUMMYFUNCTION("""COMPUTED_VALUE"""),"奇美IH電磁爐(銀色)FV-13M0MTS")</f>
        <v>奇美IH電磁爐(銀色)FV-13M0MTS</v>
      </c>
      <c r="E913" s="12" t="str">
        <f ca="1">IFERROR(__xludf.DUMMYFUNCTION("""COMPUTED_VALUE"""),"FV-13M0MTS")</f>
        <v>FV-13M0MTS</v>
      </c>
      <c r="F913" s="12">
        <f ca="1">IFERROR(__xludf.DUMMYFUNCTION("""COMPUTED_VALUE"""),51084084)</f>
        <v>51084084</v>
      </c>
      <c r="G913" s="12" t="str">
        <f ca="1">IFERROR(__xludf.DUMMYFUNCTION("""COMPUTED_VALUE"""),"IGEM00SK")</f>
        <v>IGEM00SK</v>
      </c>
      <c r="H913" s="12">
        <f ca="1">IFERROR(__xludf.DUMMYFUNCTION("""COMPUTED_VALUE"""),2688)</f>
        <v>2688</v>
      </c>
      <c r="I913" s="14">
        <f ca="1">IFERROR(__xludf.DUMMYFUNCTION("""COMPUTED_VALUE"""),1888)</f>
        <v>1888</v>
      </c>
      <c r="J913" s="12"/>
      <c r="K913" s="12"/>
      <c r="L913" s="12" t="str">
        <f ca="1">IFERROR(__xludf.DUMMYFUNCTION("""COMPUTED_VALUE"""),"上架中")</f>
        <v>上架中</v>
      </c>
      <c r="M913" s="12" t="str">
        <f ca="1">IFERROR(__xludf.DUMMYFUNCTION("""COMPUTED_VALUE"""),"2021/4/1短促，2019/1/28新品上架")</f>
        <v>2021/4/1短促，2019/1/28新品上架</v>
      </c>
      <c r="N913" s="12" t="str">
        <f ca="1">IFERROR(__xludf.DUMMYFUNCTION("""COMPUTED_VALUE"""),"電磁爐/電陶爐")</f>
        <v>電磁爐/電陶爐</v>
      </c>
      <c r="O913" s="12" t="str">
        <f ca="1">IFERROR(__xludf.DUMMYFUNCTION("""COMPUTED_VALUE"""),"銀色")</f>
        <v>銀色</v>
      </c>
      <c r="P913" s="12" t="str">
        <f ca="1">IFERROR(__xludf.DUMMYFUNCTION("""COMPUTED_VALUE"""),"無")</f>
        <v>無</v>
      </c>
      <c r="Q913" s="12" t="str">
        <f ca="1">IFERROR(__xludf.DUMMYFUNCTION("""COMPUTED_VALUE"""),"250x250x65mm")</f>
        <v>250x250x65mm</v>
      </c>
      <c r="R913" s="12" t="str">
        <f ca="1">IFERROR(__xludf.DUMMYFUNCTION("""COMPUTED_VALUE"""),"中國")</f>
        <v>中國</v>
      </c>
      <c r="S913" s="12"/>
      <c r="T913" s="12"/>
      <c r="U913" s="12" t="str">
        <f ca="1">IFERROR(__xludf.DUMMYFUNCTION("""COMPUTED_VALUE"""),"1年")</f>
        <v>1年</v>
      </c>
      <c r="V913" s="12"/>
      <c r="W913" s="12"/>
      <c r="X913" s="12"/>
      <c r="Y913" s="12"/>
      <c r="Z913" s="14"/>
      <c r="AA913" s="15" t="str">
        <f ca="1">IFERROR(__xludf.DUMMYFUNCTION("""COMPUTED_VALUE"""),"*體積輕巧，收納方便*低噪音，較傳統電磁爐減少25%分貝噪音*黑晶面板好清潔*旋鈕+觸碰式好操作")</f>
        <v>*體積輕巧，收納方便*低噪音，較傳統電磁爐減少25%分貝噪音*黑晶面板好清潔*旋鈕+觸碰式好操作</v>
      </c>
    </row>
    <row r="914" spans="1:27" ht="19.5" customHeight="1">
      <c r="A914" s="12" t="str">
        <f ca="1">IFERROR(__xludf.DUMMYFUNCTION("""COMPUTED_VALUE"""),"廚房家電")</f>
        <v>廚房家電</v>
      </c>
      <c r="B914" s="12" t="str">
        <f ca="1">IFERROR(__xludf.DUMMYFUNCTION("""COMPUTED_VALUE"""),"凱創")</f>
        <v>凱創</v>
      </c>
      <c r="C914" s="12" t="str">
        <f ca="1">IFERROR(__xludf.DUMMYFUNCTION("""COMPUTED_VALUE"""),"奇美")</f>
        <v>奇美</v>
      </c>
      <c r="D914" s="12" t="str">
        <f ca="1">IFERROR(__xludf.DUMMYFUNCTION("""COMPUTED_VALUE"""),"奇美10L遠紅外線蒸氣烤箱EV-10T0AK")</f>
        <v>奇美10L遠紅外線蒸氣烤箱EV-10T0AK</v>
      </c>
      <c r="E914" s="12" t="str">
        <f ca="1">IFERROR(__xludf.DUMMYFUNCTION("""COMPUTED_VALUE"""),"EV-10T0AK")</f>
        <v>EV-10T0AK</v>
      </c>
      <c r="F914" s="12">
        <f ca="1">IFERROR(__xludf.DUMMYFUNCTION("""COMPUTED_VALUE"""),51084115)</f>
        <v>51084115</v>
      </c>
      <c r="G914" s="12" t="str">
        <f ca="1">IFERROR(__xludf.DUMMYFUNCTION("""COMPUTED_VALUE"""),"IGEM0204")</f>
        <v>IGEM0204</v>
      </c>
      <c r="H914" s="12">
        <f ca="1">IFERROR(__xludf.DUMMYFUNCTION("""COMPUTED_VALUE"""),2288)</f>
        <v>2288</v>
      </c>
      <c r="I914" s="14">
        <f ca="1">IFERROR(__xludf.DUMMYFUNCTION("""COMPUTED_VALUE"""),1888)</f>
        <v>1888</v>
      </c>
      <c r="J914" s="12"/>
      <c r="K914" s="12"/>
      <c r="L914" s="12" t="str">
        <f ca="1">IFERROR(__xludf.DUMMYFUNCTION("""COMPUTED_VALUE"""),"上架中")</f>
        <v>上架中</v>
      </c>
      <c r="M914" s="12" t="str">
        <f ca="1">IFERROR(__xludf.DUMMYFUNCTION("""COMPUTED_VALUE"""),"2022/1/1短促，2019/12/12新機上架")</f>
        <v>2022/1/1短促，2019/12/12新機上架</v>
      </c>
      <c r="N914" s="12" t="str">
        <f ca="1">IFERROR(__xludf.DUMMYFUNCTION("""COMPUTED_VALUE"""),"烤箱")</f>
        <v>烤箱</v>
      </c>
      <c r="O914" s="12" t="str">
        <f ca="1">IFERROR(__xludf.DUMMYFUNCTION("""COMPUTED_VALUE"""),"黑")</f>
        <v>黑</v>
      </c>
      <c r="P914" s="12" t="str">
        <f ca="1">IFERROR(__xludf.DUMMYFUNCTION("""COMPUTED_VALUE"""),"10L")</f>
        <v>10L</v>
      </c>
      <c r="Q914" s="12" t="str">
        <f ca="1">IFERROR(__xludf.DUMMYFUNCTION("""COMPUTED_VALUE"""),"313×236×250mm")</f>
        <v>313×236×250mm</v>
      </c>
      <c r="R914" s="12" t="str">
        <f ca="1">IFERROR(__xludf.DUMMYFUNCTION("""COMPUTED_VALUE"""),"中國")</f>
        <v>中國</v>
      </c>
      <c r="S914" s="12"/>
      <c r="T914" s="12"/>
      <c r="U914" s="22" t="str">
        <f ca="1">IFERROR(__xludf.DUMMYFUNCTION("""COMPUTED_VALUE"""),"1年")</f>
        <v>1年</v>
      </c>
      <c r="V914" s="12"/>
      <c r="W914" s="12"/>
      <c r="X914" s="12"/>
      <c r="Y914" s="12"/>
      <c r="Z914" s="14"/>
      <c r="AA914" s="15" t="str">
        <f ca="1">IFERROR(__xludf.DUMMYFUNCTION("""COMPUTED_VALUE"""),"*遠紅外線光-快速穿透、外酥*蒸氣循環-內軟，鎖住水份與香氣*輕巧尺寸-預熱快、省時省電省空間")</f>
        <v>*遠紅外線光-快速穿透、外酥*蒸氣循環-內軟，鎖住水份與香氣*輕巧尺寸-預熱快、省時省電省空間</v>
      </c>
    </row>
    <row r="915" spans="1:27" ht="19.5" customHeight="1">
      <c r="A915" s="12" t="str">
        <f ca="1">IFERROR(__xludf.DUMMYFUNCTION("""COMPUTED_VALUE"""),"廚房家電")</f>
        <v>廚房家電</v>
      </c>
      <c r="B915" s="12" t="str">
        <f ca="1">IFERROR(__xludf.DUMMYFUNCTION("""COMPUTED_VALUE"""),"凱創")</f>
        <v>凱創</v>
      </c>
      <c r="C915" s="12" t="str">
        <f ca="1">IFERROR(__xludf.DUMMYFUNCTION("""COMPUTED_VALUE"""),"奇美")</f>
        <v>奇美</v>
      </c>
      <c r="D915" s="12" t="str">
        <f ca="1">IFERROR(__xludf.DUMMYFUNCTION("""COMPUTED_VALUE"""),"奇美4.5L微電腦觸控電熱水瓶WB-45FX00")</f>
        <v>奇美4.5L微電腦觸控電熱水瓶WB-45FX00</v>
      </c>
      <c r="E915" s="12" t="str">
        <f ca="1">IFERROR(__xludf.DUMMYFUNCTION("""COMPUTED_VALUE"""),"WB-45FX00")</f>
        <v>WB-45FX00</v>
      </c>
      <c r="F915" s="12">
        <f ca="1">IFERROR(__xludf.DUMMYFUNCTION("""COMPUTED_VALUE"""),51084218)</f>
        <v>51084218</v>
      </c>
      <c r="G915" s="12" t="str">
        <f ca="1">IFERROR(__xludf.DUMMYFUNCTION("""COMPUTED_VALUE"""),"IGEM029B")</f>
        <v>IGEM029B</v>
      </c>
      <c r="H915" s="12">
        <f ca="1">IFERROR(__xludf.DUMMYFUNCTION("""COMPUTED_VALUE"""),2488)</f>
        <v>2488</v>
      </c>
      <c r="I915" s="14">
        <f ca="1">IFERROR(__xludf.DUMMYFUNCTION("""COMPUTED_VALUE"""),1988)</f>
        <v>1988</v>
      </c>
      <c r="J915" s="12"/>
      <c r="K915" s="12"/>
      <c r="L915" s="12" t="str">
        <f ca="1">IFERROR(__xludf.DUMMYFUNCTION("""COMPUTED_VALUE"""),"上架中")</f>
        <v>上架中</v>
      </c>
      <c r="M915" s="12" t="str">
        <f ca="1">IFERROR(__xludf.DUMMYFUNCTION("""COMPUTED_VALUE"""),"3/1回價，2021/8/1短促，2021/1新機")</f>
        <v>3/1回價，2021/8/1短促，2021/1新機</v>
      </c>
      <c r="N915" s="12" t="str">
        <f ca="1">IFERROR(__xludf.DUMMYFUNCTION("""COMPUTED_VALUE"""),"熱水瓶")</f>
        <v>熱水瓶</v>
      </c>
      <c r="O915" s="12" t="str">
        <f ca="1">IFERROR(__xludf.DUMMYFUNCTION("""COMPUTED_VALUE"""),"白")</f>
        <v>白</v>
      </c>
      <c r="P915" s="12" t="str">
        <f ca="1">IFERROR(__xludf.DUMMYFUNCTION("""COMPUTED_VALUE"""),"容量：4.5L
重量：2.7Kg")</f>
        <v>容量：4.5L
重量：2.7Kg</v>
      </c>
      <c r="Q915" s="12" t="str">
        <f ca="1">IFERROR(__xludf.DUMMYFUNCTION("""COMPUTED_VALUE"""),"高356x寬236x長293mm")</f>
        <v>高356x寬236x長293mm</v>
      </c>
      <c r="R915" s="12" t="str">
        <f ca="1">IFERROR(__xludf.DUMMYFUNCTION("""COMPUTED_VALUE"""),"中國")</f>
        <v>中國</v>
      </c>
      <c r="S915" s="12"/>
      <c r="T915" s="12"/>
      <c r="U915" s="22" t="str">
        <f ca="1">IFERROR(__xludf.DUMMYFUNCTION("""COMPUTED_VALUE"""),"保固1年")</f>
        <v>保固1年</v>
      </c>
      <c r="V915" s="12"/>
      <c r="W915" s="12"/>
      <c r="X915" s="12"/>
      <c r="Y915" s="12"/>
      <c r="Z915" s="14"/>
      <c r="AA915" s="15" t="str">
        <f ca="1">IFERROR(__xludf.DUMMYFUNCTION("""COMPUTED_VALUE"""),"*304不鏽鋼內膽，安全無毒*6段溫控設計，泡什麼都方便*節電裝置，更省電省錢*可加熱不煮沸，無需等待滾水冷卻*防乾燒機制使用更安心")</f>
        <v>*304不鏽鋼內膽，安全無毒*6段溫控設計，泡什麼都方便*節電裝置，更省電省錢*可加熱不煮沸，無需等待滾水冷卻*防乾燒機制使用更安心</v>
      </c>
    </row>
    <row r="916" spans="1:27" ht="19.5" customHeight="1">
      <c r="A916" s="12" t="str">
        <f ca="1">IFERROR(__xludf.DUMMYFUNCTION("""COMPUTED_VALUE"""),"廚房家電")</f>
        <v>廚房家電</v>
      </c>
      <c r="B916" s="12" t="str">
        <f ca="1">IFERROR(__xludf.DUMMYFUNCTION("""COMPUTED_VALUE"""),"凱創")</f>
        <v>凱創</v>
      </c>
      <c r="C916" s="12" t="str">
        <f ca="1">IFERROR(__xludf.DUMMYFUNCTION("""COMPUTED_VALUE"""),"奇美")</f>
        <v>奇美</v>
      </c>
      <c r="D916" s="12" t="str">
        <f ca="1">IFERROR(__xludf.DUMMYFUNCTION("""COMPUTED_VALUE"""),"奇美20L全自動轉盤微波爐MV-20C0PK")</f>
        <v>奇美20L全自動轉盤微波爐MV-20C0PK</v>
      </c>
      <c r="E916" s="12" t="str">
        <f ca="1">IFERROR(__xludf.DUMMYFUNCTION("""COMPUTED_VALUE"""),"MV-20C0PK")</f>
        <v>MV-20C0PK</v>
      </c>
      <c r="F916" s="12">
        <f ca="1">IFERROR(__xludf.DUMMYFUNCTION("""COMPUTED_VALUE"""),51084219)</f>
        <v>51084219</v>
      </c>
      <c r="G916" s="12" t="str">
        <f ca="1">IFERROR(__xludf.DUMMYFUNCTION("""COMPUTED_VALUE"""),"IGEM029C")</f>
        <v>IGEM029C</v>
      </c>
      <c r="H916" s="12">
        <f ca="1">IFERROR(__xludf.DUMMYFUNCTION("""COMPUTED_VALUE"""),2290)</f>
        <v>2290</v>
      </c>
      <c r="I916" s="14">
        <f ca="1">IFERROR(__xludf.DUMMYFUNCTION("""COMPUTED_VALUE"""),1988)</f>
        <v>1988</v>
      </c>
      <c r="J916" s="16">
        <f ca="1">IFERROR(__xludf.DUMMYFUNCTION("""COMPUTED_VALUE"""),45717)</f>
        <v>45717</v>
      </c>
      <c r="K916" s="12" t="str">
        <f ca="1">IFERROR(__xludf.DUMMYFUNCTION("""COMPUTED_VALUE"""),"短促")</f>
        <v>短促</v>
      </c>
      <c r="L916" s="12" t="str">
        <f ca="1">IFERROR(__xludf.DUMMYFUNCTION("""COMPUTED_VALUE"""),"上架中")</f>
        <v>上架中</v>
      </c>
      <c r="M916" s="12" t="str">
        <f ca="1">IFERROR(__xludf.DUMMYFUNCTION("""COMPUTED_VALUE"""),"3/1回價，2021/4/1短促，2021/1新機")</f>
        <v>3/1回價，2021/4/1短促，2021/1新機</v>
      </c>
      <c r="N916" s="12" t="str">
        <f ca="1">IFERROR(__xludf.DUMMYFUNCTION("""COMPUTED_VALUE"""),"微波爐")</f>
        <v>微波爐</v>
      </c>
      <c r="O916" s="12" t="str">
        <f ca="1">IFERROR(__xludf.DUMMYFUNCTION("""COMPUTED_VALUE"""),"簡約白")</f>
        <v>簡約白</v>
      </c>
      <c r="P916" s="12" t="str">
        <f ca="1">IFERROR(__xludf.DUMMYFUNCTION("""COMPUTED_VALUE"""),"10.7kg
")</f>
        <v xml:space="preserve">10.7kg
</v>
      </c>
      <c r="Q916" s="12" t="str">
        <f ca="1">IFERROR(__xludf.DUMMYFUNCTION("""COMPUTED_VALUE"""),"高259X寬328X長440mm")</f>
        <v>高259X寬328X長440mm</v>
      </c>
      <c r="R916" s="12" t="str">
        <f ca="1">IFERROR(__xludf.DUMMYFUNCTION("""COMPUTED_VALUE"""),"中國")</f>
        <v>中國</v>
      </c>
      <c r="S916" s="12"/>
      <c r="T916" s="12"/>
      <c r="U916" s="22" t="str">
        <f ca="1">IFERROR(__xludf.DUMMYFUNCTION("""COMPUTED_VALUE"""),"保固1年")</f>
        <v>保固1年</v>
      </c>
      <c r="V916" s="12"/>
      <c r="W916" s="12"/>
      <c r="X916" s="12"/>
      <c r="Y916" s="12"/>
      <c r="Z916" s="14"/>
      <c r="AA916" s="15" t="str">
        <f ca="1">IFERROR(__xludf.DUMMYFUNCTION("""COMPUTED_VALUE"""),"*5段火力模式：低火(保溫)中低火(解凍)中火(悶燉)中高火(烹煮)高火(快速加熱)*360度全自動轉盤*0.2~1kg重量解凍*25cm厚玻璃轉盤*開門斷電設計*多層防護玻璃門*易清潔內腔：內腔表面光滑平整*安全低輻射*定時響鈴提醒")</f>
        <v>*5段火力模式：低火(保溫)中低火(解凍)中火(悶燉)中高火(烹煮)高火(快速加熱)*360度全自動轉盤*0.2~1kg重量解凍*25cm厚玻璃轉盤*開門斷電設計*多層防護玻璃門*易清潔內腔：內腔表面光滑平整*安全低輻射*定時響鈴提醒</v>
      </c>
    </row>
    <row r="917" spans="1:27" ht="19.5" customHeight="1">
      <c r="A917" s="12" t="str">
        <f ca="1">IFERROR(__xludf.DUMMYFUNCTION("""COMPUTED_VALUE"""),"廚房家電")</f>
        <v>廚房家電</v>
      </c>
      <c r="B917" s="12" t="str">
        <f ca="1">IFERROR(__xludf.DUMMYFUNCTION("""COMPUTED_VALUE"""),"凱創")</f>
        <v>凱創</v>
      </c>
      <c r="C917" s="12" t="str">
        <f ca="1">IFERROR(__xludf.DUMMYFUNCTION("""COMPUTED_VALUE"""),"奇美")</f>
        <v>奇美</v>
      </c>
      <c r="D917" s="12" t="str">
        <f ca="1">IFERROR(__xludf.DUMMYFUNCTION("""COMPUTED_VALUE"""),"奇美不銹鋼厚片吐司機EV-02S0AK")</f>
        <v>奇美不銹鋼厚片吐司機EV-02S0AK</v>
      </c>
      <c r="E917" s="12" t="str">
        <f ca="1">IFERROR(__xludf.DUMMYFUNCTION("""COMPUTED_VALUE"""),"EV-02S0AK")</f>
        <v>EV-02S0AK</v>
      </c>
      <c r="F917" s="12">
        <f ca="1">IFERROR(__xludf.DUMMYFUNCTION("""COMPUTED_VALUE"""),51084220)</f>
        <v>51084220</v>
      </c>
      <c r="G917" s="12" t="str">
        <f ca="1">IFERROR(__xludf.DUMMYFUNCTION("""COMPUTED_VALUE"""),"IGEM029D")</f>
        <v>IGEM029D</v>
      </c>
      <c r="H917" s="12">
        <f ca="1">IFERROR(__xludf.DUMMYFUNCTION("""COMPUTED_VALUE"""),1099)</f>
        <v>1099</v>
      </c>
      <c r="I917" s="14">
        <f ca="1">IFERROR(__xludf.DUMMYFUNCTION("""COMPUTED_VALUE"""),799)</f>
        <v>799</v>
      </c>
      <c r="J917" s="12"/>
      <c r="K917" s="12"/>
      <c r="L917" s="12" t="str">
        <f ca="1">IFERROR(__xludf.DUMMYFUNCTION("""COMPUTED_VALUE"""),"上架中")</f>
        <v>上架中</v>
      </c>
      <c r="M917" s="12" t="str">
        <f ca="1">IFERROR(__xludf.DUMMYFUNCTION("""COMPUTED_VALUE"""),"2024/2/1回價，2021/6/1短促，2021/2/1新機上架")</f>
        <v>2024/2/1回價，2021/6/1短促，2021/2/1新機上架</v>
      </c>
      <c r="N917" s="12" t="str">
        <f ca="1">IFERROR(__xludf.DUMMYFUNCTION("""COMPUTED_VALUE"""),"鬆餅/三明治/點心機")</f>
        <v>鬆餅/三明治/點心機</v>
      </c>
      <c r="O917" s="12" t="str">
        <f ca="1">IFERROR(__xludf.DUMMYFUNCTION("""COMPUTED_VALUE"""),"銀")</f>
        <v>銀</v>
      </c>
      <c r="P917" s="12" t="str">
        <f ca="1">IFERROR(__xludf.DUMMYFUNCTION("""COMPUTED_VALUE"""),"0.83kg")</f>
        <v>0.83kg</v>
      </c>
      <c r="Q917" s="12" t="str">
        <f ca="1">IFERROR(__xludf.DUMMYFUNCTION("""COMPUTED_VALUE"""),"高172×寬248×深150mm")</f>
        <v>高172×寬248×深150mm</v>
      </c>
      <c r="R917" s="12" t="str">
        <f ca="1">IFERROR(__xludf.DUMMYFUNCTION("""COMPUTED_VALUE"""),"中國")</f>
        <v>中國</v>
      </c>
      <c r="S917" s="12"/>
      <c r="T917" s="12"/>
      <c r="U917" s="22" t="str">
        <f ca="1">IFERROR(__xludf.DUMMYFUNCTION("""COMPUTED_VALUE"""),"保固1年")</f>
        <v>保固1年</v>
      </c>
      <c r="V917" s="12"/>
      <c r="W917" s="12"/>
      <c r="X917" s="12"/>
      <c r="Y917" s="12"/>
      <c r="Z917" s="14"/>
      <c r="AA917" s="15" t="str">
        <f ca="1">IFERROR(__xludf.DUMMYFUNCTION("""COMPUTED_VALUE"""),"*6段烤色：1-6段式烘烤濃度設定*不銹鋼機身*3段模式：解凍模式／再加熱/停止烘烤*抽取式集屑盤*安全斷電")</f>
        <v>*6段烤色：1-6段式烘烤濃度設定*不銹鋼機身*3段模式：解凍模式／再加熱/停止烘烤*抽取式集屑盤*安全斷電</v>
      </c>
    </row>
    <row r="918" spans="1:27" ht="19.5" customHeight="1">
      <c r="A918" s="12" t="str">
        <f ca="1">IFERROR(__xludf.DUMMYFUNCTION("""COMPUTED_VALUE"""),"廚房家電")</f>
        <v>廚房家電</v>
      </c>
      <c r="B918" s="12" t="str">
        <f ca="1">IFERROR(__xludf.DUMMYFUNCTION("""COMPUTED_VALUE"""),"凱創")</f>
        <v>凱創</v>
      </c>
      <c r="C918" s="12" t="str">
        <f ca="1">IFERROR(__xludf.DUMMYFUNCTION("""COMPUTED_VALUE"""),"奇美")</f>
        <v>奇美</v>
      </c>
      <c r="D918" s="12" t="str">
        <f ca="1">IFERROR(__xludf.DUMMYFUNCTION("""COMPUTED_VALUE"""),"奇美85L四層紫外線烘碗機KD-85FBL0")</f>
        <v>奇美85L四層紫外線烘碗機KD-85FBL0</v>
      </c>
      <c r="E918" s="12" t="str">
        <f ca="1">IFERROR(__xludf.DUMMYFUNCTION("""COMPUTED_VALUE"""),"KD-85FBL0")</f>
        <v>KD-85FBL0</v>
      </c>
      <c r="F918" s="12">
        <f ca="1">IFERROR(__xludf.DUMMYFUNCTION("""COMPUTED_VALUE"""),51084221)</f>
        <v>51084221</v>
      </c>
      <c r="G918" s="12" t="str">
        <f ca="1">IFERROR(__xludf.DUMMYFUNCTION("""COMPUTED_VALUE"""),"IGEM029E")</f>
        <v>IGEM029E</v>
      </c>
      <c r="H918" s="12">
        <f ca="1">IFERROR(__xludf.DUMMYFUNCTION("""COMPUTED_VALUE"""),5488)</f>
        <v>5488</v>
      </c>
      <c r="I918" s="14">
        <f ca="1">IFERROR(__xludf.DUMMYFUNCTION("""COMPUTED_VALUE"""),4388)</f>
        <v>4388</v>
      </c>
      <c r="J918" s="16">
        <f ca="1">IFERROR(__xludf.DUMMYFUNCTION("""COMPUTED_VALUE"""),45310)</f>
        <v>45310</v>
      </c>
      <c r="K918" s="12" t="str">
        <f ca="1">IFERROR(__xludf.DUMMYFUNCTION("""COMPUTED_VALUE"""),"短促")</f>
        <v>短促</v>
      </c>
      <c r="L918" s="12" t="str">
        <f ca="1">IFERROR(__xludf.DUMMYFUNCTION("""COMPUTED_VALUE"""),"上架中")</f>
        <v>上架中</v>
      </c>
      <c r="M918" s="12" t="str">
        <f ca="1">IFERROR(__xludf.DUMMYFUNCTION("""COMPUTED_VALUE"""),"2024/1/19-3/31短促，2021/1新機")</f>
        <v>2024/1/19-3/31短促，2021/1新機</v>
      </c>
      <c r="N918" s="12" t="str">
        <f ca="1">IFERROR(__xludf.DUMMYFUNCTION("""COMPUTED_VALUE"""),"洗/烘碗機")</f>
        <v>洗/烘碗機</v>
      </c>
      <c r="O918" s="12" t="str">
        <f ca="1">IFERROR(__xludf.DUMMYFUNCTION("""COMPUTED_VALUE"""),"白")</f>
        <v>白</v>
      </c>
      <c r="P918" s="12" t="str">
        <f ca="1">IFERROR(__xludf.DUMMYFUNCTION("""COMPUTED_VALUE"""),"13.5KG
")</f>
        <v xml:space="preserve">13.5KG
</v>
      </c>
      <c r="Q918" s="12" t="str">
        <f ca="1">IFERROR(__xludf.DUMMYFUNCTION("""COMPUTED_VALUE"""),"高708x寬470x深390mm
")</f>
        <v xml:space="preserve">高708x寬470x深390mm
</v>
      </c>
      <c r="R918" s="12" t="str">
        <f ca="1">IFERROR(__xludf.DUMMYFUNCTION("""COMPUTED_VALUE"""),"台灣")</f>
        <v>台灣</v>
      </c>
      <c r="S918" s="12"/>
      <c r="T918" s="12"/>
      <c r="U918" s="22" t="str">
        <f ca="1">IFERROR(__xludf.DUMMYFUNCTION("""COMPUTED_VALUE"""),"保固1年")</f>
        <v>保固1年</v>
      </c>
      <c r="V918" s="12"/>
      <c r="W918" s="12"/>
      <c r="X918" s="12"/>
      <c r="Y918" s="12"/>
      <c r="Z918" s="14"/>
      <c r="AA918" s="15" t="str">
        <f ca="1">IFERROR(__xludf.DUMMYFUNCTION("""COMPUTED_VALUE"""),"*烘乾可獨立操作，殺菌、除螨、消毒*可調式層架，85L大容量*高溫烘乾*內腔與層架採不銹鋼設計*安全溫控裝置*防蟑矽膠條*防爆強化玻璃門*紫外線自動熄滅*10秒警示音提醒*LED燈照明")</f>
        <v>*烘乾可獨立操作，殺菌、除螨、消毒*可調式層架，85L大容量*高溫烘乾*內腔與層架採不銹鋼設計*安全溫控裝置*防蟑矽膠條*防爆強化玻璃門*紫外線自動熄滅*10秒警示音提醒*LED燈照明</v>
      </c>
    </row>
    <row r="919" spans="1:27" ht="19.5" customHeight="1">
      <c r="A919" s="12" t="str">
        <f ca="1">IFERROR(__xludf.DUMMYFUNCTION("""COMPUTED_VALUE"""),"廚房家電")</f>
        <v>廚房家電</v>
      </c>
      <c r="B919" s="12" t="str">
        <f ca="1">IFERROR(__xludf.DUMMYFUNCTION("""COMPUTED_VALUE"""),"凱創")</f>
        <v>凱創</v>
      </c>
      <c r="C919" s="12" t="str">
        <f ca="1">IFERROR(__xludf.DUMMYFUNCTION("""COMPUTED_VALUE"""),"奇美")</f>
        <v>奇美</v>
      </c>
      <c r="D919" s="12" t="str">
        <f ca="1">IFERROR(__xludf.DUMMYFUNCTION("""COMPUTED_VALUE"""),"奇美18公升家用電烤箱(EV-18C0AK)")</f>
        <v>奇美18公升家用電烤箱(EV-18C0AK)</v>
      </c>
      <c r="E919" s="12" t="str">
        <f ca="1">IFERROR(__xludf.DUMMYFUNCTION("""COMPUTED_VALUE"""),"EV-18C0AK")</f>
        <v>EV-18C0AK</v>
      </c>
      <c r="F919" s="12">
        <f ca="1">IFERROR(__xludf.DUMMYFUNCTION("""COMPUTED_VALUE"""),51084223)</f>
        <v>51084223</v>
      </c>
      <c r="G919" s="12" t="str">
        <f ca="1">IFERROR(__xludf.DUMMYFUNCTION("""COMPUTED_VALUE"""),"IGEM029G")</f>
        <v>IGEM029G</v>
      </c>
      <c r="H919" s="12">
        <f ca="1">IFERROR(__xludf.DUMMYFUNCTION("""COMPUTED_VALUE"""),1588)</f>
        <v>1588</v>
      </c>
      <c r="I919" s="14">
        <f ca="1">IFERROR(__xludf.DUMMYFUNCTION("""COMPUTED_VALUE"""),1488)</f>
        <v>1488</v>
      </c>
      <c r="J919" s="12"/>
      <c r="K919" s="12"/>
      <c r="L919" s="12" t="str">
        <f ca="1">IFERROR(__xludf.DUMMYFUNCTION("""COMPUTED_VALUE"""),"上架中")</f>
        <v>上架中</v>
      </c>
      <c r="M919" s="12" t="str">
        <f ca="1">IFERROR(__xludf.DUMMYFUNCTION("""COMPUTED_VALUE"""),"3/1回價，2023/1/1回價，2022/11/1短促，2021/5/1短促，2021/1新機")</f>
        <v>3/1回價，2023/1/1回價，2022/11/1短促，2021/5/1短促，2021/1新機</v>
      </c>
      <c r="N919" s="12" t="str">
        <f ca="1">IFERROR(__xludf.DUMMYFUNCTION("""COMPUTED_VALUE"""),"烤箱")</f>
        <v>烤箱</v>
      </c>
      <c r="O919" s="12" t="str">
        <f ca="1">IFERROR(__xludf.DUMMYFUNCTION("""COMPUTED_VALUE"""),"黑")</f>
        <v>黑</v>
      </c>
      <c r="P919" s="12" t="str">
        <f ca="1">IFERROR(__xludf.DUMMYFUNCTION("""COMPUTED_VALUE"""),"6.4KG")</f>
        <v>6.4KG</v>
      </c>
      <c r="Q919" s="12" t="str">
        <f ca="1">IFERROR(__xludf.DUMMYFUNCTION("""COMPUTED_VALUE"""),"高212*寬270*長376mm
")</f>
        <v xml:space="preserve">高212*寬270*長376mm
</v>
      </c>
      <c r="R919" s="12" t="str">
        <f ca="1">IFERROR(__xludf.DUMMYFUNCTION("""COMPUTED_VALUE"""),"中國")</f>
        <v>中國</v>
      </c>
      <c r="S919" s="12"/>
      <c r="T919" s="12"/>
      <c r="U919" s="22" t="str">
        <f ca="1">IFERROR(__xludf.DUMMYFUNCTION("""COMPUTED_VALUE"""),"保固1年")</f>
        <v>保固1年</v>
      </c>
      <c r="V919" s="12"/>
      <c r="W919" s="12"/>
      <c r="X919" s="12"/>
      <c r="Y919" s="12"/>
      <c r="Z919" s="14"/>
      <c r="AA919" s="15" t="str">
        <f ca="1">IFERROR(__xludf.DUMMYFUNCTION("""COMPUTED_VALUE"""),"*100~230度溫度控制*上下火溫控*雙層玻璃門*附-搪瓷琺瑯烤盤*防燙弧形手把，質感弧形防燙安全")</f>
        <v>*100~230度溫度控制*上下火溫控*雙層玻璃門*附-搪瓷琺瑯烤盤*防燙弧形手把，質感弧形防燙安全</v>
      </c>
    </row>
    <row r="920" spans="1:27" ht="19.5" customHeight="1">
      <c r="A920" s="12" t="str">
        <f ca="1">IFERROR(__xludf.DUMMYFUNCTION("""COMPUTED_VALUE"""),"廚房家電")</f>
        <v>廚房家電</v>
      </c>
      <c r="B920" s="12" t="str">
        <f ca="1">IFERROR(__xludf.DUMMYFUNCTION("""COMPUTED_VALUE"""),"凱創")</f>
        <v>凱創</v>
      </c>
      <c r="C920" s="12" t="str">
        <f ca="1">IFERROR(__xludf.DUMMYFUNCTION("""COMPUTED_VALUE"""),"奇美")</f>
        <v>奇美</v>
      </c>
      <c r="D920" s="12" t="str">
        <f ca="1">IFERROR(__xludf.DUMMYFUNCTION("""COMPUTED_VALUE"""),"奇美不鏽鋼防燙快煮壺-黑KT-15GP00-B")</f>
        <v>奇美不鏽鋼防燙快煮壺-黑KT-15GP00-B</v>
      </c>
      <c r="E920" s="12" t="str">
        <f ca="1">IFERROR(__xludf.DUMMYFUNCTION("""COMPUTED_VALUE"""),"KT-15GP00-B")</f>
        <v>KT-15GP00-B</v>
      </c>
      <c r="F920" s="12">
        <f ca="1">IFERROR(__xludf.DUMMYFUNCTION("""COMPUTED_VALUE"""),51084124)</f>
        <v>51084124</v>
      </c>
      <c r="G920" s="12" t="str">
        <f ca="1">IFERROR(__xludf.DUMMYFUNCTION("""COMPUTED_VALUE"""),"IGEM01NO")</f>
        <v>IGEM01NO</v>
      </c>
      <c r="H920" s="12">
        <f ca="1">IFERROR(__xludf.DUMMYFUNCTION("""COMPUTED_VALUE"""),1488)</f>
        <v>1488</v>
      </c>
      <c r="I920" s="14">
        <f ca="1">IFERROR(__xludf.DUMMYFUNCTION("""COMPUTED_VALUE"""),1088)</f>
        <v>1088</v>
      </c>
      <c r="J920" s="12"/>
      <c r="K920" s="12"/>
      <c r="L920" s="12" t="str">
        <f ca="1">IFERROR(__xludf.DUMMYFUNCTION("""COMPUTED_VALUE"""),"上架中")</f>
        <v>上架中</v>
      </c>
      <c r="M920" s="12" t="str">
        <f ca="1">IFERROR(__xludf.DUMMYFUNCTION("""COMPUTED_VALUE"""),"2021/4/1短促，2020/4/1新機上架")</f>
        <v>2021/4/1短促，2020/4/1新機上架</v>
      </c>
      <c r="N920" s="12" t="str">
        <f ca="1">IFERROR(__xludf.DUMMYFUNCTION("""COMPUTED_VALUE"""),"快煮壺/料理壺/手沖壺")</f>
        <v>快煮壺/料理壺/手沖壺</v>
      </c>
      <c r="O920" s="12" t="str">
        <f ca="1">IFERROR(__xludf.DUMMYFUNCTION("""COMPUTED_VALUE"""),"霧硯黑")</f>
        <v>霧硯黑</v>
      </c>
      <c r="P920" s="12" t="str">
        <f ca="1">IFERROR(__xludf.DUMMYFUNCTION("""COMPUTED_VALUE"""),"1.2Kg")</f>
        <v>1.2Kg</v>
      </c>
      <c r="Q920" s="12" t="str">
        <f ca="1">IFERROR(__xludf.DUMMYFUNCTION("""COMPUTED_VALUE"""),"高244x寬150x長227mm")</f>
        <v>高244x寬150x長227mm</v>
      </c>
      <c r="R920" s="12" t="str">
        <f ca="1">IFERROR(__xludf.DUMMYFUNCTION("""COMPUTED_VALUE"""),"中國")</f>
        <v>中國</v>
      </c>
      <c r="S920" s="12"/>
      <c r="T920" s="12"/>
      <c r="U920" s="22" t="str">
        <f ca="1">IFERROR(__xludf.DUMMYFUNCTION("""COMPUTED_VALUE"""),"1年")</f>
        <v>1年</v>
      </c>
      <c r="V920" s="12"/>
      <c r="W920" s="12"/>
      <c r="X920" s="12"/>
      <c r="Y920" s="12"/>
      <c r="Z920" s="14"/>
      <c r="AA920" s="15" t="str">
        <f ca="1">IFERROR(__xludf.DUMMYFUNCTION("""COMPUTED_VALUE"""),"*食用級304不鏽鋼內膽*超大壺口設計+一體成形無縫內膽*三層防燙壺體設計*流暢的壺嘴角度*人體工學握把*慢開壺蓋搭配上蓋內層聚水環設計*採用英國第一品牌Strix溫控器*三重安全防護：沸騰自動斷電、防乾燒保護、保險絲過熱保護。*360度分離式底座")</f>
        <v>*食用級304不鏽鋼內膽*超大壺口設計+一體成形無縫內膽*三層防燙壺體設計*流暢的壺嘴角度*人體工學握把*慢開壺蓋搭配上蓋內層聚水環設計*採用英國第一品牌Strix溫控器*三重安全防護：沸騰自動斷電、防乾燒保護、保險絲過熱保護。*360度分離式底座</v>
      </c>
    </row>
    <row r="921" spans="1:27" ht="19.5" customHeight="1">
      <c r="A921" s="12" t="str">
        <f ca="1">IFERROR(__xludf.DUMMYFUNCTION("""COMPUTED_VALUE"""),"廚房家電")</f>
        <v>廚房家電</v>
      </c>
      <c r="B921" s="12" t="str">
        <f ca="1">IFERROR(__xludf.DUMMYFUNCTION("""COMPUTED_VALUE"""),"凱創")</f>
        <v>凱創</v>
      </c>
      <c r="C921" s="12" t="str">
        <f ca="1">IFERROR(__xludf.DUMMYFUNCTION("""COMPUTED_VALUE"""),"奇美")</f>
        <v>奇美</v>
      </c>
      <c r="D921" s="12" t="str">
        <f ca="1">IFERROR(__xludf.DUMMYFUNCTION("""COMPUTED_VALUE"""),"奇美不鏽鋼防燙快煮壺-白KT-15GP00-W")</f>
        <v>奇美不鏽鋼防燙快煮壺-白KT-15GP00-W</v>
      </c>
      <c r="E921" s="12" t="str">
        <f ca="1">IFERROR(__xludf.DUMMYFUNCTION("""COMPUTED_VALUE"""),"KT-15GP00-W")</f>
        <v>KT-15GP00-W</v>
      </c>
      <c r="F921" s="12">
        <f ca="1">IFERROR(__xludf.DUMMYFUNCTION("""COMPUTED_VALUE"""),51084123)</f>
        <v>51084123</v>
      </c>
      <c r="G921" s="12" t="str">
        <f ca="1">IFERROR(__xludf.DUMMYFUNCTION("""COMPUTED_VALUE"""),"IGEM01NN")</f>
        <v>IGEM01NN</v>
      </c>
      <c r="H921" s="12">
        <f ca="1">IFERROR(__xludf.DUMMYFUNCTION("""COMPUTED_VALUE"""),1488)</f>
        <v>1488</v>
      </c>
      <c r="I921" s="14">
        <f ca="1">IFERROR(__xludf.DUMMYFUNCTION("""COMPUTED_VALUE"""),1088)</f>
        <v>1088</v>
      </c>
      <c r="J921" s="12"/>
      <c r="K921" s="12"/>
      <c r="L921" s="12" t="str">
        <f ca="1">IFERROR(__xludf.DUMMYFUNCTION("""COMPUTED_VALUE"""),"上架中")</f>
        <v>上架中</v>
      </c>
      <c r="M921" s="12" t="str">
        <f ca="1">IFERROR(__xludf.DUMMYFUNCTION("""COMPUTED_VALUE"""),"2021/4/1短促，2020/4/1新機上架")</f>
        <v>2021/4/1短促，2020/4/1新機上架</v>
      </c>
      <c r="N921" s="12" t="str">
        <f ca="1">IFERROR(__xludf.DUMMYFUNCTION("""COMPUTED_VALUE"""),"快煮壺/料理壺/手沖壺")</f>
        <v>快煮壺/料理壺/手沖壺</v>
      </c>
      <c r="O921" s="12" t="str">
        <f ca="1">IFERROR(__xludf.DUMMYFUNCTION("""COMPUTED_VALUE"""),"珍珠白")</f>
        <v>珍珠白</v>
      </c>
      <c r="P921" s="12" t="str">
        <f ca="1">IFERROR(__xludf.DUMMYFUNCTION("""COMPUTED_VALUE"""),"1.2Kg")</f>
        <v>1.2Kg</v>
      </c>
      <c r="Q921" s="12" t="str">
        <f ca="1">IFERROR(__xludf.DUMMYFUNCTION("""COMPUTED_VALUE"""),"高244x寬150x長227mm")</f>
        <v>高244x寬150x長227mm</v>
      </c>
      <c r="R921" s="12" t="str">
        <f ca="1">IFERROR(__xludf.DUMMYFUNCTION("""COMPUTED_VALUE"""),"中國")</f>
        <v>中國</v>
      </c>
      <c r="S921" s="12"/>
      <c r="T921" s="12"/>
      <c r="U921" s="22" t="str">
        <f ca="1">IFERROR(__xludf.DUMMYFUNCTION("""COMPUTED_VALUE"""),"1年")</f>
        <v>1年</v>
      </c>
      <c r="V921" s="12"/>
      <c r="W921" s="12"/>
      <c r="X921" s="12"/>
      <c r="Y921" s="12"/>
      <c r="Z921" s="14"/>
      <c r="AA921" s="15" t="str">
        <f ca="1">IFERROR(__xludf.DUMMYFUNCTION("""COMPUTED_VALUE"""),"*食用級304不鏽鋼內膽*超大壺口設計+一體成形無縫內膽*三層防燙壺體設計*流暢的壺嘴角度*人體工學握把*慢開壺蓋搭配上蓋內層聚水環設計*採用英國第一品牌Strix溫控器*三重安全防護：沸騰自動斷電、防乾燒保護、保險絲過熱保護。*360度分離式底座")</f>
        <v>*食用級304不鏽鋼內膽*超大壺口設計+一體成形無縫內膽*三層防燙壺體設計*流暢的壺嘴角度*人體工學握把*慢開壺蓋搭配上蓋內層聚水環設計*採用英國第一品牌Strix溫控器*三重安全防護：沸騰自動斷電、防乾燒保護、保險絲過熱保護。*360度分離式底座</v>
      </c>
    </row>
    <row r="922" spans="1:27" ht="19.5" customHeight="1">
      <c r="A922" s="12" t="str">
        <f ca="1">IFERROR(__xludf.DUMMYFUNCTION("""COMPUTED_VALUE"""),"廚房家電")</f>
        <v>廚房家電</v>
      </c>
      <c r="B922" s="12" t="str">
        <f ca="1">IFERROR(__xludf.DUMMYFUNCTION("""COMPUTED_VALUE"""),"凱創")</f>
        <v>凱創</v>
      </c>
      <c r="C922" s="12" t="str">
        <f ca="1">IFERROR(__xludf.DUMMYFUNCTION("""COMPUTED_VALUE"""),"奇美")</f>
        <v>奇美</v>
      </c>
      <c r="D922" s="12" t="str">
        <f ca="1">IFERROR(__xludf.DUMMYFUNCTION("""COMPUTED_VALUE"""),"奇美6人份抗菌烘碗機KD-06PH00")</f>
        <v>奇美6人份抗菌烘碗機KD-06PH00</v>
      </c>
      <c r="E922" s="12" t="str">
        <f ca="1">IFERROR(__xludf.DUMMYFUNCTION("""COMPUTED_VALUE"""),"KD-06PH00")</f>
        <v>KD-06PH00</v>
      </c>
      <c r="F922" s="12">
        <f ca="1">IFERROR(__xludf.DUMMYFUNCTION("""COMPUTED_VALUE"""),51084237)</f>
        <v>51084237</v>
      </c>
      <c r="G922" s="12" t="str">
        <f ca="1">IFERROR(__xludf.DUMMYFUNCTION("""COMPUTED_VALUE"""),"IGEM045S")</f>
        <v>IGEM045S</v>
      </c>
      <c r="H922" s="12">
        <f ca="1">IFERROR(__xludf.DUMMYFUNCTION("""COMPUTED_VALUE"""),1888)</f>
        <v>1888</v>
      </c>
      <c r="I922" s="14">
        <f ca="1">IFERROR(__xludf.DUMMYFUNCTION("""COMPUTED_VALUE"""),1488)</f>
        <v>1488</v>
      </c>
      <c r="J922" s="12"/>
      <c r="K922" s="12"/>
      <c r="L922" s="12" t="str">
        <f ca="1">IFERROR(__xludf.DUMMYFUNCTION("""COMPUTED_VALUE"""),"上架中")</f>
        <v>上架中</v>
      </c>
      <c r="M922" s="12" t="str">
        <f ca="1">IFERROR(__xludf.DUMMYFUNCTION("""COMPUTED_VALUE"""),"3/1回價，2021/11/1短促，2021/8/19新機上架")</f>
        <v>3/1回價，2021/11/1短促，2021/8/19新機上架</v>
      </c>
      <c r="N922" s="12" t="str">
        <f ca="1">IFERROR(__xludf.DUMMYFUNCTION("""COMPUTED_VALUE"""),"洗/烘碗機")</f>
        <v>洗/烘碗機</v>
      </c>
      <c r="O922" s="12" t="str">
        <f ca="1">IFERROR(__xludf.DUMMYFUNCTION("""COMPUTED_VALUE"""),"X")</f>
        <v>X</v>
      </c>
      <c r="P922" s="12" t="str">
        <f ca="1">IFERROR(__xludf.DUMMYFUNCTION("""COMPUTED_VALUE"""),"◆產品淨重：3.1Kg◆額定電壓：110V◆額定頻率：60Hz◆額定消耗功率：180W")</f>
        <v>◆產品淨重：3.1Kg◆額定電壓：110V◆額定頻率：60Hz◆額定消耗功率：180W</v>
      </c>
      <c r="Q922" s="12" t="str">
        <f ca="1">IFERROR(__xludf.DUMMYFUNCTION("""COMPUTED_VALUE"""),"高437x寬385x長427(mm)")</f>
        <v>高437x寬385x長427(mm)</v>
      </c>
      <c r="R922" s="12" t="str">
        <f ca="1">IFERROR(__xludf.DUMMYFUNCTION("""COMPUTED_VALUE"""),"台灣")</f>
        <v>台灣</v>
      </c>
      <c r="S922" s="12"/>
      <c r="T922" s="12"/>
      <c r="U922" s="22" t="str">
        <f ca="1">IFERROR(__xludf.DUMMYFUNCTION("""COMPUTED_VALUE"""),"正常使用下全機一年保固")</f>
        <v>正常使用下全機一年保固</v>
      </c>
      <c r="V922" s="12"/>
      <c r="W922" s="12"/>
      <c r="X922" s="12"/>
      <c r="Y922" s="12"/>
      <c r="Z922" s="14"/>
      <c r="AA922" s="15" t="str">
        <f ca="1">IFERROR(__xludf.DUMMYFUNCTION("""COMPUTED_VALUE"""),"*日本獨家抗菌材質，帶有銀離子抗菌成份，通過FDA、EPA、NSF等國際認證，抗菌防霉除臭*底部不鏽鋼發熱板面積加大30%，連續高溫殺菌增加消毒效率，無風扇設計超靜音*可拆洗機構設計，上蓋、儲水盤、層架可輕鬆拆除*流水溝槽設計，可快速排水、避免潮濕，搭配抽取式接水盒，堅固耐用耐高溫，輕量外型設計，總重僅3.1kg*多重安全保護：外殼採用耐熱材質、安全斷電機制")</f>
        <v>*日本獨家抗菌材質，帶有銀離子抗菌成份，通過FDA、EPA、NSF等國際認證，抗菌防霉除臭*底部不鏽鋼發熱板面積加大30%，連續高溫殺菌增加消毒效率，無風扇設計超靜音*可拆洗機構設計，上蓋、儲水盤、層架可輕鬆拆除*流水溝槽設計，可快速排水、避免潮濕，搭配抽取式接水盒，堅固耐用耐高溫，輕量外型設計，總重僅3.1kg*多重安全保護：外殼採用耐熱材質、安全斷電機制</v>
      </c>
    </row>
    <row r="923" spans="1:27" ht="19.5" customHeight="1">
      <c r="A923" s="12" t="str">
        <f ca="1">IFERROR(__xludf.DUMMYFUNCTION("""COMPUTED_VALUE"""),"廚房家電")</f>
        <v>廚房家電</v>
      </c>
      <c r="B923" s="12" t="str">
        <f ca="1">IFERROR(__xludf.DUMMYFUNCTION("""COMPUTED_VALUE"""),"凱創")</f>
        <v>凱創</v>
      </c>
      <c r="C923" s="12" t="str">
        <f ca="1">IFERROR(__xludf.DUMMYFUNCTION("""COMPUTED_VALUE"""),"奇美")</f>
        <v>奇美</v>
      </c>
      <c r="D923" s="12" t="str">
        <f ca="1">IFERROR(__xludf.DUMMYFUNCTION("""COMPUTED_VALUE"""),"奇美IH定溫調理電磁爐FV-12B0MT")</f>
        <v>奇美IH定溫調理電磁爐FV-12B0MT</v>
      </c>
      <c r="E923" s="12" t="str">
        <f ca="1">IFERROR(__xludf.DUMMYFUNCTION("""COMPUTED_VALUE"""),"FV-12B0MT")</f>
        <v>FV-12B0MT</v>
      </c>
      <c r="F923" s="12">
        <f ca="1">IFERROR(__xludf.DUMMYFUNCTION("""COMPUTED_VALUE"""),51084238)</f>
        <v>51084238</v>
      </c>
      <c r="G923" s="12" t="str">
        <f ca="1">IFERROR(__xludf.DUMMYFUNCTION("""COMPUTED_VALUE"""),"IGEM045T")</f>
        <v>IGEM045T</v>
      </c>
      <c r="H923" s="12">
        <f ca="1">IFERROR(__xludf.DUMMYFUNCTION("""COMPUTED_VALUE"""),1988)</f>
        <v>1988</v>
      </c>
      <c r="I923" s="14">
        <f ca="1">IFERROR(__xludf.DUMMYFUNCTION("""COMPUTED_VALUE"""),1588)</f>
        <v>1588</v>
      </c>
      <c r="J923" s="12"/>
      <c r="K923" s="12"/>
      <c r="L923" s="12" t="str">
        <f ca="1">IFERROR(__xludf.DUMMYFUNCTION("""COMPUTED_VALUE"""),"上架中")</f>
        <v>上架中</v>
      </c>
      <c r="M923" s="12" t="str">
        <f ca="1">IFERROR(__xludf.DUMMYFUNCTION("""COMPUTED_VALUE"""),"2021/11/1短促，2021/8/19新機上架")</f>
        <v>2021/11/1短促，2021/8/19新機上架</v>
      </c>
      <c r="N923" s="12" t="str">
        <f ca="1">IFERROR(__xludf.DUMMYFUNCTION("""COMPUTED_VALUE"""),"電磁爐/電陶爐")</f>
        <v>電磁爐/電陶爐</v>
      </c>
      <c r="O923" s="12" t="str">
        <f ca="1">IFERROR(__xludf.DUMMYFUNCTION("""COMPUTED_VALUE"""),"X")</f>
        <v>X</v>
      </c>
      <c r="P923" s="12" t="str">
        <f ca="1">IFERROR(__xludf.DUMMYFUNCTION("""COMPUTED_VALUE"""),"◆機體重量：2.2kg◆額定電壓：110V◆額定頻率：60Hz")</f>
        <v>◆機體重量：2.2kg◆額定電壓：110V◆額定頻率：60Hz</v>
      </c>
      <c r="Q923" s="12" t="str">
        <f ca="1">IFERROR(__xludf.DUMMYFUNCTION("""COMPUTED_VALUE"""),"高42x寬280x長360(mm)")</f>
        <v>高42x寬280x長360(mm)</v>
      </c>
      <c r="R923" s="12" t="str">
        <f ca="1">IFERROR(__xludf.DUMMYFUNCTION("""COMPUTED_VALUE"""),"中國")</f>
        <v>中國</v>
      </c>
      <c r="S923" s="12"/>
      <c r="T923" s="12"/>
      <c r="U923" s="22" t="str">
        <f ca="1">IFERROR(__xludf.DUMMYFUNCTION("""COMPUTED_VALUE"""),"正常使用下保固一年")</f>
        <v>正常使用下保固一年</v>
      </c>
      <c r="V923" s="12"/>
      <c r="W923" s="12"/>
      <c r="X923" s="12"/>
      <c r="Y923" s="12"/>
      <c r="Z923" s="14"/>
      <c r="AA923" s="15" t="str">
        <f ca="1">IFERROR(__xludf.DUMMYFUNCTION("""COMPUTED_VALUE"""),"*蒸/煎/炒/煮/炸/保溫靈活運用*8種智能料理模式，可舒肥*IH變頻節能省電，加熱效率佳*黑晶面板防爆耐刮*適用多種鍋具烹煮*8重安全防護+防火材質")</f>
        <v>*蒸/煎/炒/煮/炸/保溫靈活運用*8種智能料理模式，可舒肥*IH變頻節能省電，加熱效率佳*黑晶面板防爆耐刮*適用多種鍋具烹煮*8重安全防護+防火材質</v>
      </c>
    </row>
    <row r="924" spans="1:27" ht="19.5" customHeight="1">
      <c r="A924" s="12" t="str">
        <f ca="1">IFERROR(__xludf.DUMMYFUNCTION("""COMPUTED_VALUE"""),"廚房家電")</f>
        <v>廚房家電</v>
      </c>
      <c r="B924" s="12" t="str">
        <f ca="1">IFERROR(__xludf.DUMMYFUNCTION("""COMPUTED_VALUE"""),"凱創")</f>
        <v>凱創</v>
      </c>
      <c r="C924" s="12" t="str">
        <f ca="1">IFERROR(__xludf.DUMMYFUNCTION("""COMPUTED_VALUE"""),"奇美")</f>
        <v>奇美</v>
      </c>
      <c r="D924" s="12" t="str">
        <f ca="1">IFERROR(__xludf.DUMMYFUNCTION("""COMPUTED_VALUE"""),"奇美4L多功能蒸烤盤HP-13BT0K")</f>
        <v>奇美4L多功能蒸烤盤HP-13BT0K</v>
      </c>
      <c r="E924" s="12" t="str">
        <f ca="1">IFERROR(__xludf.DUMMYFUNCTION("""COMPUTED_VALUE"""),"HP-13BT0K")</f>
        <v>HP-13BT0K</v>
      </c>
      <c r="F924" s="12">
        <f ca="1">IFERROR(__xludf.DUMMYFUNCTION("""COMPUTED_VALUE"""),51084239)</f>
        <v>51084239</v>
      </c>
      <c r="G924" s="12" t="str">
        <f ca="1">IFERROR(__xludf.DUMMYFUNCTION("""COMPUTED_VALUE"""),"IGEM045U")</f>
        <v>IGEM045U</v>
      </c>
      <c r="H924" s="12">
        <f ca="1">IFERROR(__xludf.DUMMYFUNCTION("""COMPUTED_VALUE"""),3288)</f>
        <v>3288</v>
      </c>
      <c r="I924" s="14">
        <f ca="1">IFERROR(__xludf.DUMMYFUNCTION("""COMPUTED_VALUE"""),2499)</f>
        <v>2499</v>
      </c>
      <c r="J924" s="12"/>
      <c r="K924" s="12"/>
      <c r="L924" s="12" t="str">
        <f ca="1">IFERROR(__xludf.DUMMYFUNCTION("""COMPUTED_VALUE"""),"上架中")</f>
        <v>上架中</v>
      </c>
      <c r="M924" s="12" t="str">
        <f ca="1">IFERROR(__xludf.DUMMYFUNCTION("""COMPUTED_VALUE"""),"5/5到貨，2/1缺貨，2022/3/1-3/31短促，2021/11/1短促，2021/9/2缺貨，2021/9/1新機上架")</f>
        <v>5/5到貨，2/1缺貨，2022/3/1-3/31短促，2021/11/1短促，2021/9/2缺貨，2021/9/1新機上架</v>
      </c>
      <c r="N924" s="12" t="str">
        <f ca="1">IFERROR(__xludf.DUMMYFUNCTION("""COMPUTED_VALUE"""),"電烤盤/爐")</f>
        <v>電烤盤/爐</v>
      </c>
      <c r="O924" s="12" t="str">
        <f ca="1">IFERROR(__xludf.DUMMYFUNCTION("""COMPUTED_VALUE"""),"X")</f>
        <v>X</v>
      </c>
      <c r="P924" s="12" t="str">
        <f ca="1">IFERROR(__xludf.DUMMYFUNCTION("""COMPUTED_VALUE"""),"◆電壓：110V-60HZ◆功率：1300W◆商品淨重：4.8kg")</f>
        <v>◆電壓：110V-60HZ◆功率：1300W◆商品淨重：4.8kg</v>
      </c>
      <c r="Q924" s="12" t="str">
        <f ca="1">IFERROR(__xludf.DUMMYFUNCTION("""COMPUTED_VALUE"""),"高240x寬259x長460(mm)")</f>
        <v>高240x寬259x長460(mm)</v>
      </c>
      <c r="R924" s="12" t="str">
        <f ca="1">IFERROR(__xludf.DUMMYFUNCTION("""COMPUTED_VALUE"""),"中國")</f>
        <v>中國</v>
      </c>
      <c r="S924" s="12"/>
      <c r="T924" s="12"/>
      <c r="U924" s="22" t="str">
        <f ca="1">IFERROR(__xludf.DUMMYFUNCTION("""COMPUTED_VALUE"""),"正常使用下保固一年")</f>
        <v>正常使用下保固一年</v>
      </c>
      <c r="V924" s="12"/>
      <c r="W924" s="12"/>
      <c r="X924" s="12"/>
      <c r="Y924" s="12"/>
      <c r="Z924" s="14"/>
      <c r="AA924" s="15" t="str">
        <f ca="1">IFERROR(__xludf.DUMMYFUNCTION("""COMPUTED_VALUE"""),"*深煮鍋/燒烤盤/#304不銹鋼蒸盤*平板式加熱盤，溫度均勻，新手輕鬆上手*避免異物掉落產生明火，安全性佳•*自動斷電系統、防乾燒斷電、防火阻燃材質*玻璃透視上蓋，掌控料理狀況")</f>
        <v>*深煮鍋/燒烤盤/#304不銹鋼蒸盤*平板式加熱盤，溫度均勻，新手輕鬆上手*避免異物掉落產生明火，安全性佳•*自動斷電系統、防乾燒斷電、防火阻燃材質*玻璃透視上蓋，掌控料理狀況</v>
      </c>
    </row>
    <row r="925" spans="1:27" ht="19.5" customHeight="1">
      <c r="A925" s="12" t="str">
        <f ca="1">IFERROR(__xludf.DUMMYFUNCTION("""COMPUTED_VALUE"""),"廚房家電")</f>
        <v>廚房家電</v>
      </c>
      <c r="B925" s="12" t="str">
        <f ca="1">IFERROR(__xludf.DUMMYFUNCTION("""COMPUTED_VALUE"""),"凱創")</f>
        <v>凱創</v>
      </c>
      <c r="C925" s="12" t="str">
        <f ca="1">IFERROR(__xludf.DUMMYFUNCTION("""COMPUTED_VALUE"""),"奇美")</f>
        <v>奇美</v>
      </c>
      <c r="D925" s="12" t="str">
        <f ca="1">IFERROR(__xludf.DUMMYFUNCTION("""COMPUTED_VALUE"""),"奇美3L奶油陶瓷料理鍋EP-04MC20")</f>
        <v>奇美3L奶油陶瓷料理鍋EP-04MC20</v>
      </c>
      <c r="E925" s="12" t="str">
        <f ca="1">IFERROR(__xludf.DUMMYFUNCTION("""COMPUTED_VALUE"""),"EP-04MC20")</f>
        <v>EP-04MC20</v>
      </c>
      <c r="F925" s="12">
        <f ca="1">IFERROR(__xludf.DUMMYFUNCTION("""COMPUTED_VALUE"""),51084251)</f>
        <v>51084251</v>
      </c>
      <c r="G925" s="12" t="str">
        <f ca="1">IFERROR(__xludf.DUMMYFUNCTION("""COMPUTED_VALUE"""),"IGEM049G")</f>
        <v>IGEM049G</v>
      </c>
      <c r="H925" s="12">
        <f ca="1">IFERROR(__xludf.DUMMYFUNCTION("""COMPUTED_VALUE"""),2288)</f>
        <v>2288</v>
      </c>
      <c r="I925" s="14">
        <f ca="1">IFERROR(__xludf.DUMMYFUNCTION("""COMPUTED_VALUE"""),1188)</f>
        <v>1188</v>
      </c>
      <c r="J925" s="12"/>
      <c r="K925" s="12"/>
      <c r="L925" s="12" t="str">
        <f ca="1">IFERROR(__xludf.DUMMYFUNCTION("""COMPUTED_VALUE"""),"上架中")</f>
        <v>上架中</v>
      </c>
      <c r="M925" s="12" t="str">
        <f ca="1">IFERROR(__xludf.DUMMYFUNCTION("""COMPUTED_VALUE"""),"2022/3/1-3/31短促，2022/1/1短促，2021/10/19新品上市")</f>
        <v>2022/3/1-3/31短促，2022/1/1短促，2021/10/19新品上市</v>
      </c>
      <c r="N925" s="12" t="str">
        <f ca="1">IFERROR(__xludf.DUMMYFUNCTION("""COMPUTED_VALUE"""),"美食鍋/料理鍋/快煮鍋")</f>
        <v>美食鍋/料理鍋/快煮鍋</v>
      </c>
      <c r="O925" s="12" t="str">
        <f ca="1">IFERROR(__xludf.DUMMYFUNCTION("""COMPUTED_VALUE"""),"X")</f>
        <v>X</v>
      </c>
      <c r="P925" s="12" t="str">
        <f ca="1">IFERROR(__xludf.DUMMYFUNCTION("""COMPUTED_VALUE"""),"◆型號：EP-04MC20
◆額定電壓：110V/60Hz
◆總額定消耗功率：小火300W/大火1000W
◆商品尺寸：長328x寬276x高190mm
◆商品重量：1.6Kg
◆鍋體容量：3L
◆內鍋材質：陶瓷不沾塗層
◆國際條碼：4713170845185
◆產地：中國
◆商檢字號：R39344
◆保固：正常使用下保固1年")</f>
        <v>◆型號：EP-04MC20
◆額定電壓：110V/60Hz
◆總額定消耗功率：小火300W/大火1000W
◆商品尺寸：長328x寬276x高190mm
◆商品重量：1.6Kg
◆鍋體容量：3L
◆內鍋材質：陶瓷不沾塗層
◆國際條碼：4713170845185
◆產地：中國
◆商檢字號：R39344
◆保固：正常使用下保固1年</v>
      </c>
      <c r="Q925" s="12" t="str">
        <f ca="1">IFERROR(__xludf.DUMMYFUNCTION("""COMPUTED_VALUE"""),"商品尺寸：高190x寬276x長328mm")</f>
        <v>商品尺寸：高190x寬276x長328mm</v>
      </c>
      <c r="R925" s="12" t="str">
        <f ca="1">IFERROR(__xludf.DUMMYFUNCTION("""COMPUTED_VALUE"""),"中國")</f>
        <v>中國</v>
      </c>
      <c r="S925" s="12"/>
      <c r="T925" s="12"/>
      <c r="U925" s="22" t="str">
        <f ca="1">IFERROR(__xludf.DUMMYFUNCTION("""COMPUTED_VALUE"""),"正常使用下保固1年")</f>
        <v>正常使用下保固1年</v>
      </c>
      <c r="V925" s="12"/>
      <c r="W925" s="12"/>
      <c r="X925" s="12"/>
      <c r="Y925" s="12"/>
      <c r="Z925" s="14"/>
      <c r="AA925" s="15" t="str">
        <f ca="1">IFERROR(__xludf.DUMMYFUNCTION("""COMPUTED_VALUE"""),"*蒸煮滷燉煎炒一鍋搞定*陶瓷不沾，天然礦物製成*兩段火力可慢燉可快炒*通過SGS食品級測試，安全無毒*透明玻璃上蓋，掌控料理狀況*雙層防燙+防乾燒斷電保護")</f>
        <v>*蒸煮滷燉煎炒一鍋搞定*陶瓷不沾，天然礦物製成*兩段火力可慢燉可快炒*通過SGS食品級測試，安全無毒*透明玻璃上蓋，掌控料理狀況*雙層防燙+防乾燒斷電保護</v>
      </c>
    </row>
    <row r="926" spans="1:27" ht="19.5" customHeight="1">
      <c r="A926" s="12" t="str">
        <f ca="1">IFERROR(__xludf.DUMMYFUNCTION("""COMPUTED_VALUE"""),"廚房家電")</f>
        <v>廚房家電</v>
      </c>
      <c r="B926" s="12" t="str">
        <f ca="1">IFERROR(__xludf.DUMMYFUNCTION("""COMPUTED_VALUE"""),"凱創")</f>
        <v>凱創</v>
      </c>
      <c r="C926" s="12" t="str">
        <f ca="1">IFERROR(__xludf.DUMMYFUNCTION("""COMPUTED_VALUE"""),"奇美")</f>
        <v>奇美</v>
      </c>
      <c r="D926" s="12" t="str">
        <f ca="1">IFERROR(__xludf.DUMMYFUNCTION("""COMPUTED_VALUE"""),"奇美CHIMEI1.5L智能防燙玻璃養生快煮壺KT-15SGT0")</f>
        <v>奇美CHIMEI1.5L智能防燙玻璃養生快煮壺KT-15SGT0</v>
      </c>
      <c r="E926" s="12" t="str">
        <f ca="1">IFERROR(__xludf.DUMMYFUNCTION("""COMPUTED_VALUE"""),"KT-15SGT0")</f>
        <v>KT-15SGT0</v>
      </c>
      <c r="F926" s="12">
        <f ca="1">IFERROR(__xludf.DUMMYFUNCTION("""COMPUTED_VALUE"""),51084286)</f>
        <v>51084286</v>
      </c>
      <c r="G926" s="12" t="str">
        <f ca="1">IFERROR(__xludf.DUMMYFUNCTION("""COMPUTED_VALUE"""),"IGEM067W")</f>
        <v>IGEM067W</v>
      </c>
      <c r="H926" s="12">
        <f ca="1">IFERROR(__xludf.DUMMYFUNCTION("""COMPUTED_VALUE"""),1888)</f>
        <v>1888</v>
      </c>
      <c r="I926" s="14">
        <f ca="1">IFERROR(__xludf.DUMMYFUNCTION("""COMPUTED_VALUE"""),1588)</f>
        <v>1588</v>
      </c>
      <c r="J926" s="16">
        <f ca="1">IFERROR(__xludf.DUMMYFUNCTION("""COMPUTED_VALUE"""),45717)</f>
        <v>45717</v>
      </c>
      <c r="K926" s="12" t="str">
        <f ca="1">IFERROR(__xludf.DUMMYFUNCTION("""COMPUTED_VALUE"""),"短促")</f>
        <v>短促</v>
      </c>
      <c r="L926" s="12" t="str">
        <f ca="1">IFERROR(__xludf.DUMMYFUNCTION("""COMPUTED_VALUE"""),"上架中")</f>
        <v>上架中</v>
      </c>
      <c r="M926" s="12" t="str">
        <f ca="1">IFERROR(__xludf.DUMMYFUNCTION("""COMPUTED_VALUE"""),"2023/1/1回價，2022/11/1短促，2022/8/15新品上架")</f>
        <v>2023/1/1回價，2022/11/1短促，2022/8/15新品上架</v>
      </c>
      <c r="N926" s="12" t="str">
        <f ca="1">IFERROR(__xludf.DUMMYFUNCTION("""COMPUTED_VALUE"""),"快煮壺/料理壺/手沖壺")</f>
        <v>快煮壺/料理壺/手沖壺</v>
      </c>
      <c r="O926" s="12"/>
      <c r="P926" s="12" t="str">
        <f ca="1">IFERROR(__xludf.DUMMYFUNCTION("""COMPUTED_VALUE"""),"◆額定電壓/頻率 : 110V~60HZ
◆消耗功率 : 750W
◆機體淨重：1.3KG")</f>
        <v>◆額定電壓/頻率 : 110V~60HZ
◆消耗功率 : 750W
◆機體淨重：1.3KG</v>
      </c>
      <c r="Q926" s="12" t="str">
        <f ca="1">IFERROR(__xludf.DUMMYFUNCTION("""COMPUTED_VALUE"""),"238*204*210mm")</f>
        <v>238*204*210mm</v>
      </c>
      <c r="R926" s="12" t="str">
        <f ca="1">IFERROR(__xludf.DUMMYFUNCTION("""COMPUTED_VALUE"""),"中國")</f>
        <v>中國</v>
      </c>
      <c r="S926" s="12"/>
      <c r="T926" s="12"/>
      <c r="U926" s="12"/>
      <c r="V926" s="12"/>
      <c r="W926" s="12"/>
      <c r="X926" s="12"/>
      <c r="Y926" s="12"/>
      <c r="Z926" s="14"/>
      <c r="AA926" s="15" t="str">
        <f ca="1">IFERROR(__xludf.DUMMYFUNCTION("""COMPUTED_VALUE"""),"*智能溫控烹調，5種模式選擇*45~95°C調溫+最長4小時定時*高硼矽玻璃耐高溫/耐冷熱變化*觸水面皆採食品級304不鏽鋼材質*最長8小時預約，美味自動完成*LED顯示螢幕，準確掌握時間溫度""
")</f>
        <v xml:space="preserve">*智能溫控烹調，5種模式選擇*45~95°C調溫+最長4小時定時*高硼矽玻璃耐高溫/耐冷熱變化*觸水面皆採食品級304不鏽鋼材質*最長8小時預約，美味自動完成*LED顯示螢幕，準確掌握時間溫度"
</v>
      </c>
    </row>
    <row r="927" spans="1:27" ht="19.5" customHeight="1">
      <c r="A927" s="12" t="str">
        <f ca="1">IFERROR(__xludf.DUMMYFUNCTION("""COMPUTED_VALUE"""),"廚房家電")</f>
        <v>廚房家電</v>
      </c>
      <c r="B927" s="12" t="str">
        <f ca="1">IFERROR(__xludf.DUMMYFUNCTION("""COMPUTED_VALUE"""),"凱創")</f>
        <v>凱創</v>
      </c>
      <c r="C927" s="12" t="str">
        <f ca="1">IFERROR(__xludf.DUMMYFUNCTION("""COMPUTED_VALUE"""),"奇美")</f>
        <v>奇美</v>
      </c>
      <c r="D927" s="12" t="str">
        <f ca="1">IFERROR(__xludf.DUMMYFUNCTION("""COMPUTED_VALUE"""),"CHIMEI 奇美 破壁營養調理機 MX-14H2TX")</f>
        <v>CHIMEI 奇美 破壁營養調理機 MX-14H2TX</v>
      </c>
      <c r="E927" s="12" t="str">
        <f ca="1">IFERROR(__xludf.DUMMYFUNCTION("""COMPUTED_VALUE"""),"MX-14H2TX")</f>
        <v>MX-14H2TX</v>
      </c>
      <c r="F927" s="12">
        <f ca="1">IFERROR(__xludf.DUMMYFUNCTION("""COMPUTED_VALUE"""),51084334)</f>
        <v>51084334</v>
      </c>
      <c r="G927" s="12" t="str">
        <f ca="1">IFERROR(__xludf.DUMMYFUNCTION("""COMPUTED_VALUE"""),"IGEM100G")</f>
        <v>IGEM100G</v>
      </c>
      <c r="H927" s="13">
        <f ca="1">IFERROR(__xludf.DUMMYFUNCTION("""COMPUTED_VALUE"""),7980)</f>
        <v>7980</v>
      </c>
      <c r="I927" s="18">
        <f ca="1">IFERROR(__xludf.DUMMYFUNCTION("""COMPUTED_VALUE"""),3000)</f>
        <v>3000</v>
      </c>
      <c r="J927" s="16">
        <f ca="1">IFERROR(__xludf.DUMMYFUNCTION("""COMPUTED_VALUE"""),45641)</f>
        <v>45641</v>
      </c>
      <c r="K927" s="12" t="str">
        <f ca="1">IFERROR(__xludf.DUMMYFUNCTION("""COMPUTED_VALUE"""),"短促")</f>
        <v>短促</v>
      </c>
      <c r="L927" s="12" t="str">
        <f ca="1">IFERROR(__xludf.DUMMYFUNCTION("""COMPUTED_VALUE"""),"上架中")</f>
        <v>上架中</v>
      </c>
      <c r="M927" s="12" t="str">
        <f ca="1">IFERROR(__xludf.DUMMYFUNCTION("""COMPUTED_VALUE"""),"2024/11/15短促，2024/6/1短促，2024/4/24新機上架")</f>
        <v>2024/11/15短促，2024/6/1短促，2024/4/24新機上架</v>
      </c>
      <c r="N927" s="12" t="str">
        <f ca="1">IFERROR(__xludf.DUMMYFUNCTION("""COMPUTED_VALUE"""),"果汁機/調理機/豆漿機")</f>
        <v>果汁機/調理機/豆漿機</v>
      </c>
      <c r="O927" s="12" t="str">
        <f ca="1">IFERROR(__xludf.DUMMYFUNCTION("""COMPUTED_VALUE"""),"米色")</f>
        <v>米色</v>
      </c>
      <c r="P927" s="12" t="str">
        <f ca="1">IFERROR(__xludf.DUMMYFUNCTION("""COMPUTED_VALUE"""),"◆額定電壓：110V/60Hz
 ◆總額定消耗電功率：600W
◆商品重量：2.5 Kg
 ◆使用容量：熱飲1000ml／冷飲1300ml
 ◆配件：食譜、量杯、毛刷")</f>
        <v>◆額定電壓：110V/60Hz
 ◆總額定消耗電功率：600W
◆商品重量：2.5 Kg
 ◆使用容量：熱飲1000ml／冷飲1300ml
 ◆配件：食譜、量杯、毛刷</v>
      </c>
      <c r="Q927" s="12" t="str">
        <f ca="1">IFERROR(__xludf.DUMMYFUNCTION("""COMPUTED_VALUE"""),"高342 x 寬197 x長242mm")</f>
        <v>高342 x 寬197 x長242mm</v>
      </c>
      <c r="R927" s="12" t="str">
        <f ca="1">IFERROR(__xludf.DUMMYFUNCTION("""COMPUTED_VALUE"""),"中國")</f>
        <v>中國</v>
      </c>
      <c r="S927" s="12"/>
      <c r="T927" s="12"/>
      <c r="U927" s="22" t="str">
        <f ca="1">IFERROR(__xludf.DUMMYFUNCTION("""COMPUTED_VALUE"""),"正常使用下保固1年")</f>
        <v>正常使用下保固1年</v>
      </c>
      <c r="V927" s="12"/>
      <c r="W927" s="12"/>
      <c r="X927" s="12"/>
      <c r="Y927" s="12"/>
      <c r="Z927" s="14"/>
      <c r="AA927" s="15" t="str">
        <f ca="1">IFERROR(__xludf.DUMMYFUNCTION("""COMPUTED_VALUE"""),"*冷熱雙調理，10種智能模式*一機多用途，百變料理一鍵完成*高速馬達瞬間破壁，保留營養*8片立體刀頭+擾流柱，強化擾流*美國FDA/歐盟RoHS認證食品級安全材質*自動清洗功能，免動手刷洗")</f>
        <v>*冷熱雙調理，10種智能模式*一機多用途，百變料理一鍵完成*高速馬達瞬間破壁，保留營養*8片立體刀頭+擾流柱，強化擾流*美國FDA/歐盟RoHS認證食品級安全材質*自動清洗功能，免動手刷洗</v>
      </c>
    </row>
    <row r="928" spans="1:27" ht="19.5" customHeight="1">
      <c r="A928" s="12" t="str">
        <f ca="1">IFERROR(__xludf.DUMMYFUNCTION("""COMPUTED_VALUE"""),"廚房家電")</f>
        <v>廚房家電</v>
      </c>
      <c r="B928" s="12" t="str">
        <f ca="1">IFERROR(__xludf.DUMMYFUNCTION("""COMPUTED_VALUE"""),"凱創")</f>
        <v>凱創</v>
      </c>
      <c r="C928" s="12" t="str">
        <f ca="1">IFERROR(__xludf.DUMMYFUNCTION("""COMPUTED_VALUE"""),"東元")</f>
        <v>東元</v>
      </c>
      <c r="D928" s="12" t="str">
        <f ca="1">IFERROR(__xludf.DUMMYFUNCTION("""COMPUTED_VALUE"""),"東元4.8L微電腦萬用壓力鍋YC1201CB")</f>
        <v>東元4.8L微電腦萬用壓力鍋YC1201CB</v>
      </c>
      <c r="E928" s="12" t="str">
        <f ca="1">IFERROR(__xludf.DUMMYFUNCTION("""COMPUTED_VALUE"""),"YC1201CB")</f>
        <v>YC1201CB</v>
      </c>
      <c r="F928" s="12">
        <f ca="1">IFERROR(__xludf.DUMMYFUNCTION("""COMPUTED_VALUE"""),51084249)</f>
        <v>51084249</v>
      </c>
      <c r="G928" s="12" t="str">
        <f ca="1">IFERROR(__xludf.DUMMYFUNCTION("""COMPUTED_VALUE"""),"IGEM049E")</f>
        <v>IGEM049E</v>
      </c>
      <c r="H928" s="12">
        <f ca="1">IFERROR(__xludf.DUMMYFUNCTION("""COMPUTED_VALUE"""),3180)</f>
        <v>3180</v>
      </c>
      <c r="I928" s="14">
        <f ca="1">IFERROR(__xludf.DUMMYFUNCTION("""COMPUTED_VALUE"""),1990)</f>
        <v>1990</v>
      </c>
      <c r="J928" s="16">
        <f ca="1">IFERROR(__xludf.DUMMYFUNCTION("""COMPUTED_VALUE"""),45200)</f>
        <v>45200</v>
      </c>
      <c r="K928" s="12" t="str">
        <f ca="1">IFERROR(__xludf.DUMMYFUNCTION("""COMPUTED_VALUE"""),"短促")</f>
        <v>短促</v>
      </c>
      <c r="L928" s="12" t="str">
        <f ca="1">IFERROR(__xludf.DUMMYFUNCTION("""COMPUTED_VALUE"""),"上架中")</f>
        <v>上架中</v>
      </c>
      <c r="M928" s="12" t="str">
        <f ca="1">IFERROR(__xludf.DUMMYFUNCTION("""COMPUTED_VALUE"""),"10/1短促，2022/6/1新品上市")</f>
        <v>10/1短促，2022/6/1新品上市</v>
      </c>
      <c r="N928" s="12" t="str">
        <f ca="1">IFERROR(__xludf.DUMMYFUNCTION("""COMPUTED_VALUE"""),"壓力鍋/燉鍋/萬用鍋/蒸煮鍋")</f>
        <v>壓力鍋/燉鍋/萬用鍋/蒸煮鍋</v>
      </c>
      <c r="O928" s="12" t="str">
        <f ca="1">IFERROR(__xludf.DUMMYFUNCTION("""COMPUTED_VALUE"""),"X")</f>
        <v>X</v>
      </c>
      <c r="P928" s="12" t="str">
        <f ca="1">IFERROR(__xludf.DUMMYFUNCTION("""COMPUTED_VALUE"""),"◆商品尺寸：高347x寬347x深420(mm)")</f>
        <v>◆商品尺寸：高347x寬347x深420(mm)</v>
      </c>
      <c r="Q928" s="12" t="str">
        <f ca="1">IFERROR(__xludf.DUMMYFUNCTION("""COMPUTED_VALUE"""),"高347x寬347x深420(mm)")</f>
        <v>高347x寬347x深420(mm)</v>
      </c>
      <c r="R928" s="12" t="str">
        <f ca="1">IFERROR(__xludf.DUMMYFUNCTION("""COMPUTED_VALUE"""),"中國")</f>
        <v>中國</v>
      </c>
      <c r="S928" s="12"/>
      <c r="T928" s="12"/>
      <c r="U928" s="22" t="str">
        <f ca="1">IFERROR(__xludf.DUMMYFUNCTION("""COMPUTED_VALUE"""),"正常使用下保固1年")</f>
        <v>正常使用下保固1年</v>
      </c>
      <c r="V928" s="12"/>
      <c r="W928" s="12"/>
      <c r="X928" s="12"/>
      <c r="Y928" s="12"/>
      <c r="Z928" s="14"/>
      <c r="AA928" s="15" t="str">
        <f ca="1">IFERROR(__xludf.DUMMYFUNCTION("""COMPUTED_VALUE"""),"*11種料理模式，燉、蒸、炒、煮、煲、蛋糕、優格都可以*一鍋抵多鍋，火力精準通通搞定*11重安全防護，烹飪安全更安心*不沾材質內膽，便利使用好清潔*預約定時功能，美味上桌零時差")</f>
        <v>*11種料理模式，燉、蒸、炒、煮、煲、蛋糕、優格都可以*一鍋抵多鍋，火力精準通通搞定*11重安全防護，烹飪安全更安心*不沾材質內膽，便利使用好清潔*預約定時功能，美味上桌零時差</v>
      </c>
    </row>
    <row r="929" spans="1:27" ht="19.5" customHeight="1">
      <c r="A929" s="12" t="str">
        <f ca="1">IFERROR(__xludf.DUMMYFUNCTION("""COMPUTED_VALUE"""),"廚房家電")</f>
        <v>廚房家電</v>
      </c>
      <c r="B929" s="12" t="str">
        <f ca="1">IFERROR(__xludf.DUMMYFUNCTION("""COMPUTED_VALUE"""),"凱創")</f>
        <v>凱創</v>
      </c>
      <c r="C929" s="12" t="str">
        <f ca="1">IFERROR(__xludf.DUMMYFUNCTION("""COMPUTED_VALUE"""),"九陽")</f>
        <v>九陽</v>
      </c>
      <c r="D929" s="12" t="str">
        <f ca="1">IFERROR(__xludf.DUMMYFUNCTION("""COMPUTED_VALUE"""),"多功能豆漿機DJ13M-G1")</f>
        <v>多功能豆漿機DJ13M-G1</v>
      </c>
      <c r="E929" s="12" t="str">
        <f ca="1">IFERROR(__xludf.DUMMYFUNCTION("""COMPUTED_VALUE"""),"DJ13M-G1")</f>
        <v>DJ13M-G1</v>
      </c>
      <c r="F929" s="12">
        <f ca="1">IFERROR(__xludf.DUMMYFUNCTION("""COMPUTED_VALUE"""),51084204)</f>
        <v>51084204</v>
      </c>
      <c r="G929" s="12" t="str">
        <f ca="1">IFERROR(__xludf.DUMMYFUNCTION("""COMPUTED_VALUE"""),"IGEM023N")</f>
        <v>IGEM023N</v>
      </c>
      <c r="H929" s="12">
        <f ca="1">IFERROR(__xludf.DUMMYFUNCTION("""COMPUTED_VALUE"""),5290)</f>
        <v>5290</v>
      </c>
      <c r="I929" s="14">
        <f ca="1">IFERROR(__xludf.DUMMYFUNCTION("""COMPUTED_VALUE"""),3000)</f>
        <v>3000</v>
      </c>
      <c r="J929" s="21">
        <f ca="1">IFERROR(__xludf.DUMMYFUNCTION("""COMPUTED_VALUE"""),45505)</f>
        <v>45505</v>
      </c>
      <c r="K929" s="12" t="str">
        <f ca="1">IFERROR(__xludf.DUMMYFUNCTION("""COMPUTED_VALUE"""),"短促")</f>
        <v>短促</v>
      </c>
      <c r="L929" s="12" t="str">
        <f ca="1">IFERROR(__xludf.DUMMYFUNCTION("""COMPUTED_VALUE"""),"上架中")</f>
        <v>上架中</v>
      </c>
      <c r="M929" s="12" t="str">
        <f ca="1">IFERROR(__xludf.DUMMYFUNCTION("""COMPUTED_VALUE"""),"2024/8/1短促，2024/4/1短促，5/1短促，2023/2/14缺貨，2021/11/1短促，2021/4/1短促，2021/2/1短促，2020/11/1新機上架")</f>
        <v>2024/8/1短促，2024/4/1短促，5/1短促，2023/2/14缺貨，2021/11/1短促，2021/4/1短促，2021/2/1短促，2020/11/1新機上架</v>
      </c>
      <c r="N929" s="12" t="str">
        <f ca="1">IFERROR(__xludf.DUMMYFUNCTION("""COMPUTED_VALUE"""),"果汁機/調理機/豆漿機")</f>
        <v>果汁機/調理機/豆漿機</v>
      </c>
      <c r="O929" s="12" t="str">
        <f ca="1">IFERROR(__xludf.DUMMYFUNCTION("""COMPUTED_VALUE"""),"白")</f>
        <v>白</v>
      </c>
      <c r="P929" s="12" t="str">
        <f ca="1">IFERROR(__xludf.DUMMYFUNCTION("""COMPUTED_VALUE"""),"容量:900ml~1300ml
重量:約3.0kg")</f>
        <v>容量:900ml~1300ml
重量:約3.0kg</v>
      </c>
      <c r="Q929" s="12" t="str">
        <f ca="1">IFERROR(__xludf.DUMMYFUNCTION("""COMPUTED_VALUE"""),"260x225x360mm")</f>
        <v>260x225x360mm</v>
      </c>
      <c r="R929" s="12" t="str">
        <f ca="1">IFERROR(__xludf.DUMMYFUNCTION("""COMPUTED_VALUE"""),"中國")</f>
        <v>中國</v>
      </c>
      <c r="S929" s="12"/>
      <c r="T929" s="12"/>
      <c r="U929" s="12" t="str">
        <f ca="1">IFERROR(__xludf.DUMMYFUNCTION("""COMPUTED_VALUE"""),"主機")</f>
        <v>主機</v>
      </c>
      <c r="V929" s="12"/>
      <c r="W929" s="12"/>
      <c r="X929" s="12" t="str">
        <f ca="1">IFERROR(__xludf.DUMMYFUNCTION("""COMPUTED_VALUE"""),"(114/1/1-2/28)隨貨送ALAYS雅樂氏矽膠隔熱手套組(市價349)")</f>
        <v>(114/1/1-2/28)隨貨送ALAYS雅樂氏矽膠隔熱手套組(市價349)</v>
      </c>
      <c r="Y929" s="12"/>
      <c r="Z929" s="14"/>
      <c r="AA929" s="15" t="str">
        <f ca="1">IFERROR(__xludf.DUMMYFUNCTION("""COMPUTED_VALUE"""),"*多功能:豆漿、果汁、杏仁露、美味粥皆可料理，百變飲品更輕鬆*安心飲:內膽及刀頭皆採用304不鏽鋼材質，使用更放心*好清洗:搭配輕鬆洗功能，方便清洗更乾淨*立體環繞加熱技術，飲品口感更香濃*雙層不鏽鋼設計，使用安全不燙手")</f>
        <v>*多功能:豆漿、果汁、杏仁露、美味粥皆可料理，百變飲品更輕鬆*安心飲:內膽及刀頭皆採用304不鏽鋼材質，使用更放心*好清洗:搭配輕鬆洗功能，方便清洗更乾淨*立體環繞加熱技術，飲品口感更香濃*雙層不鏽鋼設計，使用安全不燙手</v>
      </c>
    </row>
    <row r="930" spans="1:27" ht="19.5" customHeight="1">
      <c r="A930" s="12" t="str">
        <f ca="1">IFERROR(__xludf.DUMMYFUNCTION("""COMPUTED_VALUE"""),"廚房家電")</f>
        <v>廚房家電</v>
      </c>
      <c r="B930" s="12" t="str">
        <f ca="1">IFERROR(__xludf.DUMMYFUNCTION("""COMPUTED_VALUE"""),"凱創")</f>
        <v>凱創</v>
      </c>
      <c r="C930" s="12" t="str">
        <f ca="1">IFERROR(__xludf.DUMMYFUNCTION("""COMPUTED_VALUE"""),"TOSHIBA")</f>
        <v>TOSHIBA</v>
      </c>
      <c r="D930" s="12" t="str">
        <f ca="1">IFERROR(__xludf.DUMMYFUNCTION("""COMPUTED_VALUE"""),"TOSHIBA10人份備長炭厚釜電子鍋RC-18DRNTW")</f>
        <v>TOSHIBA10人份備長炭厚釜電子鍋RC-18DRNTW</v>
      </c>
      <c r="E930" s="12" t="str">
        <f ca="1">IFERROR(__xludf.DUMMYFUNCTION("""COMPUTED_VALUE"""),"RC-18DRNTW")</f>
        <v>RC-18DRNTW</v>
      </c>
      <c r="F930" s="12">
        <f ca="1">IFERROR(__xludf.DUMMYFUNCTION("""COMPUTED_VALUE"""),51084226)</f>
        <v>51084226</v>
      </c>
      <c r="G930" s="12" t="str">
        <f ca="1">IFERROR(__xludf.DUMMYFUNCTION("""COMPUTED_VALUE"""),"IGEM029J")</f>
        <v>IGEM029J</v>
      </c>
      <c r="H930" s="12">
        <f ca="1">IFERROR(__xludf.DUMMYFUNCTION("""COMPUTED_VALUE"""),5980)</f>
        <v>5980</v>
      </c>
      <c r="I930" s="14">
        <f ca="1">IFERROR(__xludf.DUMMYFUNCTION("""COMPUTED_VALUE"""),2480)</f>
        <v>2480</v>
      </c>
      <c r="J930" s="12"/>
      <c r="K930" s="12"/>
      <c r="L930" s="12" t="str">
        <f ca="1">IFERROR(__xludf.DUMMYFUNCTION("""COMPUTED_VALUE"""),"上架中")</f>
        <v>上架中</v>
      </c>
      <c r="M930" s="12" t="str">
        <f ca="1">IFERROR(__xludf.DUMMYFUNCTION("""COMPUTED_VALUE"""),"2021/7/21新機上架")</f>
        <v>2021/7/21新機上架</v>
      </c>
      <c r="N930" s="12" t="str">
        <f ca="1">IFERROR(__xludf.DUMMYFUNCTION("""COMPUTED_VALUE"""),"電子鍋")</f>
        <v>電子鍋</v>
      </c>
      <c r="O930" s="12" t="str">
        <f ca="1">IFERROR(__xludf.DUMMYFUNCTION("""COMPUTED_VALUE"""),"白")</f>
        <v>白</v>
      </c>
      <c r="P930" s="12" t="str">
        <f ca="1">IFERROR(__xludf.DUMMYFUNCTION("""COMPUTED_VALUE"""),"5.66KG")</f>
        <v>5.66KG</v>
      </c>
      <c r="Q930" s="12" t="str">
        <f ca="1">IFERROR(__xludf.DUMMYFUNCTION("""COMPUTED_VALUE"""),"高282x寬313x長420mm")</f>
        <v>高282x寬313x長420mm</v>
      </c>
      <c r="R930" s="12" t="str">
        <f ca="1">IFERROR(__xludf.DUMMYFUNCTION("""COMPUTED_VALUE"""),"中國")</f>
        <v>中國</v>
      </c>
      <c r="S930" s="12"/>
      <c r="T930" s="12"/>
      <c r="U930" s="22" t="str">
        <f ca="1">IFERROR(__xludf.DUMMYFUNCTION("""COMPUTED_VALUE"""),"1年")</f>
        <v>1年</v>
      </c>
      <c r="V930" s="12"/>
      <c r="W930" s="12"/>
      <c r="X930" s="12"/>
      <c r="Y930" s="12"/>
      <c r="Z930" s="14"/>
      <c r="AA930" s="15" t="str">
        <f ca="1">IFERROR(__xludf.DUMMYFUNCTION("""COMPUTED_VALUE"""),"*智能烹飪曲綫*超級厚膽，聚能燜香*大容積齊享美味*智能預約*多菜單選擇*一鍵煮飯，快捷方便")</f>
        <v>*智能烹飪曲綫*超級厚膽，聚能燜香*大容積齊享美味*智能預約*多菜單選擇*一鍵煮飯，快捷方便</v>
      </c>
    </row>
    <row r="931" spans="1:27" ht="19.5" customHeight="1">
      <c r="A931" s="12" t="str">
        <f ca="1">IFERROR(__xludf.DUMMYFUNCTION("""COMPUTED_VALUE"""),"廚房家電")</f>
        <v>廚房家電</v>
      </c>
      <c r="B931" s="12" t="str">
        <f ca="1">IFERROR(__xludf.DUMMYFUNCTION("""COMPUTED_VALUE"""),"凱創")</f>
        <v>凱創</v>
      </c>
      <c r="C931" s="12" t="str">
        <f ca="1">IFERROR(__xludf.DUMMYFUNCTION("""COMPUTED_VALUE"""),"TOSHIBA")</f>
        <v>TOSHIBA</v>
      </c>
      <c r="D931" s="12" t="str">
        <f ca="1">IFERROR(__xludf.DUMMYFUNCTION("""COMPUTED_VALUE"""),"【TOSHIBA東芝】32公升機械式旋風電烤箱TL1-MC32AZT(GR)")</f>
        <v>【TOSHIBA東芝】32公升機械式旋風電烤箱TL1-MC32AZT(GR)</v>
      </c>
      <c r="E931" s="12" t="str">
        <f ca="1">IFERROR(__xludf.DUMMYFUNCTION("""COMPUTED_VALUE"""),"TL1-MC32AZT(GR)")</f>
        <v>TL1-MC32AZT(GR)</v>
      </c>
      <c r="F931" s="12">
        <f ca="1">IFERROR(__xludf.DUMMYFUNCTION("""COMPUTED_VALUE"""),51084273)</f>
        <v>51084273</v>
      </c>
      <c r="G931" s="12" t="str">
        <f ca="1">IFERROR(__xludf.DUMMYFUNCTION("""COMPUTED_VALUE"""),"IGEM053C")</f>
        <v>IGEM053C</v>
      </c>
      <c r="H931" s="12">
        <f ca="1">IFERROR(__xludf.DUMMYFUNCTION("""COMPUTED_VALUE"""),5980)</f>
        <v>5980</v>
      </c>
      <c r="I931" s="14">
        <f ca="1">IFERROR(__xludf.DUMMYFUNCTION("""COMPUTED_VALUE"""),3680)</f>
        <v>3680</v>
      </c>
      <c r="J931" s="16">
        <f ca="1">IFERROR(__xludf.DUMMYFUNCTION("""COMPUTED_VALUE"""),45694)</f>
        <v>45694</v>
      </c>
      <c r="K931" s="12" t="str">
        <f ca="1">IFERROR(__xludf.DUMMYFUNCTION("""COMPUTED_VALUE"""),"缺貨")</f>
        <v>缺貨</v>
      </c>
      <c r="L931" s="12" t="str">
        <f ca="1">IFERROR(__xludf.DUMMYFUNCTION("""COMPUTED_VALUE"""),"缺貨")</f>
        <v>缺貨</v>
      </c>
      <c r="M931" s="12" t="str">
        <f ca="1">IFERROR(__xludf.DUMMYFUNCTION("""COMPUTED_VALUE"""),"2025/2/6缺貨 預計5-6月到貨，2024/4/1回價，8/9到貨，6/28缺貨，2022/7/1短促，2022/1/21新機上架")</f>
        <v>2025/2/6缺貨 預計5-6月到貨，2024/4/1回價，8/9到貨，6/28缺貨，2022/7/1短促，2022/1/21新機上架</v>
      </c>
      <c r="N931" s="12" t="str">
        <f ca="1">IFERROR(__xludf.DUMMYFUNCTION("""COMPUTED_VALUE"""),"烤箱")</f>
        <v>烤箱</v>
      </c>
      <c r="O931" s="12" t="str">
        <f ca="1">IFERROR(__xludf.DUMMYFUNCTION("""COMPUTED_VALUE"""),"X")</f>
        <v>X</v>
      </c>
      <c r="P931" s="12" t="str">
        <f ca="1">IFERROR(__xludf.DUMMYFUNCTION("""COMPUTED_VALUE"""),"◆商品淨重：9.1kg
◆電壓：110V
◆功率：1500W")</f>
        <v>◆商品淨重：9.1kg
◆電壓：110V
◆功率：1500W</v>
      </c>
      <c r="Q931" s="12" t="str">
        <f ca="1">IFERROR(__xludf.DUMMYFUNCTION("""COMPUTED_VALUE"""),"325*405*495mm")</f>
        <v>325*405*495mm</v>
      </c>
      <c r="R931" s="12" t="str">
        <f ca="1">IFERROR(__xludf.DUMMYFUNCTION("""COMPUTED_VALUE"""),"中國")</f>
        <v>中國</v>
      </c>
      <c r="S931" s="12"/>
      <c r="T931" s="12"/>
      <c r="U931" s="22" t="str">
        <f ca="1">IFERROR(__xludf.DUMMYFUNCTION("""COMPUTED_VALUE"""),"正常使用下主機保固一年")</f>
        <v>正常使用下主機保固一年</v>
      </c>
      <c r="V931" s="12"/>
      <c r="W931" s="12"/>
      <c r="X931" s="12"/>
      <c r="Y931" s="12"/>
      <c r="Z931" s="14"/>
      <c r="AA931" s="15" t="str">
        <f ca="1">IFERROR(__xludf.DUMMYFUNCTION("""COMPUTED_VALUE"""),"*上下獨立發熱管，立體烘烤更均勻*四層烤盤設計*360度旋轉燒烤*70~230度廣域溫控，適用多種料理方式*321含鈦發熱管、更穩定耐用*雙層鋼化玻璃門，貼心防燙、高溫不外露")</f>
        <v>*上下獨立發熱管，立體烘烤更均勻*四層烤盤設計*360度旋轉燒烤*70~230度廣域溫控，適用多種料理方式*321含鈦發熱管、更穩定耐用*雙層鋼化玻璃門，貼心防燙、高溫不外露</v>
      </c>
    </row>
    <row r="932" spans="1:27" ht="19.5" customHeight="1">
      <c r="A932" s="12" t="str">
        <f ca="1">IFERROR(__xludf.DUMMYFUNCTION("""COMPUTED_VALUE"""),"廚房家電")</f>
        <v>廚房家電</v>
      </c>
      <c r="B932" s="12" t="str">
        <f ca="1">IFERROR(__xludf.DUMMYFUNCTION("""COMPUTED_VALUE"""),"凱創")</f>
        <v>凱創</v>
      </c>
      <c r="C932" s="12" t="str">
        <f ca="1">IFERROR(__xludf.DUMMYFUNCTION("""COMPUTED_VALUE"""),"TOSHIBA")</f>
        <v>TOSHIBA</v>
      </c>
      <c r="D932" s="12" t="str">
        <f ca="1">IFERROR(__xludf.DUMMYFUNCTION("""COMPUTED_VALUE"""),"TOSHIBA 東芝20L平台式微電腦變頻微波爐 MC-EM20PIT(WH)")</f>
        <v>TOSHIBA 東芝20L平台式微電腦變頻微波爐 MC-EM20PIT(WH)</v>
      </c>
      <c r="E932" s="12" t="str">
        <f ca="1">IFERROR(__xludf.DUMMYFUNCTION("""COMPUTED_VALUE"""),"MC-EM20PIT(WH)")</f>
        <v>MC-EM20PIT(WH)</v>
      </c>
      <c r="F932" s="12">
        <f ca="1">IFERROR(__xludf.DUMMYFUNCTION("""COMPUTED_VALUE"""),51084304)</f>
        <v>51084304</v>
      </c>
      <c r="G932" s="12" t="str">
        <f ca="1">IFERROR(__xludf.DUMMYFUNCTION("""COMPUTED_VALUE"""),"IGEM085F")</f>
        <v>IGEM085F</v>
      </c>
      <c r="H932" s="13">
        <f ca="1">IFERROR(__xludf.DUMMYFUNCTION("""COMPUTED_VALUE"""),5990)</f>
        <v>5990</v>
      </c>
      <c r="I932" s="14">
        <f ca="1">IFERROR(__xludf.DUMMYFUNCTION("""COMPUTED_VALUE"""),4790)</f>
        <v>4790</v>
      </c>
      <c r="J932" s="16">
        <f ca="1">IFERROR(__xludf.DUMMYFUNCTION("""COMPUTED_VALUE"""),45538)</f>
        <v>45538</v>
      </c>
      <c r="K932" s="12" t="str">
        <f ca="1">IFERROR(__xludf.DUMMYFUNCTION("""COMPUTED_VALUE"""),"短促")</f>
        <v>短促</v>
      </c>
      <c r="L932" s="12" t="str">
        <f ca="1">IFERROR(__xludf.DUMMYFUNCTION("""COMPUTED_VALUE"""),"上架中")</f>
        <v>上架中</v>
      </c>
      <c r="M932" s="12" t="str">
        <f ca="1">IFERROR(__xludf.DUMMYFUNCTION("""COMPUTED_VALUE"""),"2024/9/3短促，9/6到貨，7/18缺貨，2023/7/1新機上架")</f>
        <v>2024/9/3短促，9/6到貨，7/18缺貨，2023/7/1新機上架</v>
      </c>
      <c r="N932" s="12" t="str">
        <f ca="1">IFERROR(__xludf.DUMMYFUNCTION("""COMPUTED_VALUE"""),"微波爐")</f>
        <v>微波爐</v>
      </c>
      <c r="O932" s="12" t="str">
        <f ca="1">IFERROR(__xludf.DUMMYFUNCTION("""COMPUTED_VALUE"""),"白色")</f>
        <v>白色</v>
      </c>
      <c r="P932" s="12" t="str">
        <f ca="1">IFERROR(__xludf.DUMMYFUNCTION("""COMPUTED_VALUE"""),"20L")</f>
        <v>20L</v>
      </c>
      <c r="Q932" s="12" t="str">
        <f ca="1">IFERROR(__xludf.DUMMYFUNCTION("""COMPUTED_VALUE"""),"355x460x285mm")</f>
        <v>355x460x285mm</v>
      </c>
      <c r="R932" s="12" t="str">
        <f ca="1">IFERROR(__xludf.DUMMYFUNCTION("""COMPUTED_VALUE"""),"中國")</f>
        <v>中國</v>
      </c>
      <c r="S932" s="12"/>
      <c r="T932" s="12"/>
      <c r="U932" s="22" t="str">
        <f ca="1">IFERROR(__xludf.DUMMYFUNCTION("""COMPUTED_VALUE"""),"1年")</f>
        <v>1年</v>
      </c>
      <c r="V932" s="12"/>
      <c r="W932" s="12"/>
      <c r="X932" s="12"/>
      <c r="Y932" s="12"/>
      <c r="Z932" s="14"/>
      <c r="AA932" s="15" t="str">
        <f ca="1">IFERROR(__xludf.DUMMYFUNCTION("""COMPUTED_VALUE"""),"*日本同款*防輻射視窗*6段火力調節 均勻受熱* 0~30分鐘精準定時*LCD顯示螢幕 平板大容量腔體*內腔菱格紋設計增加折射受熱均勻")</f>
        <v>*日本同款*防輻射視窗*6段火力調節 均勻受熱* 0~30分鐘精準定時*LCD顯示螢幕 平板大容量腔體*內腔菱格紋設計增加折射受熱均勻</v>
      </c>
    </row>
    <row r="933" spans="1:27" ht="19.5" customHeight="1">
      <c r="A933" s="12" t="str">
        <f ca="1">IFERROR(__xludf.DUMMYFUNCTION("""COMPUTED_VALUE"""),"廚房家電")</f>
        <v>廚房家電</v>
      </c>
      <c r="B933" s="12" t="str">
        <f ca="1">IFERROR(__xludf.DUMMYFUNCTION("""COMPUTED_VALUE"""),"凱創")</f>
        <v>凱創</v>
      </c>
      <c r="C933" s="12" t="str">
        <f ca="1">IFERROR(__xludf.DUMMYFUNCTION("""COMPUTED_VALUE"""),"TOSHIBA")</f>
        <v>TOSHIBA</v>
      </c>
      <c r="D933" s="12" t="str">
        <f ca="1">IFERROR(__xludf.DUMMYFUNCTION("""COMPUTED_VALUE"""),"TOSHIBA 東芝 4人份免安裝智慧WiFi洗烘存洗碗機 DWS-34BTW")</f>
        <v>TOSHIBA 東芝 4人份免安裝智慧WiFi洗烘存洗碗機 DWS-34BTW</v>
      </c>
      <c r="E933" s="12" t="str">
        <f ca="1">IFERROR(__xludf.DUMMYFUNCTION("""COMPUTED_VALUE"""),"DWS-34BTW")</f>
        <v>DWS-34BTW</v>
      </c>
      <c r="F933" s="12">
        <f ca="1">IFERROR(__xludf.DUMMYFUNCTION("""COMPUTED_VALUE"""),51084332)</f>
        <v>51084332</v>
      </c>
      <c r="G933" s="12" t="str">
        <f ca="1">IFERROR(__xludf.DUMMYFUNCTION("""COMPUTED_VALUE"""),"IGEM100E")</f>
        <v>IGEM100E</v>
      </c>
      <c r="H933" s="13">
        <f ca="1">IFERROR(__xludf.DUMMYFUNCTION("""COMPUTED_VALUE"""),19900)</f>
        <v>19900</v>
      </c>
      <c r="I933" s="18">
        <f ca="1">IFERROR(__xludf.DUMMYFUNCTION("""COMPUTED_VALUE"""),10000)</f>
        <v>10000</v>
      </c>
      <c r="J933" s="16">
        <f ca="1">IFERROR(__xludf.DUMMYFUNCTION("""COMPUTED_VALUE"""),45627)</f>
        <v>45627</v>
      </c>
      <c r="K933" s="12" t="str">
        <f ca="1">IFERROR(__xludf.DUMMYFUNCTION("""COMPUTED_VALUE"""),"短促")</f>
        <v>短促</v>
      </c>
      <c r="L933" s="12" t="str">
        <f ca="1">IFERROR(__xludf.DUMMYFUNCTION("""COMPUTED_VALUE"""),"上架中")</f>
        <v>上架中</v>
      </c>
      <c r="M933" s="12" t="str">
        <f ca="1">IFERROR(__xludf.DUMMYFUNCTION("""COMPUTED_VALUE"""),"2024/12/1短促，2024/9/1短促，2024/5/1短促，2024/4/24新機上架")</f>
        <v>2024/12/1短促，2024/9/1短促，2024/5/1短促，2024/4/24新機上架</v>
      </c>
      <c r="N933" s="12" t="str">
        <f ca="1">IFERROR(__xludf.DUMMYFUNCTION("""COMPUTED_VALUE"""),"洗/烘碗機")</f>
        <v>洗/烘碗機</v>
      </c>
      <c r="O933" s="12" t="str">
        <f ca="1">IFERROR(__xludf.DUMMYFUNCTION("""COMPUTED_VALUE"""),"白色")</f>
        <v>白色</v>
      </c>
      <c r="P933" s="12" t="str">
        <f ca="1">IFERROR(__xludf.DUMMYFUNCTION("""COMPUTED_VALUE"""),"◆額定電壓/頻率：110V/60Hz
 ◆商品重量：21.7 kg
 ◆額定功率：640W
 ◆NCC通訊檢驗：CCAJ23LP2571T0
 ◆商檢字號：R3D387
 ◆客服專線：0800-278-000")</f>
        <v>◆額定電壓/頻率：110V/60Hz
 ◆商品重量：21.7 kg
 ◆額定功率：640W
 ◆NCC通訊檢驗：CCAJ23LP2571T0
 ◆商檢字號：R3D387
 ◆客服專線：0800-278-000</v>
      </c>
      <c r="Q933" s="12" t="str">
        <f ca="1">IFERROR(__xludf.DUMMYFUNCTION("""COMPUTED_VALUE"""),"高470x寬420x長440mm")</f>
        <v>高470x寬420x長440mm</v>
      </c>
      <c r="R933" s="12" t="str">
        <f ca="1">IFERROR(__xludf.DUMMYFUNCTION("""COMPUTED_VALUE"""),"中國")</f>
        <v>中國</v>
      </c>
      <c r="S933" s="12"/>
      <c r="T933" s="12"/>
      <c r="U933" s="22" t="str">
        <f ca="1">IFERROR(__xludf.DUMMYFUNCTION("""COMPUTED_VALUE"""),"正常使用下全機1年保固")</f>
        <v>正常使用下全機1年保固</v>
      </c>
      <c r="V933" s="12"/>
      <c r="W933" s="12"/>
      <c r="X933" s="12"/>
      <c r="Y933" s="12"/>
      <c r="Z933" s="14"/>
      <c r="AA933" s="15" t="str">
        <f ca="1">IFERROR(__xludf.DUMMYFUNCTION("""COMPUTED_VALUE"""),"*免安裝，舊式/租屋小廚房也適用 *72°C高溫滅菌，清潔消毒一次到位*7種清洗模式，滿足各類清潔需求*IOT智慧聯網功能，在智能設備上輕鬆控制洗碗機*獨立熱風烘乾，可助於長效抑菌*長達72小時循環換氣，是洗碗機/烘碗機/更是餐具櫃")</f>
        <v>*免安裝，舊式/租屋小廚房也適用 *72°C高溫滅菌，清潔消毒一次到位*7種清洗模式，滿足各類清潔需求*IOT智慧聯網功能，在智能設備上輕鬆控制洗碗機*獨立熱風烘乾，可助於長效抑菌*長達72小時循環換氣，是洗碗機/烘碗機/更是餐具櫃</v>
      </c>
    </row>
    <row r="934" spans="1:27" ht="19.5" customHeight="1">
      <c r="A934" s="12" t="str">
        <f ca="1">IFERROR(__xludf.DUMMYFUNCTION("""COMPUTED_VALUE"""),"廚房家電")</f>
        <v>廚房家電</v>
      </c>
      <c r="B934" s="12" t="str">
        <f ca="1">IFERROR(__xludf.DUMMYFUNCTION("""COMPUTED_VALUE"""),"凱創")</f>
        <v>凱創</v>
      </c>
      <c r="C934" s="12" t="str">
        <f ca="1">IFERROR(__xludf.DUMMYFUNCTION("""COMPUTED_VALUE"""),"TOSHIBA")</f>
        <v>TOSHIBA</v>
      </c>
      <c r="D934" s="12" t="str">
        <f ca="1">IFERROR(__xludf.DUMMYFUNCTION("""COMPUTED_VALUE"""),"TOSHIBA 東芝 6人份免安裝全自動洗碗機 DW-05T1-TW")</f>
        <v>TOSHIBA 東芝 6人份免安裝全自動洗碗機 DW-05T1-TW</v>
      </c>
      <c r="E934" s="12" t="str">
        <f ca="1">IFERROR(__xludf.DUMMYFUNCTION("""COMPUTED_VALUE"""),"DW-05T1-TW")</f>
        <v>DW-05T1-TW</v>
      </c>
      <c r="F934" s="12">
        <f ca="1">IFERROR(__xludf.DUMMYFUNCTION("""COMPUTED_VALUE"""),51084361)</f>
        <v>51084361</v>
      </c>
      <c r="G934" s="12" t="str">
        <f ca="1">IFERROR(__xludf.DUMMYFUNCTION("""COMPUTED_VALUE"""),"IGEM1186")</f>
        <v>IGEM1186</v>
      </c>
      <c r="H934" s="13">
        <f ca="1">IFERROR(__xludf.DUMMYFUNCTION("""COMPUTED_VALUE"""),24900)</f>
        <v>24900</v>
      </c>
      <c r="I934" s="14">
        <f ca="1">IFERROR(__xludf.DUMMYFUNCTION("""COMPUTED_VALUE"""),16200)</f>
        <v>16200</v>
      </c>
      <c r="J934" s="16">
        <f ca="1">IFERROR(__xludf.DUMMYFUNCTION("""COMPUTED_VALUE"""),45670)</f>
        <v>45670</v>
      </c>
      <c r="K934" s="12" t="str">
        <f ca="1">IFERROR(__xludf.DUMMYFUNCTION("""COMPUTED_VALUE"""),"新機上架")</f>
        <v>新機上架</v>
      </c>
      <c r="L934" s="12" t="str">
        <f ca="1">IFERROR(__xludf.DUMMYFUNCTION("""COMPUTED_VALUE"""),"上架中")</f>
        <v>上架中</v>
      </c>
      <c r="M934" s="12" t="str">
        <f ca="1">IFERROR(__xludf.DUMMYFUNCTION("""COMPUTED_VALUE"""),"2025/1/13上架")</f>
        <v>2025/1/13上架</v>
      </c>
      <c r="N934" s="12" t="str">
        <f ca="1">IFERROR(__xludf.DUMMYFUNCTION("""COMPUTED_VALUE"""),"洗/烘碗機")</f>
        <v>洗/烘碗機</v>
      </c>
      <c r="O934" s="12" t="str">
        <f ca="1">IFERROR(__xludf.DUMMYFUNCTION("""COMPUTED_VALUE"""),"白色")</f>
        <v>白色</v>
      </c>
      <c r="P934" s="12" t="str">
        <f ca="1">IFERROR(__xludf.DUMMYFUNCTION("""COMPUTED_VALUE"""),"6人份")</f>
        <v>6人份</v>
      </c>
      <c r="Q934" s="12" t="str">
        <f ca="1">IFERROR(__xludf.DUMMYFUNCTION("""COMPUTED_VALUE"""),"高500 x寬550 x 深345 (mm)、機門展開+機身總長713 (mm)")</f>
        <v>高500 x寬550 x 深345 (mm)、機門展開+機身總長713 (mm)</v>
      </c>
      <c r="R934" s="22" t="str">
        <f ca="1">IFERROR(__xludf.DUMMYFUNCTION("""COMPUTED_VALUE"""),"中國")</f>
        <v>中國</v>
      </c>
      <c r="S934" s="12"/>
      <c r="T934" s="12"/>
      <c r="U934" s="22" t="str">
        <f ca="1">IFERROR(__xludf.DUMMYFUNCTION("""COMPUTED_VALUE"""),"1年")</f>
        <v>1年</v>
      </c>
      <c r="V934" s="12"/>
      <c r="W934" s="12"/>
      <c r="X934" s="12"/>
      <c r="Y934" s="12"/>
      <c r="Z934" s="14"/>
      <c r="AA934" s="15" t="str">
        <f ca="1">IFERROR(__xludf.DUMMYFUNCTION("""COMPUTED_VALUE"""),"*搞定洗淨x除菌x乾燥，解放雙手*34.5cm超窄機身無水箱，不佔空間*可自動吸水，免手動超省事*4組噴臂深入洗淨，超越手洗*75°C高溫溶油垢+銀離子去味除菌*3檔乾燥熱風除菌，維持乾燥+溫盤溫杯*7大洗程，滿足輕洗~強力洗")</f>
        <v>*搞定洗淨x除菌x乾燥，解放雙手*34.5cm超窄機身無水箱，不佔空間*可自動吸水，免手動超省事*4組噴臂深入洗淨，超越手洗*75°C高溫溶油垢+銀離子去味除菌*3檔乾燥熱風除菌，維持乾燥+溫盤溫杯*7大洗程，滿足輕洗~強力洗</v>
      </c>
    </row>
    <row r="935" spans="1:27" ht="19.5" customHeight="1">
      <c r="A935" s="12" t="str">
        <f ca="1">IFERROR(__xludf.DUMMYFUNCTION("""COMPUTED_VALUE"""),"廚房家電")</f>
        <v>廚房家電</v>
      </c>
      <c r="B935" s="12" t="str">
        <f ca="1">IFERROR(__xludf.DUMMYFUNCTION("""COMPUTED_VALUE"""),"禾聯")</f>
        <v>禾聯</v>
      </c>
      <c r="C935" s="12" t="str">
        <f ca="1">IFERROR(__xludf.DUMMYFUNCTION("""COMPUTED_VALUE"""),"禾聯")</f>
        <v>禾聯</v>
      </c>
      <c r="D935" s="12" t="str">
        <f ca="1">IFERROR(__xludf.DUMMYFUNCTION("""COMPUTED_VALUE"""),"禾聯1.8L快煮壺(銀色)HEK-18L1")</f>
        <v>禾聯1.8L快煮壺(銀色)HEK-18L1</v>
      </c>
      <c r="E935" s="12" t="str">
        <f ca="1">IFERROR(__xludf.DUMMYFUNCTION("""COMPUTED_VALUE"""),"HEK-18L1")</f>
        <v>HEK-18L1</v>
      </c>
      <c r="F935" s="12">
        <f ca="1">IFERROR(__xludf.DUMMYFUNCTION("""COMPUTED_VALUE"""),51087134)</f>
        <v>51087134</v>
      </c>
      <c r="G935" s="12" t="str">
        <f ca="1">IFERROR(__xludf.DUMMYFUNCTION("""COMPUTED_VALUE"""),"IGEM01J6")</f>
        <v>IGEM01J6</v>
      </c>
      <c r="H935" s="12">
        <f ca="1">IFERROR(__xludf.DUMMYFUNCTION("""COMPUTED_VALUE"""),799)</f>
        <v>799</v>
      </c>
      <c r="I935" s="14">
        <f ca="1">IFERROR(__xludf.DUMMYFUNCTION("""COMPUTED_VALUE"""),590)</f>
        <v>590</v>
      </c>
      <c r="J935" s="16">
        <f ca="1">IFERROR(__xludf.DUMMYFUNCTION("""COMPUTED_VALUE"""),45364)</f>
        <v>45364</v>
      </c>
      <c r="K935" s="12" t="str">
        <f ca="1">IFERROR(__xludf.DUMMYFUNCTION("""COMPUTED_VALUE"""),"到貨")</f>
        <v>到貨</v>
      </c>
      <c r="L935" s="12" t="str">
        <f ca="1">IFERROR(__xludf.DUMMYFUNCTION("""COMPUTED_VALUE"""),"上架中")</f>
        <v>上架中</v>
      </c>
      <c r="M935" s="12" t="str">
        <f ca="1">IFERROR(__xludf.DUMMYFUNCTION("""COMPUTED_VALUE"""),"3/13到貨，2024/2/19短暫缺貨，預3月到ＫＱＭ,2023/4/12缺貨，2020/11/16到貨，2019/12/2新機上架")</f>
        <v>3/13到貨，2024/2/19短暫缺貨，預3月到ＫＱＭ,2023/4/12缺貨，2020/11/16到貨，2019/12/2新機上架</v>
      </c>
      <c r="N935" s="12" t="str">
        <f ca="1">IFERROR(__xludf.DUMMYFUNCTION("""COMPUTED_VALUE"""),"快煮壺/料理壺/手沖壺")</f>
        <v>快煮壺/料理壺/手沖壺</v>
      </c>
      <c r="O935" s="12" t="str">
        <f ca="1">IFERROR(__xludf.DUMMYFUNCTION("""COMPUTED_VALUE"""),"銀色")</f>
        <v>銀色</v>
      </c>
      <c r="P935" s="12"/>
      <c r="Q935" s="12" t="str">
        <f ca="1">IFERROR(__xludf.DUMMYFUNCTION("""COMPUTED_VALUE"""),"高233*寬203*深165mm")</f>
        <v>高233*寬203*深165mm</v>
      </c>
      <c r="R935" s="12" t="str">
        <f ca="1">IFERROR(__xludf.DUMMYFUNCTION("""COMPUTED_VALUE"""),"中國")</f>
        <v>中國</v>
      </c>
      <c r="S935" s="12"/>
      <c r="T935" s="12"/>
      <c r="U935" s="12" t="str">
        <f ca="1">IFERROR(__xludf.DUMMYFUNCTION("""COMPUTED_VALUE"""),"1年")</f>
        <v>1年</v>
      </c>
      <c r="V935" s="12"/>
      <c r="W935" s="12"/>
      <c r="X935" s="12"/>
      <c r="Y935" s="12"/>
      <c r="Z935" s="14"/>
      <c r="AA935" s="15" t="str">
        <f ca="1">IFERROR(__xludf.DUMMYFUNCTION("""COMPUTED_VALUE"""),"*304不鏽鋼打造*安全防乾燒設計*1200W高效率快速煮沸*一鍵式開關*360°分離式底座")</f>
        <v>*304不鏽鋼打造*安全防乾燒設計*1200W高效率快速煮沸*一鍵式開關*360°分離式底座</v>
      </c>
    </row>
    <row r="936" spans="1:27" ht="19.5" customHeight="1">
      <c r="A936" s="12" t="str">
        <f ca="1">IFERROR(__xludf.DUMMYFUNCTION("""COMPUTED_VALUE"""),"廚房家電")</f>
        <v>廚房家電</v>
      </c>
      <c r="B936" s="12" t="str">
        <f ca="1">IFERROR(__xludf.DUMMYFUNCTION("""COMPUTED_VALUE"""),"台灣三洋")</f>
        <v>台灣三洋</v>
      </c>
      <c r="C936" s="12" t="str">
        <f ca="1">IFERROR(__xludf.DUMMYFUNCTION("""COMPUTED_VALUE"""),"台灣三洋")</f>
        <v>台灣三洋</v>
      </c>
      <c r="D936" s="12" t="str">
        <f ca="1">IFERROR(__xludf.DUMMYFUNCTION("""COMPUTED_VALUE"""),"台灣三洋85公升紫外線四層烘碗機SSK-85SUD")</f>
        <v>台灣三洋85公升紫外線四層烘碗機SSK-85SUD</v>
      </c>
      <c r="E936" s="12" t="str">
        <f ca="1">IFERROR(__xludf.DUMMYFUNCTION("""COMPUTED_VALUE"""),"SSK-85SUD")</f>
        <v>SSK-85SUD</v>
      </c>
      <c r="F936" s="12">
        <f ca="1">IFERROR(__xludf.DUMMYFUNCTION("""COMPUTED_VALUE"""),51075016)</f>
        <v>51075016</v>
      </c>
      <c r="G936" s="12" t="str">
        <f ca="1">IFERROR(__xludf.DUMMYFUNCTION("""COMPUTED_VALUE"""),"IGEM019L")</f>
        <v>IGEM019L</v>
      </c>
      <c r="H936" s="12">
        <f ca="1">IFERROR(__xludf.DUMMYFUNCTION("""COMPUTED_VALUE"""),5990)</f>
        <v>5990</v>
      </c>
      <c r="I936" s="14">
        <f ca="1">IFERROR(__xludf.DUMMYFUNCTION("""COMPUTED_VALUE"""),4540)</f>
        <v>4540</v>
      </c>
      <c r="J936" s="16">
        <f ca="1">IFERROR(__xludf.DUMMYFUNCTION("""COMPUTED_VALUE"""),45485)</f>
        <v>45485</v>
      </c>
      <c r="K936" s="12" t="str">
        <f ca="1">IFERROR(__xludf.DUMMYFUNCTION("""COMPUTED_VALUE"""),"到貨")</f>
        <v>到貨</v>
      </c>
      <c r="L936" s="12" t="str">
        <f ca="1">IFERROR(__xludf.DUMMYFUNCTION("""COMPUTED_VALUE"""),"上架中")</f>
        <v>上架中</v>
      </c>
      <c r="M936" s="12" t="str">
        <f ca="1">IFERROR(__xludf.DUMMYFUNCTION("""COMPUTED_VALUE"""),"2024/7/12到貨，2024/7/9缺貨，2020/02/17再出貨，2019/8/21重新上架")</f>
        <v>2024/7/12到貨，2024/7/9缺貨，2020/02/17再出貨，2019/8/21重新上架</v>
      </c>
      <c r="N936" s="12" t="str">
        <f ca="1">IFERROR(__xludf.DUMMYFUNCTION("""COMPUTED_VALUE"""),"洗/烘碗機")</f>
        <v>洗/烘碗機</v>
      </c>
      <c r="O936" s="12" t="str">
        <f ca="1">IFERROR(__xludf.DUMMYFUNCTION("""COMPUTED_VALUE"""),"白")</f>
        <v>白</v>
      </c>
      <c r="P936" s="12" t="str">
        <f ca="1">IFERROR(__xludf.DUMMYFUNCTION("""COMPUTED_VALUE"""),"85L")</f>
        <v>85L</v>
      </c>
      <c r="Q936" s="12" t="str">
        <f ca="1">IFERROR(__xludf.DUMMYFUNCTION("""COMPUTED_VALUE"""),"710*470*360")</f>
        <v>710*470*360</v>
      </c>
      <c r="R936" s="12" t="str">
        <f ca="1">IFERROR(__xludf.DUMMYFUNCTION("""COMPUTED_VALUE"""),"台灣")</f>
        <v>台灣</v>
      </c>
      <c r="S936" s="12"/>
      <c r="T936" s="12"/>
      <c r="U936" s="12" t="str">
        <f ca="1">IFERROR(__xludf.DUMMYFUNCTION("""COMPUTED_VALUE"""),"1年")</f>
        <v>1年</v>
      </c>
      <c r="V936" s="12"/>
      <c r="W936" s="12"/>
      <c r="X936" s="12"/>
      <c r="Y936" s="12"/>
      <c r="Z936" s="14"/>
      <c r="AA936" s="15" t="str">
        <f ca="1">IFERROR(__xludf.DUMMYFUNCTION("""COMPUTED_VALUE"""),"*層架及內體為不繡鋼材質*安全強化玻璃門+防爆膠膜*光觸媒淨化除臭*85公升大容量設計")</f>
        <v>*層架及內體為不繡鋼材質*安全強化玻璃門+防爆膠膜*光觸媒淨化除臭*85公升大容量設計</v>
      </c>
    </row>
    <row r="937" spans="1:27" ht="19.5" customHeight="1">
      <c r="A937" s="12" t="str">
        <f ca="1">IFERROR(__xludf.DUMMYFUNCTION("""COMPUTED_VALUE"""),"廚房家電")</f>
        <v>廚房家電</v>
      </c>
      <c r="B937" s="12" t="str">
        <f ca="1">IFERROR(__xludf.DUMMYFUNCTION("""COMPUTED_VALUE"""),"大同")</f>
        <v>大同</v>
      </c>
      <c r="C937" s="12" t="str">
        <f ca="1">IFERROR(__xludf.DUMMYFUNCTION("""COMPUTED_VALUE"""),"大同")</f>
        <v>大同</v>
      </c>
      <c r="D937" s="12" t="str">
        <f ca="1">IFERROR(__xludf.DUMMYFUNCTION("""COMPUTED_VALUE"""),"大同多功能調理果汁機TJC-1520A")</f>
        <v>大同多功能調理果汁機TJC-1520A</v>
      </c>
      <c r="E937" s="12" t="str">
        <f ca="1">IFERROR(__xludf.DUMMYFUNCTION("""COMPUTED_VALUE"""),"TJC-1520A")</f>
        <v>TJC-1520A</v>
      </c>
      <c r="F937" s="12">
        <f ca="1">IFERROR(__xludf.DUMMYFUNCTION("""COMPUTED_VALUE"""),51081161)</f>
        <v>51081161</v>
      </c>
      <c r="G937" s="12" t="str">
        <f ca="1">IFERROR(__xludf.DUMMYFUNCTION("""COMPUTED_VALUE"""),"IGEM032Q")</f>
        <v>IGEM032Q</v>
      </c>
      <c r="H937" s="12">
        <f ca="1">IFERROR(__xludf.DUMMYFUNCTION("""COMPUTED_VALUE"""),2790)</f>
        <v>2790</v>
      </c>
      <c r="I937" s="14">
        <f ca="1">IFERROR(__xludf.DUMMYFUNCTION("""COMPUTED_VALUE"""),1790)</f>
        <v>1790</v>
      </c>
      <c r="J937" s="16">
        <f ca="1">IFERROR(__xludf.DUMMYFUNCTION("""COMPUTED_VALUE"""),45644)</f>
        <v>45644</v>
      </c>
      <c r="K937" s="12" t="str">
        <f ca="1">IFERROR(__xludf.DUMMYFUNCTION("""COMPUTED_VALUE"""),"短促")</f>
        <v>短促</v>
      </c>
      <c r="L937" s="12" t="str">
        <f ca="1">IFERROR(__xludf.DUMMYFUNCTION("""COMPUTED_VALUE"""),"上架中")</f>
        <v>上架中</v>
      </c>
      <c r="M937" s="12" t="str">
        <f ca="1">IFERROR(__xludf.DUMMYFUNCTION("""COMPUTED_VALUE"""),"2024/12/18短促，2024/7/9短促，5/1短促，2021/9/21缺貨、2021/2/9新機上架")</f>
        <v>2024/12/18短促，2024/7/9短促，5/1短促，2021/9/21缺貨、2021/2/9新機上架</v>
      </c>
      <c r="N937" s="12" t="str">
        <f ca="1">IFERROR(__xludf.DUMMYFUNCTION("""COMPUTED_VALUE"""),"果汁機/調理機/豆漿機")</f>
        <v>果汁機/調理機/豆漿機</v>
      </c>
      <c r="O937" s="12" t="str">
        <f ca="1">IFERROR(__xludf.DUMMYFUNCTION("""COMPUTED_VALUE"""),"銀")</f>
        <v>銀</v>
      </c>
      <c r="P937" s="12" t="str">
        <f ca="1">IFERROR(__xludf.DUMMYFUNCTION("""COMPUTED_VALUE"""),"1.5L")</f>
        <v>1.5L</v>
      </c>
      <c r="Q937" s="12" t="str">
        <f ca="1">IFERROR(__xludf.DUMMYFUNCTION("""COMPUTED_VALUE"""),"高450mm*寬200mm*深200mm")</f>
        <v>高450mm*寬200mm*深200mm</v>
      </c>
      <c r="R937" s="12" t="str">
        <f ca="1">IFERROR(__xludf.DUMMYFUNCTION("""COMPUTED_VALUE"""),"大陸")</f>
        <v>大陸</v>
      </c>
      <c r="S937" s="12"/>
      <c r="T937" s="12"/>
      <c r="U937" s="12" t="str">
        <f ca="1">IFERROR(__xludf.DUMMYFUNCTION("""COMPUTED_VALUE"""),"1年")</f>
        <v>1年</v>
      </c>
      <c r="V937" s="12"/>
      <c r="W937" s="12"/>
      <c r="X937" s="12"/>
      <c r="Y937" s="12"/>
      <c r="Z937" s="14"/>
      <c r="AA937" s="15" t="str">
        <f ca="1">IFERROR(__xludf.DUMMYFUNCTION("""COMPUTED_VALUE"""),"*六向不鏽鋼立體刀頭*轉速20000rpm，高低2速+瞬轉選擇*多重安全裝置：復歸式馬達、微動開關、及過熱保護")</f>
        <v>*六向不鏽鋼立體刀頭*轉速20000rpm，高低2速+瞬轉選擇*多重安全裝置：復歸式馬達、微動開關、及過熱保護</v>
      </c>
    </row>
    <row r="938" spans="1:27" ht="19.5" customHeight="1">
      <c r="A938" s="12" t="str">
        <f ca="1">IFERROR(__xludf.DUMMYFUNCTION("""COMPUTED_VALUE"""),"廚房家電")</f>
        <v>廚房家電</v>
      </c>
      <c r="B938" s="12" t="str">
        <f ca="1">IFERROR(__xludf.DUMMYFUNCTION("""COMPUTED_VALUE"""),"大同")</f>
        <v>大同</v>
      </c>
      <c r="C938" s="12" t="str">
        <f ca="1">IFERROR(__xludf.DUMMYFUNCTION("""COMPUTED_VALUE"""),"大同")</f>
        <v>大同</v>
      </c>
      <c r="D938" s="12" t="str">
        <f ca="1">IFERROR(__xludf.DUMMYFUNCTION("""COMPUTED_VALUE"""),"大同11.5L蒸氣式開飲機TLK-1206SR")</f>
        <v>大同11.5L蒸氣式開飲機TLK-1206SR</v>
      </c>
      <c r="E938" s="12" t="str">
        <f ca="1">IFERROR(__xludf.DUMMYFUNCTION("""COMPUTED_VALUE"""),"TLK-1206SR")</f>
        <v>TLK-1206SR</v>
      </c>
      <c r="F938" s="12">
        <f ca="1">IFERROR(__xludf.DUMMYFUNCTION("""COMPUTED_VALUE"""),51081172)</f>
        <v>51081172</v>
      </c>
      <c r="G938" s="12" t="str">
        <f ca="1">IFERROR(__xludf.DUMMYFUNCTION("""COMPUTED_VALUE"""),"IGEM0332")</f>
        <v>IGEM0332</v>
      </c>
      <c r="H938" s="12">
        <f ca="1">IFERROR(__xludf.DUMMYFUNCTION("""COMPUTED_VALUE"""),4590)</f>
        <v>4590</v>
      </c>
      <c r="I938" s="14">
        <f ca="1">IFERROR(__xludf.DUMMYFUNCTION("""COMPUTED_VALUE"""),3950)</f>
        <v>3950</v>
      </c>
      <c r="J938" s="16">
        <f ca="1">IFERROR(__xludf.DUMMYFUNCTION("""COMPUTED_VALUE"""),45383)</f>
        <v>45383</v>
      </c>
      <c r="K938" s="12" t="str">
        <f ca="1">IFERROR(__xludf.DUMMYFUNCTION("""COMPUTED_VALUE"""),"回價")</f>
        <v>回價</v>
      </c>
      <c r="L938" s="12" t="str">
        <f ca="1">IFERROR(__xludf.DUMMYFUNCTION("""COMPUTED_VALUE"""),"上架中")</f>
        <v>上架中</v>
      </c>
      <c r="M938" s="12" t="str">
        <f ca="1">IFERROR(__xludf.DUMMYFUNCTION("""COMPUTED_VALUE"""),"2024/4/1回價，2024/3/5短促，2022/2/23到貨、2022/1/12缺貨、2021/5/1新機上架")</f>
        <v>2024/4/1回價，2024/3/5短促，2022/2/23到貨、2022/1/12缺貨、2021/5/1新機上架</v>
      </c>
      <c r="N938" s="12" t="str">
        <f ca="1">IFERROR(__xludf.DUMMYFUNCTION("""COMPUTED_VALUE"""),"開飲機")</f>
        <v>開飲機</v>
      </c>
      <c r="O938" s="12" t="str">
        <f ca="1">IFERROR(__xludf.DUMMYFUNCTION("""COMPUTED_VALUE"""),"白")</f>
        <v>白</v>
      </c>
      <c r="P938" s="12" t="str">
        <f ca="1">IFERROR(__xludf.DUMMYFUNCTION("""COMPUTED_VALUE"""),"11.5L")</f>
        <v>11.5L</v>
      </c>
      <c r="Q938" s="12" t="str">
        <f ca="1">IFERROR(__xludf.DUMMYFUNCTION("""COMPUTED_VALUE"""),"550Hx380x380(高寬深mm)")</f>
        <v>550Hx380x380(高寬深mm)</v>
      </c>
      <c r="R938" s="12" t="str">
        <f ca="1">IFERROR(__xludf.DUMMYFUNCTION("""COMPUTED_VALUE"""),"台灣")</f>
        <v>台灣</v>
      </c>
      <c r="S938" s="12"/>
      <c r="T938" s="12"/>
      <c r="U938" s="12" t="str">
        <f ca="1">IFERROR(__xludf.DUMMYFUNCTION("""COMPUTED_VALUE"""),"1年")</f>
        <v>1年</v>
      </c>
      <c r="V938" s="12"/>
      <c r="W938" s="12"/>
      <c r="X938" s="12"/>
      <c r="Y938" s="12"/>
      <c r="Z938" s="14"/>
      <c r="AA938" s="15" t="str">
        <f ca="1">IFERROR(__xludf.DUMMYFUNCTION("""COMPUTED_VALUE"""),"*微電腦全自動加熱保溫*採蒸水式給水，不會喝到生水*雙重水位自動偵測裝置*熱水膽乾燒自動斷電裝置*304不鏽鋼溫、熱水膽")</f>
        <v>*微電腦全自動加熱保溫*採蒸水式給水，不會喝到生水*雙重水位自動偵測裝置*熱水膽乾燒自動斷電裝置*304不鏽鋼溫、熱水膽</v>
      </c>
    </row>
    <row r="939" spans="1:27" ht="19.5" customHeight="1">
      <c r="A939" s="12" t="str">
        <f ca="1">IFERROR(__xludf.DUMMYFUNCTION("""COMPUTED_VALUE"""),"廚房家電")</f>
        <v>廚房家電</v>
      </c>
      <c r="B939" s="12" t="str">
        <f ca="1">IFERROR(__xludf.DUMMYFUNCTION("""COMPUTED_VALUE"""),"大同")</f>
        <v>大同</v>
      </c>
      <c r="C939" s="12" t="str">
        <f ca="1">IFERROR(__xludf.DUMMYFUNCTION("""COMPUTED_VALUE"""),"大同")</f>
        <v>大同</v>
      </c>
      <c r="D939" s="12" t="str">
        <f ca="1">IFERROR(__xludf.DUMMYFUNCTION("""COMPUTED_VALUE"""),"大同11人份不鏽鋼電鍋(百合白)(有保溫開關)TAC-11R-MW")</f>
        <v>大同11人份不鏽鋼電鍋(百合白)(有保溫開關)TAC-11R-MW</v>
      </c>
      <c r="E939" s="12" t="str">
        <f ca="1">IFERROR(__xludf.DUMMYFUNCTION("""COMPUTED_VALUE"""),"TAC-11R-MW")</f>
        <v>TAC-11R-MW</v>
      </c>
      <c r="F939" s="12">
        <f ca="1">IFERROR(__xludf.DUMMYFUNCTION("""COMPUTED_VALUE"""),51012156)</f>
        <v>51012156</v>
      </c>
      <c r="G939" s="12" t="str">
        <f ca="1">IFERROR(__xludf.DUMMYFUNCTION("""COMPUTED_VALUE"""),"IGEM046L")</f>
        <v>IGEM046L</v>
      </c>
      <c r="H939" s="12">
        <f ca="1">IFERROR(__xludf.DUMMYFUNCTION("""COMPUTED_VALUE"""),4790)</f>
        <v>4790</v>
      </c>
      <c r="I939" s="14">
        <f ca="1">IFERROR(__xludf.DUMMYFUNCTION("""COMPUTED_VALUE"""),4505)</f>
        <v>4505</v>
      </c>
      <c r="J939" s="12"/>
      <c r="K939" s="12"/>
      <c r="L939" s="12" t="str">
        <f ca="1">IFERROR(__xludf.DUMMYFUNCTION("""COMPUTED_VALUE"""),"上架中")</f>
        <v>上架中</v>
      </c>
      <c r="M939" s="12" t="str">
        <f ca="1">IFERROR(__xludf.DUMMYFUNCTION("""COMPUTED_VALUE"""),"2024/4/13短促，2/15短促，預計2022/2月到貨、2022/1/14缺貨，可等年後在開數量受理。可改推TAC-10L-MS。2021/9/3新品上架")</f>
        <v>2024/4/13短促，2/15短促，預計2022/2月到貨、2022/1/14缺貨，可等年後在開數量受理。可改推TAC-10L-MS。2021/9/3新品上架</v>
      </c>
      <c r="N939" s="12" t="str">
        <f ca="1">IFERROR(__xludf.DUMMYFUNCTION("""COMPUTED_VALUE"""),"電鍋")</f>
        <v>電鍋</v>
      </c>
      <c r="O939" s="12" t="str">
        <f ca="1">IFERROR(__xludf.DUMMYFUNCTION("""COMPUTED_VALUE"""),"百合白")</f>
        <v>百合白</v>
      </c>
      <c r="P939" s="12" t="str">
        <f ca="1">IFERROR(__xludf.DUMMYFUNCTION("""COMPUTED_VALUE"""),"11人份")</f>
        <v>11人份</v>
      </c>
      <c r="Q939" s="12" t="str">
        <f ca="1">IFERROR(__xludf.DUMMYFUNCTION("""COMPUTED_VALUE"""),"高265x寬348x長295(mm)")</f>
        <v>高265x寬348x長295(mm)</v>
      </c>
      <c r="R939" s="12" t="str">
        <f ca="1">IFERROR(__xludf.DUMMYFUNCTION("""COMPUTED_VALUE"""),"台灣")</f>
        <v>台灣</v>
      </c>
      <c r="S939" s="12"/>
      <c r="T939" s="12"/>
      <c r="U939" s="12" t="str">
        <f ca="1">IFERROR(__xludf.DUMMYFUNCTION("""COMPUTED_VALUE"""),"1年")</f>
        <v>1年</v>
      </c>
      <c r="V939" s="12"/>
      <c r="W939" s="12"/>
      <c r="X939" s="12"/>
      <c r="Y939" s="12"/>
      <c r="Z939" s="14"/>
      <c r="AA939" s="15" t="str">
        <f ca="1">IFERROR(__xludf.DUMMYFUNCTION("""COMPUTED_VALUE"""),"*11人份電鍋，百合白色外殼。*鍋蓋、內鍋、外鍋、蒸盤均為SUS304不鏽鋼*加熱均勻保溫開關。*雙重被覆電源線，雙重安全保護。*煮飯/粥、蒸、滷、燉多用途")</f>
        <v>*11人份電鍋，百合白色外殼。*鍋蓋、內鍋、外鍋、蒸盤均為SUS304不鏽鋼*加熱均勻保溫開關。*雙重被覆電源線，雙重安全保護。*煮飯/粥、蒸、滷、燉多用途</v>
      </c>
    </row>
    <row r="940" spans="1:27" ht="19.5" customHeight="1">
      <c r="A940" s="12" t="str">
        <f ca="1">IFERROR(__xludf.DUMMYFUNCTION("""COMPUTED_VALUE"""),"廚房家電")</f>
        <v>廚房家電</v>
      </c>
      <c r="B940" s="12" t="str">
        <f ca="1">IFERROR(__xludf.DUMMYFUNCTION("""COMPUTED_VALUE"""),"大同")</f>
        <v>大同</v>
      </c>
      <c r="C940" s="12" t="str">
        <f ca="1">IFERROR(__xludf.DUMMYFUNCTION("""COMPUTED_VALUE"""),"大同")</f>
        <v>大同</v>
      </c>
      <c r="D940" s="12" t="str">
        <f ca="1">IFERROR(__xludf.DUMMYFUNCTION("""COMPUTED_VALUE"""),"大同6人份電鍋(綠)TAC-06L-DGU")</f>
        <v>大同6人份電鍋(綠)TAC-06L-DGU</v>
      </c>
      <c r="E940" s="12" t="str">
        <f ca="1">IFERROR(__xludf.DUMMYFUNCTION("""COMPUTED_VALUE"""),"TAC-06L-DGU")</f>
        <v>TAC-06L-DGU</v>
      </c>
      <c r="F940" s="12">
        <f ca="1">IFERROR(__xludf.DUMMYFUNCTION("""COMPUTED_VALUE"""),51012160)</f>
        <v>51012160</v>
      </c>
      <c r="G940" s="12" t="str">
        <f ca="1">IFERROR(__xludf.DUMMYFUNCTION("""COMPUTED_VALUE"""),"IGEM046P")</f>
        <v>IGEM046P</v>
      </c>
      <c r="H940" s="12">
        <f ca="1">IFERROR(__xludf.DUMMYFUNCTION("""COMPUTED_VALUE"""),2790)</f>
        <v>2790</v>
      </c>
      <c r="I940" s="14">
        <f ca="1">IFERROR(__xludf.DUMMYFUNCTION("""COMPUTED_VALUE"""),2600)</f>
        <v>2600</v>
      </c>
      <c r="J940" s="12"/>
      <c r="K940" s="12"/>
      <c r="L940" s="12" t="str">
        <f ca="1">IFERROR(__xludf.DUMMYFUNCTION("""COMPUTED_VALUE"""),"上架中")</f>
        <v>上架中</v>
      </c>
      <c r="M940" s="12" t="str">
        <f ca="1">IFERROR(__xludf.DUMMYFUNCTION("""COMPUTED_VALUE"""),"2022/3/16上架，貨況請與廠商確認後再通知開數量受理。")</f>
        <v>2022/3/16上架，貨況請與廠商確認後再通知開數量受理。</v>
      </c>
      <c r="N940" s="12" t="str">
        <f ca="1">IFERROR(__xludf.DUMMYFUNCTION("""COMPUTED_VALUE"""),"電鍋")</f>
        <v>電鍋</v>
      </c>
      <c r="O940" s="12" t="str">
        <f ca="1">IFERROR(__xludf.DUMMYFUNCTION("""COMPUTED_VALUE"""),"綠")</f>
        <v>綠</v>
      </c>
      <c r="P940" s="12" t="str">
        <f ca="1">IFERROR(__xludf.DUMMYFUNCTION("""COMPUTED_VALUE"""),"6人份")</f>
        <v>6人份</v>
      </c>
      <c r="Q940" s="12" t="str">
        <f ca="1">IFERROR(__xludf.DUMMYFUNCTION("""COMPUTED_VALUE"""),"高220x寬308x長260(mm)")</f>
        <v>高220x寬308x長260(mm)</v>
      </c>
      <c r="R940" s="12" t="str">
        <f ca="1">IFERROR(__xludf.DUMMYFUNCTION("""COMPUTED_VALUE"""),"台灣")</f>
        <v>台灣</v>
      </c>
      <c r="S940" s="12"/>
      <c r="T940" s="12"/>
      <c r="U940" s="12" t="str">
        <f ca="1">IFERROR(__xludf.DUMMYFUNCTION("""COMPUTED_VALUE"""),"1年")</f>
        <v>1年</v>
      </c>
      <c r="V940" s="12"/>
      <c r="W940" s="12"/>
      <c r="X940" s="12"/>
      <c r="Y940" s="12"/>
      <c r="Z940" s="14"/>
      <c r="AA940" s="15" t="str">
        <f ca="1">IFERROR(__xludf.DUMMYFUNCTION("""COMPUTED_VALUE"""),"*6人份電鍋，綠色外殼加大同寶寶。*鍋蓋、內鍋、蒸盤均為SUS304不鏽鋼。*加熱均勻保溫開關。*雙重被覆電源線，雙重安全保護。*煮飯/粥、蒸、滷、燉多用途。")</f>
        <v>*6人份電鍋，綠色外殼加大同寶寶。*鍋蓋、內鍋、蒸盤均為SUS304不鏽鋼。*加熱均勻保溫開關。*雙重被覆電源線，雙重安全保護。*煮飯/粥、蒸、滷、燉多用途。</v>
      </c>
    </row>
    <row r="941" spans="1:27" ht="19.5" customHeight="1">
      <c r="A941" s="12" t="str">
        <f ca="1">IFERROR(__xludf.DUMMYFUNCTION("""COMPUTED_VALUE"""),"廚房家電")</f>
        <v>廚房家電</v>
      </c>
      <c r="B941" s="12" t="str">
        <f ca="1">IFERROR(__xludf.DUMMYFUNCTION("""COMPUTED_VALUE"""),"大同")</f>
        <v>大同</v>
      </c>
      <c r="C941" s="12" t="str">
        <f ca="1">IFERROR(__xludf.DUMMYFUNCTION("""COMPUTED_VALUE"""),"大同")</f>
        <v>大同</v>
      </c>
      <c r="D941" s="12" t="str">
        <f ca="1">IFERROR(__xludf.DUMMYFUNCTION("""COMPUTED_VALUE"""),"大同6人份電鍋(桃紅)TAC-06L-DIU")</f>
        <v>大同6人份電鍋(桃紅)TAC-06L-DIU</v>
      </c>
      <c r="E941" s="12" t="str">
        <f ca="1">IFERROR(__xludf.DUMMYFUNCTION("""COMPUTED_VALUE"""),"TAC-06L-DIU")</f>
        <v>TAC-06L-DIU</v>
      </c>
      <c r="F941" s="12">
        <f ca="1">IFERROR(__xludf.DUMMYFUNCTION("""COMPUTED_VALUE"""),51012161)</f>
        <v>51012161</v>
      </c>
      <c r="G941" s="12" t="str">
        <f ca="1">IFERROR(__xludf.DUMMYFUNCTION("""COMPUTED_VALUE"""),"IGEM046Q")</f>
        <v>IGEM046Q</v>
      </c>
      <c r="H941" s="12">
        <f ca="1">IFERROR(__xludf.DUMMYFUNCTION("""COMPUTED_VALUE"""),2790)</f>
        <v>2790</v>
      </c>
      <c r="I941" s="14">
        <f ca="1">IFERROR(__xludf.DUMMYFUNCTION("""COMPUTED_VALUE"""),2600)</f>
        <v>2600</v>
      </c>
      <c r="J941" s="12"/>
      <c r="K941" s="12"/>
      <c r="L941" s="12" t="str">
        <f ca="1">IFERROR(__xludf.DUMMYFUNCTION("""COMPUTED_VALUE"""),"上架中")</f>
        <v>上架中</v>
      </c>
      <c r="M941" s="12" t="str">
        <f ca="1">IFERROR(__xludf.DUMMYFUNCTION("""COMPUTED_VALUE"""),"2022/3/16上架，貨況請與廠商確認後再通知開數量受理。")</f>
        <v>2022/3/16上架，貨況請與廠商確認後再通知開數量受理。</v>
      </c>
      <c r="N941" s="12" t="str">
        <f ca="1">IFERROR(__xludf.DUMMYFUNCTION("""COMPUTED_VALUE"""),"電鍋")</f>
        <v>電鍋</v>
      </c>
      <c r="O941" s="12" t="str">
        <f ca="1">IFERROR(__xludf.DUMMYFUNCTION("""COMPUTED_VALUE"""),"桃紅")</f>
        <v>桃紅</v>
      </c>
      <c r="P941" s="12" t="str">
        <f ca="1">IFERROR(__xludf.DUMMYFUNCTION("""COMPUTED_VALUE"""),"6人份")</f>
        <v>6人份</v>
      </c>
      <c r="Q941" s="12" t="str">
        <f ca="1">IFERROR(__xludf.DUMMYFUNCTION("""COMPUTED_VALUE"""),"高220x寬308x長260(mm)")</f>
        <v>高220x寬308x長260(mm)</v>
      </c>
      <c r="R941" s="12" t="str">
        <f ca="1">IFERROR(__xludf.DUMMYFUNCTION("""COMPUTED_VALUE"""),"台灣")</f>
        <v>台灣</v>
      </c>
      <c r="S941" s="12"/>
      <c r="T941" s="12"/>
      <c r="U941" s="12" t="str">
        <f ca="1">IFERROR(__xludf.DUMMYFUNCTION("""COMPUTED_VALUE"""),"1年")</f>
        <v>1年</v>
      </c>
      <c r="V941" s="12"/>
      <c r="W941" s="12"/>
      <c r="X941" s="12"/>
      <c r="Y941" s="12"/>
      <c r="Z941" s="14"/>
      <c r="AA941" s="15" t="str">
        <f ca="1">IFERROR(__xludf.DUMMYFUNCTION("""COMPUTED_VALUE"""),"*6人份電鍋，桃紅色外殼加大同寶寶。*鍋蓋、內鍋、蒸盤均為SUS304不鏽鋼。*加熱均勻保溫開關。*雙重被覆電源線，雙重安全保護。*煮飯/粥、蒸、滷、燉多用途。")</f>
        <v>*6人份電鍋，桃紅色外殼加大同寶寶。*鍋蓋、內鍋、蒸盤均為SUS304不鏽鋼。*加熱均勻保溫開關。*雙重被覆電源線，雙重安全保護。*煮飯/粥、蒸、滷、燉多用途。</v>
      </c>
    </row>
    <row r="942" spans="1:27" ht="19.5" customHeight="1">
      <c r="A942" s="12" t="str">
        <f ca="1">IFERROR(__xludf.DUMMYFUNCTION("""COMPUTED_VALUE"""),"廚房家電")</f>
        <v>廚房家電</v>
      </c>
      <c r="B942" s="12" t="str">
        <f ca="1">IFERROR(__xludf.DUMMYFUNCTION("""COMPUTED_VALUE"""),"大同")</f>
        <v>大同</v>
      </c>
      <c r="C942" s="12" t="str">
        <f ca="1">IFERROR(__xludf.DUMMYFUNCTION("""COMPUTED_VALUE"""),"大同")</f>
        <v>大同</v>
      </c>
      <c r="D942" s="12" t="str">
        <f ca="1">IFERROR(__xludf.DUMMYFUNCTION("""COMPUTED_VALUE"""),"大同6人份電鍋(橘紅)TAC-06L-DRU")</f>
        <v>大同6人份電鍋(橘紅)TAC-06L-DRU</v>
      </c>
      <c r="E942" s="12" t="str">
        <f ca="1">IFERROR(__xludf.DUMMYFUNCTION("""COMPUTED_VALUE"""),"TAC-06L-DRU")</f>
        <v>TAC-06L-DRU</v>
      </c>
      <c r="F942" s="12">
        <f ca="1">IFERROR(__xludf.DUMMYFUNCTION("""COMPUTED_VALUE"""),51012162)</f>
        <v>51012162</v>
      </c>
      <c r="G942" s="12" t="str">
        <f ca="1">IFERROR(__xludf.DUMMYFUNCTION("""COMPUTED_VALUE"""),"IGEM046R")</f>
        <v>IGEM046R</v>
      </c>
      <c r="H942" s="12">
        <f ca="1">IFERROR(__xludf.DUMMYFUNCTION("""COMPUTED_VALUE"""),2790)</f>
        <v>2790</v>
      </c>
      <c r="I942" s="14">
        <f ca="1">IFERROR(__xludf.DUMMYFUNCTION("""COMPUTED_VALUE"""),2600)</f>
        <v>2600</v>
      </c>
      <c r="J942" s="12"/>
      <c r="K942" s="12"/>
      <c r="L942" s="12" t="str">
        <f ca="1">IFERROR(__xludf.DUMMYFUNCTION("""COMPUTED_VALUE"""),"上架中")</f>
        <v>上架中</v>
      </c>
      <c r="M942" s="12" t="str">
        <f ca="1">IFERROR(__xludf.DUMMYFUNCTION("""COMPUTED_VALUE"""),"2022/3/16上架，貨況請與廠商確認後再通知開數量受理。")</f>
        <v>2022/3/16上架，貨況請與廠商確認後再通知開數量受理。</v>
      </c>
      <c r="N942" s="12" t="str">
        <f ca="1">IFERROR(__xludf.DUMMYFUNCTION("""COMPUTED_VALUE"""),"電鍋")</f>
        <v>電鍋</v>
      </c>
      <c r="O942" s="12" t="str">
        <f ca="1">IFERROR(__xludf.DUMMYFUNCTION("""COMPUTED_VALUE"""),"橘紅")</f>
        <v>橘紅</v>
      </c>
      <c r="P942" s="12" t="str">
        <f ca="1">IFERROR(__xludf.DUMMYFUNCTION("""COMPUTED_VALUE"""),"6人份")</f>
        <v>6人份</v>
      </c>
      <c r="Q942" s="12" t="str">
        <f ca="1">IFERROR(__xludf.DUMMYFUNCTION("""COMPUTED_VALUE"""),"高220x寬308x長260(mm)")</f>
        <v>高220x寬308x長260(mm)</v>
      </c>
      <c r="R942" s="12" t="str">
        <f ca="1">IFERROR(__xludf.DUMMYFUNCTION("""COMPUTED_VALUE"""),"台灣")</f>
        <v>台灣</v>
      </c>
      <c r="S942" s="12"/>
      <c r="T942" s="12"/>
      <c r="U942" s="12" t="str">
        <f ca="1">IFERROR(__xludf.DUMMYFUNCTION("""COMPUTED_VALUE"""),"1年")</f>
        <v>1年</v>
      </c>
      <c r="V942" s="12"/>
      <c r="W942" s="12"/>
      <c r="X942" s="12"/>
      <c r="Y942" s="12"/>
      <c r="Z942" s="14"/>
      <c r="AA942" s="15" t="str">
        <f ca="1">IFERROR(__xludf.DUMMYFUNCTION("""COMPUTED_VALUE"""),"*6人份電鍋，橘紅色外殼加大同寶寶。*鍋蓋、內鍋、蒸盤均為SUS304不鏽鋼。*加熱均勻保溫開關。*雙重被覆電源線，雙重安全保護。*煮飯/粥、蒸、滷、燉多用途。")</f>
        <v>*6人份電鍋，橘紅色外殼加大同寶寶。*鍋蓋、內鍋、蒸盤均為SUS304不鏽鋼。*加熱均勻保溫開關。*雙重被覆電源線，雙重安全保護。*煮飯/粥、蒸、滷、燉多用途。</v>
      </c>
    </row>
    <row r="943" spans="1:27" ht="19.5" customHeight="1">
      <c r="A943" s="12" t="str">
        <f ca="1">IFERROR(__xludf.DUMMYFUNCTION("""COMPUTED_VALUE"""),"廚房家電")</f>
        <v>廚房家電</v>
      </c>
      <c r="B943" s="12" t="str">
        <f ca="1">IFERROR(__xludf.DUMMYFUNCTION("""COMPUTED_VALUE"""),"大同")</f>
        <v>大同</v>
      </c>
      <c r="C943" s="12" t="str">
        <f ca="1">IFERROR(__xludf.DUMMYFUNCTION("""COMPUTED_VALUE"""),"大同")</f>
        <v>大同</v>
      </c>
      <c r="D943" s="12" t="str">
        <f ca="1">IFERROR(__xludf.DUMMYFUNCTION("""COMPUTED_VALUE"""),"大同10人份電鍋(綠)TAC-10L-DGU")</f>
        <v>大同10人份電鍋(綠)TAC-10L-DGU</v>
      </c>
      <c r="E943" s="12" t="str">
        <f ca="1">IFERROR(__xludf.DUMMYFUNCTION("""COMPUTED_VALUE"""),"TAC-10L-DGU")</f>
        <v>TAC-10L-DGU</v>
      </c>
      <c r="F943" s="12">
        <f ca="1">IFERROR(__xludf.DUMMYFUNCTION("""COMPUTED_VALUE"""),51012163)</f>
        <v>51012163</v>
      </c>
      <c r="G943" s="12" t="str">
        <f ca="1">IFERROR(__xludf.DUMMYFUNCTION("""COMPUTED_VALUE"""),"IGEM046S")</f>
        <v>IGEM046S</v>
      </c>
      <c r="H943" s="12">
        <f ca="1">IFERROR(__xludf.DUMMYFUNCTION("""COMPUTED_VALUE"""),3190)</f>
        <v>3190</v>
      </c>
      <c r="I943" s="14">
        <f ca="1">IFERROR(__xludf.DUMMYFUNCTION("""COMPUTED_VALUE"""),3000)</f>
        <v>3000</v>
      </c>
      <c r="J943" s="12"/>
      <c r="K943" s="12"/>
      <c r="L943" s="12" t="str">
        <f ca="1">IFERROR(__xludf.DUMMYFUNCTION("""COMPUTED_VALUE"""),"上架中")</f>
        <v>上架中</v>
      </c>
      <c r="M943" s="12" t="str">
        <f ca="1">IFERROR(__xludf.DUMMYFUNCTION("""COMPUTED_VALUE"""),"2022/3/16上架，貨況請與廠商確認後再通知開數量受理。")</f>
        <v>2022/3/16上架，貨況請與廠商確認後再通知開數量受理。</v>
      </c>
      <c r="N943" s="12" t="str">
        <f ca="1">IFERROR(__xludf.DUMMYFUNCTION("""COMPUTED_VALUE"""),"電鍋")</f>
        <v>電鍋</v>
      </c>
      <c r="O943" s="12" t="str">
        <f ca="1">IFERROR(__xludf.DUMMYFUNCTION("""COMPUTED_VALUE"""),"綠")</f>
        <v>綠</v>
      </c>
      <c r="P943" s="12" t="str">
        <f ca="1">IFERROR(__xludf.DUMMYFUNCTION("""COMPUTED_VALUE"""),"10人份")</f>
        <v>10人份</v>
      </c>
      <c r="Q943" s="12" t="str">
        <f ca="1">IFERROR(__xludf.DUMMYFUNCTION("""COMPUTED_VALUE"""),"高265x寬348x長296(mm)")</f>
        <v>高265x寬348x長296(mm)</v>
      </c>
      <c r="R943" s="12" t="str">
        <f ca="1">IFERROR(__xludf.DUMMYFUNCTION("""COMPUTED_VALUE"""),"台灣")</f>
        <v>台灣</v>
      </c>
      <c r="S943" s="12"/>
      <c r="T943" s="12"/>
      <c r="U943" s="12" t="str">
        <f ca="1">IFERROR(__xludf.DUMMYFUNCTION("""COMPUTED_VALUE"""),"1年")</f>
        <v>1年</v>
      </c>
      <c r="V943" s="12"/>
      <c r="W943" s="12"/>
      <c r="X943" s="12"/>
      <c r="Y943" s="12"/>
      <c r="Z943" s="14"/>
      <c r="AA943" s="15" t="str">
        <f ca="1">IFERROR(__xludf.DUMMYFUNCTION("""COMPUTED_VALUE"""),"*10人份電鍋，綠色外殼加大同寶寶。*鍋蓋、內鍋、蒸盤均為SUS304不鏽鋼。*加熱均勻保溫開關。*雙重被覆電源線，雙重安全保護。*煮飯/粥、蒸、滷、燉多用途。")</f>
        <v>*10人份電鍋，綠色外殼加大同寶寶。*鍋蓋、內鍋、蒸盤均為SUS304不鏽鋼。*加熱均勻保溫開關。*雙重被覆電源線，雙重安全保護。*煮飯/粥、蒸、滷、燉多用途。</v>
      </c>
    </row>
    <row r="944" spans="1:27" ht="19.5" customHeight="1">
      <c r="A944" s="12" t="str">
        <f ca="1">IFERROR(__xludf.DUMMYFUNCTION("""COMPUTED_VALUE"""),"廚房家電")</f>
        <v>廚房家電</v>
      </c>
      <c r="B944" s="12" t="str">
        <f ca="1">IFERROR(__xludf.DUMMYFUNCTION("""COMPUTED_VALUE"""),"大同")</f>
        <v>大同</v>
      </c>
      <c r="C944" s="12" t="str">
        <f ca="1">IFERROR(__xludf.DUMMYFUNCTION("""COMPUTED_VALUE"""),"大同")</f>
        <v>大同</v>
      </c>
      <c r="D944" s="12" t="str">
        <f ca="1">IFERROR(__xludf.DUMMYFUNCTION("""COMPUTED_VALUE"""),"大同10人份電鍋(橘紅)TAC-10L-DRU")</f>
        <v>大同10人份電鍋(橘紅)TAC-10L-DRU</v>
      </c>
      <c r="E944" s="12" t="str">
        <f ca="1">IFERROR(__xludf.DUMMYFUNCTION("""COMPUTED_VALUE"""),"TAC-10L-DRU")</f>
        <v>TAC-10L-DRU</v>
      </c>
      <c r="F944" s="12">
        <f ca="1">IFERROR(__xludf.DUMMYFUNCTION("""COMPUTED_VALUE"""),51012165)</f>
        <v>51012165</v>
      </c>
      <c r="G944" s="12" t="str">
        <f ca="1">IFERROR(__xludf.DUMMYFUNCTION("""COMPUTED_VALUE"""),"IGEM046U")</f>
        <v>IGEM046U</v>
      </c>
      <c r="H944" s="12">
        <f ca="1">IFERROR(__xludf.DUMMYFUNCTION("""COMPUTED_VALUE"""),3190)</f>
        <v>3190</v>
      </c>
      <c r="I944" s="14">
        <f ca="1">IFERROR(__xludf.DUMMYFUNCTION("""COMPUTED_VALUE"""),3000)</f>
        <v>3000</v>
      </c>
      <c r="J944" s="12"/>
      <c r="K944" s="12"/>
      <c r="L944" s="12" t="str">
        <f ca="1">IFERROR(__xludf.DUMMYFUNCTION("""COMPUTED_VALUE"""),"上架中")</f>
        <v>上架中</v>
      </c>
      <c r="M944" s="12" t="str">
        <f ca="1">IFERROR(__xludf.DUMMYFUNCTION("""COMPUTED_VALUE"""),"2022/3/16上架，貨況請與廠商確認後再通知開數量受理。")</f>
        <v>2022/3/16上架，貨況請與廠商確認後再通知開數量受理。</v>
      </c>
      <c r="N944" s="12" t="str">
        <f ca="1">IFERROR(__xludf.DUMMYFUNCTION("""COMPUTED_VALUE"""),"電鍋")</f>
        <v>電鍋</v>
      </c>
      <c r="O944" s="12" t="str">
        <f ca="1">IFERROR(__xludf.DUMMYFUNCTION("""COMPUTED_VALUE"""),"橘紅")</f>
        <v>橘紅</v>
      </c>
      <c r="P944" s="12" t="str">
        <f ca="1">IFERROR(__xludf.DUMMYFUNCTION("""COMPUTED_VALUE"""),"10人份")</f>
        <v>10人份</v>
      </c>
      <c r="Q944" s="12" t="str">
        <f ca="1">IFERROR(__xludf.DUMMYFUNCTION("""COMPUTED_VALUE"""),"高265x寬348x長296(mm)")</f>
        <v>高265x寬348x長296(mm)</v>
      </c>
      <c r="R944" s="12" t="str">
        <f ca="1">IFERROR(__xludf.DUMMYFUNCTION("""COMPUTED_VALUE"""),"台灣")</f>
        <v>台灣</v>
      </c>
      <c r="S944" s="12"/>
      <c r="T944" s="12"/>
      <c r="U944" s="12" t="str">
        <f ca="1">IFERROR(__xludf.DUMMYFUNCTION("""COMPUTED_VALUE"""),"1年")</f>
        <v>1年</v>
      </c>
      <c r="V944" s="12"/>
      <c r="W944" s="12"/>
      <c r="X944" s="12"/>
      <c r="Y944" s="12"/>
      <c r="Z944" s="14"/>
      <c r="AA944" s="15" t="str">
        <f ca="1">IFERROR(__xludf.DUMMYFUNCTION("""COMPUTED_VALUE"""),"*10人份電鍋，紅色外殼加大同寶寶。*鍋蓋、內鍋、蒸盤均為SUS304不鏽鋼。*加熱均勻保溫開關。*雙重被覆電源線，雙重安全保護。*煮飯/粥、蒸、滷、燉多用途。")</f>
        <v>*10人份電鍋，紅色外殼加大同寶寶。*鍋蓋、內鍋、蒸盤均為SUS304不鏽鋼。*加熱均勻保溫開關。*雙重被覆電源線，雙重安全保護。*煮飯/粥、蒸、滷、燉多用途。</v>
      </c>
    </row>
    <row r="945" spans="1:27" ht="19.5" customHeight="1">
      <c r="A945" s="12" t="str">
        <f ca="1">IFERROR(__xludf.DUMMYFUNCTION("""COMPUTED_VALUE"""),"廚房家電")</f>
        <v>廚房家電</v>
      </c>
      <c r="B945" s="12" t="str">
        <f ca="1">IFERROR(__xludf.DUMMYFUNCTION("""COMPUTED_VALUE"""),"大同")</f>
        <v>大同</v>
      </c>
      <c r="C945" s="12" t="str">
        <f ca="1">IFERROR(__xludf.DUMMYFUNCTION("""COMPUTED_VALUE"""),"大同")</f>
        <v>大同</v>
      </c>
      <c r="D945" s="12" t="str">
        <f ca="1">IFERROR(__xludf.DUMMYFUNCTION("""COMPUTED_VALUE"""),"大同15人份電鍋(綠)TAC-15L-DGU")</f>
        <v>大同15人份電鍋(綠)TAC-15L-DGU</v>
      </c>
      <c r="E945" s="12" t="str">
        <f ca="1">IFERROR(__xludf.DUMMYFUNCTION("""COMPUTED_VALUE"""),"TAC-15L-DGU")</f>
        <v>TAC-15L-DGU</v>
      </c>
      <c r="F945" s="12">
        <f ca="1">IFERROR(__xludf.DUMMYFUNCTION("""COMPUTED_VALUE"""),51012166)</f>
        <v>51012166</v>
      </c>
      <c r="G945" s="12" t="str">
        <f ca="1">IFERROR(__xludf.DUMMYFUNCTION("""COMPUTED_VALUE"""),"IGEM046V")</f>
        <v>IGEM046V</v>
      </c>
      <c r="H945" s="12">
        <f ca="1">IFERROR(__xludf.DUMMYFUNCTION("""COMPUTED_VALUE"""),3690)</f>
        <v>3690</v>
      </c>
      <c r="I945" s="14">
        <f ca="1">IFERROR(__xludf.DUMMYFUNCTION("""COMPUTED_VALUE"""),3500)</f>
        <v>3500</v>
      </c>
      <c r="J945" s="12"/>
      <c r="K945" s="12"/>
      <c r="L945" s="12" t="str">
        <f ca="1">IFERROR(__xludf.DUMMYFUNCTION("""COMPUTED_VALUE"""),"上架中")</f>
        <v>上架中</v>
      </c>
      <c r="M945" s="12" t="str">
        <f ca="1">IFERROR(__xludf.DUMMYFUNCTION("""COMPUTED_VALUE"""),"2022/3/16上架，貨況請與廠商確認後再通知開數量受理。")</f>
        <v>2022/3/16上架，貨況請與廠商確認後再通知開數量受理。</v>
      </c>
      <c r="N945" s="12" t="str">
        <f ca="1">IFERROR(__xludf.DUMMYFUNCTION("""COMPUTED_VALUE"""),"電鍋")</f>
        <v>電鍋</v>
      </c>
      <c r="O945" s="12" t="str">
        <f ca="1">IFERROR(__xludf.DUMMYFUNCTION("""COMPUTED_VALUE"""),"綠")</f>
        <v>綠</v>
      </c>
      <c r="P945" s="12" t="str">
        <f ca="1">IFERROR(__xludf.DUMMYFUNCTION("""COMPUTED_VALUE"""),"15人份")</f>
        <v>15人份</v>
      </c>
      <c r="Q945" s="12" t="str">
        <f ca="1">IFERROR(__xludf.DUMMYFUNCTION("""COMPUTED_VALUE"""),"高290x寬385x長330(mm)")</f>
        <v>高290x寬385x長330(mm)</v>
      </c>
      <c r="R945" s="12" t="str">
        <f ca="1">IFERROR(__xludf.DUMMYFUNCTION("""COMPUTED_VALUE"""),"台灣")</f>
        <v>台灣</v>
      </c>
      <c r="S945" s="12"/>
      <c r="T945" s="12"/>
      <c r="U945" s="12" t="str">
        <f ca="1">IFERROR(__xludf.DUMMYFUNCTION("""COMPUTED_VALUE"""),"1年")</f>
        <v>1年</v>
      </c>
      <c r="V945" s="12"/>
      <c r="W945" s="12"/>
      <c r="X945" s="12"/>
      <c r="Y945" s="12"/>
      <c r="Z945" s="14"/>
      <c r="AA945" s="15" t="str">
        <f ca="1">IFERROR(__xludf.DUMMYFUNCTION("""COMPUTED_VALUE"""),"*15人份電鍋，綠色外殼加大同寶寶。*鍋蓋、內鍋、蒸盤均為SUS304不鏽鋼。*加熱均勻保溫開關。*雙重被覆電源線，雙重安全保護。*煮飯/粥、蒸、滷、燉多用途。")</f>
        <v>*15人份電鍋，綠色外殼加大同寶寶。*鍋蓋、內鍋、蒸盤均為SUS304不鏽鋼。*加熱均勻保溫開關。*雙重被覆電源線，雙重安全保護。*煮飯/粥、蒸、滷、燉多用途。</v>
      </c>
    </row>
    <row r="946" spans="1:27" ht="19.5" customHeight="1">
      <c r="A946" s="12" t="str">
        <f ca="1">IFERROR(__xludf.DUMMYFUNCTION("""COMPUTED_VALUE"""),"廚房家電")</f>
        <v>廚房家電</v>
      </c>
      <c r="B946" s="12" t="str">
        <f ca="1">IFERROR(__xludf.DUMMYFUNCTION("""COMPUTED_VALUE"""),"大同")</f>
        <v>大同</v>
      </c>
      <c r="C946" s="12" t="str">
        <f ca="1">IFERROR(__xludf.DUMMYFUNCTION("""COMPUTED_VALUE"""),"大同")</f>
        <v>大同</v>
      </c>
      <c r="D946" s="12" t="str">
        <f ca="1">IFERROR(__xludf.DUMMYFUNCTION("""COMPUTED_VALUE"""),"大同15人份電鍋(紅)TAC-15L-DRU")</f>
        <v>大同15人份電鍋(紅)TAC-15L-DRU</v>
      </c>
      <c r="E946" s="12" t="str">
        <f ca="1">IFERROR(__xludf.DUMMYFUNCTION("""COMPUTED_VALUE"""),"TAC-15L-DRU")</f>
        <v>TAC-15L-DRU</v>
      </c>
      <c r="F946" s="12">
        <f ca="1">IFERROR(__xludf.DUMMYFUNCTION("""COMPUTED_VALUE"""),51012167)</f>
        <v>51012167</v>
      </c>
      <c r="G946" s="12" t="str">
        <f ca="1">IFERROR(__xludf.DUMMYFUNCTION("""COMPUTED_VALUE"""),"IGEM046W")</f>
        <v>IGEM046W</v>
      </c>
      <c r="H946" s="12">
        <f ca="1">IFERROR(__xludf.DUMMYFUNCTION("""COMPUTED_VALUE"""),3690)</f>
        <v>3690</v>
      </c>
      <c r="I946" s="14">
        <f ca="1">IFERROR(__xludf.DUMMYFUNCTION("""COMPUTED_VALUE"""),3500)</f>
        <v>3500</v>
      </c>
      <c r="J946" s="12"/>
      <c r="K946" s="12"/>
      <c r="L946" s="12" t="str">
        <f ca="1">IFERROR(__xludf.DUMMYFUNCTION("""COMPUTED_VALUE"""),"上架中")</f>
        <v>上架中</v>
      </c>
      <c r="M946" s="12" t="str">
        <f ca="1">IFERROR(__xludf.DUMMYFUNCTION("""COMPUTED_VALUE"""),"2022/3/16上架，貨況請與廠商確認後再通知開數量受理。")</f>
        <v>2022/3/16上架，貨況請與廠商確認後再通知開數量受理。</v>
      </c>
      <c r="N946" s="12" t="str">
        <f ca="1">IFERROR(__xludf.DUMMYFUNCTION("""COMPUTED_VALUE"""),"電鍋")</f>
        <v>電鍋</v>
      </c>
      <c r="O946" s="12" t="str">
        <f ca="1">IFERROR(__xludf.DUMMYFUNCTION("""COMPUTED_VALUE"""),"紅")</f>
        <v>紅</v>
      </c>
      <c r="P946" s="12" t="str">
        <f ca="1">IFERROR(__xludf.DUMMYFUNCTION("""COMPUTED_VALUE"""),"15人份")</f>
        <v>15人份</v>
      </c>
      <c r="Q946" s="12" t="str">
        <f ca="1">IFERROR(__xludf.DUMMYFUNCTION("""COMPUTED_VALUE"""),"高290x寬385x長330(mm)")</f>
        <v>高290x寬385x長330(mm)</v>
      </c>
      <c r="R946" s="12" t="str">
        <f ca="1">IFERROR(__xludf.DUMMYFUNCTION("""COMPUTED_VALUE"""),"台灣")</f>
        <v>台灣</v>
      </c>
      <c r="S946" s="12"/>
      <c r="T946" s="12"/>
      <c r="U946" s="12" t="str">
        <f ca="1">IFERROR(__xludf.DUMMYFUNCTION("""COMPUTED_VALUE"""),"1年")</f>
        <v>1年</v>
      </c>
      <c r="V946" s="12"/>
      <c r="W946" s="12"/>
      <c r="X946" s="12"/>
      <c r="Y946" s="12"/>
      <c r="Z946" s="14"/>
      <c r="AA946" s="15" t="str">
        <f ca="1">IFERROR(__xludf.DUMMYFUNCTION("""COMPUTED_VALUE"""),"*15人份電鍋，橘紅色外殼加大同寶寶。*鍋蓋、內鍋、蒸盤均為SUS304不鏽鋼。*加熱均勻保溫開關。*雙重被覆電源線，雙重安全保護。*煮飯/粥、蒸、滷、燉多用途。")</f>
        <v>*15人份電鍋，橘紅色外殼加大同寶寶。*鍋蓋、內鍋、蒸盤均為SUS304不鏽鋼。*加熱均勻保溫開關。*雙重被覆電源線，雙重安全保護。*煮飯/粥、蒸、滷、燉多用途。</v>
      </c>
    </row>
    <row r="947" spans="1:27" ht="19.5" customHeight="1">
      <c r="A947" s="12" t="str">
        <f ca="1">IFERROR(__xludf.DUMMYFUNCTION("""COMPUTED_VALUE"""),"廚房家電")</f>
        <v>廚房家電</v>
      </c>
      <c r="B947" s="12" t="str">
        <f ca="1">IFERROR(__xludf.DUMMYFUNCTION("""COMPUTED_VALUE"""),"大同")</f>
        <v>大同</v>
      </c>
      <c r="C947" s="12" t="str">
        <f ca="1">IFERROR(__xludf.DUMMYFUNCTION("""COMPUTED_VALUE"""),"大同")</f>
        <v>大同</v>
      </c>
      <c r="D947" s="12" t="str">
        <f ca="1">IFERROR(__xludf.DUMMYFUNCTION("""COMPUTED_VALUE"""),"大同3.5L多功能電烤盤_TSB-M4021-BKRT")</f>
        <v>大同3.5L多功能電烤盤_TSB-M4021-BKRT</v>
      </c>
      <c r="E947" s="12" t="str">
        <f ca="1">IFERROR(__xludf.DUMMYFUNCTION("""COMPUTED_VALUE"""),"TSB-M4021-BKRT")</f>
        <v>TSB-M4021-BKRT</v>
      </c>
      <c r="F947" s="12">
        <f ca="1">IFERROR(__xludf.DUMMYFUNCTION("""COMPUTED_VALUE"""),51012203)</f>
        <v>51012203</v>
      </c>
      <c r="G947" s="12" t="str">
        <f ca="1">IFERROR(__xludf.DUMMYFUNCTION("""COMPUTED_VALUE"""),"IGEM067K")</f>
        <v>IGEM067K</v>
      </c>
      <c r="H947" s="13">
        <f ca="1">IFERROR(__xludf.DUMMYFUNCTION("""COMPUTED_VALUE"""),3590)</f>
        <v>3590</v>
      </c>
      <c r="I947" s="14">
        <f ca="1">IFERROR(__xludf.DUMMYFUNCTION("""COMPUTED_VALUE"""),3150)</f>
        <v>3150</v>
      </c>
      <c r="J947" s="16">
        <f ca="1">IFERROR(__xludf.DUMMYFUNCTION("""COMPUTED_VALUE"""),45611)</f>
        <v>45611</v>
      </c>
      <c r="K947" s="12" t="str">
        <f ca="1">IFERROR(__xludf.DUMMYFUNCTION("""COMPUTED_VALUE"""),"缺貨")</f>
        <v>缺貨</v>
      </c>
      <c r="L947" s="12" t="str">
        <f ca="1">IFERROR(__xludf.DUMMYFUNCTION("""COMPUTED_VALUE"""),"缺貨")</f>
        <v>缺貨</v>
      </c>
      <c r="M947" s="12" t="str">
        <f ca="1">IFERROR(__xludf.DUMMYFUNCTION("""COMPUTED_VALUE"""),"2024/11/15缺貨，2022/8/8新品上架")</f>
        <v>2024/11/15缺貨，2022/8/8新品上架</v>
      </c>
      <c r="N947" s="12" t="str">
        <f ca="1">IFERROR(__xludf.DUMMYFUNCTION("""COMPUTED_VALUE"""),"電烤盤/爐")</f>
        <v>電烤盤/爐</v>
      </c>
      <c r="O947" s="12" t="str">
        <f ca="1">IFERROR(__xludf.DUMMYFUNCTION("""COMPUTED_VALUE"""),"黑")</f>
        <v>黑</v>
      </c>
      <c r="P947" s="12"/>
      <c r="Q947" s="12" t="str">
        <f ca="1">IFERROR(__xludf.DUMMYFUNCTION("""COMPUTED_VALUE"""),"256H*227W *169D(mm)")</f>
        <v>256H*227W *169D(mm)</v>
      </c>
      <c r="R947" s="12" t="str">
        <f ca="1">IFERROR(__xludf.DUMMYFUNCTION("""COMPUTED_VALUE"""),"中國")</f>
        <v>中國</v>
      </c>
      <c r="S947" s="12"/>
      <c r="T947" s="12"/>
      <c r="U947" s="12" t="str">
        <f ca="1">IFERROR(__xludf.DUMMYFUNCTION("""COMPUTED_VALUE"""),"1年")</f>
        <v>1年</v>
      </c>
      <c r="V947" s="12"/>
      <c r="W947" s="12"/>
      <c r="X947" s="12" t="str">
        <f ca="1">IFERROR(__xludf.DUMMYFUNCTION("""COMPUTED_VALUE"""),"配件附贈 ; 平面烤盤/波浪烤盤+深湯鍋+304不銹鋼蒸盤")</f>
        <v>配件附贈 ; 平面烤盤/波浪烤盤+深湯鍋+304不銹鋼蒸盤</v>
      </c>
      <c r="Y947" s="12"/>
      <c r="Z947" s="14"/>
      <c r="AA947" s="15" t="str">
        <f ca="1">IFERROR(__xludf.DUMMYFUNCTION("""COMPUTED_VALUE"""),"*煎、烤、炒、蒸、湯，料理多變*3.5L深湯鍋大容量*不沾材質好清潔*1300W快速加熱")</f>
        <v>*煎、烤、炒、蒸、湯，料理多變*3.5L深湯鍋大容量*不沾材質好清潔*1300W快速加熱</v>
      </c>
    </row>
    <row r="948" spans="1:27" ht="19.5" customHeight="1">
      <c r="A948" s="12" t="str">
        <f ca="1">IFERROR(__xludf.DUMMYFUNCTION("""COMPUTED_VALUE"""),"廚房家電")</f>
        <v>廚房家電</v>
      </c>
      <c r="B948" s="12" t="str">
        <f ca="1">IFERROR(__xludf.DUMMYFUNCTION("""COMPUTED_VALUE"""),"大同")</f>
        <v>大同</v>
      </c>
      <c r="C948" s="12" t="str">
        <f ca="1">IFERROR(__xludf.DUMMYFUNCTION("""COMPUTED_VALUE"""),"大同")</f>
        <v>大同</v>
      </c>
      <c r="D948" s="12" t="str">
        <f ca="1">IFERROR(__xludf.DUMMYFUNCTION("""COMPUTED_VALUE"""),"大同7.6L微電腦氣炸鍋TOT-F76EA")</f>
        <v>大同7.6L微電腦氣炸鍋TOT-F76EA</v>
      </c>
      <c r="E948" s="12" t="str">
        <f ca="1">IFERROR(__xludf.DUMMYFUNCTION("""COMPUTED_VALUE"""),"TOT-F76EA")</f>
        <v>TOT-F76EA</v>
      </c>
      <c r="F948" s="12">
        <f ca="1">IFERROR(__xludf.DUMMYFUNCTION("""COMPUTED_VALUE"""),51081319)</f>
        <v>51081319</v>
      </c>
      <c r="G948" s="12" t="str">
        <f ca="1">IFERROR(__xludf.DUMMYFUNCTION("""COMPUTED_VALUE"""),"IGEM0857")</f>
        <v>IGEM0857</v>
      </c>
      <c r="H948" s="13">
        <f ca="1">IFERROR(__xludf.DUMMYFUNCTION("""COMPUTED_VALUE"""),2990)</f>
        <v>2990</v>
      </c>
      <c r="I948" s="14">
        <f ca="1">IFERROR(__xludf.DUMMYFUNCTION("""COMPUTED_VALUE"""),2688)</f>
        <v>2688</v>
      </c>
      <c r="J948" s="16">
        <f ca="1">IFERROR(__xludf.DUMMYFUNCTION("""COMPUTED_VALUE"""),45170)</f>
        <v>45170</v>
      </c>
      <c r="K948" s="12" t="str">
        <f ca="1">IFERROR(__xludf.DUMMYFUNCTION("""COMPUTED_VALUE"""),"短促")</f>
        <v>短促</v>
      </c>
      <c r="L948" s="12" t="str">
        <f ca="1">IFERROR(__xludf.DUMMYFUNCTION("""COMPUTED_VALUE"""),"上架中")</f>
        <v>上架中</v>
      </c>
      <c r="M948" s="12" t="str">
        <f ca="1">IFERROR(__xludf.DUMMYFUNCTION("""COMPUTED_VALUE"""),"9/1短促，2023/6/12新機上架")</f>
        <v>9/1短促，2023/6/12新機上架</v>
      </c>
      <c r="N948" s="12" t="str">
        <f ca="1">IFERROR(__xludf.DUMMYFUNCTION("""COMPUTED_VALUE"""),"氣炸鍋")</f>
        <v>氣炸鍋</v>
      </c>
      <c r="O948" s="12" t="str">
        <f ca="1">IFERROR(__xludf.DUMMYFUNCTION("""COMPUTED_VALUE"""),"白")</f>
        <v>白</v>
      </c>
      <c r="P948" s="12" t="str">
        <f ca="1">IFERROR(__xludf.DUMMYFUNCTION("""COMPUTED_VALUE"""),"7.6L
11500W大火力")</f>
        <v>7.6L
11500W大火力</v>
      </c>
      <c r="Q948" s="12" t="str">
        <f ca="1">IFERROR(__xludf.DUMMYFUNCTION("""COMPUTED_VALUE"""),"318x316x370mm")</f>
        <v>318x316x370mm</v>
      </c>
      <c r="R948" s="12" t="str">
        <f ca="1">IFERROR(__xludf.DUMMYFUNCTION("""COMPUTED_VALUE"""),"台灣")</f>
        <v>台灣</v>
      </c>
      <c r="S948" s="12"/>
      <c r="T948" s="12"/>
      <c r="U948" s="22" t="str">
        <f ca="1">IFERROR(__xludf.DUMMYFUNCTION("""COMPUTED_VALUE"""),"1年")</f>
        <v>1年</v>
      </c>
      <c r="V948" s="12"/>
      <c r="W948" s="12"/>
      <c r="X948" s="12"/>
      <c r="Y948" s="12"/>
      <c r="Z948" s="14"/>
      <c r="AA948" s="15" t="str">
        <f ca="1">IFERROR(__xludf.DUMMYFUNCTION("""COMPUTED_VALUE"""),"*觸控面板簡單操作*7.6公升超大容量*360度氣旋受熱均勻*1500W大火力省時省力*七種菜單選擇輕鬆料理")</f>
        <v>*觸控面板簡單操作*7.6公升超大容量*360度氣旋受熱均勻*1500W大火力省時省力*七種菜單選擇輕鬆料理</v>
      </c>
    </row>
    <row r="949" spans="1:27" ht="19.5" customHeight="1">
      <c r="A949" s="12" t="str">
        <f ca="1">IFERROR(__xludf.DUMMYFUNCTION("""COMPUTED_VALUE"""),"廚房家電")</f>
        <v>廚房家電</v>
      </c>
      <c r="B949" s="12" t="str">
        <f ca="1">IFERROR(__xludf.DUMMYFUNCTION("""COMPUTED_VALUE"""),"大同")</f>
        <v>大同</v>
      </c>
      <c r="C949" s="12" t="str">
        <f ca="1">IFERROR(__xludf.DUMMYFUNCTION("""COMPUTED_VALUE"""),"大同")</f>
        <v>大同</v>
      </c>
      <c r="D949" s="12" t="str">
        <f ca="1">IFERROR(__xludf.DUMMYFUNCTION("""COMPUTED_VALUE"""),"大同 11人份 316全不鏽鋼晶鋼電鍋 TAC-11HN-M (2024)")</f>
        <v>大同 11人份 316全不鏽鋼晶鋼電鍋 TAC-11HN-M (2024)</v>
      </c>
      <c r="E949" s="12" t="str">
        <f ca="1">IFERROR(__xludf.DUMMYFUNCTION("""COMPUTED_VALUE"""),"TAC-11HN-M(2024)")</f>
        <v>TAC-11HN-M(2024)</v>
      </c>
      <c r="F949" s="12">
        <f ca="1">IFERROR(__xludf.DUMMYFUNCTION("""COMPUTED_VALUE"""),51081374)</f>
        <v>51081374</v>
      </c>
      <c r="G949" s="12" t="str">
        <f ca="1">IFERROR(__xludf.DUMMYFUNCTION("""COMPUTED_VALUE"""),"IGEM100B")</f>
        <v>IGEM100B</v>
      </c>
      <c r="H949" s="13">
        <f ca="1">IFERROR(__xludf.DUMMYFUNCTION("""COMPUTED_VALUE"""),6290)</f>
        <v>6290</v>
      </c>
      <c r="I949" s="18">
        <f ca="1">IFERROR(__xludf.DUMMYFUNCTION("""COMPUTED_VALUE"""),5590)</f>
        <v>5590</v>
      </c>
      <c r="J949" s="16">
        <f ca="1">IFERROR(__xludf.DUMMYFUNCTION("""COMPUTED_VALUE"""),45413)</f>
        <v>45413</v>
      </c>
      <c r="K949" s="12" t="str">
        <f ca="1">IFERROR(__xludf.DUMMYFUNCTION("""COMPUTED_VALUE"""),"短促")</f>
        <v>短促</v>
      </c>
      <c r="L949" s="12" t="str">
        <f ca="1">IFERROR(__xludf.DUMMYFUNCTION("""COMPUTED_VALUE"""),"上架中")</f>
        <v>上架中</v>
      </c>
      <c r="M949" s="12" t="str">
        <f ca="1">IFERROR(__xludf.DUMMYFUNCTION("""COMPUTED_VALUE"""),"2024/5/1短促，2024/4/24新機上架")</f>
        <v>2024/5/1短促，2024/4/24新機上架</v>
      </c>
      <c r="N949" s="12" t="str">
        <f ca="1">IFERROR(__xludf.DUMMYFUNCTION("""COMPUTED_VALUE"""),"電鍋")</f>
        <v>電鍋</v>
      </c>
      <c r="O949" s="12" t="str">
        <f ca="1">IFERROR(__xludf.DUMMYFUNCTION("""COMPUTED_VALUE"""),"銀色")</f>
        <v>銀色</v>
      </c>
      <c r="P949" s="12" t="str">
        <f ca="1">IFERROR(__xludf.DUMMYFUNCTION("""COMPUTED_VALUE"""),"11人份")</f>
        <v>11人份</v>
      </c>
      <c r="Q949" s="12" t="str">
        <f ca="1">IFERROR(__xludf.DUMMYFUNCTION("""COMPUTED_VALUE"""),"29.5X35X26.5(mm)")</f>
        <v>29.5X35X26.5(mm)</v>
      </c>
      <c r="R949" s="12" t="str">
        <f ca="1">IFERROR(__xludf.DUMMYFUNCTION("""COMPUTED_VALUE"""),"台灣")</f>
        <v>台灣</v>
      </c>
      <c r="S949" s="22" t="str">
        <f ca="1">IFERROR(__xludf.DUMMYFUNCTION("""COMPUTED_VALUE"""),"V")</f>
        <v>V</v>
      </c>
      <c r="T949" s="12"/>
      <c r="U949" s="22" t="str">
        <f ca="1">IFERROR(__xludf.DUMMYFUNCTION("""COMPUTED_VALUE"""),"1年")</f>
        <v>1年</v>
      </c>
      <c r="V949" s="12"/>
      <c r="W949" s="12"/>
      <c r="X949" s="12"/>
      <c r="Y949" s="12"/>
      <c r="Z949" s="14"/>
      <c r="AA949" s="15" t="str">
        <f ca="1">IFERROR(__xludf.DUMMYFUNCTION("""COMPUTED_VALUE"""),"*加熱均勻，自動保溫*雙重被覆電源線，雙重安全保護*煮飯/粥、蒸、滷、燉多用途*具保溫切換裝置，免拔插頭台灣製造")</f>
        <v>*加熱均勻，自動保溫*雙重被覆電源線，雙重安全保護*煮飯/粥、蒸、滷、燉多用途*具保溫切換裝置，免拔插頭台灣製造</v>
      </c>
    </row>
    <row r="950" spans="1:27" ht="19.5" customHeight="1">
      <c r="A950" s="12" t="str">
        <f ca="1">IFERROR(__xludf.DUMMYFUNCTION("""COMPUTED_VALUE"""),"廚房家電")</f>
        <v>廚房家電</v>
      </c>
      <c r="B950" s="12" t="str">
        <f ca="1">IFERROR(__xludf.DUMMYFUNCTION("""COMPUTED_VALUE"""),"大同")</f>
        <v>大同</v>
      </c>
      <c r="C950" s="12" t="str">
        <f ca="1">IFERROR(__xludf.DUMMYFUNCTION("""COMPUTED_VALUE"""),"大同")</f>
        <v>大同</v>
      </c>
      <c r="D950" s="12" t="str">
        <f ca="1">IFERROR(__xludf.DUMMYFUNCTION("""COMPUTED_VALUE"""),"大同 3人份超美型小電鍋TAC-03DW-NW(珍珠白)")</f>
        <v>大同 3人份超美型小電鍋TAC-03DW-NW(珍珠白)</v>
      </c>
      <c r="E950" s="12" t="str">
        <f ca="1">IFERROR(__xludf.DUMMYFUNCTION("""COMPUTED_VALUE"""),"TAC-03DW-NW")</f>
        <v>TAC-03DW-NW</v>
      </c>
      <c r="F950" s="12">
        <f ca="1">IFERROR(__xludf.DUMMYFUNCTION("""COMPUTED_VALUE"""),51081375)</f>
        <v>51081375</v>
      </c>
      <c r="G950" s="12" t="str">
        <f ca="1">IFERROR(__xludf.DUMMYFUNCTION("""COMPUTED_VALUE"""),"IGEM100C")</f>
        <v>IGEM100C</v>
      </c>
      <c r="H950" s="13">
        <f ca="1">IFERROR(__xludf.DUMMYFUNCTION("""COMPUTED_VALUE"""),3990)</f>
        <v>3990</v>
      </c>
      <c r="I950" s="18">
        <f ca="1">IFERROR(__xludf.DUMMYFUNCTION("""COMPUTED_VALUE"""),3299)</f>
        <v>3299</v>
      </c>
      <c r="J950" s="16">
        <f ca="1">IFERROR(__xludf.DUMMYFUNCTION("""COMPUTED_VALUE"""),45510)</f>
        <v>45510</v>
      </c>
      <c r="K950" s="12" t="str">
        <f ca="1">IFERROR(__xludf.DUMMYFUNCTION("""COMPUTED_VALUE"""),"短促")</f>
        <v>短促</v>
      </c>
      <c r="L950" s="12" t="str">
        <f ca="1">IFERROR(__xludf.DUMMYFUNCTION("""COMPUTED_VALUE"""),"上架中")</f>
        <v>上架中</v>
      </c>
      <c r="M950" s="12" t="str">
        <f ca="1">IFERROR(__xludf.DUMMYFUNCTION("""COMPUTED_VALUE"""),"2024/8/6短促，2024/4/24新機上架")</f>
        <v>2024/8/6短促，2024/4/24新機上架</v>
      </c>
      <c r="N950" s="12" t="str">
        <f ca="1">IFERROR(__xludf.DUMMYFUNCTION("""COMPUTED_VALUE"""),"電鍋")</f>
        <v>電鍋</v>
      </c>
      <c r="O950" s="12" t="str">
        <f ca="1">IFERROR(__xludf.DUMMYFUNCTION("""COMPUTED_VALUE"""),"白色")</f>
        <v>白色</v>
      </c>
      <c r="P950" s="12" t="str">
        <f ca="1">IFERROR(__xludf.DUMMYFUNCTION("""COMPUTED_VALUE"""),"3人份")</f>
        <v>3人份</v>
      </c>
      <c r="Q950" s="12" t="str">
        <f ca="1">IFERROR(__xludf.DUMMYFUNCTION("""COMPUTED_VALUE"""),"25.2X10.2X18.6(mm)")</f>
        <v>25.2X10.2X18.6(mm)</v>
      </c>
      <c r="R950" s="12" t="str">
        <f ca="1">IFERROR(__xludf.DUMMYFUNCTION("""COMPUTED_VALUE"""),"台灣")</f>
        <v>台灣</v>
      </c>
      <c r="S950" s="22" t="str">
        <f ca="1">IFERROR(__xludf.DUMMYFUNCTION("""COMPUTED_VALUE"""),"V")</f>
        <v>V</v>
      </c>
      <c r="T950" s="12"/>
      <c r="U950" s="22" t="str">
        <f ca="1">IFERROR(__xludf.DUMMYFUNCTION("""COMPUTED_VALUE"""),"1年")</f>
        <v>1年</v>
      </c>
      <c r="V950" s="12"/>
      <c r="W950" s="12"/>
      <c r="X950" s="12"/>
      <c r="Y950" s="12"/>
      <c r="Z950" s="14"/>
      <c r="AA950" s="15" t="str">
        <f ca="1">IFERROR(__xludf.DUMMYFUNCTION("""COMPUTED_VALUE"""),"*時尚美型珍珠白外觀內鍋便當盒設計*居家/隨行多功使用簡易單鍵操作*提把隔熱、安全設計粉色系配件*矽膠隔熱桌墊*110V僅限台灣使用")</f>
        <v>*時尚美型珍珠白外觀內鍋便當盒設計*居家/隨行多功使用簡易單鍵操作*提把隔熱、安全設計粉色系配件*矽膠隔熱桌墊*110V僅限台灣使用</v>
      </c>
    </row>
    <row r="951" spans="1:27" ht="19.5" customHeight="1">
      <c r="A951" s="12" t="str">
        <f ca="1">IFERROR(__xludf.DUMMYFUNCTION("""COMPUTED_VALUE"""),"廚房家電")</f>
        <v>廚房家電</v>
      </c>
      <c r="B951" s="12" t="str">
        <f ca="1">IFERROR(__xludf.DUMMYFUNCTION("""COMPUTED_VALUE"""),"大同")</f>
        <v>大同</v>
      </c>
      <c r="C951" s="12" t="str">
        <f ca="1">IFERROR(__xludf.DUMMYFUNCTION("""COMPUTED_VALUE"""),"大同")</f>
        <v>大同</v>
      </c>
      <c r="D951" s="12" t="str">
        <f ca="1">IFERROR(__xludf.DUMMYFUNCTION("""COMPUTED_VALUE"""),"大同 600ml 隨行杯果汁機 TJC-P300B")</f>
        <v>大同 600ml 隨行杯果汁機 TJC-P300B</v>
      </c>
      <c r="E951" s="12" t="str">
        <f ca="1">IFERROR(__xludf.DUMMYFUNCTION("""COMPUTED_VALUE"""),"TJC-P300B")</f>
        <v>TJC-P300B</v>
      </c>
      <c r="F951" s="12">
        <f ca="1">IFERROR(__xludf.DUMMYFUNCTION("""COMPUTED_VALUE"""),51012252)</f>
        <v>51012252</v>
      </c>
      <c r="G951" s="12" t="str">
        <f ca="1">IFERROR(__xludf.DUMMYFUNCTION("""COMPUTED_VALUE"""),"IGEM107P")</f>
        <v>IGEM107P</v>
      </c>
      <c r="H951" s="13">
        <f ca="1">IFERROR(__xludf.DUMMYFUNCTION("""COMPUTED_VALUE"""),1290)</f>
        <v>1290</v>
      </c>
      <c r="I951" s="14">
        <f ca="1">IFERROR(__xludf.DUMMYFUNCTION("""COMPUTED_VALUE"""),880)</f>
        <v>880</v>
      </c>
      <c r="J951" s="16">
        <f ca="1">IFERROR(__xludf.DUMMYFUNCTION("""COMPUTED_VALUE"""),45505)</f>
        <v>45505</v>
      </c>
      <c r="K951" s="12" t="str">
        <f ca="1">IFERROR(__xludf.DUMMYFUNCTION("""COMPUTED_VALUE"""),"新機上架")</f>
        <v>新機上架</v>
      </c>
      <c r="L951" s="12" t="str">
        <f ca="1">IFERROR(__xludf.DUMMYFUNCTION("""COMPUTED_VALUE"""),"上架中")</f>
        <v>上架中</v>
      </c>
      <c r="M951" s="12" t="str">
        <f ca="1">IFERROR(__xludf.DUMMYFUNCTION("""COMPUTED_VALUE"""),"2024/8/1新機上架")</f>
        <v>2024/8/1新機上架</v>
      </c>
      <c r="N951" s="12" t="str">
        <f ca="1">IFERROR(__xludf.DUMMYFUNCTION("""COMPUTED_VALUE"""),"果汁機/調理機/豆漿機")</f>
        <v>果汁機/調理機/豆漿機</v>
      </c>
      <c r="O951" s="12" t="str">
        <f ca="1">IFERROR(__xludf.DUMMYFUNCTION("""COMPUTED_VALUE"""),"銀色")</f>
        <v>銀色</v>
      </c>
      <c r="P951" s="12" t="str">
        <f ca="1">IFERROR(__xludf.DUMMYFUNCTION("""COMPUTED_VALUE"""),"600ml")</f>
        <v>600ml</v>
      </c>
      <c r="Q951" s="12" t="str">
        <f ca="1">IFERROR(__xludf.DUMMYFUNCTION("""COMPUTED_VALUE"""),"377×108×107 mm")</f>
        <v>377×108×107 mm</v>
      </c>
      <c r="R951" s="12" t="str">
        <f ca="1">IFERROR(__xludf.DUMMYFUNCTION("""COMPUTED_VALUE"""),"中國")</f>
        <v>中國</v>
      </c>
      <c r="S951" s="12"/>
      <c r="T951" s="12"/>
      <c r="U951" s="22" t="str">
        <f ca="1">IFERROR(__xludf.DUMMYFUNCTION("""COMPUTED_VALUE"""),"1年")</f>
        <v>1年</v>
      </c>
      <c r="V951" s="12"/>
      <c r="W951" s="12"/>
      <c r="X951" s="12"/>
      <c r="Y951" s="12"/>
      <c r="Z951" s="14"/>
      <c r="AA951" s="15" t="str">
        <f ca="1">IFERROR(__xludf.DUMMYFUNCTION("""COMPUTED_VALUE"""),"*單鍵按鈕簡單操作*Tritan材質瓶身不含雙酚A*600ml大容量方便隨身攜帶*雙重安全保護設計")</f>
        <v>*單鍵按鈕簡單操作*Tritan材質瓶身不含雙酚A*600ml大容量方便隨身攜帶*雙重安全保護設計</v>
      </c>
    </row>
    <row r="952" spans="1:27" ht="19.5" customHeight="1">
      <c r="A952" s="12" t="str">
        <f ca="1">IFERROR(__xludf.DUMMYFUNCTION("""COMPUTED_VALUE"""),"廚房家電")</f>
        <v>廚房家電</v>
      </c>
      <c r="B952" s="12" t="str">
        <f ca="1">IFERROR(__xludf.DUMMYFUNCTION("""COMPUTED_VALUE"""),"大同")</f>
        <v>大同</v>
      </c>
      <c r="C952" s="12" t="str">
        <f ca="1">IFERROR(__xludf.DUMMYFUNCTION("""COMPUTED_VALUE"""),"大同")</f>
        <v>大同</v>
      </c>
      <c r="D952" s="12" t="str">
        <f ca="1">IFERROR(__xludf.DUMMYFUNCTION("""COMPUTED_VALUE"""),"大同 11人份不鏽鋼配件深鍋款電鍋 TAC-11L-HP(星辰粉)")</f>
        <v>大同 11人份不鏽鋼配件深鍋款電鍋 TAC-11L-HP(星辰粉)</v>
      </c>
      <c r="E952" s="12" t="str">
        <f ca="1">IFERROR(__xludf.DUMMYFUNCTION("""COMPUTED_VALUE"""),"TAC-11L-HP")</f>
        <v>TAC-11L-HP</v>
      </c>
      <c r="F952" s="12">
        <f ca="1">IFERROR(__xludf.DUMMYFUNCTION("""COMPUTED_VALUE"""),51081405)</f>
        <v>51081405</v>
      </c>
      <c r="G952" s="12" t="str">
        <f ca="1">IFERROR(__xludf.DUMMYFUNCTION("""COMPUTED_VALUE"""),"IGEM111A")</f>
        <v>IGEM111A</v>
      </c>
      <c r="H952" s="13">
        <f ca="1">IFERROR(__xludf.DUMMYFUNCTION("""COMPUTED_VALUE"""),4990)</f>
        <v>4990</v>
      </c>
      <c r="I952" s="14">
        <f ca="1">IFERROR(__xludf.DUMMYFUNCTION("""COMPUTED_VALUE"""),4590)</f>
        <v>4590</v>
      </c>
      <c r="J952" s="16">
        <f ca="1">IFERROR(__xludf.DUMMYFUNCTION("""COMPUTED_VALUE"""),45566)</f>
        <v>45566</v>
      </c>
      <c r="K952" s="12" t="str">
        <f ca="1">IFERROR(__xludf.DUMMYFUNCTION("""COMPUTED_VALUE"""),"新機上架")</f>
        <v>新機上架</v>
      </c>
      <c r="L952" s="12" t="str">
        <f ca="1">IFERROR(__xludf.DUMMYFUNCTION("""COMPUTED_VALUE"""),"上架中")</f>
        <v>上架中</v>
      </c>
      <c r="M952" s="12" t="str">
        <f ca="1">IFERROR(__xludf.DUMMYFUNCTION("""COMPUTED_VALUE"""),"2024/10/1新機上架")</f>
        <v>2024/10/1新機上架</v>
      </c>
      <c r="N952" s="12" t="str">
        <f ca="1">IFERROR(__xludf.DUMMYFUNCTION("""COMPUTED_VALUE"""),"電鍋")</f>
        <v>電鍋</v>
      </c>
      <c r="O952" s="12" t="str">
        <f ca="1">IFERROR(__xludf.DUMMYFUNCTION("""COMPUTED_VALUE"""),"星辰粉")</f>
        <v>星辰粉</v>
      </c>
      <c r="P952" s="12" t="str">
        <f ca="1">IFERROR(__xludf.DUMMYFUNCTION("""COMPUTED_VALUE"""),"11人份")</f>
        <v>11人份</v>
      </c>
      <c r="Q952" s="12" t="str">
        <f ca="1">IFERROR(__xludf.DUMMYFUNCTION("""COMPUTED_VALUE"""),"280H*350W*295D mm")</f>
        <v>280H*350W*295D mm</v>
      </c>
      <c r="R952" s="12" t="str">
        <f ca="1">IFERROR(__xludf.DUMMYFUNCTION("""COMPUTED_VALUE"""),"台灣")</f>
        <v>台灣</v>
      </c>
      <c r="S952" s="12"/>
      <c r="T952" s="12"/>
      <c r="U952" s="22" t="str">
        <f ca="1">IFERROR(__xludf.DUMMYFUNCTION("""COMPUTED_VALUE"""),"1年")</f>
        <v>1年</v>
      </c>
      <c r="V952" s="12"/>
      <c r="W952" s="12"/>
      <c r="X952" s="12"/>
      <c r="Y952" s="12"/>
      <c r="Z952" s="14"/>
      <c r="AA952" s="15" t="str">
        <f ca="1">IFERROR(__xludf.DUMMYFUNCTION("""COMPUTED_VALUE"""),"*11人份電鍋，星辰粉外殼*鍋蓋、內外鍋均為SUS 304 不鏽鋼*360度環繞式水蒸氣*保留食材原味營養美味不流失*利用熱循環均勻加熱食物無油煙*一鍵操作免顧爐火省時省力*雙重被覆電源線，雙重安全保護*多元料理，煮飯/粥、蒸、滷、燉多用途*一鍋料理各式佳餚*加熱均勻，自動保溫")</f>
        <v>*11人份電鍋，星辰粉外殼*鍋蓋、內外鍋均為SUS 304 不鏽鋼*360度環繞式水蒸氣*保留食材原味營養美味不流失*利用熱循環均勻加熱食物無油煙*一鍵操作免顧爐火省時省力*雙重被覆電源線，雙重安全保護*多元料理，煮飯/粥、蒸、滷、燉多用途*一鍋料理各式佳餚*加熱均勻，自動保溫</v>
      </c>
    </row>
    <row r="953" spans="1:27" ht="19.5" customHeight="1">
      <c r="A953" s="12" t="str">
        <f ca="1">IFERROR(__xludf.DUMMYFUNCTION("""COMPUTED_VALUE"""),"廚房家電")</f>
        <v>廚房家電</v>
      </c>
      <c r="B953" s="12" t="str">
        <f ca="1">IFERROR(__xludf.DUMMYFUNCTION("""COMPUTED_VALUE"""),"大同")</f>
        <v>大同</v>
      </c>
      <c r="C953" s="12" t="str">
        <f ca="1">IFERROR(__xludf.DUMMYFUNCTION("""COMPUTED_VALUE"""),"大同")</f>
        <v>大同</v>
      </c>
      <c r="D953" s="12" t="str">
        <f ca="1">IFERROR(__xludf.DUMMYFUNCTION("""COMPUTED_VALUE"""),"大同 30L廣角上掀式熱風循環烘碗機 TMO-D3024A")</f>
        <v>大同 30L廣角上掀式熱風循環烘碗機 TMO-D3024A</v>
      </c>
      <c r="E953" s="12" t="str">
        <f ca="1">IFERROR(__xludf.DUMMYFUNCTION("""COMPUTED_VALUE"""),"TMO-D3024A")</f>
        <v>TMO-D3024A</v>
      </c>
      <c r="F953" s="12">
        <f ca="1">IFERROR(__xludf.DUMMYFUNCTION("""COMPUTED_VALUE"""),51081406)</f>
        <v>51081406</v>
      </c>
      <c r="G953" s="12" t="str">
        <f ca="1">IFERROR(__xludf.DUMMYFUNCTION("""COMPUTED_VALUE"""),"IGEM111B")</f>
        <v>IGEM111B</v>
      </c>
      <c r="H953" s="13">
        <f ca="1">IFERROR(__xludf.DUMMYFUNCTION("""COMPUTED_VALUE"""),1790)</f>
        <v>1790</v>
      </c>
      <c r="I953" s="14">
        <f ca="1">IFERROR(__xludf.DUMMYFUNCTION("""COMPUTED_VALUE"""),1690)</f>
        <v>1690</v>
      </c>
      <c r="J953" s="16">
        <f ca="1">IFERROR(__xludf.DUMMYFUNCTION("""COMPUTED_VALUE"""),45566)</f>
        <v>45566</v>
      </c>
      <c r="K953" s="12" t="str">
        <f ca="1">IFERROR(__xludf.DUMMYFUNCTION("""COMPUTED_VALUE"""),"新機上架")</f>
        <v>新機上架</v>
      </c>
      <c r="L953" s="12" t="str">
        <f ca="1">IFERROR(__xludf.DUMMYFUNCTION("""COMPUTED_VALUE"""),"上架中")</f>
        <v>上架中</v>
      </c>
      <c r="M953" s="12" t="str">
        <f ca="1">IFERROR(__xludf.DUMMYFUNCTION("""COMPUTED_VALUE"""),"2024/10/1新機上架")</f>
        <v>2024/10/1新機上架</v>
      </c>
      <c r="N953" s="12" t="str">
        <f ca="1">IFERROR(__xludf.DUMMYFUNCTION("""COMPUTED_VALUE"""),"洗/烘碗機")</f>
        <v>洗/烘碗機</v>
      </c>
      <c r="O953" s="12" t="str">
        <f ca="1">IFERROR(__xludf.DUMMYFUNCTION("""COMPUTED_VALUE"""),"白")</f>
        <v>白</v>
      </c>
      <c r="P953" s="12" t="str">
        <f ca="1">IFERROR(__xludf.DUMMYFUNCTION("""COMPUTED_VALUE"""),"30L")</f>
        <v>30L</v>
      </c>
      <c r="Q953" s="12" t="str">
        <f ca="1">IFERROR(__xludf.DUMMYFUNCTION("""COMPUTED_VALUE"""),"330H*460W*410D mm")</f>
        <v>330H*460W*410D mm</v>
      </c>
      <c r="R953" s="12" t="str">
        <f ca="1">IFERROR(__xludf.DUMMYFUNCTION("""COMPUTED_VALUE"""),"中國")</f>
        <v>中國</v>
      </c>
      <c r="S953" s="12"/>
      <c r="T953" s="12"/>
      <c r="U953" s="22" t="str">
        <f ca="1">IFERROR(__xludf.DUMMYFUNCTION("""COMPUTED_VALUE"""),"1年")</f>
        <v>1年</v>
      </c>
      <c r="V953" s="12"/>
      <c r="W953" s="12"/>
      <c r="X953" s="12"/>
      <c r="Y953" s="12"/>
      <c r="Z953" s="14"/>
      <c r="AA953" s="15" t="str">
        <f ca="1">IFERROR(__xludf.DUMMYFUNCTION("""COMPUTED_VALUE"""),"*廣角掀蓋式設計碗盤收納取用方便* 304不鏽鋼碗盤架*可定時60分鐘旋鈕輕鬆設定*直熱式循環對流烘乾*熱風循環烘乾安心衛生*升溫異常斷電，安全保護裝置*304不鏽鋼碗盤架可拆卸清洗便利*台灣製造")</f>
        <v>*廣角掀蓋式設計碗盤收納取用方便* 304不鏽鋼碗盤架*可定時60分鐘旋鈕輕鬆設定*直熱式循環對流烘乾*熱風循環烘乾安心衛生*升溫異常斷電，安全保護裝置*304不鏽鋼碗盤架可拆卸清洗便利*台灣製造</v>
      </c>
    </row>
    <row r="954" spans="1:27" ht="19.5" customHeight="1">
      <c r="A954" s="12" t="str">
        <f ca="1">IFERROR(__xludf.DUMMYFUNCTION("""COMPUTED_VALUE"""),"廚房家電")</f>
        <v>廚房家電</v>
      </c>
      <c r="B954" s="12" t="str">
        <f ca="1">IFERROR(__xludf.DUMMYFUNCTION("""COMPUTED_VALUE"""),"大同")</f>
        <v>大同</v>
      </c>
      <c r="C954" s="12" t="str">
        <f ca="1">IFERROR(__xludf.DUMMYFUNCTION("""COMPUTED_VALUE"""),"大同")</f>
        <v>大同</v>
      </c>
      <c r="D954" s="12" t="str">
        <f ca="1">IFERROR(__xludf.DUMMYFUNCTION("""COMPUTED_VALUE"""),"大同 1.8L雙層防燙保溫電茶壺 TEK-1822SA")</f>
        <v>大同 1.8L雙層防燙保溫電茶壺 TEK-1822SA</v>
      </c>
      <c r="E954" s="12" t="str">
        <f ca="1">IFERROR(__xludf.DUMMYFUNCTION("""COMPUTED_VALUE"""),"TEK-1822SA")</f>
        <v>TEK-1822SA</v>
      </c>
      <c r="F954" s="12">
        <f ca="1">IFERROR(__xludf.DUMMYFUNCTION("""COMPUTED_VALUE"""),51081407)</f>
        <v>51081407</v>
      </c>
      <c r="G954" s="12" t="str">
        <f ca="1">IFERROR(__xludf.DUMMYFUNCTION("""COMPUTED_VALUE"""),"IGEM111C")</f>
        <v>IGEM111C</v>
      </c>
      <c r="H954" s="13">
        <f ca="1">IFERROR(__xludf.DUMMYFUNCTION("""COMPUTED_VALUE"""),1090)</f>
        <v>1090</v>
      </c>
      <c r="I954" s="14">
        <f ca="1">IFERROR(__xludf.DUMMYFUNCTION("""COMPUTED_VALUE"""),990)</f>
        <v>990</v>
      </c>
      <c r="J954" s="16">
        <f ca="1">IFERROR(__xludf.DUMMYFUNCTION("""COMPUTED_VALUE"""),45566)</f>
        <v>45566</v>
      </c>
      <c r="K954" s="12" t="str">
        <f ca="1">IFERROR(__xludf.DUMMYFUNCTION("""COMPUTED_VALUE"""),"新機上架")</f>
        <v>新機上架</v>
      </c>
      <c r="L954" s="12" t="str">
        <f ca="1">IFERROR(__xludf.DUMMYFUNCTION("""COMPUTED_VALUE"""),"上架中")</f>
        <v>上架中</v>
      </c>
      <c r="M954" s="12" t="str">
        <f ca="1">IFERROR(__xludf.DUMMYFUNCTION("""COMPUTED_VALUE"""),"2024/10/1新機上架")</f>
        <v>2024/10/1新機上架</v>
      </c>
      <c r="N954" s="12" t="str">
        <f ca="1">IFERROR(__xludf.DUMMYFUNCTION("""COMPUTED_VALUE"""),"快煮壺/料理壺/手沖壺")</f>
        <v>快煮壺/料理壺/手沖壺</v>
      </c>
      <c r="O954" s="12" t="str">
        <f ca="1">IFERROR(__xludf.DUMMYFUNCTION("""COMPUTED_VALUE"""),"黑")</f>
        <v>黑</v>
      </c>
      <c r="P954" s="12" t="str">
        <f ca="1">IFERROR(__xludf.DUMMYFUNCTION("""COMPUTED_VALUE"""),"1.8L")</f>
        <v>1.8L</v>
      </c>
      <c r="Q954" s="12" t="str">
        <f ca="1">IFERROR(__xludf.DUMMYFUNCTION("""COMPUTED_VALUE"""),"243H*158W*218D mm")</f>
        <v>243H*158W*218D mm</v>
      </c>
      <c r="R954" s="12" t="str">
        <f ca="1">IFERROR(__xludf.DUMMYFUNCTION("""COMPUTED_VALUE"""),"中國")</f>
        <v>中國</v>
      </c>
      <c r="S954" s="12"/>
      <c r="T954" s="12"/>
      <c r="U954" s="22" t="str">
        <f ca="1">IFERROR(__xludf.DUMMYFUNCTION("""COMPUTED_VALUE"""),"1年")</f>
        <v>1年</v>
      </c>
      <c r="V954" s="12"/>
      <c r="W954" s="12"/>
      <c r="X954" s="12"/>
      <c r="Y954" s="12"/>
      <c r="Z954" s="14"/>
      <c r="AA954" s="15" t="str">
        <f ca="1">IFERROR(__xludf.DUMMYFUNCTION("""COMPUTED_VALUE"""),"*雙層安全防燙設計*SUS304不鏽鋼內膽*一鍵保溫按鈕，一鍵按下開啟煮沸")</f>
        <v>*雙層安全防燙設計*SUS304不鏽鋼內膽*一鍵保溫按鈕，一鍵按下開啟煮沸</v>
      </c>
    </row>
    <row r="955" spans="1:27" ht="19.5" customHeight="1">
      <c r="A955" s="12" t="str">
        <f ca="1">IFERROR(__xludf.DUMMYFUNCTION("""COMPUTED_VALUE"""),"廚房家電")</f>
        <v>廚房家電</v>
      </c>
      <c r="B955" s="12" t="str">
        <f ca="1">IFERROR(__xludf.DUMMYFUNCTION("""COMPUTED_VALUE"""),"中華大雄")</f>
        <v>中華大雄</v>
      </c>
      <c r="C955" s="12" t="str">
        <f ca="1">IFERROR(__xludf.DUMMYFUNCTION("""COMPUTED_VALUE"""),"aiwa")</f>
        <v>aiwa</v>
      </c>
      <c r="D955" s="12" t="str">
        <f ca="1">IFERROR(__xludf.DUMMYFUNCTION("""COMPUTED_VALUE"""),"aiwa1.8L三層防燙保溫電茶壺(香檳金)DKS1318")</f>
        <v>aiwa1.8L三層防燙保溫電茶壺(香檳金)DKS1318</v>
      </c>
      <c r="E955" s="12" t="str">
        <f ca="1">IFERROR(__xludf.DUMMYFUNCTION("""COMPUTED_VALUE"""),"DKS1318(香檳金)")</f>
        <v>DKS1318(香檳金)</v>
      </c>
      <c r="F955" s="12">
        <f ca="1">IFERROR(__xludf.DUMMYFUNCTION("""COMPUTED_VALUE"""),51057072)</f>
        <v>51057072</v>
      </c>
      <c r="G955" s="12" t="str">
        <f ca="1">IFERROR(__xludf.DUMMYFUNCTION("""COMPUTED_VALUE"""),"IGEM0529")</f>
        <v>IGEM0529</v>
      </c>
      <c r="H955" s="12">
        <f ca="1">IFERROR(__xludf.DUMMYFUNCTION("""COMPUTED_VALUE"""),1490)</f>
        <v>1490</v>
      </c>
      <c r="I955" s="14">
        <f ca="1">IFERROR(__xludf.DUMMYFUNCTION("""COMPUTED_VALUE"""),1190)</f>
        <v>1190</v>
      </c>
      <c r="J955" s="12"/>
      <c r="K955" s="12"/>
      <c r="L955" s="12" t="str">
        <f ca="1">IFERROR(__xludf.DUMMYFUNCTION("""COMPUTED_VALUE"""),"上架中")</f>
        <v>上架中</v>
      </c>
      <c r="M955" s="12" t="str">
        <f ca="1">IFERROR(__xludf.DUMMYFUNCTION("""COMPUTED_VALUE"""),"(2/21暫時停售，廠商2/29通知可開)2022/2/15到貨")</f>
        <v>(2/21暫時停售，廠商2/29通知可開)2022/2/15到貨</v>
      </c>
      <c r="N955" s="12" t="str">
        <f ca="1">IFERROR(__xludf.DUMMYFUNCTION("""COMPUTED_VALUE"""),"快煮壺/料理壺/手沖壺")</f>
        <v>快煮壺/料理壺/手沖壺</v>
      </c>
      <c r="O955" s="12" t="str">
        <f ca="1">IFERROR(__xludf.DUMMYFUNCTION("""COMPUTED_VALUE"""),"香檳金")</f>
        <v>香檳金</v>
      </c>
      <c r="P955" s="12" t="str">
        <f ca="1">IFERROR(__xludf.DUMMYFUNCTION("""COMPUTED_VALUE"""),"1.8L")</f>
        <v>1.8L</v>
      </c>
      <c r="Q955" s="12" t="str">
        <f ca="1">IFERROR(__xludf.DUMMYFUNCTION("""COMPUTED_VALUE"""),"195x195x283mm")</f>
        <v>195x195x283mm</v>
      </c>
      <c r="R955" s="12" t="str">
        <f ca="1">IFERROR(__xludf.DUMMYFUNCTION("""COMPUTED_VALUE"""),"中國")</f>
        <v>中國</v>
      </c>
      <c r="S955" s="12"/>
      <c r="T955" s="12"/>
      <c r="U955" s="22" t="str">
        <f ca="1">IFERROR(__xludf.DUMMYFUNCTION("""COMPUTED_VALUE"""),"1年")</f>
        <v>1年</v>
      </c>
      <c r="V955" s="12"/>
      <c r="W955" s="12"/>
      <c r="X955" s="12"/>
      <c r="Y955" s="12"/>
      <c r="Z955" s="14"/>
      <c r="AA955" s="15" t="str">
        <f ca="1">IFERROR(__xludf.DUMMYFUNCTION("""COMPUTED_VALUE"""),"*304不鏽鋼材質(內壺身/壺嘴/內鋼蓋)*三層防燙不鏽鋼電茶壺*無縫內膽設計(一體成形)*一鍵開啟壺蓋自動彈蓋設計*英國STRIX加熱溫控器*雙重保護裝置(煮沸後自動斷電空燒自動斷電)*壺身可360度旋轉分離式底座設計*高效能底部加熱過熱保護裝置.*煮水時亮指示燈斷電後指示燈熄*最佳把手人體設計提水輕輕鬆鬆*最大容量約1.8L&lt;公升&gt;*高規格電源線約1.25mm2x3P")</f>
        <v>*304不鏽鋼材質(內壺身/壺嘴/內鋼蓋)*三層防燙不鏽鋼電茶壺*無縫內膽設計(一體成形)*一鍵開啟壺蓋自動彈蓋設計*英國STRIX加熱溫控器*雙重保護裝置(煮沸後自動斷電空燒自動斷電)*壺身可360度旋轉分離式底座設計*高效能底部加熱過熱保護裝置.*煮水時亮指示燈斷電後指示燈熄*最佳把手人體設計提水輕輕鬆鬆*最大容量約1.8L&lt;公升&gt;*高規格電源線約1.25mm2x3P</v>
      </c>
    </row>
    <row r="956" spans="1:27" ht="19.5" customHeight="1">
      <c r="A956" s="12" t="str">
        <f ca="1">IFERROR(__xludf.DUMMYFUNCTION("""COMPUTED_VALUE"""),"廚房家電")</f>
        <v>廚房家電</v>
      </c>
      <c r="B956" s="12" t="str">
        <f ca="1">IFERROR(__xludf.DUMMYFUNCTION("""COMPUTED_VALUE"""),"中華大雄")</f>
        <v>中華大雄</v>
      </c>
      <c r="C956" s="12" t="str">
        <f ca="1">IFERROR(__xludf.DUMMYFUNCTION("""COMPUTED_VALUE"""),"aiwa")</f>
        <v>aiwa</v>
      </c>
      <c r="D956" s="12" t="str">
        <f ca="1">IFERROR(__xludf.DUMMYFUNCTION("""COMPUTED_VALUE"""),"aiwa1.8L三層防燙保溫電茶壺(爵士黑)DKS1318")</f>
        <v>aiwa1.8L三層防燙保溫電茶壺(爵士黑)DKS1318</v>
      </c>
      <c r="E956" s="12" t="str">
        <f ca="1">IFERROR(__xludf.DUMMYFUNCTION("""COMPUTED_VALUE"""),"DKS1318(爵士黑)")</f>
        <v>DKS1318(爵士黑)</v>
      </c>
      <c r="F956" s="12">
        <f ca="1">IFERROR(__xludf.DUMMYFUNCTION("""COMPUTED_VALUE"""),51057073)</f>
        <v>51057073</v>
      </c>
      <c r="G956" s="12" t="str">
        <f ca="1">IFERROR(__xludf.DUMMYFUNCTION("""COMPUTED_VALUE"""),"IGEM052A")</f>
        <v>IGEM052A</v>
      </c>
      <c r="H956" s="12">
        <f ca="1">IFERROR(__xludf.DUMMYFUNCTION("""COMPUTED_VALUE"""),1490)</f>
        <v>1490</v>
      </c>
      <c r="I956" s="14">
        <f ca="1">IFERROR(__xludf.DUMMYFUNCTION("""COMPUTED_VALUE"""),1190)</f>
        <v>1190</v>
      </c>
      <c r="J956" s="12"/>
      <c r="K956" s="12"/>
      <c r="L956" s="12" t="str">
        <f ca="1">IFERROR(__xludf.DUMMYFUNCTION("""COMPUTED_VALUE"""),"上架中")</f>
        <v>上架中</v>
      </c>
      <c r="M956" s="12" t="str">
        <f ca="1">IFERROR(__xludf.DUMMYFUNCTION("""COMPUTED_VALUE"""),"(2/21暫時停售，廠商2/29通知可開)2022/2/15到貨")</f>
        <v>(2/21暫時停售，廠商2/29通知可開)2022/2/15到貨</v>
      </c>
      <c r="N956" s="12" t="str">
        <f ca="1">IFERROR(__xludf.DUMMYFUNCTION("""COMPUTED_VALUE"""),"快煮壺/料理壺/手沖壺")</f>
        <v>快煮壺/料理壺/手沖壺</v>
      </c>
      <c r="O956" s="12" t="str">
        <f ca="1">IFERROR(__xludf.DUMMYFUNCTION("""COMPUTED_VALUE"""),"爵士黑")</f>
        <v>爵士黑</v>
      </c>
      <c r="P956" s="12" t="str">
        <f ca="1">IFERROR(__xludf.DUMMYFUNCTION("""COMPUTED_VALUE"""),"1.8L")</f>
        <v>1.8L</v>
      </c>
      <c r="Q956" s="12" t="str">
        <f ca="1">IFERROR(__xludf.DUMMYFUNCTION("""COMPUTED_VALUE"""),"195x195x283mm")</f>
        <v>195x195x283mm</v>
      </c>
      <c r="R956" s="12" t="str">
        <f ca="1">IFERROR(__xludf.DUMMYFUNCTION("""COMPUTED_VALUE"""),"中國")</f>
        <v>中國</v>
      </c>
      <c r="S956" s="12"/>
      <c r="T956" s="12"/>
      <c r="U956" s="22" t="str">
        <f ca="1">IFERROR(__xludf.DUMMYFUNCTION("""COMPUTED_VALUE"""),"1年")</f>
        <v>1年</v>
      </c>
      <c r="V956" s="12"/>
      <c r="W956" s="12"/>
      <c r="X956" s="12"/>
      <c r="Y956" s="12"/>
      <c r="Z956" s="14"/>
      <c r="AA956" s="15" t="str">
        <f ca="1">IFERROR(__xludf.DUMMYFUNCTION("""COMPUTED_VALUE"""),"*304不鏽鋼材質(內壺身/壺嘴/內鋼蓋)*三層防燙不鏽鋼電茶壺.*無縫內膽設計(一體成形)*一鍵開啟壺蓋自動彈蓋設計*英國STRIX加熱溫控器*雙重保護裝置(煮沸後自動斷電空燒自動斷電)*壺身可360度旋轉分離式底座設計*高效能底部加熱過熱保護裝置*煮水時亮指示燈斷電後指示燈熄*最佳把手人體設計提水輕輕鬆鬆*最大容量約1.8L&lt;公升&gt;*高規格電源線約1.25mm2x3P")</f>
        <v>*304不鏽鋼材質(內壺身/壺嘴/內鋼蓋)*三層防燙不鏽鋼電茶壺.*無縫內膽設計(一體成形)*一鍵開啟壺蓋自動彈蓋設計*英國STRIX加熱溫控器*雙重保護裝置(煮沸後自動斷電空燒自動斷電)*壺身可360度旋轉分離式底座設計*高效能底部加熱過熱保護裝置*煮水時亮指示燈斷電後指示燈熄*最佳把手人體設計提水輕輕鬆鬆*最大容量約1.8L&lt;公升&gt;*高規格電源線約1.25mm2x3P</v>
      </c>
    </row>
    <row r="957" spans="1:27" ht="19.5" customHeight="1">
      <c r="A957" s="12" t="str">
        <f ca="1">IFERROR(__xludf.DUMMYFUNCTION("""COMPUTED_VALUE"""),"廚房家電")</f>
        <v>廚房家電</v>
      </c>
      <c r="B957" s="12" t="str">
        <f ca="1">IFERROR(__xludf.DUMMYFUNCTION("""COMPUTED_VALUE"""),"中華大雄")</f>
        <v>中華大雄</v>
      </c>
      <c r="C957" s="12" t="str">
        <f ca="1">IFERROR(__xludf.DUMMYFUNCTION("""COMPUTED_VALUE"""),"aiwa")</f>
        <v>aiwa</v>
      </c>
      <c r="D957" s="12" t="str">
        <f ca="1">IFERROR(__xludf.DUMMYFUNCTION("""COMPUTED_VALUE"""),"aiwa多功能熱壓計時三明治機(紅)ASW2128")</f>
        <v>aiwa多功能熱壓計時三明治機(紅)ASW2128</v>
      </c>
      <c r="E957" s="12" t="str">
        <f ca="1">IFERROR(__xludf.DUMMYFUNCTION("""COMPUTED_VALUE"""),"ASW2128")</f>
        <v>ASW2128</v>
      </c>
      <c r="F957" s="12">
        <f ca="1">IFERROR(__xludf.DUMMYFUNCTION("""COMPUTED_VALUE"""),51057080)</f>
        <v>51057080</v>
      </c>
      <c r="G957" s="12" t="str">
        <f ca="1">IFERROR(__xludf.DUMMYFUNCTION("""COMPUTED_VALUE"""),"IGEM052C")</f>
        <v>IGEM052C</v>
      </c>
      <c r="H957" s="12">
        <f ca="1">IFERROR(__xludf.DUMMYFUNCTION("""COMPUTED_VALUE"""),1490)</f>
        <v>1490</v>
      </c>
      <c r="I957" s="14">
        <f ca="1">IFERROR(__xludf.DUMMYFUNCTION("""COMPUTED_VALUE"""),1100)</f>
        <v>1100</v>
      </c>
      <c r="J957" s="16">
        <f ca="1">IFERROR(__xludf.DUMMYFUNCTION("""COMPUTED_VALUE"""),45474)</f>
        <v>45474</v>
      </c>
      <c r="K957" s="12" t="str">
        <f ca="1">IFERROR(__xludf.DUMMYFUNCTION("""COMPUTED_VALUE"""),"回價")</f>
        <v>回價</v>
      </c>
      <c r="L957" s="12" t="str">
        <f ca="1">IFERROR(__xludf.DUMMYFUNCTION("""COMPUTED_VALUE"""),"上架中")</f>
        <v>上架中</v>
      </c>
      <c r="M957" s="12" t="str">
        <f ca="1">IFERROR(__xludf.DUMMYFUNCTION("""COMPUTED_VALUE"""),"2024/7/1回價，2024/5/1短促，(2/21暫時停售，廠商2/29通知可開)2024/2/1回價2024/1/1短促")</f>
        <v>2024/7/1回價，2024/5/1短促，(2/21暫時停售，廠商2/29通知可開)2024/2/1回價2024/1/1短促</v>
      </c>
      <c r="N957" s="12" t="str">
        <f ca="1">IFERROR(__xludf.DUMMYFUNCTION("""COMPUTED_VALUE"""),"鬆餅/三明治/點心機")</f>
        <v>鬆餅/三明治/點心機</v>
      </c>
      <c r="O957" s="12" t="str">
        <f ca="1">IFERROR(__xludf.DUMMYFUNCTION("""COMPUTED_VALUE"""),"紅")</f>
        <v>紅</v>
      </c>
      <c r="P957" s="12"/>
      <c r="Q957" s="12" t="str">
        <f ca="1">IFERROR(__xludf.DUMMYFUNCTION("""COMPUTED_VALUE"""),"224x140x94mm")</f>
        <v>224x140x94mm</v>
      </c>
      <c r="R957" s="12" t="str">
        <f ca="1">IFERROR(__xludf.DUMMYFUNCTION("""COMPUTED_VALUE"""),"中國")</f>
        <v>中國</v>
      </c>
      <c r="S957" s="12"/>
      <c r="T957" s="12"/>
      <c r="U957" s="22" t="str">
        <f ca="1">IFERROR(__xludf.DUMMYFUNCTION("""COMPUTED_VALUE"""),"1年")</f>
        <v>1年</v>
      </c>
      <c r="V957" s="12"/>
      <c r="W957" s="12"/>
      <c r="X957" s="12"/>
      <c r="Y957" s="12"/>
      <c r="Z957" s="14"/>
      <c r="AA957" s="15" t="str">
        <f ca="1">IFERROR(__xludf.DUMMYFUNCTION("""COMPUTED_VALUE"""),"*650W大功率*雙層水性不沾黏塗*30分定時功能*發熱管均勻導熱高溫自動斷電*兩段式扣環厚的食材也好壓*附鬆餅烤盤與三明治烤盤共兩種")</f>
        <v>*650W大功率*雙層水性不沾黏塗*30分定時功能*發熱管均勻導熱高溫自動斷電*兩段式扣環厚的食材也好壓*附鬆餅烤盤與三明治烤盤共兩種</v>
      </c>
    </row>
    <row r="958" spans="1:27" ht="19.5" customHeight="1">
      <c r="A958" s="12" t="str">
        <f ca="1">IFERROR(__xludf.DUMMYFUNCTION("""COMPUTED_VALUE"""),"廚房家電")</f>
        <v>廚房家電</v>
      </c>
      <c r="B958" s="12" t="str">
        <f ca="1">IFERROR(__xludf.DUMMYFUNCTION("""COMPUTED_VALUE"""),"中華大雄")</f>
        <v>中華大雄</v>
      </c>
      <c r="C958" s="12" t="str">
        <f ca="1">IFERROR(__xludf.DUMMYFUNCTION("""COMPUTED_VALUE"""),"aiwa")</f>
        <v>aiwa</v>
      </c>
      <c r="D958" s="12" t="str">
        <f ca="1">IFERROR(__xludf.DUMMYFUNCTION("""COMPUTED_VALUE"""),"aiwa黑晶電陶爐(灰)EC-350")</f>
        <v>aiwa黑晶電陶爐(灰)EC-350</v>
      </c>
      <c r="E958" s="12" t="str">
        <f ca="1">IFERROR(__xludf.DUMMYFUNCTION("""COMPUTED_VALUE"""),"EC-350")</f>
        <v>EC-350</v>
      </c>
      <c r="F958" s="12">
        <f ca="1">IFERROR(__xludf.DUMMYFUNCTION("""COMPUTED_VALUE"""),51057082)</f>
        <v>51057082</v>
      </c>
      <c r="G958" s="12" t="str">
        <f ca="1">IFERROR(__xludf.DUMMYFUNCTION("""COMPUTED_VALUE"""),"IGEM052D")</f>
        <v>IGEM052D</v>
      </c>
      <c r="H958" s="12">
        <f ca="1">IFERROR(__xludf.DUMMYFUNCTION("""COMPUTED_VALUE"""),2490)</f>
        <v>2490</v>
      </c>
      <c r="I958" s="14">
        <f ca="1">IFERROR(__xludf.DUMMYFUNCTION("""COMPUTED_VALUE"""),1890)</f>
        <v>1890</v>
      </c>
      <c r="J958" s="16">
        <f ca="1">IFERROR(__xludf.DUMMYFUNCTION("""COMPUTED_VALUE"""),45323)</f>
        <v>45323</v>
      </c>
      <c r="K958" s="12" t="str">
        <f ca="1">IFERROR(__xludf.DUMMYFUNCTION("""COMPUTED_VALUE"""),"回價")</f>
        <v>回價</v>
      </c>
      <c r="L958" s="12" t="str">
        <f ca="1">IFERROR(__xludf.DUMMYFUNCTION("""COMPUTED_VALUE"""),"缺貨")</f>
        <v>缺貨</v>
      </c>
      <c r="M958" s="12" t="str">
        <f ca="1">IFERROR(__xludf.DUMMYFUNCTION("""COMPUTED_VALUE"""),"(2/21暫時停售)2024/2/1回價2024/1/1短促112/11/1回價10/1短促7/1回價6/1短促")</f>
        <v>(2/21暫時停售)2024/2/1回價2024/1/1短促112/11/1回價10/1短促7/1回價6/1短促</v>
      </c>
      <c r="N958" s="12" t="str">
        <f ca="1">IFERROR(__xludf.DUMMYFUNCTION("""COMPUTED_VALUE"""),"電磁爐/電陶爐")</f>
        <v>電磁爐/電陶爐</v>
      </c>
      <c r="O958" s="12" t="str">
        <f ca="1">IFERROR(__xludf.DUMMYFUNCTION("""COMPUTED_VALUE"""),"灰")</f>
        <v>灰</v>
      </c>
      <c r="P958" s="12"/>
      <c r="Q958" s="12" t="str">
        <f ca="1">IFERROR(__xludf.DUMMYFUNCTION("""COMPUTED_VALUE"""),"310x310x80mm")</f>
        <v>310x310x80mm</v>
      </c>
      <c r="R958" s="12" t="str">
        <f ca="1">IFERROR(__xludf.DUMMYFUNCTION("""COMPUTED_VALUE"""),"中國")</f>
        <v>中國</v>
      </c>
      <c r="S958" s="12"/>
      <c r="T958" s="12"/>
      <c r="U958" s="22" t="str">
        <f ca="1">IFERROR(__xludf.DUMMYFUNCTION("""COMPUTED_VALUE"""),"1年")</f>
        <v>1年</v>
      </c>
      <c r="V958" s="12"/>
      <c r="W958" s="12"/>
      <c r="X958" s="12"/>
      <c r="Y958" s="12"/>
      <c r="Z958" s="14"/>
      <c r="AA958" s="15" t="str">
        <f ca="1">IFERROR(__xludf.DUMMYFUNCTION("""COMPUTED_VALUE"""),"*廣場設計時尚美觀*智能感應觸摸控制器易於操作*LED數字顯示*黑色水晶板*2種烹飪模式:功率和溫度*8種功率設置(200/400/600/800/900/1000/1100/1200W)*8種溫度設定(80/180/240/320/400/480/520/600度C)*4小時定時氣功能*兒童安全鎖功能*過熱/電壓/電流保護*自動斷電設計2小時無鍋操作自動關閉功能*不挑鍋具適用任何材質之平底鍋具*高溫警示燈面板餘熱高溫警示使用更安心")</f>
        <v>*廣場設計時尚美觀*智能感應觸摸控制器易於操作*LED數字顯示*黑色水晶板*2種烹飪模式:功率和溫度*8種功率設置(200/400/600/800/900/1000/1100/1200W)*8種溫度設定(80/180/240/320/400/480/520/600度C)*4小時定時氣功能*兒童安全鎖功能*過熱/電壓/電流保護*自動斷電設計2小時無鍋操作自動關閉功能*不挑鍋具適用任何材質之平底鍋具*高溫警示燈面板餘熱高溫警示使用更安心</v>
      </c>
    </row>
    <row r="959" spans="1:27" ht="19.5" customHeight="1">
      <c r="A959" s="12" t="str">
        <f ca="1">IFERROR(__xludf.DUMMYFUNCTION("""COMPUTED_VALUE"""),"廚房家電")</f>
        <v>廚房家電</v>
      </c>
      <c r="B959" s="12" t="str">
        <f ca="1">IFERROR(__xludf.DUMMYFUNCTION("""COMPUTED_VALUE"""),"中華大雄")</f>
        <v>中華大雄</v>
      </c>
      <c r="C959" s="12" t="str">
        <f ca="1">IFERROR(__xludf.DUMMYFUNCTION("""COMPUTED_VALUE"""),"aiwa")</f>
        <v>aiwa</v>
      </c>
      <c r="D959" s="12" t="str">
        <f ca="1">IFERROR(__xludf.DUMMYFUNCTION("""COMPUTED_VALUE"""),"aiwa5L多功能電壓力鍋(紫)DYK-C60")</f>
        <v>aiwa5L多功能電壓力鍋(紫)DYK-C60</v>
      </c>
      <c r="E959" s="12" t="str">
        <f ca="1">IFERROR(__xludf.DUMMYFUNCTION("""COMPUTED_VALUE"""),"DYK-C60")</f>
        <v>DYK-C60</v>
      </c>
      <c r="F959" s="12">
        <f ca="1">IFERROR(__xludf.DUMMYFUNCTION("""COMPUTED_VALUE"""),51057079)</f>
        <v>51057079</v>
      </c>
      <c r="G959" s="12" t="str">
        <f ca="1">IFERROR(__xludf.DUMMYFUNCTION("""COMPUTED_VALUE"""),"IGEM052B")</f>
        <v>IGEM052B</v>
      </c>
      <c r="H959" s="12">
        <f ca="1">IFERROR(__xludf.DUMMYFUNCTION("""COMPUTED_VALUE"""),2990)</f>
        <v>2990</v>
      </c>
      <c r="I959" s="14">
        <f ca="1">IFERROR(__xludf.DUMMYFUNCTION("""COMPUTED_VALUE"""),2490)</f>
        <v>2490</v>
      </c>
      <c r="J959" s="16">
        <f ca="1">IFERROR(__xludf.DUMMYFUNCTION("""COMPUTED_VALUE"""),45627)</f>
        <v>45627</v>
      </c>
      <c r="K959" s="12" t="str">
        <f ca="1">IFERROR(__xludf.DUMMYFUNCTION("""COMPUTED_VALUE"""),"回價")</f>
        <v>回價</v>
      </c>
      <c r="L959" s="12" t="str">
        <f ca="1">IFERROR(__xludf.DUMMYFUNCTION("""COMPUTED_VALUE"""),"上架中")</f>
        <v>上架中</v>
      </c>
      <c r="M959" s="12" t="str">
        <f ca="1">IFERROR(__xludf.DUMMYFUNCTION("""COMPUTED_VALUE"""),"2024/12/1回價，2024/11/1短促，2024/8/1回價，2024/7/1短促，(2/21暫時停售，廠商2/29通知可開)2022/2/15到貨)2024/1/1回價2023/12/1短促")</f>
        <v>2024/12/1回價，2024/11/1短促，2024/8/1回價，2024/7/1短促，(2/21暫時停售，廠商2/29通知可開)2022/2/15到貨)2024/1/1回價2023/12/1短促</v>
      </c>
      <c r="N959" s="12" t="str">
        <f ca="1">IFERROR(__xludf.DUMMYFUNCTION("""COMPUTED_VALUE"""),"電鍋")</f>
        <v>電鍋</v>
      </c>
      <c r="O959" s="12" t="str">
        <f ca="1">IFERROR(__xludf.DUMMYFUNCTION("""COMPUTED_VALUE"""),"紫色")</f>
        <v>紫色</v>
      </c>
      <c r="P959" s="12" t="str">
        <f ca="1">IFERROR(__xludf.DUMMYFUNCTION("""COMPUTED_VALUE"""),"5L")</f>
        <v>5L</v>
      </c>
      <c r="Q959" s="12" t="str">
        <f ca="1">IFERROR(__xludf.DUMMYFUNCTION("""COMPUTED_VALUE"""),"315*315*300mm")</f>
        <v>315*315*300mm</v>
      </c>
      <c r="R959" s="12" t="str">
        <f ca="1">IFERROR(__xludf.DUMMYFUNCTION("""COMPUTED_VALUE"""),"中國")</f>
        <v>中國</v>
      </c>
      <c r="S959" s="22" t="str">
        <f ca="1">IFERROR(__xludf.DUMMYFUNCTION("""COMPUTED_VALUE"""),"v")</f>
        <v>v</v>
      </c>
      <c r="T959" s="12"/>
      <c r="U959" s="22" t="str">
        <f ca="1">IFERROR(__xludf.DUMMYFUNCTION("""COMPUTED_VALUE"""),"1年")</f>
        <v>1年</v>
      </c>
      <c r="V959" s="12"/>
      <c r="W959" s="12"/>
      <c r="X959" s="12" t="str">
        <f ca="1">IFERROR(__xludf.DUMMYFUNCTION("""COMPUTED_VALUE"""),"(114/1/1-2/28)隨貨送aiwa圓柔觸控桌燈WD-63T")</f>
        <v>(114/1/1-2/28)隨貨送aiwa圓柔觸控桌燈WD-63T</v>
      </c>
      <c r="Y959" s="12"/>
      <c r="Z959" s="14"/>
      <c r="AA959" s="15" t="str">
        <f ca="1">IFERROR(__xludf.DUMMYFUNCTION("""COMPUTED_VALUE"""),"*5公升大容量*一級能源效率*智能控制烹飪壓力節省能源*可自由調整烹飪時間創意料理*五重安全保護裝置使用安心*9項全自動預設烹飪選項*具有預約功能掌握時間更自由*不沾內鍋，不粘食物，清洗方便*球形鍋釜立體加熱更集中*簡易式鍋蓋連接結構，拆卸方便*分離式內蓋容易清洗*十分鐘停電記憶功能")</f>
        <v>*5公升大容量*一級能源效率*智能控制烹飪壓力節省能源*可自由調整烹飪時間創意料理*五重安全保護裝置使用安心*9項全自動預設烹飪選項*具有預約功能掌握時間更自由*不沾內鍋，不粘食物，清洗方便*球形鍋釜立體加熱更集中*簡易式鍋蓋連接結構，拆卸方便*分離式內蓋容易清洗*十分鐘停電記憶功能</v>
      </c>
    </row>
    <row r="960" spans="1:27" ht="19.5" customHeight="1">
      <c r="A960" s="12" t="str">
        <f ca="1">IFERROR(__xludf.DUMMYFUNCTION("""COMPUTED_VALUE"""),"廚房家電")</f>
        <v>廚房家電</v>
      </c>
      <c r="B960" s="12" t="str">
        <f ca="1">IFERROR(__xludf.DUMMYFUNCTION("""COMPUTED_VALUE"""),"中華大雄")</f>
        <v>中華大雄</v>
      </c>
      <c r="C960" s="12" t="str">
        <f ca="1">IFERROR(__xludf.DUMMYFUNCTION("""COMPUTED_VALUE"""),"aiwa")</f>
        <v>aiwa</v>
      </c>
      <c r="D960" s="12" t="str">
        <f ca="1">IFERROR(__xludf.DUMMYFUNCTION("""COMPUTED_VALUE"""),"aiwa23L氣炸烤箱(銀)AF-023T")</f>
        <v>aiwa23L氣炸烤箱(銀)AF-023T</v>
      </c>
      <c r="E960" s="12" t="str">
        <f ca="1">IFERROR(__xludf.DUMMYFUNCTION("""COMPUTED_VALUE"""),"AF-023T")</f>
        <v>AF-023T</v>
      </c>
      <c r="F960" s="12">
        <f ca="1">IFERROR(__xludf.DUMMYFUNCTION("""COMPUTED_VALUE"""),51057053)</f>
        <v>51057053</v>
      </c>
      <c r="G960" s="12" t="str">
        <f ca="1">IFERROR(__xludf.DUMMYFUNCTION("""COMPUTED_VALUE"""),"IGEM0527")</f>
        <v>IGEM0527</v>
      </c>
      <c r="H960" s="12">
        <f ca="1">IFERROR(__xludf.DUMMYFUNCTION("""COMPUTED_VALUE"""),5990)</f>
        <v>5990</v>
      </c>
      <c r="I960" s="14">
        <f ca="1">IFERROR(__xludf.DUMMYFUNCTION("""COMPUTED_VALUE"""),4990)</f>
        <v>4990</v>
      </c>
      <c r="J960" s="12"/>
      <c r="K960" s="12"/>
      <c r="L960" s="12" t="str">
        <f ca="1">IFERROR(__xludf.DUMMYFUNCTION("""COMPUTED_VALUE"""),"上架中")</f>
        <v>上架中</v>
      </c>
      <c r="M960" s="12" t="str">
        <f ca="1">IFERROR(__xludf.DUMMYFUNCTION("""COMPUTED_VALUE"""),"(2/21暫時停售)，廠商2/29通知可開")</f>
        <v>(2/21暫時停售)，廠商2/29通知可開</v>
      </c>
      <c r="N960" s="12" t="str">
        <f ca="1">IFERROR(__xludf.DUMMYFUNCTION("""COMPUTED_VALUE"""),"烤箱")</f>
        <v>烤箱</v>
      </c>
      <c r="O960" s="12" t="str">
        <f ca="1">IFERROR(__xludf.DUMMYFUNCTION("""COMPUTED_VALUE"""),"銀")</f>
        <v>銀</v>
      </c>
      <c r="P960" s="12" t="str">
        <f ca="1">IFERROR(__xludf.DUMMYFUNCTION("""COMPUTED_VALUE"""),"23L")</f>
        <v>23L</v>
      </c>
      <c r="Q960" s="12" t="str">
        <f ca="1">IFERROR(__xludf.DUMMYFUNCTION("""COMPUTED_VALUE"""),"414*375*375mm")</f>
        <v>414*375*375mm</v>
      </c>
      <c r="R960" s="12" t="str">
        <f ca="1">IFERROR(__xludf.DUMMYFUNCTION("""COMPUTED_VALUE"""),"中國")</f>
        <v>中國</v>
      </c>
      <c r="S960" s="12"/>
      <c r="T960" s="12"/>
      <c r="U960" s="22" t="str">
        <f ca="1">IFERROR(__xludf.DUMMYFUNCTION("""COMPUTED_VALUE"""),"1年")</f>
        <v>1年</v>
      </c>
      <c r="V960" s="12"/>
      <c r="W960" s="12"/>
      <c r="X960" s="12"/>
      <c r="Y960" s="12"/>
      <c r="Z960" s="14"/>
      <c r="AA960" s="15" t="str">
        <f ca="1">IFERROR(__xludf.DUMMYFUNCTION("""COMPUTED_VALUE"""),"*3D空氣對流技術，加熱均勻快速*60分鐘時間控制。*10種快速烘烤選擇。*最高溫度230度。*超大容量23公升。*LED螢幕顯示。*2種風扇速度(高/低)可調整。*內艙三層層架功能。*內置照明燈，按鍵音提示。*3組發熱管&lt;[H1]下部700W，[H2]上中部700W，[H3]上兩側750W&gt;選擇。*高規格電源線1.25mmx3C。*不鏽鋼材質。*通過BSMI認證R38456(RoHS)。")</f>
        <v>*3D空氣對流技術，加熱均勻快速*60分鐘時間控制。*10種快速烘烤選擇。*最高溫度230度。*超大容量23公升。*LED螢幕顯示。*2種風扇速度(高/低)可調整。*內艙三層層架功能。*內置照明燈，按鍵音提示。*3組發熱管&lt;[H1]下部700W，[H2]上中部700W，[H3]上兩側750W&gt;選擇。*高規格電源線1.25mmx3C。*不鏽鋼材質。*通過BSMI認證R38456(RoHS)。</v>
      </c>
    </row>
    <row r="961" spans="1:27" ht="19.5" customHeight="1">
      <c r="A961" s="12" t="str">
        <f ca="1">IFERROR(__xludf.DUMMYFUNCTION("""COMPUTED_VALUE"""),"廚房家電")</f>
        <v>廚房家電</v>
      </c>
      <c r="B961" s="12" t="str">
        <f ca="1">IFERROR(__xludf.DUMMYFUNCTION("""COMPUTED_VALUE"""),"中華大雄")</f>
        <v>中華大雄</v>
      </c>
      <c r="C961" s="12" t="str">
        <f ca="1">IFERROR(__xludf.DUMMYFUNCTION("""COMPUTED_VALUE"""),"aiwa")</f>
        <v>aiwa</v>
      </c>
      <c r="D961" s="12" t="str">
        <f ca="1">IFERROR(__xludf.DUMMYFUNCTION("""COMPUTED_VALUE"""),"aiwa雙層防燙電茶壺(冰雪白)DKS110518")</f>
        <v>aiwa雙層防燙電茶壺(冰雪白)DKS110518</v>
      </c>
      <c r="E961" s="12" t="str">
        <f ca="1">IFERROR(__xludf.DUMMYFUNCTION("""COMPUTED_VALUE"""),"DKS110518(冰雪白)")</f>
        <v>DKS110518(冰雪白)</v>
      </c>
      <c r="F961" s="12">
        <f ca="1">IFERROR(__xludf.DUMMYFUNCTION("""COMPUTED_VALUE"""),51057070)</f>
        <v>51057070</v>
      </c>
      <c r="G961" s="12" t="str">
        <f ca="1">IFERROR(__xludf.DUMMYFUNCTION("""COMPUTED_VALUE"""),"IGEM057D")</f>
        <v>IGEM057D</v>
      </c>
      <c r="H961" s="13">
        <f ca="1">IFERROR(__xludf.DUMMYFUNCTION("""COMPUTED_VALUE"""),1490)</f>
        <v>1490</v>
      </c>
      <c r="I961" s="14">
        <f ca="1">IFERROR(__xludf.DUMMYFUNCTION("""COMPUTED_VALUE"""),1100)</f>
        <v>1100</v>
      </c>
      <c r="J961" s="16">
        <f ca="1">IFERROR(__xludf.DUMMYFUNCTION("""COMPUTED_VALUE"""),45627)</f>
        <v>45627</v>
      </c>
      <c r="K961" s="12" t="str">
        <f ca="1">IFERROR(__xludf.DUMMYFUNCTION("""COMPUTED_VALUE"""),"回價")</f>
        <v>回價</v>
      </c>
      <c r="L961" s="12" t="str">
        <f ca="1">IFERROR(__xludf.DUMMYFUNCTION("""COMPUTED_VALUE"""),"上架中")</f>
        <v>上架中</v>
      </c>
      <c r="M961" s="12" t="str">
        <f ca="1">IFERROR(__xludf.DUMMYFUNCTION("""COMPUTED_VALUE"""),"2024/12/1回價，2024/11/1短促，(2/21暫時停售，廠商2/29通知可開)2024/1/1回價2023/12/1短促112/11/1回價10/1短促7/1回價6/1短促2023/2/15到貨")</f>
        <v>2024/12/1回價，2024/11/1短促，(2/21暫時停售，廠商2/29通知可開)2024/1/1回價2023/12/1短促112/11/1回價10/1短促7/1回價6/1短促2023/2/15到貨</v>
      </c>
      <c r="N961" s="12" t="str">
        <f ca="1">IFERROR(__xludf.DUMMYFUNCTION("""COMPUTED_VALUE"""),"快煮壺/料理壺/手沖壺")</f>
        <v>快煮壺/料理壺/手沖壺</v>
      </c>
      <c r="O961" s="12" t="str">
        <f ca="1">IFERROR(__xludf.DUMMYFUNCTION("""COMPUTED_VALUE"""),"白")</f>
        <v>白</v>
      </c>
      <c r="P961" s="12" t="str">
        <f ca="1">IFERROR(__xludf.DUMMYFUNCTION("""COMPUTED_VALUE"""),"1.8L")</f>
        <v>1.8L</v>
      </c>
      <c r="Q961" s="12" t="str">
        <f ca="1">IFERROR(__xludf.DUMMYFUNCTION("""COMPUTED_VALUE"""),"195x195x265mm")</f>
        <v>195x195x265mm</v>
      </c>
      <c r="R961" s="12" t="str">
        <f ca="1">IFERROR(__xludf.DUMMYFUNCTION("""COMPUTED_VALUE"""),"中國")</f>
        <v>中國</v>
      </c>
      <c r="S961" s="12"/>
      <c r="T961" s="12"/>
      <c r="U961" s="22" t="str">
        <f ca="1">IFERROR(__xludf.DUMMYFUNCTION("""COMPUTED_VALUE"""),"1年")</f>
        <v>1年</v>
      </c>
      <c r="V961" s="12"/>
      <c r="W961" s="12"/>
      <c r="X961" s="12"/>
      <c r="Y961" s="12"/>
      <c r="Z961" s="14"/>
      <c r="AA961" s="15" t="str">
        <f ca="1">IFERROR(__xludf.DUMMYFUNCTION("""COMPUTED_VALUE"""),"*304不鏽鋼材質(內壺身/壺嘴/內鋼蓋)*雙層防燙不鏽鋼電茶壺*無縫內膽設計(一體成形)*一鍵開啟壺蓋,自動彈蓋設計*台灣規格-下開關溫控加熱器.")</f>
        <v>*304不鏽鋼材質(內壺身/壺嘴/內鋼蓋)*雙層防燙不鏽鋼電茶壺*無縫內膽設計(一體成形)*一鍵開啟壺蓋,自動彈蓋設計*台灣規格-下開關溫控加熱器.</v>
      </c>
    </row>
    <row r="962" spans="1:27" ht="19.5" customHeight="1">
      <c r="A962" s="12" t="str">
        <f ca="1">IFERROR(__xludf.DUMMYFUNCTION("""COMPUTED_VALUE"""),"廚房家電")</f>
        <v>廚房家電</v>
      </c>
      <c r="B962" s="12" t="str">
        <f ca="1">IFERROR(__xludf.DUMMYFUNCTION("""COMPUTED_VALUE"""),"中華大雄")</f>
        <v>中華大雄</v>
      </c>
      <c r="C962" s="12" t="str">
        <f ca="1">IFERROR(__xludf.DUMMYFUNCTION("""COMPUTED_VALUE"""),"aiwa")</f>
        <v>aiwa</v>
      </c>
      <c r="D962" s="12" t="str">
        <f ca="1">IFERROR(__xludf.DUMMYFUNCTION("""COMPUTED_VALUE"""),"aiwa雙層防燙電茶壺(磨砂黑)DKS110518")</f>
        <v>aiwa雙層防燙電茶壺(磨砂黑)DKS110518</v>
      </c>
      <c r="E962" s="12" t="str">
        <f ca="1">IFERROR(__xludf.DUMMYFUNCTION("""COMPUTED_VALUE"""),"DKS110518(磨砂黑)")</f>
        <v>DKS110518(磨砂黑)</v>
      </c>
      <c r="F962" s="12">
        <f ca="1">IFERROR(__xludf.DUMMYFUNCTION("""COMPUTED_VALUE"""),51057071)</f>
        <v>51057071</v>
      </c>
      <c r="G962" s="12" t="str">
        <f ca="1">IFERROR(__xludf.DUMMYFUNCTION("""COMPUTED_VALUE"""),"IGEM057E")</f>
        <v>IGEM057E</v>
      </c>
      <c r="H962" s="13">
        <f ca="1">IFERROR(__xludf.DUMMYFUNCTION("""COMPUTED_VALUE"""),1490)</f>
        <v>1490</v>
      </c>
      <c r="I962" s="14">
        <f ca="1">IFERROR(__xludf.DUMMYFUNCTION("""COMPUTED_VALUE"""),1100)</f>
        <v>1100</v>
      </c>
      <c r="J962" s="16">
        <f ca="1">IFERROR(__xludf.DUMMYFUNCTION("""COMPUTED_VALUE"""),45627)</f>
        <v>45627</v>
      </c>
      <c r="K962" s="12" t="str">
        <f ca="1">IFERROR(__xludf.DUMMYFUNCTION("""COMPUTED_VALUE"""),"回價")</f>
        <v>回價</v>
      </c>
      <c r="L962" s="12" t="str">
        <f ca="1">IFERROR(__xludf.DUMMYFUNCTION("""COMPUTED_VALUE"""),"上架中")</f>
        <v>上架中</v>
      </c>
      <c r="M962" s="12" t="str">
        <f ca="1">IFERROR(__xludf.DUMMYFUNCTION("""COMPUTED_VALUE"""),"2024/12/1回價，2024/11/1短促，(2/21暫時停售，廠商2/29通知可開)2024/1/1回價2023/12/1短促112/11/1回價10/1短促7/1回價6/1短促2023/2/15到貨")</f>
        <v>2024/12/1回價，2024/11/1短促，(2/21暫時停售，廠商2/29通知可開)2024/1/1回價2023/12/1短促112/11/1回價10/1短促7/1回價6/1短促2023/2/15到貨</v>
      </c>
      <c r="N962" s="12" t="str">
        <f ca="1">IFERROR(__xludf.DUMMYFUNCTION("""COMPUTED_VALUE"""),"快煮壺/料理壺/手沖壺")</f>
        <v>快煮壺/料理壺/手沖壺</v>
      </c>
      <c r="O962" s="12" t="str">
        <f ca="1">IFERROR(__xludf.DUMMYFUNCTION("""COMPUTED_VALUE"""),"黑")</f>
        <v>黑</v>
      </c>
      <c r="P962" s="12" t="str">
        <f ca="1">IFERROR(__xludf.DUMMYFUNCTION("""COMPUTED_VALUE"""),"1.8L")</f>
        <v>1.8L</v>
      </c>
      <c r="Q962" s="12" t="str">
        <f ca="1">IFERROR(__xludf.DUMMYFUNCTION("""COMPUTED_VALUE"""),"195x195x265mm")</f>
        <v>195x195x265mm</v>
      </c>
      <c r="R962" s="12" t="str">
        <f ca="1">IFERROR(__xludf.DUMMYFUNCTION("""COMPUTED_VALUE"""),"中國")</f>
        <v>中國</v>
      </c>
      <c r="S962" s="12"/>
      <c r="T962" s="12"/>
      <c r="U962" s="22" t="str">
        <f ca="1">IFERROR(__xludf.DUMMYFUNCTION("""COMPUTED_VALUE"""),"1年")</f>
        <v>1年</v>
      </c>
      <c r="V962" s="12"/>
      <c r="W962" s="12"/>
      <c r="X962" s="12"/>
      <c r="Y962" s="12"/>
      <c r="Z962" s="14"/>
      <c r="AA962" s="15" t="str">
        <f ca="1">IFERROR(__xludf.DUMMYFUNCTION("""COMPUTED_VALUE"""),"*304不鏽鋼材質(內壺身/壺嘴/內鋼蓋)*雙層防燙不鏽鋼電茶壺*無縫內膽設計(一體成形)*一鍵開啟壺蓋,自動彈蓋設計*台灣規格-下開關溫控加熱器.")</f>
        <v>*304不鏽鋼材質(內壺身/壺嘴/內鋼蓋)*雙層防燙不鏽鋼電茶壺*無縫內膽設計(一體成形)*一鍵開啟壺蓋,自動彈蓋設計*台灣規格-下開關溫控加熱器.</v>
      </c>
    </row>
    <row r="963" spans="1:27" ht="19.5" customHeight="1">
      <c r="A963" s="12" t="str">
        <f ca="1">IFERROR(__xludf.DUMMYFUNCTION("""COMPUTED_VALUE"""),"廚房家電")</f>
        <v>廚房家電</v>
      </c>
      <c r="B963" s="12" t="str">
        <f ca="1">IFERROR(__xludf.DUMMYFUNCTION("""COMPUTED_VALUE"""),"中華大雄")</f>
        <v>中華大雄</v>
      </c>
      <c r="C963" s="12" t="str">
        <f ca="1">IFERROR(__xludf.DUMMYFUNCTION("""COMPUTED_VALUE"""),"aiwa")</f>
        <v>aiwa</v>
      </c>
      <c r="D963" s="12" t="str">
        <f ca="1">IFERROR(__xludf.DUMMYFUNCTION("""COMPUTED_VALUE"""),"aiwa愛華600ml家庭號果汁機(白)IWJ-198Y")</f>
        <v>aiwa愛華600ml家庭號果汁機(白)IWJ-198Y</v>
      </c>
      <c r="E963" s="12" t="str">
        <f ca="1">IFERROR(__xludf.DUMMYFUNCTION("""COMPUTED_VALUE"""),"IWJ-198Y")</f>
        <v>IWJ-198Y</v>
      </c>
      <c r="F963" s="12">
        <f ca="1">IFERROR(__xludf.DUMMYFUNCTION("""COMPUTED_VALUE"""),51057074)</f>
        <v>51057074</v>
      </c>
      <c r="G963" s="12" t="str">
        <f ca="1">IFERROR(__xludf.DUMMYFUNCTION("""COMPUTED_VALUE"""),"IGEM057F")</f>
        <v>IGEM057F</v>
      </c>
      <c r="H963" s="13">
        <f ca="1">IFERROR(__xludf.DUMMYFUNCTION("""COMPUTED_VALUE"""),1290)</f>
        <v>1290</v>
      </c>
      <c r="I963" s="14">
        <f ca="1">IFERROR(__xludf.DUMMYFUNCTION("""COMPUTED_VALUE"""),990)</f>
        <v>990</v>
      </c>
      <c r="J963" s="12"/>
      <c r="K963" s="12"/>
      <c r="L963" s="12" t="str">
        <f ca="1">IFERROR(__xludf.DUMMYFUNCTION("""COMPUTED_VALUE"""),"上架中")</f>
        <v>上架中</v>
      </c>
      <c r="M963" s="12" t="str">
        <f ca="1">IFERROR(__xludf.DUMMYFUNCTION("""COMPUTED_VALUE"""),"(2/21暫時停售，廠商2/29通知可開)")</f>
        <v>(2/21暫時停售，廠商2/29通知可開)</v>
      </c>
      <c r="N963" s="12" t="str">
        <f ca="1">IFERROR(__xludf.DUMMYFUNCTION("""COMPUTED_VALUE"""),"果汁機/調理機/豆漿機")</f>
        <v>果汁機/調理機/豆漿機</v>
      </c>
      <c r="O963" s="12" t="str">
        <f ca="1">IFERROR(__xludf.DUMMYFUNCTION("""COMPUTED_VALUE"""),"白")</f>
        <v>白</v>
      </c>
      <c r="P963" s="12" t="str">
        <f ca="1">IFERROR(__xludf.DUMMYFUNCTION("""COMPUTED_VALUE"""),"600ML")</f>
        <v>600ML</v>
      </c>
      <c r="Q963" s="12" t="str">
        <f ca="1">IFERROR(__xludf.DUMMYFUNCTION("""COMPUTED_VALUE"""),"135*120*255mm")</f>
        <v>135*120*255mm</v>
      </c>
      <c r="R963" s="12" t="str">
        <f ca="1">IFERROR(__xludf.DUMMYFUNCTION("""COMPUTED_VALUE"""),"中國")</f>
        <v>中國</v>
      </c>
      <c r="S963" s="12"/>
      <c r="T963" s="12"/>
      <c r="U963" s="22" t="str">
        <f ca="1">IFERROR(__xludf.DUMMYFUNCTION("""COMPUTED_VALUE"""),"1年")</f>
        <v>1年</v>
      </c>
      <c r="V963" s="12"/>
      <c r="W963" s="12"/>
      <c r="X963" s="12"/>
      <c r="Y963" s="12"/>
      <c r="Z963" s="14"/>
      <c r="AA963" s="15" t="str">
        <f ca="1">IFERROR(__xludf.DUMMYFUNCTION("""COMPUTED_VALUE"""),"*適用家庭及職場補充維他命的小方手。*適合打果菜、梨、西瓜和葡萄等任何水果。*容量600ML美觀大方玻璃杯設計，不重手好操作，容易清洗、不殘留異味、及雙多酚*不銹鋼刀安全耐用*250W超強馬達功率")</f>
        <v>*適用家庭及職場補充維他命的小方手。*適合打果菜、梨、西瓜和葡萄等任何水果。*容量600ML美觀大方玻璃杯設計，不重手好操作，容易清洗、不殘留異味、及雙多酚*不銹鋼刀安全耐用*250W超強馬達功率</v>
      </c>
    </row>
    <row r="964" spans="1:27" ht="19.5" customHeight="1">
      <c r="A964" s="12" t="str">
        <f ca="1">IFERROR(__xludf.DUMMYFUNCTION("""COMPUTED_VALUE"""),"廚房家電")</f>
        <v>廚房家電</v>
      </c>
      <c r="B964" s="12" t="str">
        <f ca="1">IFERROR(__xludf.DUMMYFUNCTION("""COMPUTED_VALUE"""),"中華大雄")</f>
        <v>中華大雄</v>
      </c>
      <c r="C964" s="12" t="str">
        <f ca="1">IFERROR(__xludf.DUMMYFUNCTION("""COMPUTED_VALUE"""),"aiwa")</f>
        <v>aiwa</v>
      </c>
      <c r="D964" s="12" t="str">
        <f ca="1">IFERROR(__xludf.DUMMYFUNCTION("""COMPUTED_VALUE"""),"aiwa冰沙果汁機800ml(白)IWJ-398Y")</f>
        <v>aiwa冰沙果汁機800ml(白)IWJ-398Y</v>
      </c>
      <c r="E964" s="12" t="str">
        <f ca="1">IFERROR(__xludf.DUMMYFUNCTION("""COMPUTED_VALUE"""),"IWJ-398Y")</f>
        <v>IWJ-398Y</v>
      </c>
      <c r="F964" s="12">
        <f ca="1">IFERROR(__xludf.DUMMYFUNCTION("""COMPUTED_VALUE"""),51057075)</f>
        <v>51057075</v>
      </c>
      <c r="G964" s="12" t="str">
        <f ca="1">IFERROR(__xludf.DUMMYFUNCTION("""COMPUTED_VALUE"""),"IGEM057G")</f>
        <v>IGEM057G</v>
      </c>
      <c r="H964" s="13">
        <f ca="1">IFERROR(__xludf.DUMMYFUNCTION("""COMPUTED_VALUE"""),1490)</f>
        <v>1490</v>
      </c>
      <c r="I964" s="14">
        <f ca="1">IFERROR(__xludf.DUMMYFUNCTION("""COMPUTED_VALUE"""),1190)</f>
        <v>1190</v>
      </c>
      <c r="J964" s="12"/>
      <c r="K964" s="12"/>
      <c r="L964" s="12" t="str">
        <f ca="1">IFERROR(__xludf.DUMMYFUNCTION("""COMPUTED_VALUE"""),"上架中")</f>
        <v>上架中</v>
      </c>
      <c r="M964" s="12" t="str">
        <f ca="1">IFERROR(__xludf.DUMMYFUNCTION("""COMPUTED_VALUE"""),"(2/21暫時停售，廠商2/29通知可開)")</f>
        <v>(2/21暫時停售，廠商2/29通知可開)</v>
      </c>
      <c r="N964" s="12" t="str">
        <f ca="1">IFERROR(__xludf.DUMMYFUNCTION("""COMPUTED_VALUE"""),"果汁機/調理機/豆漿機")</f>
        <v>果汁機/調理機/豆漿機</v>
      </c>
      <c r="O964" s="12" t="str">
        <f ca="1">IFERROR(__xludf.DUMMYFUNCTION("""COMPUTED_VALUE"""),"白")</f>
        <v>白</v>
      </c>
      <c r="P964" s="12" t="str">
        <f ca="1">IFERROR(__xludf.DUMMYFUNCTION("""COMPUTED_VALUE"""),"800ML")</f>
        <v>800ML</v>
      </c>
      <c r="Q964" s="12" t="str">
        <f ca="1">IFERROR(__xludf.DUMMYFUNCTION("""COMPUTED_VALUE"""),"160*13.5*36.5mm")</f>
        <v>160*13.5*36.5mm</v>
      </c>
      <c r="R964" s="12" t="str">
        <f ca="1">IFERROR(__xludf.DUMMYFUNCTION("""COMPUTED_VALUE"""),"中國")</f>
        <v>中國</v>
      </c>
      <c r="S964" s="12"/>
      <c r="T964" s="12"/>
      <c r="U964" s="22" t="str">
        <f ca="1">IFERROR(__xludf.DUMMYFUNCTION("""COMPUTED_VALUE"""),"1年")</f>
        <v>1年</v>
      </c>
      <c r="V964" s="12"/>
      <c r="W964" s="12"/>
      <c r="X964" s="12"/>
      <c r="Y964" s="12"/>
      <c r="Z964" s="14"/>
      <c r="AA964" s="15" t="str">
        <f ca="1">IFERROR(__xludf.DUMMYFUNCTION("""COMPUTED_VALUE"""),"*容量800ML美觀大方玻璃杯設計，不重手好操作，容易清洗、不殘留異味、及雙多酚*強化安全設計，杯蓋及杯座安全雙安全LOCK啟動設計以免誤動作而造成危險*不銹鋼刀安全耐用*300W超強馬達功率，")</f>
        <v>*容量800ML美觀大方玻璃杯設計，不重手好操作，容易清洗、不殘留異味、及雙多酚*強化安全設計，杯蓋及杯座安全雙安全LOCK啟動設計以免誤動作而造成危險*不銹鋼刀安全耐用*300W超強馬達功率，</v>
      </c>
    </row>
    <row r="965" spans="1:27" ht="19.5" customHeight="1">
      <c r="A965" s="12" t="str">
        <f ca="1">IFERROR(__xludf.DUMMYFUNCTION("""COMPUTED_VALUE"""),"廚房家電")</f>
        <v>廚房家電</v>
      </c>
      <c r="B965" s="12" t="str">
        <f ca="1">IFERROR(__xludf.DUMMYFUNCTION("""COMPUTED_VALUE"""),"中華大雄")</f>
        <v>中華大雄</v>
      </c>
      <c r="C965" s="12" t="str">
        <f ca="1">IFERROR(__xludf.DUMMYFUNCTION("""COMPUTED_VALUE"""),"aiwa")</f>
        <v>aiwa</v>
      </c>
      <c r="D965" s="12" t="str">
        <f ca="1">IFERROR(__xludf.DUMMYFUNCTION("""COMPUTED_VALUE"""),"aiwa奶泡攪拌機(不銹鋼)AMF-500")</f>
        <v>aiwa奶泡攪拌機(不銹鋼)AMF-500</v>
      </c>
      <c r="E965" s="12" t="str">
        <f ca="1">IFERROR(__xludf.DUMMYFUNCTION("""COMPUTED_VALUE"""),"AMF-500")</f>
        <v>AMF-500</v>
      </c>
      <c r="F965" s="12">
        <f ca="1">IFERROR(__xludf.DUMMYFUNCTION("""COMPUTED_VALUE"""),51057176)</f>
        <v>51057176</v>
      </c>
      <c r="G965" s="12" t="str">
        <f ca="1">IFERROR(__xludf.DUMMYFUNCTION("""COMPUTED_VALUE"""),"IGEM066B")</f>
        <v>IGEM066B</v>
      </c>
      <c r="H965" s="13">
        <f ca="1">IFERROR(__xludf.DUMMYFUNCTION("""COMPUTED_VALUE"""),3680)</f>
        <v>3680</v>
      </c>
      <c r="I965" s="14">
        <f ca="1">IFERROR(__xludf.DUMMYFUNCTION("""COMPUTED_VALUE"""),2480)</f>
        <v>2480</v>
      </c>
      <c r="J965" s="16">
        <f ca="1">IFERROR(__xludf.DUMMYFUNCTION("""COMPUTED_VALUE"""),45627)</f>
        <v>45627</v>
      </c>
      <c r="K965" s="12" t="str">
        <f ca="1">IFERROR(__xludf.DUMMYFUNCTION("""COMPUTED_VALUE"""),"回價")</f>
        <v>回價</v>
      </c>
      <c r="L965" s="12" t="str">
        <f ca="1">IFERROR(__xludf.DUMMYFUNCTION("""COMPUTED_VALUE"""),"上架中")</f>
        <v>上架中</v>
      </c>
      <c r="M965" s="12" t="str">
        <f ca="1">IFERROR(__xludf.DUMMYFUNCTION("""COMPUTED_VALUE"""),"2024/12/1回價，2024/11/1短促，2024/8/1回價，2024/5/1短促，(2/21暫時停售，廠商2/29通知可開)2024/1/1回價2023/12/1短促112/11/1新機上架")</f>
        <v>2024/12/1回價，2024/11/1短促，2024/8/1回價，2024/5/1短促，(2/21暫時停售，廠商2/29通知可開)2024/1/1回價2023/12/1短促112/11/1新機上架</v>
      </c>
      <c r="N965" s="12" t="str">
        <f ca="1">IFERROR(__xludf.DUMMYFUNCTION("""COMPUTED_VALUE"""),"攪拌/研磨機")</f>
        <v>攪拌/研磨機</v>
      </c>
      <c r="O965" s="12" t="str">
        <f ca="1">IFERROR(__xludf.DUMMYFUNCTION("""COMPUTED_VALUE"""),"不銹鋼")</f>
        <v>不銹鋼</v>
      </c>
      <c r="P965" s="12" t="str">
        <f ca="1">IFERROR(__xludf.DUMMYFUNCTION("""COMPUTED_VALUE"""),"600 ml")</f>
        <v>600 ml</v>
      </c>
      <c r="Q965" s="12" t="str">
        <f ca="1">IFERROR(__xludf.DUMMYFUNCTION("""COMPUTED_VALUE"""),"200*167*246 mm")</f>
        <v>200*167*246 mm</v>
      </c>
      <c r="R965" s="12" t="str">
        <f ca="1">IFERROR(__xludf.DUMMYFUNCTION("""COMPUTED_VALUE"""),"中國")</f>
        <v>中國</v>
      </c>
      <c r="S965" s="12"/>
      <c r="T965" s="12"/>
      <c r="U965" s="22" t="str">
        <f ca="1">IFERROR(__xludf.DUMMYFUNCTION("""COMPUTED_VALUE"""),"1年")</f>
        <v>1年</v>
      </c>
      <c r="V965" s="12"/>
      <c r="W965" s="12"/>
      <c r="X965" s="12"/>
      <c r="Y965" s="12"/>
      <c r="Z965" s="14"/>
      <c r="AA965" s="15" t="str">
        <f ca="1">IFERROR(__xludf.DUMMYFUNCTION("""COMPUTED_VALUE"""),"*6 種飲品模式，冷、熱兩用，滿足奶茶控各種需求*磁吸式攪拌發泡組，發泡穩定更綿密
*巧克力攪拌罩，防止燒焦*獨特茶葉濾網設計，可直接煮奶茶*600 ml 大口徑食品級 304 不鏽鋼奶泡杯，分離式設計，好拿好清洗*奶泡杯/發泡配件，均為 304 不鏽鋼及食用級PP，用得安心*Tritan 透明杯蓋，不含雙酚A*雙安全裝置：防乾燒、過熱保護")</f>
        <v>*6 種飲品模式，冷、熱兩用，滿足奶茶控各種需求*磁吸式攪拌發泡組，發泡穩定更綿密
*巧克力攪拌罩，防止燒焦*獨特茶葉濾網設計，可直接煮奶茶*600 ml 大口徑食品級 304 不鏽鋼奶泡杯，分離式設計，好拿好清洗*奶泡杯/發泡配件，均為 304 不鏽鋼及食用級PP，用得安心*Tritan 透明杯蓋，不含雙酚A*雙安全裝置：防乾燒、過熱保護</v>
      </c>
    </row>
    <row r="966" spans="1:27" ht="19.5" customHeight="1">
      <c r="A966" s="12" t="str">
        <f ca="1">IFERROR(__xludf.DUMMYFUNCTION("""COMPUTED_VALUE"""),"廚房家電")</f>
        <v>廚房家電</v>
      </c>
      <c r="B966" s="12" t="str">
        <f ca="1">IFERROR(__xludf.DUMMYFUNCTION("""COMPUTED_VALUE"""),"中華大雄")</f>
        <v>中華大雄</v>
      </c>
      <c r="C966" s="12" t="str">
        <f ca="1">IFERROR(__xludf.DUMMYFUNCTION("""COMPUTED_VALUE"""),"aiwa")</f>
        <v>aiwa</v>
      </c>
      <c r="D966" s="12" t="str">
        <f ca="1">IFERROR(__xludf.DUMMYFUNCTION("""COMPUTED_VALUE"""),"aiwa奶泡攪拌機(粉藍)AMF500")</f>
        <v>aiwa奶泡攪拌機(粉藍)AMF500</v>
      </c>
      <c r="E966" s="12" t="str">
        <f ca="1">IFERROR(__xludf.DUMMYFUNCTION("""COMPUTED_VALUE"""),"AMF-500(粉藍)")</f>
        <v>AMF-500(粉藍)</v>
      </c>
      <c r="F966" s="12">
        <f ca="1">IFERROR(__xludf.DUMMYFUNCTION("""COMPUTED_VALUE"""),51057334)</f>
        <v>51057334</v>
      </c>
      <c r="G966" s="12" t="str">
        <f ca="1">IFERROR(__xludf.DUMMYFUNCTION("""COMPUTED_VALUE"""),"IGEM0933")</f>
        <v>IGEM0933</v>
      </c>
      <c r="H966" s="13">
        <f ca="1">IFERROR(__xludf.DUMMYFUNCTION("""COMPUTED_VALUE"""),3680)</f>
        <v>3680</v>
      </c>
      <c r="I966" s="14">
        <f ca="1">IFERROR(__xludf.DUMMYFUNCTION("""COMPUTED_VALUE"""),2480)</f>
        <v>2480</v>
      </c>
      <c r="J966" s="16">
        <f ca="1">IFERROR(__xludf.DUMMYFUNCTION("""COMPUTED_VALUE"""),45292)</f>
        <v>45292</v>
      </c>
      <c r="K966" s="12" t="str">
        <f ca="1">IFERROR(__xludf.DUMMYFUNCTION("""COMPUTED_VALUE"""),"回價")</f>
        <v>回價</v>
      </c>
      <c r="L966" s="12" t="str">
        <f ca="1">IFERROR(__xludf.DUMMYFUNCTION("""COMPUTED_VALUE"""),"上架中")</f>
        <v>上架中</v>
      </c>
      <c r="M966" s="12" t="str">
        <f ca="1">IFERROR(__xludf.DUMMYFUNCTION("""COMPUTED_VALUE"""),"(2/21暫時停售)2024/1/1回價2023/12/1短促113/11/14上架")</f>
        <v>(2/21暫時停售)2024/1/1回價2023/12/1短促113/11/14上架</v>
      </c>
      <c r="N966" s="12" t="str">
        <f ca="1">IFERROR(__xludf.DUMMYFUNCTION("""COMPUTED_VALUE"""),"攪拌/研磨機")</f>
        <v>攪拌/研磨機</v>
      </c>
      <c r="O966" s="12" t="str">
        <f ca="1">IFERROR(__xludf.DUMMYFUNCTION("""COMPUTED_VALUE"""),"粉藍")</f>
        <v>粉藍</v>
      </c>
      <c r="P966" s="12" t="str">
        <f ca="1">IFERROR(__xludf.DUMMYFUNCTION("""COMPUTED_VALUE"""),"本體尺寸 200*167*246 mm
 彩盒尺寸 190*190*280 mm
 淨重 1.2 Kg 
 最大容量 600 ml
 額定電壓 110V
 額定頻率 60Hz 
 總額定消耗
 電功率 500 W")</f>
        <v>本體尺寸 200*167*246 mm
 彩盒尺寸 190*190*280 mm
 淨重 1.2 Kg 
 最大容量 600 ml
 額定電壓 110V
 額定頻率 60Hz 
 總額定消耗
 電功率 500 W</v>
      </c>
      <c r="Q966" s="12" t="str">
        <f ca="1">IFERROR(__xludf.DUMMYFUNCTION("""COMPUTED_VALUE"""),"200*167*246 mm")</f>
        <v>200*167*246 mm</v>
      </c>
      <c r="R966" s="12" t="str">
        <f ca="1">IFERROR(__xludf.DUMMYFUNCTION("""COMPUTED_VALUE"""),"中國")</f>
        <v>中國</v>
      </c>
      <c r="S966" s="12"/>
      <c r="T966" s="12"/>
      <c r="U966" s="22" t="str">
        <f ca="1">IFERROR(__xludf.DUMMYFUNCTION("""COMPUTED_VALUE"""),"1年")</f>
        <v>1年</v>
      </c>
      <c r="V966" s="12"/>
      <c r="W966" s="12"/>
      <c r="X966" s="12"/>
      <c r="Y966" s="12"/>
      <c r="Z966" s="14"/>
      <c r="AA966" s="15" t="str">
        <f ca="1">IFERROR(__xludf.DUMMYFUNCTION("""COMPUTED_VALUE"""),"*6 種飲品模式，冷、熱兩用，滿足奶茶控各種需求*磁吸式攪拌發泡組，發泡穩定更綿密*巧克力攪拌罩，防止燒焦*獨特茶葉濾網設計，可直接煮奶茶*600 ml 大口徑食品級 304 不鏽鋼奶泡杯，分離式設計，好拿好清洗*奶泡杯/發泡配件，均為 304 不鏽鋼及食用級PP，用得安心*Tritan 透明杯蓋，不含雙酚A*雙安全裝置：防乾燒、過熱保護")</f>
        <v>*6 種飲品模式，冷、熱兩用，滿足奶茶控各種需求*磁吸式攪拌發泡組，發泡穩定更綿密*巧克力攪拌罩，防止燒焦*獨特茶葉濾網設計，可直接煮奶茶*600 ml 大口徑食品級 304 不鏽鋼奶泡杯，分離式設計，好拿好清洗*奶泡杯/發泡配件，均為 304 不鏽鋼及食用級PP，用得安心*Tritan 透明杯蓋，不含雙酚A*雙安全裝置：防乾燒、過熱保護</v>
      </c>
    </row>
    <row r="967" spans="1:27" ht="19.5" customHeight="1">
      <c r="A967" s="12" t="str">
        <f ca="1">IFERROR(__xludf.DUMMYFUNCTION("""COMPUTED_VALUE"""),"廚房家電")</f>
        <v>廚房家電</v>
      </c>
      <c r="B967" s="12" t="str">
        <f ca="1">IFERROR(__xludf.DUMMYFUNCTION("""COMPUTED_VALUE"""),"中華大雄")</f>
        <v>中華大雄</v>
      </c>
      <c r="C967" s="12" t="str">
        <f ca="1">IFERROR(__xludf.DUMMYFUNCTION("""COMPUTED_VALUE"""),"aiwa")</f>
        <v>aiwa</v>
      </c>
      <c r="D967" s="12" t="str">
        <f ca="1">IFERROR(__xludf.DUMMYFUNCTION("""COMPUTED_VALUE"""),"aiwa萬用蒸煮機(米白)AS-ZDQ14")</f>
        <v>aiwa萬用蒸煮機(米白)AS-ZDQ14</v>
      </c>
      <c r="E967" s="12" t="str">
        <f ca="1">IFERROR(__xludf.DUMMYFUNCTION("""COMPUTED_VALUE"""),"AS-ZDQ14")</f>
        <v>AS-ZDQ14</v>
      </c>
      <c r="F967" s="12">
        <f ca="1">IFERROR(__xludf.DUMMYFUNCTION("""COMPUTED_VALUE"""),51057085)</f>
        <v>51057085</v>
      </c>
      <c r="G967" s="12" t="str">
        <f ca="1">IFERROR(__xludf.DUMMYFUNCTION("""COMPUTED_VALUE"""),"IGEM067Z")</f>
        <v>IGEM067Z</v>
      </c>
      <c r="H967" s="12">
        <f ca="1">IFERROR(__xludf.DUMMYFUNCTION("""COMPUTED_VALUE"""),1290)</f>
        <v>1290</v>
      </c>
      <c r="I967" s="14">
        <f ca="1">IFERROR(__xludf.DUMMYFUNCTION("""COMPUTED_VALUE"""),999)</f>
        <v>999</v>
      </c>
      <c r="J967" s="16">
        <f ca="1">IFERROR(__xludf.DUMMYFUNCTION("""COMPUTED_VALUE"""),45292)</f>
        <v>45292</v>
      </c>
      <c r="K967" s="12" t="str">
        <f ca="1">IFERROR(__xludf.DUMMYFUNCTION("""COMPUTED_VALUE"""),"回價")</f>
        <v>回價</v>
      </c>
      <c r="L967" s="12" t="str">
        <f ca="1">IFERROR(__xludf.DUMMYFUNCTION("""COMPUTED_VALUE"""),"上架中")</f>
        <v>上架中</v>
      </c>
      <c r="M967" s="12" t="str">
        <f ca="1">IFERROR(__xludf.DUMMYFUNCTION("""COMPUTED_VALUE"""),"(2/21暫時停售，廠商2/29通知可開)2024/1/1回價112/10/27到貨10/2缺貨")</f>
        <v>(2/21暫時停售，廠商2/29通知可開)2024/1/1回價112/10/27到貨10/2缺貨</v>
      </c>
      <c r="N967" s="12" t="str">
        <f ca="1">IFERROR(__xludf.DUMMYFUNCTION("""COMPUTED_VALUE"""),"美食鍋/料理鍋/快煮鍋")</f>
        <v>美食鍋/料理鍋/快煮鍋</v>
      </c>
      <c r="O967" s="12" t="str">
        <f ca="1">IFERROR(__xludf.DUMMYFUNCTION("""COMPUTED_VALUE"""),"米白")</f>
        <v>米白</v>
      </c>
      <c r="P967" s="12"/>
      <c r="Q967" s="12" t="str">
        <f ca="1">IFERROR(__xludf.DUMMYFUNCTION("""COMPUTED_VALUE"""),"197 x 175 x 268 mm")</f>
        <v>197 x 175 x 268 mm</v>
      </c>
      <c r="R967" s="12" t="str">
        <f ca="1">IFERROR(__xludf.DUMMYFUNCTION("""COMPUTED_VALUE"""),"中國")</f>
        <v>中國</v>
      </c>
      <c r="S967" s="12" t="str">
        <f ca="1">IFERROR(__xludf.DUMMYFUNCTION("""COMPUTED_VALUE"""),"R38456")</f>
        <v>R38456</v>
      </c>
      <c r="T967" s="12"/>
      <c r="U967" s="12" t="str">
        <f ca="1">IFERROR(__xludf.DUMMYFUNCTION("""COMPUTED_VALUE"""),"1年")</f>
        <v>1年</v>
      </c>
      <c r="V967" s="12"/>
      <c r="W967" s="12"/>
      <c r="X967" s="12"/>
      <c r="Y967" s="12"/>
      <c r="Z967" s="14"/>
      <c r="AA967" s="15" t="str">
        <f ca="1">IFERROR(__xludf.DUMMYFUNCTION("""COMPUTED_VALUE"""),"*304不鏽鋼發熱盤 *防乾燒保護裝置*一鍵式旋鈕 , 操作簡便*30分鐘定時裝置")</f>
        <v>*304不鏽鋼發熱盤 *防乾燒保護裝置*一鍵式旋鈕 , 操作簡便*30分鐘定時裝置</v>
      </c>
    </row>
    <row r="968" spans="1:27" ht="19.5" customHeight="1">
      <c r="A968" s="12" t="str">
        <f ca="1">IFERROR(__xludf.DUMMYFUNCTION("""COMPUTED_VALUE"""),"廚房家電")</f>
        <v>廚房家電</v>
      </c>
      <c r="B968" s="12" t="str">
        <f ca="1">IFERROR(__xludf.DUMMYFUNCTION("""COMPUTED_VALUE"""),"中華大雄")</f>
        <v>中華大雄</v>
      </c>
      <c r="C968" s="12" t="str">
        <f ca="1">IFERROR(__xludf.DUMMYFUNCTION("""COMPUTED_VALUE"""),"aiwa")</f>
        <v>aiwa</v>
      </c>
      <c r="D968" s="12" t="str">
        <f ca="1">IFERROR(__xludf.DUMMYFUNCTION("""COMPUTED_VALUE"""),"aiwa美式全自動咖啡機(藍)AI-KFJ06")</f>
        <v>aiwa美式全自動咖啡機(藍)AI-KFJ06</v>
      </c>
      <c r="E968" s="12" t="str">
        <f ca="1">IFERROR(__xludf.DUMMYFUNCTION("""COMPUTED_VALUE"""),"AI-KFJ06")</f>
        <v>AI-KFJ06</v>
      </c>
      <c r="F968" s="12">
        <f ca="1">IFERROR(__xludf.DUMMYFUNCTION("""COMPUTED_VALUE"""),51057086)</f>
        <v>51057086</v>
      </c>
      <c r="G968" s="12" t="str">
        <f ca="1">IFERROR(__xludf.DUMMYFUNCTION("""COMPUTED_VALUE"""),"IGEM0680")</f>
        <v>IGEM0680</v>
      </c>
      <c r="H968" s="12">
        <f ca="1">IFERROR(__xludf.DUMMYFUNCTION("""COMPUTED_VALUE"""),1490)</f>
        <v>1490</v>
      </c>
      <c r="I968" s="14">
        <f ca="1">IFERROR(__xludf.DUMMYFUNCTION("""COMPUTED_VALUE"""),1099)</f>
        <v>1099</v>
      </c>
      <c r="J968" s="16">
        <f ca="1">IFERROR(__xludf.DUMMYFUNCTION("""COMPUTED_VALUE"""),45627)</f>
        <v>45627</v>
      </c>
      <c r="K968" s="12" t="str">
        <f ca="1">IFERROR(__xludf.DUMMYFUNCTION("""COMPUTED_VALUE"""),"回價")</f>
        <v>回價</v>
      </c>
      <c r="L968" s="12" t="str">
        <f ca="1">IFERROR(__xludf.DUMMYFUNCTION("""COMPUTED_VALUE"""),"上架中")</f>
        <v>上架中</v>
      </c>
      <c r="M968" s="12" t="str">
        <f ca="1">IFERROR(__xludf.DUMMYFUNCTION("""COMPUTED_VALUE"""),"2024/12/1回價，2024/11/1短促，2024/8/1回價，2024/5/1短促，(2/21暫時停售，廠商2/29通知可開)2024/1/1回價2023/12/1短促")</f>
        <v>2024/12/1回價，2024/11/1短促，2024/8/1回價，2024/5/1短促，(2/21暫時停售，廠商2/29通知可開)2024/1/1回價2023/12/1短促</v>
      </c>
      <c r="N968" s="12" t="str">
        <f ca="1">IFERROR(__xludf.DUMMYFUNCTION("""COMPUTED_VALUE"""),"咖啡機/磨豆器")</f>
        <v>咖啡機/磨豆器</v>
      </c>
      <c r="O968" s="12" t="str">
        <f ca="1">IFERROR(__xludf.DUMMYFUNCTION("""COMPUTED_VALUE"""),"藍")</f>
        <v>藍</v>
      </c>
      <c r="P968" s="12" t="str">
        <f ca="1">IFERROR(__xludf.DUMMYFUNCTION("""COMPUTED_VALUE"""),"0.6L")</f>
        <v>0.6L</v>
      </c>
      <c r="Q968" s="12" t="str">
        <f ca="1">IFERROR(__xludf.DUMMYFUNCTION("""COMPUTED_VALUE"""),"225 x 151 x 269 mm")</f>
        <v>225 x 151 x 269 mm</v>
      </c>
      <c r="R968" s="12" t="str">
        <f ca="1">IFERROR(__xludf.DUMMYFUNCTION("""COMPUTED_VALUE"""),"中國")</f>
        <v>中國</v>
      </c>
      <c r="S968" s="12" t="str">
        <f ca="1">IFERROR(__xludf.DUMMYFUNCTION("""COMPUTED_VALUE"""),"R38456")</f>
        <v>R38456</v>
      </c>
      <c r="T968" s="12"/>
      <c r="U968" s="12" t="str">
        <f ca="1">IFERROR(__xludf.DUMMYFUNCTION("""COMPUTED_VALUE"""),"1年")</f>
        <v>1年</v>
      </c>
      <c r="V968" s="12"/>
      <c r="W968" s="12"/>
      <c r="X968" s="12"/>
      <c r="Y968" s="12"/>
      <c r="Z968" s="14"/>
      <c r="AA968" s="15" t="str">
        <f ca="1">IFERROR(__xludf.DUMMYFUNCTION("""COMPUTED_VALUE"""),"*可調整咖啡濃淡度*防滴漏設計*保溫設計*分離式濾網 , 清洗簡單*可視水箱設計 ")</f>
        <v xml:space="preserve">*可調整咖啡濃淡度*防滴漏設計*保溫設計*分離式濾網 , 清洗簡單*可視水箱設計 </v>
      </c>
    </row>
    <row r="969" spans="1:27" ht="19.5" customHeight="1">
      <c r="A969" s="12" t="str">
        <f ca="1">IFERROR(__xludf.DUMMYFUNCTION("""COMPUTED_VALUE"""),"廚房家電")</f>
        <v>廚房家電</v>
      </c>
      <c r="B969" s="12" t="str">
        <f ca="1">IFERROR(__xludf.DUMMYFUNCTION("""COMPUTED_VALUE"""),"中華大雄")</f>
        <v>中華大雄</v>
      </c>
      <c r="C969" s="12" t="str">
        <f ca="1">IFERROR(__xludf.DUMMYFUNCTION("""COMPUTED_VALUE"""),"aiwa")</f>
        <v>aiwa</v>
      </c>
      <c r="D969" s="12" t="str">
        <f ca="1">IFERROR(__xludf.DUMMYFUNCTION("""COMPUTED_VALUE"""),"aiwa26L桌上型烘碗機(鐵灰)ADD-2601")</f>
        <v>aiwa26L桌上型烘碗機(鐵灰)ADD-2601</v>
      </c>
      <c r="E969" s="12" t="str">
        <f ca="1">IFERROR(__xludf.DUMMYFUNCTION("""COMPUTED_VALUE"""),"ADD-2601")</f>
        <v>ADD-2601</v>
      </c>
      <c r="F969" s="12">
        <f ca="1">IFERROR(__xludf.DUMMYFUNCTION("""COMPUTED_VALUE"""),51057088)</f>
        <v>51057088</v>
      </c>
      <c r="G969" s="12" t="str">
        <f ca="1">IFERROR(__xludf.DUMMYFUNCTION("""COMPUTED_VALUE"""),"IGEM0681")</f>
        <v>IGEM0681</v>
      </c>
      <c r="H969" s="12">
        <f ca="1">IFERROR(__xludf.DUMMYFUNCTION("""COMPUTED_VALUE"""),3290)</f>
        <v>3290</v>
      </c>
      <c r="I969" s="14">
        <f ca="1">IFERROR(__xludf.DUMMYFUNCTION("""COMPUTED_VALUE"""),2099)</f>
        <v>2099</v>
      </c>
      <c r="J969" s="12"/>
      <c r="K969" s="12"/>
      <c r="L969" s="12" t="str">
        <f ca="1">IFERROR(__xludf.DUMMYFUNCTION("""COMPUTED_VALUE"""),"上架中")</f>
        <v>上架中</v>
      </c>
      <c r="M969" s="12" t="str">
        <f ca="1">IFERROR(__xludf.DUMMYFUNCTION("""COMPUTED_VALUE"""),"(2/21暫時停售，廠商2/29通知可開)")</f>
        <v>(2/21暫時停售，廠商2/29通知可開)</v>
      </c>
      <c r="N969" s="12" t="str">
        <f ca="1">IFERROR(__xludf.DUMMYFUNCTION("""COMPUTED_VALUE"""),"洗/烘碗機")</f>
        <v>洗/烘碗機</v>
      </c>
      <c r="O969" s="12" t="str">
        <f ca="1">IFERROR(__xludf.DUMMYFUNCTION("""COMPUTED_VALUE"""),"鐵灰")</f>
        <v>鐵灰</v>
      </c>
      <c r="P969" s="12" t="str">
        <f ca="1">IFERROR(__xludf.DUMMYFUNCTION("""COMPUTED_VALUE"""),"26L")</f>
        <v>26L</v>
      </c>
      <c r="Q969" s="12" t="str">
        <f ca="1">IFERROR(__xludf.DUMMYFUNCTION("""COMPUTED_VALUE"""),"421 x 334 x 348 mm")</f>
        <v>421 x 334 x 348 mm</v>
      </c>
      <c r="R969" s="12" t="str">
        <f ca="1">IFERROR(__xludf.DUMMYFUNCTION("""COMPUTED_VALUE"""),"中國")</f>
        <v>中國</v>
      </c>
      <c r="S969" s="12" t="str">
        <f ca="1">IFERROR(__xludf.DUMMYFUNCTION("""COMPUTED_VALUE"""),"R38456")</f>
        <v>R38456</v>
      </c>
      <c r="T969" s="12"/>
      <c r="U969" s="12" t="str">
        <f ca="1">IFERROR(__xludf.DUMMYFUNCTION("""COMPUTED_VALUE"""),"1年")</f>
        <v>1年</v>
      </c>
      <c r="V969" s="12"/>
      <c r="W969" s="12"/>
      <c r="X969" s="12"/>
      <c r="Y969" s="12"/>
      <c r="Z969" s="14"/>
      <c r="AA969" s="15" t="str">
        <f ca="1">IFERROR(__xludf.DUMMYFUNCTION("""COMPUTED_VALUE"""),"*紫外線除菌*70度熱風循環烘乾*封閉式設計 , 防塵防蟲*開蓋斷電安全裝置*4種模式 , 一鍵操作*外接式瀝水盒")</f>
        <v>*紫外線除菌*70度熱風循環烘乾*封閉式設計 , 防塵防蟲*開蓋斷電安全裝置*4種模式 , 一鍵操作*外接式瀝水盒</v>
      </c>
    </row>
    <row r="970" spans="1:27" ht="19.5" customHeight="1">
      <c r="A970" s="12" t="str">
        <f ca="1">IFERROR(__xludf.DUMMYFUNCTION("""COMPUTED_VALUE"""),"廚房家電")</f>
        <v>廚房家電</v>
      </c>
      <c r="B970" s="12" t="str">
        <f ca="1">IFERROR(__xludf.DUMMYFUNCTION("""COMPUTED_VALUE"""),"中華大雄")</f>
        <v>中華大雄</v>
      </c>
      <c r="C970" s="12" t="str">
        <f ca="1">IFERROR(__xludf.DUMMYFUNCTION("""COMPUTED_VALUE"""),"aiwa")</f>
        <v>aiwa</v>
      </c>
      <c r="D970" s="12" t="str">
        <f ca="1">IFERROR(__xludf.DUMMYFUNCTION("""COMPUTED_VALUE"""),"aiwa0.8L 鵝頸手沖電茶壼(黑)AA-K21G")</f>
        <v>aiwa0.8L 鵝頸手沖電茶壼(黑)AA-K21G</v>
      </c>
      <c r="E970" s="12" t="str">
        <f ca="1">IFERROR(__xludf.DUMMYFUNCTION("""COMPUTED_VALUE"""),"AA-K21G(黑)")</f>
        <v>AA-K21G(黑)</v>
      </c>
      <c r="F970" s="12">
        <f ca="1">IFERROR(__xludf.DUMMYFUNCTION("""COMPUTED_VALUE"""),51057249)</f>
        <v>51057249</v>
      </c>
      <c r="G970" s="12" t="str">
        <f ca="1">IFERROR(__xludf.DUMMYFUNCTION("""COMPUTED_VALUE"""),"IGEM077J")</f>
        <v>IGEM077J</v>
      </c>
      <c r="H970" s="13">
        <f ca="1">IFERROR(__xludf.DUMMYFUNCTION("""COMPUTED_VALUE"""),2680)</f>
        <v>2680</v>
      </c>
      <c r="I970" s="18">
        <f ca="1">IFERROR(__xludf.DUMMYFUNCTION("""COMPUTED_VALUE"""),2490)</f>
        <v>2490</v>
      </c>
      <c r="J970" s="16">
        <f ca="1">IFERROR(__xludf.DUMMYFUNCTION("""COMPUTED_VALUE"""),45505)</f>
        <v>45505</v>
      </c>
      <c r="K970" s="12" t="str">
        <f ca="1">IFERROR(__xludf.DUMMYFUNCTION("""COMPUTED_VALUE"""),"回價")</f>
        <v>回價</v>
      </c>
      <c r="L970" s="12" t="str">
        <f ca="1">IFERROR(__xludf.DUMMYFUNCTION("""COMPUTED_VALUE"""),"上架中")</f>
        <v>上架中</v>
      </c>
      <c r="M970" s="12" t="str">
        <f ca="1">IFERROR(__xludf.DUMMYFUNCTION("""COMPUTED_VALUE"""),"2024/8/1回價，2024/7/1短促，(2/21暫時停售)3/14新機上架")</f>
        <v>2024/8/1回價，2024/7/1短促，(2/21暫時停售)3/14新機上架</v>
      </c>
      <c r="N970" s="12" t="str">
        <f ca="1">IFERROR(__xludf.DUMMYFUNCTION("""COMPUTED_VALUE"""),"快煮壺/料理壺/手沖壺")</f>
        <v>快煮壺/料理壺/手沖壺</v>
      </c>
      <c r="O970" s="12" t="str">
        <f ca="1">IFERROR(__xludf.DUMMYFUNCTION("""COMPUTED_VALUE"""),"黑")</f>
        <v>黑</v>
      </c>
      <c r="P970" s="12"/>
      <c r="Q970" s="12" t="str">
        <f ca="1">IFERROR(__xludf.DUMMYFUNCTION("""COMPUTED_VALUE"""),"205x160x290高寬長mm")</f>
        <v>205x160x290高寬長mm</v>
      </c>
      <c r="R970" s="12" t="str">
        <f ca="1">IFERROR(__xludf.DUMMYFUNCTION("""COMPUTED_VALUE"""),"中國")</f>
        <v>中國</v>
      </c>
      <c r="S970" s="12"/>
      <c r="T970" s="12"/>
      <c r="U970" s="12" t="str">
        <f ca="1">IFERROR(__xludf.DUMMYFUNCTION("""COMPUTED_VALUE"""),"1年")</f>
        <v>1年</v>
      </c>
      <c r="V970" s="12"/>
      <c r="W970" s="12"/>
      <c r="X970" s="12"/>
      <c r="Y970" s="12"/>
      <c r="Z970" s="14"/>
      <c r="AA970" s="15" t="str">
        <f ca="1">IFERROR(__xludf.DUMMYFUNCTION("""COMPUTED_VALUE"""),"*360度旋轉分離式底座，左右手皆方便操作
*英國Strix安全溫控，準確控溫，安全有保障
*SUS304不銹鋼壺體、內蓋，耐磨抗刮
* 0.8升容量
*三重安全保護, 過熱保護,預防乾燒,自動斷電
*流線型壺嘴，出水穩定、便於控制速度與方向")</f>
        <v>*360度旋轉分離式底座，左右手皆方便操作
*英國Strix安全溫控，準確控溫，安全有保障
*SUS304不銹鋼壺體、內蓋，耐磨抗刮
* 0.8升容量
*三重安全保護, 過熱保護,預防乾燒,自動斷電
*流線型壺嘴，出水穩定、便於控制速度與方向</v>
      </c>
    </row>
    <row r="971" spans="1:27" ht="19.5" customHeight="1">
      <c r="A971" s="12" t="str">
        <f ca="1">IFERROR(__xludf.DUMMYFUNCTION("""COMPUTED_VALUE"""),"廚房家電")</f>
        <v>廚房家電</v>
      </c>
      <c r="B971" s="12" t="str">
        <f ca="1">IFERROR(__xludf.DUMMYFUNCTION("""COMPUTED_VALUE"""),"中華大雄")</f>
        <v>中華大雄</v>
      </c>
      <c r="C971" s="12" t="str">
        <f ca="1">IFERROR(__xludf.DUMMYFUNCTION("""COMPUTED_VALUE"""),"aiwa")</f>
        <v>aiwa</v>
      </c>
      <c r="D971" s="12" t="str">
        <f ca="1">IFERROR(__xludf.DUMMYFUNCTION("""COMPUTED_VALUE"""),"aiwa0.8L 鵝頸手沖電茶壼(白)AA-K21G")</f>
        <v>aiwa0.8L 鵝頸手沖電茶壼(白)AA-K21G</v>
      </c>
      <c r="E971" s="12" t="str">
        <f ca="1">IFERROR(__xludf.DUMMYFUNCTION("""COMPUTED_VALUE"""),"AA-K21G(白)")</f>
        <v>AA-K21G(白)</v>
      </c>
      <c r="F971" s="12">
        <f ca="1">IFERROR(__xludf.DUMMYFUNCTION("""COMPUTED_VALUE"""),51057250)</f>
        <v>51057250</v>
      </c>
      <c r="G971" s="12" t="str">
        <f ca="1">IFERROR(__xludf.DUMMYFUNCTION("""COMPUTED_VALUE"""),"IGEM077K")</f>
        <v>IGEM077K</v>
      </c>
      <c r="H971" s="13">
        <f ca="1">IFERROR(__xludf.DUMMYFUNCTION("""COMPUTED_VALUE"""),2680)</f>
        <v>2680</v>
      </c>
      <c r="I971" s="18">
        <f ca="1">IFERROR(__xludf.DUMMYFUNCTION("""COMPUTED_VALUE"""),2490)</f>
        <v>2490</v>
      </c>
      <c r="J971" s="16">
        <f ca="1">IFERROR(__xludf.DUMMYFUNCTION("""COMPUTED_VALUE"""),45627)</f>
        <v>45627</v>
      </c>
      <c r="K971" s="12" t="str">
        <f ca="1">IFERROR(__xludf.DUMMYFUNCTION("""COMPUTED_VALUE"""),"回價")</f>
        <v>回價</v>
      </c>
      <c r="L971" s="12" t="str">
        <f ca="1">IFERROR(__xludf.DUMMYFUNCTION("""COMPUTED_VALUE"""),"上架中")</f>
        <v>上架中</v>
      </c>
      <c r="M971" s="12" t="str">
        <f ca="1">IFERROR(__xludf.DUMMYFUNCTION("""COMPUTED_VALUE"""),"2024/12/1回價，2024/11/1短促，2024/8/1回價，2024/7/1短促，(2/21暫時停售)3/14新機上架")</f>
        <v>2024/12/1回價，2024/11/1短促，2024/8/1回價，2024/7/1短促，(2/21暫時停售)3/14新機上架</v>
      </c>
      <c r="N971" s="12" t="str">
        <f ca="1">IFERROR(__xludf.DUMMYFUNCTION("""COMPUTED_VALUE"""),"快煮壺/料理壺/手沖壺")</f>
        <v>快煮壺/料理壺/手沖壺</v>
      </c>
      <c r="O971" s="12" t="str">
        <f ca="1">IFERROR(__xludf.DUMMYFUNCTION("""COMPUTED_VALUE"""),"白")</f>
        <v>白</v>
      </c>
      <c r="P971" s="12"/>
      <c r="Q971" s="12" t="str">
        <f ca="1">IFERROR(__xludf.DUMMYFUNCTION("""COMPUTED_VALUE"""),"205x160x290高寬長mm")</f>
        <v>205x160x290高寬長mm</v>
      </c>
      <c r="R971" s="12" t="str">
        <f ca="1">IFERROR(__xludf.DUMMYFUNCTION("""COMPUTED_VALUE"""),"中國")</f>
        <v>中國</v>
      </c>
      <c r="S971" s="12"/>
      <c r="T971" s="12"/>
      <c r="U971" s="12" t="str">
        <f ca="1">IFERROR(__xludf.DUMMYFUNCTION("""COMPUTED_VALUE"""),"1年")</f>
        <v>1年</v>
      </c>
      <c r="V971" s="12"/>
      <c r="W971" s="12"/>
      <c r="X971" s="12"/>
      <c r="Y971" s="12"/>
      <c r="Z971" s="14"/>
      <c r="AA971" s="15" t="str">
        <f ca="1">IFERROR(__xludf.DUMMYFUNCTION("""COMPUTED_VALUE"""),"*360度旋轉分離式底座，左右手皆方便操作
*英國Strix安全溫控，準確控溫，安全有保障
*SUS304不銹鋼壺體、內蓋，耐磨抗刮
*0.8升容量
*三重安全保護, 過熱保護,預防乾燒,自動斷電
*流線型壺嘴，出水穩定、便於控制速度與方向")</f>
        <v>*360度旋轉分離式底座，左右手皆方便操作
*英國Strix安全溫控，準確控溫，安全有保障
*SUS304不銹鋼壺體、內蓋，耐磨抗刮
*0.8升容量
*三重安全保護, 過熱保護,預防乾燒,自動斷電
*流線型壺嘴，出水穩定、便於控制速度與方向</v>
      </c>
    </row>
    <row r="972" spans="1:27" ht="19.5" customHeight="1">
      <c r="A972" s="12" t="str">
        <f ca="1">IFERROR(__xludf.DUMMYFUNCTION("""COMPUTED_VALUE"""),"廚房家電")</f>
        <v>廚房家電</v>
      </c>
      <c r="B972" s="12" t="str">
        <f ca="1">IFERROR(__xludf.DUMMYFUNCTION("""COMPUTED_VALUE"""),"中華大雄")</f>
        <v>中華大雄</v>
      </c>
      <c r="C972" s="12" t="str">
        <f ca="1">IFERROR(__xludf.DUMMYFUNCTION("""COMPUTED_VALUE"""),"aiwa")</f>
        <v>aiwa</v>
      </c>
      <c r="D972" s="12" t="str">
        <f ca="1">IFERROR(__xludf.DUMMYFUNCTION("""COMPUTED_VALUE"""),"aiwa1.0L 鵝頸溫控手沖電茶壼(黑)AA-K21GC")</f>
        <v>aiwa1.0L 鵝頸溫控手沖電茶壼(黑)AA-K21GC</v>
      </c>
      <c r="E972" s="12" t="str">
        <f ca="1">IFERROR(__xludf.DUMMYFUNCTION("""COMPUTED_VALUE"""),"AA-K21GC(黑)")</f>
        <v>AA-K21GC(黑)</v>
      </c>
      <c r="F972" s="12">
        <f ca="1">IFERROR(__xludf.DUMMYFUNCTION("""COMPUTED_VALUE"""),51057251)</f>
        <v>51057251</v>
      </c>
      <c r="G972" s="12" t="str">
        <f ca="1">IFERROR(__xludf.DUMMYFUNCTION("""COMPUTED_VALUE"""),"IGEM077L")</f>
        <v>IGEM077L</v>
      </c>
      <c r="H972" s="13">
        <f ca="1">IFERROR(__xludf.DUMMYFUNCTION("""COMPUTED_VALUE"""),4480)</f>
        <v>4480</v>
      </c>
      <c r="I972" s="18">
        <f ca="1">IFERROR(__xludf.DUMMYFUNCTION("""COMPUTED_VALUE"""),3690)</f>
        <v>3690</v>
      </c>
      <c r="J972" s="16">
        <f ca="1">IFERROR(__xludf.DUMMYFUNCTION("""COMPUTED_VALUE"""),45200)</f>
        <v>45200</v>
      </c>
      <c r="K972" s="12" t="str">
        <f ca="1">IFERROR(__xludf.DUMMYFUNCTION("""COMPUTED_VALUE"""),"短促")</f>
        <v>短促</v>
      </c>
      <c r="L972" s="12" t="str">
        <f ca="1">IFERROR(__xludf.DUMMYFUNCTION("""COMPUTED_VALUE"""),"上架中")</f>
        <v>上架中</v>
      </c>
      <c r="M972" s="12" t="str">
        <f ca="1">IFERROR(__xludf.DUMMYFUNCTION("""COMPUTED_VALUE"""),"(2/21暫時停售)10/1短促3/14新機上架")</f>
        <v>(2/21暫時停售)10/1短促3/14新機上架</v>
      </c>
      <c r="N972" s="12" t="str">
        <f ca="1">IFERROR(__xludf.DUMMYFUNCTION("""COMPUTED_VALUE"""),"快煮壺/料理壺/手沖壺")</f>
        <v>快煮壺/料理壺/手沖壺</v>
      </c>
      <c r="O972" s="12" t="str">
        <f ca="1">IFERROR(__xludf.DUMMYFUNCTION("""COMPUTED_VALUE"""),"黑")</f>
        <v>黑</v>
      </c>
      <c r="P972" s="12"/>
      <c r="Q972" s="12" t="str">
        <f ca="1">IFERROR(__xludf.DUMMYFUNCTION("""COMPUTED_VALUE"""),"210x210x295高寬長mm")</f>
        <v>210x210x295高寬長mm</v>
      </c>
      <c r="R972" s="12" t="str">
        <f ca="1">IFERROR(__xludf.DUMMYFUNCTION("""COMPUTED_VALUE"""),"中國")</f>
        <v>中國</v>
      </c>
      <c r="S972" s="12"/>
      <c r="T972" s="12"/>
      <c r="U972" s="12" t="str">
        <f ca="1">IFERROR(__xludf.DUMMYFUNCTION("""COMPUTED_VALUE"""),"1年")</f>
        <v>1年</v>
      </c>
      <c r="V972" s="12"/>
      <c r="W972" s="12"/>
      <c r="X972" s="12"/>
      <c r="Y972" s="12"/>
      <c r="Z972" s="14"/>
      <c r="AA972" s="15" t="str">
        <f ca="1">IFERROR(__xludf.DUMMYFUNCTION("""COMPUTED_VALUE"""),"*360度旋轉分離式底座，左右手皆方便操作
*英國Strix安全溫控，準確控溫，安全有保障
*SUS304不銹鋼壺體、內蓋，耐磨抗刮
*1.0升容量
*三重安全保護, 過熱保護,預防乾燒,自動斷電
*LED螢幕顯示，操作/溫度 明確清楚
*流線型壺嘴，出水穩定、便於控制速度與方向
*帶保溫功能, 隨心所欲調節你想要的溫度
*人體工程學手柄設計, 方便省力,堅固耐用")</f>
        <v>*360度旋轉分離式底座，左右手皆方便操作
*英國Strix安全溫控，準確控溫，安全有保障
*SUS304不銹鋼壺體、內蓋，耐磨抗刮
*1.0升容量
*三重安全保護, 過熱保護,預防乾燒,自動斷電
*LED螢幕顯示，操作/溫度 明確清楚
*流線型壺嘴，出水穩定、便於控制速度與方向
*帶保溫功能, 隨心所欲調節你想要的溫度
*人體工程學手柄設計, 方便省力,堅固耐用</v>
      </c>
    </row>
    <row r="973" spans="1:27" ht="19.5" customHeight="1">
      <c r="A973" s="12" t="str">
        <f ca="1">IFERROR(__xludf.DUMMYFUNCTION("""COMPUTED_VALUE"""),"廚房家電")</f>
        <v>廚房家電</v>
      </c>
      <c r="B973" s="12" t="str">
        <f ca="1">IFERROR(__xludf.DUMMYFUNCTION("""COMPUTED_VALUE"""),"中華大雄")</f>
        <v>中華大雄</v>
      </c>
      <c r="C973" s="12" t="str">
        <f ca="1">IFERROR(__xludf.DUMMYFUNCTION("""COMPUTED_VALUE"""),"aiwa")</f>
        <v>aiwa</v>
      </c>
      <c r="D973" s="12" t="str">
        <f ca="1">IFERROR(__xludf.DUMMYFUNCTION("""COMPUTED_VALUE"""),"aiwa1.0L 鵝頸溫控手沖電茶壼(白)AA-K21GC")</f>
        <v>aiwa1.0L 鵝頸溫控手沖電茶壼(白)AA-K21GC</v>
      </c>
      <c r="E973" s="12" t="str">
        <f ca="1">IFERROR(__xludf.DUMMYFUNCTION("""COMPUTED_VALUE"""),"AA-K21GC(白)")</f>
        <v>AA-K21GC(白)</v>
      </c>
      <c r="F973" s="12">
        <f ca="1">IFERROR(__xludf.DUMMYFUNCTION("""COMPUTED_VALUE"""),51057252)</f>
        <v>51057252</v>
      </c>
      <c r="G973" s="12" t="str">
        <f ca="1">IFERROR(__xludf.DUMMYFUNCTION("""COMPUTED_VALUE"""),"IGEM077M")</f>
        <v>IGEM077M</v>
      </c>
      <c r="H973" s="13">
        <f ca="1">IFERROR(__xludf.DUMMYFUNCTION("""COMPUTED_VALUE"""),4480)</f>
        <v>4480</v>
      </c>
      <c r="I973" s="18">
        <f ca="1">IFERROR(__xludf.DUMMYFUNCTION("""COMPUTED_VALUE"""),3690)</f>
        <v>3690</v>
      </c>
      <c r="J973" s="16">
        <f ca="1">IFERROR(__xludf.DUMMYFUNCTION("""COMPUTED_VALUE"""),45200)</f>
        <v>45200</v>
      </c>
      <c r="K973" s="12" t="str">
        <f ca="1">IFERROR(__xludf.DUMMYFUNCTION("""COMPUTED_VALUE"""),"短促")</f>
        <v>短促</v>
      </c>
      <c r="L973" s="12" t="str">
        <f ca="1">IFERROR(__xludf.DUMMYFUNCTION("""COMPUTED_VALUE"""),"上架中")</f>
        <v>上架中</v>
      </c>
      <c r="M973" s="12" t="str">
        <f ca="1">IFERROR(__xludf.DUMMYFUNCTION("""COMPUTED_VALUE"""),"(2/21暫時停售)10/1短促3/14新機上架")</f>
        <v>(2/21暫時停售)10/1短促3/14新機上架</v>
      </c>
      <c r="N973" s="12" t="str">
        <f ca="1">IFERROR(__xludf.DUMMYFUNCTION("""COMPUTED_VALUE"""),"快煮壺/料理壺/手沖壺")</f>
        <v>快煮壺/料理壺/手沖壺</v>
      </c>
      <c r="O973" s="12" t="str">
        <f ca="1">IFERROR(__xludf.DUMMYFUNCTION("""COMPUTED_VALUE"""),"白")</f>
        <v>白</v>
      </c>
      <c r="P973" s="12"/>
      <c r="Q973" s="12" t="str">
        <f ca="1">IFERROR(__xludf.DUMMYFUNCTION("""COMPUTED_VALUE"""),"210x210x295高寬長mm")</f>
        <v>210x210x295高寬長mm</v>
      </c>
      <c r="R973" s="12" t="str">
        <f ca="1">IFERROR(__xludf.DUMMYFUNCTION("""COMPUTED_VALUE"""),"中國")</f>
        <v>中國</v>
      </c>
      <c r="S973" s="12"/>
      <c r="T973" s="12"/>
      <c r="U973" s="12" t="str">
        <f ca="1">IFERROR(__xludf.DUMMYFUNCTION("""COMPUTED_VALUE"""),"1年")</f>
        <v>1年</v>
      </c>
      <c r="V973" s="12"/>
      <c r="W973" s="12"/>
      <c r="X973" s="12"/>
      <c r="Y973" s="12"/>
      <c r="Z973" s="14"/>
      <c r="AA973" s="15" t="str">
        <f ca="1">IFERROR(__xludf.DUMMYFUNCTION("""COMPUTED_VALUE"""),"*360度旋轉分離式底座，左右手皆方便操作
*英國Strix安全溫控，準確控溫，安全有保障
*SUS304不銹鋼壺體、內蓋，耐磨抗刮
*1.0升容量
*三重安全保護, 過熱保護,預防乾燒,自動斷電
*LED螢幕顯示，操作/溫度 明確清楚
*流線型壺嘴，出水穩定、便於控制速度與方向
*帶保溫功能, 隨心所欲調節你想要的溫度
*人體工程學手柄設計, 方便省力,堅固耐用")</f>
        <v>*360度旋轉分離式底座，左右手皆方便操作
*英國Strix安全溫控，準確控溫，安全有保障
*SUS304不銹鋼壺體、內蓋，耐磨抗刮
*1.0升容量
*三重安全保護, 過熱保護,預防乾燒,自動斷電
*LED螢幕顯示，操作/溫度 明確清楚
*流線型壺嘴，出水穩定、便於控制速度與方向
*帶保溫功能, 隨心所欲調節你想要的溫度
*人體工程學手柄設計, 方便省力,堅固耐用</v>
      </c>
    </row>
    <row r="974" spans="1:27" ht="19.5" customHeight="1">
      <c r="A974" s="12" t="str">
        <f ca="1">IFERROR(__xludf.DUMMYFUNCTION("""COMPUTED_VALUE"""),"廚房家電")</f>
        <v>廚房家電</v>
      </c>
      <c r="B974" s="12" t="str">
        <f ca="1">IFERROR(__xludf.DUMMYFUNCTION("""COMPUTED_VALUE"""),"中華大雄")</f>
        <v>中華大雄</v>
      </c>
      <c r="C974" s="12" t="str">
        <f ca="1">IFERROR(__xludf.DUMMYFUNCTION("""COMPUTED_VALUE"""),"aiwa")</f>
        <v>aiwa</v>
      </c>
      <c r="D974" s="12" t="str">
        <f ca="1">IFERROR(__xludf.DUMMYFUNCTION("""COMPUTED_VALUE"""),"aiwa5L 三段定溫電熱水瓶AL-J5SG")</f>
        <v>aiwa5L 三段定溫電熱水瓶AL-J5SG</v>
      </c>
      <c r="E974" s="12" t="str">
        <f ca="1">IFERROR(__xludf.DUMMYFUNCTION("""COMPUTED_VALUE"""),"AL-J5SG")</f>
        <v>AL-J5SG</v>
      </c>
      <c r="F974" s="12">
        <f ca="1">IFERROR(__xludf.DUMMYFUNCTION("""COMPUTED_VALUE"""),51057253)</f>
        <v>51057253</v>
      </c>
      <c r="G974" s="12" t="str">
        <f ca="1">IFERROR(__xludf.DUMMYFUNCTION("""COMPUTED_VALUE"""),"IGEM077N")</f>
        <v>IGEM077N</v>
      </c>
      <c r="H974" s="13">
        <f ca="1">IFERROR(__xludf.DUMMYFUNCTION("""COMPUTED_VALUE"""),2680)</f>
        <v>2680</v>
      </c>
      <c r="I974" s="18">
        <f ca="1">IFERROR(__xludf.DUMMYFUNCTION("""COMPUTED_VALUE"""),2290)</f>
        <v>2290</v>
      </c>
      <c r="J974" s="16">
        <f ca="1">IFERROR(__xludf.DUMMYFUNCTION("""COMPUTED_VALUE"""),45261)</f>
        <v>45261</v>
      </c>
      <c r="K974" s="12" t="str">
        <f ca="1">IFERROR(__xludf.DUMMYFUNCTION("""COMPUTED_VALUE"""),"回價")</f>
        <v>回價</v>
      </c>
      <c r="L974" s="12" t="str">
        <f ca="1">IFERROR(__xludf.DUMMYFUNCTION("""COMPUTED_VALUE"""),"上架中")</f>
        <v>上架中</v>
      </c>
      <c r="M974" s="12" t="str">
        <f ca="1">IFERROR(__xludf.DUMMYFUNCTION("""COMPUTED_VALUE"""),"(2/21暫時停售)2023/12/1回價112/11/1短促3/14新機上架")</f>
        <v>(2/21暫時停售)2023/12/1回價112/11/1短促3/14新機上架</v>
      </c>
      <c r="N974" s="12" t="str">
        <f ca="1">IFERROR(__xludf.DUMMYFUNCTION("""COMPUTED_VALUE"""),"熱水瓶")</f>
        <v>熱水瓶</v>
      </c>
      <c r="O974" s="12"/>
      <c r="P974" s="12"/>
      <c r="Q974" s="12" t="str">
        <f ca="1">IFERROR(__xludf.DUMMYFUNCTION("""COMPUTED_VALUE"""),"375x305x220高寬長mm")</f>
        <v>375x305x220高寬長mm</v>
      </c>
      <c r="R974" s="12" t="str">
        <f ca="1">IFERROR(__xludf.DUMMYFUNCTION("""COMPUTED_VALUE"""),"中國")</f>
        <v>中國</v>
      </c>
      <c r="S974" s="12"/>
      <c r="T974" s="12"/>
      <c r="U974" s="12" t="str">
        <f ca="1">IFERROR(__xludf.DUMMYFUNCTION("""COMPUTED_VALUE"""),"1年")</f>
        <v>1年</v>
      </c>
      <c r="V974" s="12"/>
      <c r="W974" s="12"/>
      <c r="X974" s="12"/>
      <c r="Y974" s="12"/>
      <c r="Z974" s="14"/>
      <c r="AA974" s="15" t="str">
        <f ca="1">IFERROR(__xludf.DUMMYFUNCTION("""COMPUTED_VALUE"""),"*5公升大容量。
*二級能源效率，節能省電。
*304食品級不銹鋼內膽。
*三段溫控(70℃/85℃/98℃)，自由選擇水溫需求。
*廣角視窗，水量清晰看得見。
*碰杯/電動雙重給水
*安全童鎖裝置，避免孩童誤用，保護家庭安全。
*自動斷電，防乾燒保護功能。
*分離式上蓋，輕鬆水洗方便晾乾。")</f>
        <v>*5公升大容量。
*二級能源效率，節能省電。
*304食品級不銹鋼內膽。
*三段溫控(70℃/85℃/98℃)，自由選擇水溫需求。
*廣角視窗，水量清晰看得見。
*碰杯/電動雙重給水
*安全童鎖裝置，避免孩童誤用，保護家庭安全。
*自動斷電，防乾燒保護功能。
*分離式上蓋，輕鬆水洗方便晾乾。</v>
      </c>
    </row>
    <row r="975" spans="1:27" ht="19.5" customHeight="1">
      <c r="A975" s="12" t="str">
        <f ca="1">IFERROR(__xludf.DUMMYFUNCTION("""COMPUTED_VALUE"""),"廚房家電")</f>
        <v>廚房家電</v>
      </c>
      <c r="B975" s="12" t="str">
        <f ca="1">IFERROR(__xludf.DUMMYFUNCTION("""COMPUTED_VALUE"""),"中華大雄")</f>
        <v>中華大雄</v>
      </c>
      <c r="C975" s="12" t="str">
        <f ca="1">IFERROR(__xludf.DUMMYFUNCTION("""COMPUTED_VALUE"""),"aiwa")</f>
        <v>aiwa</v>
      </c>
      <c r="D975" s="12" t="str">
        <f ca="1">IFERROR(__xludf.DUMMYFUNCTION("""COMPUTED_VALUE"""),"aiwa3L微電腦多功能電子鍋RC-6 II")</f>
        <v>aiwa3L微電腦多功能電子鍋RC-6 II</v>
      </c>
      <c r="E975" s="12" t="str">
        <f ca="1">IFERROR(__xludf.DUMMYFUNCTION("""COMPUTED_VALUE"""),"RC-6 II")</f>
        <v>RC-6 II</v>
      </c>
      <c r="F975" s="12">
        <f ca="1">IFERROR(__xludf.DUMMYFUNCTION("""COMPUTED_VALUE"""),51057254)</f>
        <v>51057254</v>
      </c>
      <c r="G975" s="12" t="str">
        <f ca="1">IFERROR(__xludf.DUMMYFUNCTION("""COMPUTED_VALUE"""),"IGEM077O")</f>
        <v>IGEM077O</v>
      </c>
      <c r="H975" s="13">
        <f ca="1">IFERROR(__xludf.DUMMYFUNCTION("""COMPUTED_VALUE"""),3290)</f>
        <v>3290</v>
      </c>
      <c r="I975" s="18">
        <f ca="1">IFERROR(__xludf.DUMMYFUNCTION("""COMPUTED_VALUE"""),2690)</f>
        <v>2690</v>
      </c>
      <c r="J975" s="16">
        <f ca="1">IFERROR(__xludf.DUMMYFUNCTION("""COMPUTED_VALUE"""),45717)</f>
        <v>45717</v>
      </c>
      <c r="K975" s="12" t="str">
        <f ca="1">IFERROR(__xludf.DUMMYFUNCTION("""COMPUTED_VALUE"""),"回價")</f>
        <v>回價</v>
      </c>
      <c r="L975" s="12" t="str">
        <f ca="1">IFERROR(__xludf.DUMMYFUNCTION("""COMPUTED_VALUE"""),"上架中")</f>
        <v>上架中</v>
      </c>
      <c r="M975" s="12" t="str">
        <f ca="1">IFERROR(__xludf.DUMMYFUNCTION("""COMPUTED_VALUE"""),"2025/1/1短促，2024/12/1回價，2024/11/1短促，(2/21暫時停售)3/14新機上架")</f>
        <v>2025/1/1短促，2024/12/1回價，2024/11/1短促，(2/21暫時停售)3/14新機上架</v>
      </c>
      <c r="N975" s="12" t="str">
        <f ca="1">IFERROR(__xludf.DUMMYFUNCTION("""COMPUTED_VALUE"""),"電子鍋")</f>
        <v>電子鍋</v>
      </c>
      <c r="O975" s="12"/>
      <c r="P975" s="12"/>
      <c r="Q975" s="12" t="str">
        <f ca="1">IFERROR(__xludf.DUMMYFUNCTION("""COMPUTED_VALUE"""),"213x244x283高寬長mm")</f>
        <v>213x244x283高寬長mm</v>
      </c>
      <c r="R975" s="12" t="str">
        <f ca="1">IFERROR(__xludf.DUMMYFUNCTION("""COMPUTED_VALUE"""),"中國")</f>
        <v>中國</v>
      </c>
      <c r="S975" s="12"/>
      <c r="T975" s="12"/>
      <c r="U975" s="12" t="str">
        <f ca="1">IFERROR(__xludf.DUMMYFUNCTION("""COMPUTED_VALUE"""),"1年")</f>
        <v>1年</v>
      </c>
      <c r="V975" s="12"/>
      <c r="W975" s="12"/>
      <c r="X975" s="12" t="str">
        <f ca="1">IFERROR(__xludf.DUMMYFUNCTION("""COMPUTED_VALUE"""),"(114/1/1-2/28)隨貨送aiwa圓柔觸控桌燈WD-63T")</f>
        <v>(114/1/1-2/28)隨貨送aiwa圓柔觸控桌燈WD-63T</v>
      </c>
      <c r="Y975" s="12"/>
      <c r="Z975" s="14"/>
      <c r="AA975" s="15" t="str">
        <f ca="1">IFERROR(__xludf.DUMMYFUNCTION("""COMPUTED_VALUE"""),"*3公升精巧容量
*獨特線性蒸氣口，快速散發蒸氣
*頂部操作面板，更符合人性操作
* 6大功能選項，簡單操作
*預約功能，高效烹飪")</f>
        <v>*3公升精巧容量
*獨特線性蒸氣口，快速散發蒸氣
*頂部操作面板，更符合人性操作
* 6大功能選項，簡單操作
*預約功能，高效烹飪</v>
      </c>
    </row>
    <row r="976" spans="1:27" ht="19.5" customHeight="1">
      <c r="A976" s="12" t="str">
        <f ca="1">IFERROR(__xludf.DUMMYFUNCTION("""COMPUTED_VALUE"""),"廚房家電")</f>
        <v>廚房家電</v>
      </c>
      <c r="B976" s="12" t="str">
        <f ca="1">IFERROR(__xludf.DUMMYFUNCTION("""COMPUTED_VALUE"""),"中華大雄")</f>
        <v>中華大雄</v>
      </c>
      <c r="C976" s="12" t="str">
        <f ca="1">IFERROR(__xludf.DUMMYFUNCTION("""COMPUTED_VALUE"""),"aiwa")</f>
        <v>aiwa</v>
      </c>
      <c r="D976" s="12" t="str">
        <f ca="1">IFERROR(__xludf.DUMMYFUNCTION("""COMPUTED_VALUE"""),"aiwa4L 微電腦多功能電子鍋(黑)RC-8")</f>
        <v>aiwa4L 微電腦多功能電子鍋(黑)RC-8</v>
      </c>
      <c r="E976" s="12" t="str">
        <f ca="1">IFERROR(__xludf.DUMMYFUNCTION("""COMPUTED_VALUE"""),"RC-8(黑)")</f>
        <v>RC-8(黑)</v>
      </c>
      <c r="F976" s="12">
        <f ca="1">IFERROR(__xludf.DUMMYFUNCTION("""COMPUTED_VALUE"""),51057255)</f>
        <v>51057255</v>
      </c>
      <c r="G976" s="12" t="str">
        <f ca="1">IFERROR(__xludf.DUMMYFUNCTION("""COMPUTED_VALUE"""),"IGEM077P")</f>
        <v>IGEM077P</v>
      </c>
      <c r="H976" s="13">
        <f ca="1">IFERROR(__xludf.DUMMYFUNCTION("""COMPUTED_VALUE"""),4480)</f>
        <v>4480</v>
      </c>
      <c r="I976" s="18">
        <f ca="1">IFERROR(__xludf.DUMMYFUNCTION("""COMPUTED_VALUE"""),3990)</f>
        <v>3990</v>
      </c>
      <c r="J976" s="16">
        <f ca="1">IFERROR(__xludf.DUMMYFUNCTION("""COMPUTED_VALUE"""),45627)</f>
        <v>45627</v>
      </c>
      <c r="K976" s="12" t="str">
        <f ca="1">IFERROR(__xludf.DUMMYFUNCTION("""COMPUTED_VALUE"""),"回價")</f>
        <v>回價</v>
      </c>
      <c r="L976" s="12" t="str">
        <f ca="1">IFERROR(__xludf.DUMMYFUNCTION("""COMPUTED_VALUE"""),"上架中")</f>
        <v>上架中</v>
      </c>
      <c r="M976" s="12" t="str">
        <f ca="1">IFERROR(__xludf.DUMMYFUNCTION("""COMPUTED_VALUE"""),"2024/12/1回價，2024/11/1短促，(2/21暫時停售)3/14新機上架")</f>
        <v>2024/12/1回價，2024/11/1短促，(2/21暫時停售)3/14新機上架</v>
      </c>
      <c r="N976" s="12" t="str">
        <f ca="1">IFERROR(__xludf.DUMMYFUNCTION("""COMPUTED_VALUE"""),"電子鍋")</f>
        <v>電子鍋</v>
      </c>
      <c r="O976" s="12" t="str">
        <f ca="1">IFERROR(__xludf.DUMMYFUNCTION("""COMPUTED_VALUE"""),"黑")</f>
        <v>黑</v>
      </c>
      <c r="P976" s="12"/>
      <c r="Q976" s="12" t="str">
        <f ca="1">IFERROR(__xludf.DUMMYFUNCTION("""COMPUTED_VALUE"""),"224x267x340高寬長mm")</f>
        <v>224x267x340高寬長mm</v>
      </c>
      <c r="R976" s="12" t="str">
        <f ca="1">IFERROR(__xludf.DUMMYFUNCTION("""COMPUTED_VALUE"""),"中國")</f>
        <v>中國</v>
      </c>
      <c r="S976" s="12"/>
      <c r="T976" s="12"/>
      <c r="U976" s="12" t="str">
        <f ca="1">IFERROR(__xludf.DUMMYFUNCTION("""COMPUTED_VALUE"""),"1年")</f>
        <v>1年</v>
      </c>
      <c r="V976" s="12"/>
      <c r="W976" s="12"/>
      <c r="X976" s="12" t="str">
        <f ca="1">IFERROR(__xludf.DUMMYFUNCTION("""COMPUTED_VALUE"""),"(114/1/1-2/28)隨貨送aiwa圓柔觸控桌燈WD-63T")</f>
        <v>(114/1/1-2/28)隨貨送aiwa圓柔觸控桌燈WD-63T</v>
      </c>
      <c r="Y976" s="12"/>
      <c r="Z976" s="14"/>
      <c r="AA976" s="15" t="str">
        <f ca="1">IFERROR(__xludf.DUMMYFUNCTION("""COMPUTED_VALUE"""),"*微電腦控制簡單操作，一鍵輕鬆快煮
*複合式球釜鍋內膽，加強熱對流，讓每一粒米均勻受熱，盡情釋放米飯甘甜
*支援熱水快煮，縮短蒸煮時間，不容易黏鍋
*六大烹調功能（米飯、煮粥、煲湯、蒸煮、熱飯、熱水快煮）可選，居家料理多樣化
*定時預約功能，煮好自動保溫隨時開動
*可拆卸鋁蓋板好清潔，讓電鍋更衛生
*可拆卸電源線，居家收納輕鬆又方便")</f>
        <v>*微電腦控制簡單操作，一鍵輕鬆快煮
*複合式球釜鍋內膽，加強熱對流，讓每一粒米均勻受熱，盡情釋放米飯甘甜
*支援熱水快煮，縮短蒸煮時間，不容易黏鍋
*六大烹調功能（米飯、煮粥、煲湯、蒸煮、熱飯、熱水快煮）可選，居家料理多樣化
*定時預約功能，煮好自動保溫隨時開動
*可拆卸鋁蓋板好清潔，讓電鍋更衛生
*可拆卸電源線，居家收納輕鬆又方便</v>
      </c>
    </row>
    <row r="977" spans="1:27" ht="19.5" customHeight="1">
      <c r="A977" s="12" t="str">
        <f ca="1">IFERROR(__xludf.DUMMYFUNCTION("""COMPUTED_VALUE"""),"廚房家電")</f>
        <v>廚房家電</v>
      </c>
      <c r="B977" s="12" t="str">
        <f ca="1">IFERROR(__xludf.DUMMYFUNCTION("""COMPUTED_VALUE"""),"中華大雄")</f>
        <v>中華大雄</v>
      </c>
      <c r="C977" s="12" t="str">
        <f ca="1">IFERROR(__xludf.DUMMYFUNCTION("""COMPUTED_VALUE"""),"aiwa")</f>
        <v>aiwa</v>
      </c>
      <c r="D977" s="12" t="str">
        <f ca="1">IFERROR(__xludf.DUMMYFUNCTION("""COMPUTED_VALUE"""),"aiwa4L 微電腦多功能電子鍋(白)RC-8")</f>
        <v>aiwa4L 微電腦多功能電子鍋(白)RC-8</v>
      </c>
      <c r="E977" s="12" t="str">
        <f ca="1">IFERROR(__xludf.DUMMYFUNCTION("""COMPUTED_VALUE"""),"RC-8(白)")</f>
        <v>RC-8(白)</v>
      </c>
      <c r="F977" s="12">
        <f ca="1">IFERROR(__xludf.DUMMYFUNCTION("""COMPUTED_VALUE"""),51057256)</f>
        <v>51057256</v>
      </c>
      <c r="G977" s="12" t="str">
        <f ca="1">IFERROR(__xludf.DUMMYFUNCTION("""COMPUTED_VALUE"""),"IGEM077Q")</f>
        <v>IGEM077Q</v>
      </c>
      <c r="H977" s="13">
        <f ca="1">IFERROR(__xludf.DUMMYFUNCTION("""COMPUTED_VALUE"""),4480)</f>
        <v>4480</v>
      </c>
      <c r="I977" s="18">
        <f ca="1">IFERROR(__xludf.DUMMYFUNCTION("""COMPUTED_VALUE"""),3990)</f>
        <v>3990</v>
      </c>
      <c r="J977" s="16">
        <f ca="1">IFERROR(__xludf.DUMMYFUNCTION("""COMPUTED_VALUE"""),45627)</f>
        <v>45627</v>
      </c>
      <c r="K977" s="12" t="str">
        <f ca="1">IFERROR(__xludf.DUMMYFUNCTION("""COMPUTED_VALUE"""),"回價")</f>
        <v>回價</v>
      </c>
      <c r="L977" s="12" t="str">
        <f ca="1">IFERROR(__xludf.DUMMYFUNCTION("""COMPUTED_VALUE"""),"上架中")</f>
        <v>上架中</v>
      </c>
      <c r="M977" s="12" t="str">
        <f ca="1">IFERROR(__xludf.DUMMYFUNCTION("""COMPUTED_VALUE"""),"2024/12/1回價，2024/11/1短促，(2/21暫時停售)3/14新機上架")</f>
        <v>2024/12/1回價，2024/11/1短促，(2/21暫時停售)3/14新機上架</v>
      </c>
      <c r="N977" s="12" t="str">
        <f ca="1">IFERROR(__xludf.DUMMYFUNCTION("""COMPUTED_VALUE"""),"電子鍋")</f>
        <v>電子鍋</v>
      </c>
      <c r="O977" s="12" t="str">
        <f ca="1">IFERROR(__xludf.DUMMYFUNCTION("""COMPUTED_VALUE"""),"白")</f>
        <v>白</v>
      </c>
      <c r="P977" s="12"/>
      <c r="Q977" s="12" t="str">
        <f ca="1">IFERROR(__xludf.DUMMYFUNCTION("""COMPUTED_VALUE"""),"224x267x340高寬長mm")</f>
        <v>224x267x340高寬長mm</v>
      </c>
      <c r="R977" s="12" t="str">
        <f ca="1">IFERROR(__xludf.DUMMYFUNCTION("""COMPUTED_VALUE"""),"中國")</f>
        <v>中國</v>
      </c>
      <c r="S977" s="12"/>
      <c r="T977" s="12"/>
      <c r="U977" s="12" t="str">
        <f ca="1">IFERROR(__xludf.DUMMYFUNCTION("""COMPUTED_VALUE"""),"1年")</f>
        <v>1年</v>
      </c>
      <c r="V977" s="12"/>
      <c r="W977" s="12"/>
      <c r="X977" s="12" t="str">
        <f ca="1">IFERROR(__xludf.DUMMYFUNCTION("""COMPUTED_VALUE"""),"(114/1/1-2/28)隨貨送aiwa圓柔觸控桌燈WD-63T")</f>
        <v>(114/1/1-2/28)隨貨送aiwa圓柔觸控桌燈WD-63T</v>
      </c>
      <c r="Y977" s="12"/>
      <c r="Z977" s="14"/>
      <c r="AA977" s="15" t="str">
        <f ca="1">IFERROR(__xludf.DUMMYFUNCTION("""COMPUTED_VALUE"""),"*微電腦控制簡單操作，一鍵輕鬆快煮
*複合式球釜鍋內膽，加強熱對流，讓每一粒米均勻受熱，盡情釋放米飯甘甜
*支援熱水快煮，縮短蒸煮時間，不容易黏鍋
*六大烹調功能（米飯、煮粥、煲湯、蒸煮、熱飯、熱水快煮）可選，居家料理多樣化
*定時預約功能，煮好自動保溫隨時開動
*可拆卸鋁蓋板好清潔，讓電鍋更衛生
*可拆卸電源線，居家收納輕鬆又方便")</f>
        <v>*微電腦控制簡單操作，一鍵輕鬆快煮
*複合式球釜鍋內膽，加強熱對流，讓每一粒米均勻受熱，盡情釋放米飯甘甜
*支援熱水快煮，縮短蒸煮時間，不容易黏鍋
*六大烹調功能（米飯、煮粥、煲湯、蒸煮、熱飯、熱水快煮）可選，居家料理多樣化
*定時預約功能，煮好自動保溫隨時開動
*可拆卸鋁蓋板好清潔，讓電鍋更衛生
*可拆卸電源線，居家收納輕鬆又方便</v>
      </c>
    </row>
    <row r="978" spans="1:27" ht="19.5" customHeight="1">
      <c r="A978" s="12" t="str">
        <f ca="1">IFERROR(__xludf.DUMMYFUNCTION("""COMPUTED_VALUE"""),"廚房家電")</f>
        <v>廚房家電</v>
      </c>
      <c r="B978" s="12" t="str">
        <f ca="1">IFERROR(__xludf.DUMMYFUNCTION("""COMPUTED_VALUE"""),"中華大雄")</f>
        <v>中華大雄</v>
      </c>
      <c r="C978" s="12" t="str">
        <f ca="1">IFERROR(__xludf.DUMMYFUNCTION("""COMPUTED_VALUE"""),"aiwa")</f>
        <v>aiwa</v>
      </c>
      <c r="D978" s="12" t="str">
        <f ca="1">IFERROR(__xludf.DUMMYFUNCTION("""COMPUTED_VALUE"""),"aiwa 4L煮烤萬用電熱鍋 AE-B4M")</f>
        <v>aiwa 4L煮烤萬用電熱鍋 AE-B4M</v>
      </c>
      <c r="E978" s="12" t="str">
        <f ca="1">IFERROR(__xludf.DUMMYFUNCTION("""COMPUTED_VALUE"""),"AE-B4M")</f>
        <v>AE-B4M</v>
      </c>
      <c r="F978" s="12">
        <f ca="1">IFERROR(__xludf.DUMMYFUNCTION("""COMPUTED_VALUE"""),51057324)</f>
        <v>51057324</v>
      </c>
      <c r="G978" s="12" t="str">
        <f ca="1">IFERROR(__xludf.DUMMYFUNCTION("""COMPUTED_VALUE"""),"IGEM088H")</f>
        <v>IGEM088H</v>
      </c>
      <c r="H978" s="13">
        <f ca="1">IFERROR(__xludf.DUMMYFUNCTION("""COMPUTED_VALUE"""),2280)</f>
        <v>2280</v>
      </c>
      <c r="I978" s="14">
        <f ca="1">IFERROR(__xludf.DUMMYFUNCTION("""COMPUTED_VALUE"""),1990)</f>
        <v>1990</v>
      </c>
      <c r="J978" s="16">
        <f ca="1">IFERROR(__xludf.DUMMYFUNCTION("""COMPUTED_VALUE"""),45261)</f>
        <v>45261</v>
      </c>
      <c r="K978" s="12" t="str">
        <f ca="1">IFERROR(__xludf.DUMMYFUNCTION("""COMPUTED_VALUE"""),"回價")</f>
        <v>回價</v>
      </c>
      <c r="L978" s="12" t="str">
        <f ca="1">IFERROR(__xludf.DUMMYFUNCTION("""COMPUTED_VALUE"""),"上架中")</f>
        <v>上架中</v>
      </c>
      <c r="M978" s="12" t="str">
        <f ca="1">IFERROR(__xludf.DUMMYFUNCTION("""COMPUTED_VALUE"""),"(2/21暫時停售)2023/12/1回價112/11/1短促8/29新機上架")</f>
        <v>(2/21暫時停售)2023/12/1回價112/11/1短促8/29新機上架</v>
      </c>
      <c r="N978" s="12" t="str">
        <f ca="1">IFERROR(__xludf.DUMMYFUNCTION("""COMPUTED_VALUE"""),"美食鍋/料理鍋/快煮鍋")</f>
        <v>美食鍋/料理鍋/快煮鍋</v>
      </c>
      <c r="O978" s="12" t="str">
        <f ca="1">IFERROR(__xludf.DUMMYFUNCTION("""COMPUTED_VALUE"""),"粉紅色")</f>
        <v>粉紅色</v>
      </c>
      <c r="P978" s="12" t="str">
        <f ca="1">IFERROR(__xludf.DUMMYFUNCTION("""COMPUTED_VALUE"""),"商品尺寸:328 x 276 x 195 mm
彩盒尺寸:328 x 328 x 252 mm
商品重量:2.7 Kg
包裝重量:3.7 Kg
主機電源:110V 
總額定消耗
電功率:1000 W")</f>
        <v>商品尺寸:328 x 276 x 195 mm
彩盒尺寸:328 x 328 x 252 mm
商品重量:2.7 Kg
包裝重量:3.7 Kg
主機電源:110V 
總額定消耗
電功率:1000 W</v>
      </c>
      <c r="Q978" s="12" t="str">
        <f ca="1">IFERROR(__xludf.DUMMYFUNCTION("""COMPUTED_VALUE"""),"328 x 276 x 195 mm 
")</f>
        <v xml:space="preserve">328 x 276 x 195 mm 
</v>
      </c>
      <c r="R978" s="12" t="str">
        <f ca="1">IFERROR(__xludf.DUMMYFUNCTION("""COMPUTED_VALUE"""),"中國")</f>
        <v>中國</v>
      </c>
      <c r="S978" s="12"/>
      <c r="T978" s="12"/>
      <c r="U978" s="12" t="str">
        <f ca="1">IFERROR(__xludf.DUMMYFUNCTION("""COMPUTED_VALUE"""),"1年")</f>
        <v>1年</v>
      </c>
      <c r="V978" s="12"/>
      <c r="W978" s="12"/>
      <c r="X978" s="12"/>
      <c r="Y978" s="12"/>
      <c r="Z978" s="14"/>
      <c r="AA978" s="15" t="str">
        <f ca="1">IFERROR(__xludf.DUMMYFUNCTION("""COMPUTED_VALUE"""),"*分離式鍋身 , 簡單易清潔*無段式旋鈕 , 控溫更精確*不沾黏塗層 , 好清洗*1000瓦大火力 *8公分鍋深 ,大面積鍋身 , 好料理*自動溫控裝置 , 安全有保障*玻璃上蓋 , 料理一目了然")</f>
        <v>*分離式鍋身 , 簡單易清潔*無段式旋鈕 , 控溫更精確*不沾黏塗層 , 好清洗*1000瓦大火力 *8公分鍋深 ,大面積鍋身 , 好料理*自動溫控裝置 , 安全有保障*玻璃上蓋 , 料理一目了然</v>
      </c>
    </row>
    <row r="979" spans="1:27" ht="19.5" customHeight="1">
      <c r="A979" s="12" t="str">
        <f ca="1">IFERROR(__xludf.DUMMYFUNCTION("""COMPUTED_VALUE"""),"廚房家電")</f>
        <v>廚房家電</v>
      </c>
      <c r="B979" s="12" t="str">
        <f ca="1">IFERROR(__xludf.DUMMYFUNCTION("""COMPUTED_VALUE"""),"中華大雄")</f>
        <v>中華大雄</v>
      </c>
      <c r="C979" s="12" t="str">
        <f ca="1">IFERROR(__xludf.DUMMYFUNCTION("""COMPUTED_VALUE"""),"aiwa")</f>
        <v>aiwa</v>
      </c>
      <c r="D979" s="12" t="str">
        <f ca="1">IFERROR(__xludf.DUMMYFUNCTION("""COMPUTED_VALUE"""),"aiwa不挑鍋大功率電陶爐DTL-709")</f>
        <v>aiwa不挑鍋大功率電陶爐DTL-709</v>
      </c>
      <c r="E979" s="12" t="str">
        <f ca="1">IFERROR(__xludf.DUMMYFUNCTION("""COMPUTED_VALUE"""),"DTL-709")</f>
        <v>DTL-709</v>
      </c>
      <c r="F979" s="12">
        <f ca="1">IFERROR(__xludf.DUMMYFUNCTION("""COMPUTED_VALUE"""),51057325)</f>
        <v>51057325</v>
      </c>
      <c r="G979" s="12" t="str">
        <f ca="1">IFERROR(__xludf.DUMMYFUNCTION("""COMPUTED_VALUE"""),"IGEM088I")</f>
        <v>IGEM088I</v>
      </c>
      <c r="H979" s="13">
        <f ca="1">IFERROR(__xludf.DUMMYFUNCTION("""COMPUTED_VALUE"""),2480)</f>
        <v>2480</v>
      </c>
      <c r="I979" s="14">
        <f ca="1">IFERROR(__xludf.DUMMYFUNCTION("""COMPUTED_VALUE"""),1990)</f>
        <v>1990</v>
      </c>
      <c r="J979" s="16">
        <f ca="1">IFERROR(__xludf.DUMMYFUNCTION("""COMPUTED_VALUE"""),45167)</f>
        <v>45167</v>
      </c>
      <c r="K979" s="12" t="str">
        <f ca="1">IFERROR(__xludf.DUMMYFUNCTION("""COMPUTED_VALUE"""),"新機上架")</f>
        <v>新機上架</v>
      </c>
      <c r="L979" s="12" t="str">
        <f ca="1">IFERROR(__xludf.DUMMYFUNCTION("""COMPUTED_VALUE"""),"上架中")</f>
        <v>上架中</v>
      </c>
      <c r="M979" s="12" t="str">
        <f ca="1">IFERROR(__xludf.DUMMYFUNCTION("""COMPUTED_VALUE"""),"(2/21暫時停售)8/29新機上架")</f>
        <v>(2/21暫時停售)8/29新機上架</v>
      </c>
      <c r="N979" s="12" t="str">
        <f ca="1">IFERROR(__xludf.DUMMYFUNCTION("""COMPUTED_VALUE"""),"電磁爐/電陶爐")</f>
        <v>電磁爐/電陶爐</v>
      </c>
      <c r="O979" s="12" t="str">
        <f ca="1">IFERROR(__xludf.DUMMYFUNCTION("""COMPUTED_VALUE"""),"黑色")</f>
        <v>黑色</v>
      </c>
      <c r="P979" s="12" t="str">
        <f ca="1">IFERROR(__xludf.DUMMYFUNCTION("""COMPUTED_VALUE"""),"實機尺寸:280 x  60 x 360 mm
彩盒尺寸:310 x 85 x 385 mm
實機重量:2.20kgs
彩盒重量:2.30kgs
額定電壓:110V
額定頻率:60Hz
總額定消耗電功率:1300W")</f>
        <v>實機尺寸:280 x  60 x 360 mm
彩盒尺寸:310 x 85 x 385 mm
實機重量:2.20kgs
彩盒重量:2.30kgs
額定電壓:110V
額定頻率:60Hz
總額定消耗電功率:1300W</v>
      </c>
      <c r="Q979" s="12" t="str">
        <f ca="1">IFERROR(__xludf.DUMMYFUNCTION("""COMPUTED_VALUE"""),"280 x 60 x 360 mm
")</f>
        <v xml:space="preserve">280 x 60 x 360 mm
</v>
      </c>
      <c r="R979" s="12" t="str">
        <f ca="1">IFERROR(__xludf.DUMMYFUNCTION("""COMPUTED_VALUE"""),"中國")</f>
        <v>中國</v>
      </c>
      <c r="S979" s="12"/>
      <c r="T979" s="12"/>
      <c r="U979" s="12" t="str">
        <f ca="1">IFERROR(__xludf.DUMMYFUNCTION("""COMPUTED_VALUE"""),"1年")</f>
        <v>1年</v>
      </c>
      <c r="V979" s="12"/>
      <c r="W979" s="12"/>
      <c r="X979" s="12"/>
      <c r="Y979" s="12"/>
      <c r="Z979" s="14"/>
      <c r="AA979" s="15" t="str">
        <f ca="1">IFERROR(__xludf.DUMMYFUNCTION("""COMPUTED_VALUE"""),"*鎳烙絲發熱結構,加熱均勻,不挑鍋具*玻璃黑晶面板,清理更容易。*8種火力功率控制操作,隨心所欲*5種烹煮功能選擇-火鍋,燒烤,煎炒,褒湯,煮水*1300W大功率加熱速度快,快速烹煮。*3小時定時關機時間設定。*2小時連續無操作自動關機。*3分鐘延時散熱保護功能*兒童安全鎖功能。*高溫警示燈提醒,使用最安心*多重安全保護裝置")</f>
        <v>*鎳烙絲發熱結構,加熱均勻,不挑鍋具*玻璃黑晶面板,清理更容易。*8種火力功率控制操作,隨心所欲*5種烹煮功能選擇-火鍋,燒烤,煎炒,褒湯,煮水*1300W大功率加熱速度快,快速烹煮。*3小時定時關機時間設定。*2小時連續無操作自動關機。*3分鐘延時散熱保護功能*兒童安全鎖功能。*高溫警示燈提醒,使用最安心*多重安全保護裝置</v>
      </c>
    </row>
    <row r="980" spans="1:27" ht="19.5" customHeight="1">
      <c r="A980" s="12" t="str">
        <f ca="1">IFERROR(__xludf.DUMMYFUNCTION("""COMPUTED_VALUE"""),"生活家電")</f>
        <v>生活家電</v>
      </c>
      <c r="B980" s="12" t="str">
        <f ca="1">IFERROR(__xludf.DUMMYFUNCTION("""COMPUTED_VALUE"""),"中華大雄")</f>
        <v>中華大雄</v>
      </c>
      <c r="C980" s="12" t="str">
        <f ca="1">IFERROR(__xludf.DUMMYFUNCTION("""COMPUTED_VALUE"""),"aiwa")</f>
        <v>aiwa</v>
      </c>
      <c r="D980" s="12" t="str">
        <f ca="1">IFERROR(__xludf.DUMMYFUNCTION("""COMPUTED_VALUE"""),"aiwa吸力強兩用吸塵器ARC-5262")</f>
        <v>aiwa吸力強兩用吸塵器ARC-5262</v>
      </c>
      <c r="E980" s="12" t="str">
        <f ca="1">IFERROR(__xludf.DUMMYFUNCTION("""COMPUTED_VALUE"""),"ARC-5262")</f>
        <v>ARC-5262</v>
      </c>
      <c r="F980" s="12">
        <f ca="1">IFERROR(__xludf.DUMMYFUNCTION("""COMPUTED_VALUE"""),51057326)</f>
        <v>51057326</v>
      </c>
      <c r="G980" s="12" t="str">
        <f ca="1">IFERROR(__xludf.DUMMYFUNCTION("""COMPUTED_VALUE"""),"IGEM088J")</f>
        <v>IGEM088J</v>
      </c>
      <c r="H980" s="13">
        <f ca="1">IFERROR(__xludf.DUMMYFUNCTION("""COMPUTED_VALUE"""),2480)</f>
        <v>2480</v>
      </c>
      <c r="I980" s="14">
        <f ca="1">IFERROR(__xludf.DUMMYFUNCTION("""COMPUTED_VALUE"""),1390)</f>
        <v>1390</v>
      </c>
      <c r="J980" s="16">
        <f ca="1">IFERROR(__xludf.DUMMYFUNCTION("""COMPUTED_VALUE"""),45474)</f>
        <v>45474</v>
      </c>
      <c r="K980" s="12" t="str">
        <f ca="1">IFERROR(__xludf.DUMMYFUNCTION("""COMPUTED_VALUE"""),"短促")</f>
        <v>短促</v>
      </c>
      <c r="L980" s="12" t="str">
        <f ca="1">IFERROR(__xludf.DUMMYFUNCTION("""COMPUTED_VALUE"""),"上架中")</f>
        <v>上架中</v>
      </c>
      <c r="M980" s="12" t="str">
        <f ca="1">IFERROR(__xludf.DUMMYFUNCTION("""COMPUTED_VALUE"""),"(2/21暫時停售)8/29新機上架")</f>
        <v>(2/21暫時停售)8/29新機上架</v>
      </c>
      <c r="N980" s="12" t="str">
        <f ca="1">IFERROR(__xludf.DUMMYFUNCTION("""COMPUTED_VALUE"""),"吸塵器")</f>
        <v>吸塵器</v>
      </c>
      <c r="O980" s="12" t="str">
        <f ca="1">IFERROR(__xludf.DUMMYFUNCTION("""COMPUTED_VALUE"""),"淺綠色")</f>
        <v>淺綠色</v>
      </c>
      <c r="P980" s="12" t="str">
        <f ca="1">IFERROR(__xludf.DUMMYFUNCTION("""COMPUTED_VALUE"""),"商品尺寸:402*102*125mm
彩盒尺寸:440 x 152 x 210 mm
商品重量:1.5Kg
包裝重量:2Kg
主機電源:110V/60Hz 
總額定消耗電功率:400W")</f>
        <v>商品尺寸:402*102*125mm
彩盒尺寸:440 x 152 x 210 mm
商品重量:1.5Kg
包裝重量:2Kg
主機電源:110V/60Hz 
總額定消耗電功率:400W</v>
      </c>
      <c r="Q980" s="12" t="str">
        <f ca="1">IFERROR(__xludf.DUMMYFUNCTION("""COMPUTED_VALUE"""),"402 x 102 x 125mm
")</f>
        <v xml:space="preserve">402 x 102 x 125mm
</v>
      </c>
      <c r="R980" s="12" t="str">
        <f ca="1">IFERROR(__xludf.DUMMYFUNCTION("""COMPUTED_VALUE"""),"中國")</f>
        <v>中國</v>
      </c>
      <c r="S980" s="12"/>
      <c r="T980" s="12"/>
      <c r="U980" s="12" t="str">
        <f ca="1">IFERROR(__xludf.DUMMYFUNCTION("""COMPUTED_VALUE"""),"1年")</f>
        <v>1年</v>
      </c>
      <c r="V980" s="12"/>
      <c r="W980" s="12"/>
      <c r="X980" s="12"/>
      <c r="Y980" s="12"/>
      <c r="Z980" s="14"/>
      <c r="AA980" s="15" t="str">
        <f ca="1">IFERROR(__xludf.DUMMYFUNCTION("""COMPUTED_VALUE"""),"*愛華吸力強有線吸塵器*一機多用 立式 手持*HEPA 濾網 (Mirco- E10 HEPA)可水洗式*可過濾極85%以上極細灰塵及塵螨 *電壓AC110V 60Hz *消耗功率400W*電源線長度 4.7公尺,增大打掃範圍*最大吸力 13KPa 細灰塵螨無處躲藏*真正可單手自由操作的伸縮鋁管的專利設計(他牌操作須2個動作反方向伸縮 不易使用)*可任意轉向的地板刷*二合一可拆式方刷是窗簾沙發軟性材質的好幫手*扁吸頭 讓吸塵無死角，可變手持式吸塵器使用*可拆洗式集塵室，集塵室淨容量 0.6 L*降造設計 "&amp;"噪音值 (78 dBA)*輕量化設計 主 機 890 克 *伸縮鋁管 178 克*刷 子 215 克")</f>
        <v>*愛華吸力強有線吸塵器*一機多用 立式 手持*HEPA 濾網 (Mirco- E10 HEPA)可水洗式*可過濾極85%以上極細灰塵及塵螨 *電壓AC110V 60Hz *消耗功率400W*電源線長度 4.7公尺,增大打掃範圍*最大吸力 13KPa 細灰塵螨無處躲藏*真正可單手自由操作的伸縮鋁管的專利設計(他牌操作須2個動作反方向伸縮 不易使用)*可任意轉向的地板刷*二合一可拆式方刷是窗簾沙發軟性材質的好幫手*扁吸頭 讓吸塵無死角，可變手持式吸塵器使用*可拆洗式集塵室，集塵室淨容量 0.6 L*降造設計 噪音值 (78 dBA)*輕量化設計 主 機 890 克 *伸縮鋁管 178 克*刷 子 215 克</v>
      </c>
    </row>
    <row r="981" spans="1:27" ht="19.5" customHeight="1">
      <c r="A981" s="12" t="str">
        <f ca="1">IFERROR(__xludf.DUMMYFUNCTION("""COMPUTED_VALUE"""),"生活家電")</f>
        <v>生活家電</v>
      </c>
      <c r="B981" s="12" t="str">
        <f ca="1">IFERROR(__xludf.DUMMYFUNCTION("""COMPUTED_VALUE"""),"中華大雄")</f>
        <v>中華大雄</v>
      </c>
      <c r="C981" s="12" t="str">
        <f ca="1">IFERROR(__xludf.DUMMYFUNCTION("""COMPUTED_VALUE"""),"aiwa")</f>
        <v>aiwa</v>
      </c>
      <c r="D981" s="12" t="str">
        <f ca="1">IFERROR(__xludf.DUMMYFUNCTION("""COMPUTED_VALUE"""),"aiwa烘被電暖器AB-C600V")</f>
        <v>aiwa烘被電暖器AB-C600V</v>
      </c>
      <c r="E981" s="12" t="str">
        <f ca="1">IFERROR(__xludf.DUMMYFUNCTION("""COMPUTED_VALUE"""),"AB-C600V")</f>
        <v>AB-C600V</v>
      </c>
      <c r="F981" s="12">
        <f ca="1">IFERROR(__xludf.DUMMYFUNCTION("""COMPUTED_VALUE"""),51057337)</f>
        <v>51057337</v>
      </c>
      <c r="G981" s="12" t="str">
        <f ca="1">IFERROR(__xludf.DUMMYFUNCTION("""COMPUTED_VALUE"""),"IGEM095X")</f>
        <v>IGEM095X</v>
      </c>
      <c r="H981" s="13">
        <f ca="1">IFERROR(__xludf.DUMMYFUNCTION("""COMPUTED_VALUE"""),2880)</f>
        <v>2880</v>
      </c>
      <c r="I981" s="14">
        <f ca="1">IFERROR(__xludf.DUMMYFUNCTION("""COMPUTED_VALUE"""),2680)</f>
        <v>2680</v>
      </c>
      <c r="J981" s="16">
        <f ca="1">IFERROR(__xludf.DUMMYFUNCTION("""COMPUTED_VALUE"""),45286)</f>
        <v>45286</v>
      </c>
      <c r="K981" s="12" t="str">
        <f ca="1">IFERROR(__xludf.DUMMYFUNCTION("""COMPUTED_VALUE"""),"新機上架")</f>
        <v>新機上架</v>
      </c>
      <c r="L981" s="12" t="str">
        <f ca="1">IFERROR(__xludf.DUMMYFUNCTION("""COMPUTED_VALUE"""),"上架中")</f>
        <v>上架中</v>
      </c>
      <c r="M981" s="12" t="str">
        <f ca="1">IFERROR(__xludf.DUMMYFUNCTION("""COMPUTED_VALUE"""),"(2/21暫時停售)2023/12/26新機上架")</f>
        <v>(2/21暫時停售)2023/12/26新機上架</v>
      </c>
      <c r="N981" s="12" t="str">
        <f ca="1">IFERROR(__xludf.DUMMYFUNCTION("""COMPUTED_VALUE"""),"電暖器")</f>
        <v>電暖器</v>
      </c>
      <c r="O981" s="12" t="str">
        <f ca="1">IFERROR(__xludf.DUMMYFUNCTION("""COMPUTED_VALUE"""),"白")</f>
        <v>白</v>
      </c>
      <c r="P981" s="12" t="str">
        <f ca="1">IFERROR(__xludf.DUMMYFUNCTION("""COMPUTED_VALUE"""),"本體尺寸	202 x 95.4 x 213 mm
彩盒尺寸	260x215x230mm
機體淨重	1.2 Kg(不含配件)
包裝重量	2Kg
額定電壓	110V
額定頻率	60Hz
總額定消耗電功率	1200 W
商品原產地	中國&lt;CHINA&gt;
認證/電檢字號	R38456
保固期限	12個月
配備/配件(內容物)	烘被管*1、烘鞋管*1、說明書*1")</f>
        <v>本體尺寸	202 x 95.4 x 213 mm
彩盒尺寸	260x215x230mm
機體淨重	1.2 Kg(不含配件)
包裝重量	2Kg
額定電壓	110V
額定頻率	60Hz
總額定消耗電功率	1200 W
商品原產地	中國&lt;CHINA&gt;
認證/電檢字號	R38456
保固期限	12個月
配備/配件(內容物)	烘被管*1、烘鞋管*1、說明書*1</v>
      </c>
      <c r="Q981" s="12" t="str">
        <f ca="1">IFERROR(__xludf.DUMMYFUNCTION("""COMPUTED_VALUE"""),"202 x 95.4 x 213 mm")</f>
        <v>202 x 95.4 x 213 mm</v>
      </c>
      <c r="R981" s="12" t="str">
        <f ca="1">IFERROR(__xludf.DUMMYFUNCTION("""COMPUTED_VALUE"""),"中國")</f>
        <v>中國</v>
      </c>
      <c r="S981" s="12"/>
      <c r="T981" s="12"/>
      <c r="U981" s="12" t="str">
        <f ca="1">IFERROR(__xludf.DUMMYFUNCTION("""COMPUTED_VALUE"""),"1年")</f>
        <v>1年</v>
      </c>
      <c r="V981" s="12"/>
      <c r="W981" s="12"/>
      <c r="X981" s="12"/>
      <c r="Y981" s="12"/>
      <c r="Z981" s="14"/>
      <c r="AA981" s="15" t="str">
        <f ca="1">IFERROR(__xludf.DUMMYFUNCTION("""COMPUTED_VALUE"""),"*多功能保暖&amp;烘乾*電暖器模式(1200W)*烘被烘衣烘鞋(600W)*兩段暖風+自然風切換功能*定時功能，最多6小時*低噪音，安靜好眠*小巧便攜,手握把輕鬆提，室內&amp;外出露營皆適合*多重保險最安全,傾倒斷電、阻燃材料、溫度保險絲保護*IPX1 防撥水")</f>
        <v>*多功能保暖&amp;烘乾*電暖器模式(1200W)*烘被烘衣烘鞋(600W)*兩段暖風+自然風切換功能*定時功能，最多6小時*低噪音，安靜好眠*小巧便攜,手握把輕鬆提，室內&amp;外出露營皆適合*多重保險最安全,傾倒斷電、阻燃材料、溫度保險絲保護*IPX1 防撥水</v>
      </c>
    </row>
    <row r="982" spans="1:27" ht="19.5" customHeight="1">
      <c r="A982" s="12" t="str">
        <f ca="1">IFERROR(__xludf.DUMMYFUNCTION("""COMPUTED_VALUE"""),"廚房家電")</f>
        <v>廚房家電</v>
      </c>
      <c r="B982" s="12" t="str">
        <f ca="1">IFERROR(__xludf.DUMMYFUNCTION("""COMPUTED_VALUE"""),"中華大雄")</f>
        <v>中華大雄</v>
      </c>
      <c r="C982" s="12" t="str">
        <f ca="1">IFERROR(__xludf.DUMMYFUNCTION("""COMPUTED_VALUE"""),"aiwa")</f>
        <v>aiwa</v>
      </c>
      <c r="D982" s="12" t="str">
        <f ca="1">IFERROR(__xludf.DUMMYFUNCTION("""COMPUTED_VALUE"""),"aiwa多功能美食鍋ACP-120")</f>
        <v>aiwa多功能美食鍋ACP-120</v>
      </c>
      <c r="E982" s="12" t="str">
        <f ca="1">IFERROR(__xludf.DUMMYFUNCTION("""COMPUTED_VALUE"""),"ACP-120")</f>
        <v>ACP-120</v>
      </c>
      <c r="F982" s="12">
        <f ca="1">IFERROR(__xludf.DUMMYFUNCTION("""COMPUTED_VALUE"""),51057327)</f>
        <v>51057327</v>
      </c>
      <c r="G982" s="12" t="str">
        <f ca="1">IFERROR(__xludf.DUMMYFUNCTION("""COMPUTED_VALUE"""),"IGEM088K")</f>
        <v>IGEM088K</v>
      </c>
      <c r="H982" s="13">
        <f ca="1">IFERROR(__xludf.DUMMYFUNCTION("""COMPUTED_VALUE"""),2480)</f>
        <v>2480</v>
      </c>
      <c r="I982" s="14">
        <f ca="1">IFERROR(__xludf.DUMMYFUNCTION("""COMPUTED_VALUE"""),1390)</f>
        <v>1390</v>
      </c>
      <c r="J982" s="16">
        <f ca="1">IFERROR(__xludf.DUMMYFUNCTION("""COMPUTED_VALUE"""),45505)</f>
        <v>45505</v>
      </c>
      <c r="K982" s="12" t="str">
        <f ca="1">IFERROR(__xludf.DUMMYFUNCTION("""COMPUTED_VALUE"""),"回價")</f>
        <v>回價</v>
      </c>
      <c r="L982" s="12" t="str">
        <f ca="1">IFERROR(__xludf.DUMMYFUNCTION("""COMPUTED_VALUE"""),"上架中")</f>
        <v>上架中</v>
      </c>
      <c r="M982" s="12" t="str">
        <f ca="1">IFERROR(__xludf.DUMMYFUNCTION("""COMPUTED_VALUE"""),"2024/8/1回價，2024/7/1短促，(2/21暫時停售)2023/12/1回價112/11/1短促8/29新機上架")</f>
        <v>2024/8/1回價，2024/7/1短促，(2/21暫時停售)2023/12/1回價112/11/1短促8/29新機上架</v>
      </c>
      <c r="N982" s="12" t="str">
        <f ca="1">IFERROR(__xludf.DUMMYFUNCTION("""COMPUTED_VALUE"""),"美食鍋/料理鍋/快煮鍋")</f>
        <v>美食鍋/料理鍋/快煮鍋</v>
      </c>
      <c r="O982" s="12" t="str">
        <f ca="1">IFERROR(__xludf.DUMMYFUNCTION("""COMPUTED_VALUE"""),"黃色")</f>
        <v>黃色</v>
      </c>
      <c r="P982" s="12" t="str">
        <f ca="1">IFERROR(__xludf.DUMMYFUNCTION("""COMPUTED_VALUE"""),"商品尺寸 無蒸籠 :374 x 185 x 167 mm
有蒸籠:374 x 185 x 216 mm
彩盒尺寸:455x227x148  mm
烤盤深度:80 mm
主機電源:110V/60Hz 
總額定消耗
電功率:600 W")</f>
        <v>商品尺寸 無蒸籠 :374 x 185 x 167 mm
有蒸籠:374 x 185 x 216 mm
彩盒尺寸:455x227x148  mm
烤盤深度:80 mm
主機電源:110V/60Hz 
總額定消耗
電功率:600 W</v>
      </c>
      <c r="Q982" s="12" t="str">
        <f ca="1">IFERROR(__xludf.DUMMYFUNCTION("""COMPUTED_VALUE"""),"374 x 185 x 216 mm
")</f>
        <v xml:space="preserve">374 x 185 x 216 mm
</v>
      </c>
      <c r="R982" s="12" t="str">
        <f ca="1">IFERROR(__xludf.DUMMYFUNCTION("""COMPUTED_VALUE"""),"中國")</f>
        <v>中國</v>
      </c>
      <c r="S982" s="12"/>
      <c r="T982" s="12"/>
      <c r="U982" s="12" t="str">
        <f ca="1">IFERROR(__xludf.DUMMYFUNCTION("""COMPUTED_VALUE"""),"1年")</f>
        <v>1年</v>
      </c>
      <c r="V982" s="12"/>
      <c r="W982" s="12"/>
      <c r="X982" s="12"/>
      <c r="Y982" s="12"/>
      <c r="Z982" s="14"/>
      <c r="AA982" s="15" t="str">
        <f ca="1">IFERROR(__xludf.DUMMYFUNCTION("""COMPUTED_VALUE"""),"*固定防燙長手柄 , 好握好提*1.2公升 , 17公分直徑大尺寸*不沾黏塗層 , 好清洗*600瓦火力 , 兩段操控*304不鏽鋼蒸籠*溫度保險絲 , 高溫或乾燒自動跳斷 , 安全有保障*透明玻璃上蓋 , 一目了然*分離式電源線 , 移動方便")</f>
        <v>*固定防燙長手柄 , 好握好提*1.2公升 , 17公分直徑大尺寸*不沾黏塗層 , 好清洗*600瓦火力 , 兩段操控*304不鏽鋼蒸籠*溫度保險絲 , 高溫或乾燒自動跳斷 , 安全有保障*透明玻璃上蓋 , 一目了然*分離式電源線 , 移動方便</v>
      </c>
    </row>
    <row r="983" spans="1:27" ht="19.5" customHeight="1">
      <c r="A983" s="12" t="str">
        <f ca="1">IFERROR(__xludf.DUMMYFUNCTION("""COMPUTED_VALUE"""),"廚房家電")</f>
        <v>廚房家電</v>
      </c>
      <c r="B983" s="12" t="str">
        <f ca="1">IFERROR(__xludf.DUMMYFUNCTION("""COMPUTED_VALUE"""),"中華大雄")</f>
        <v>中華大雄</v>
      </c>
      <c r="C983" s="12" t="str">
        <f ca="1">IFERROR(__xludf.DUMMYFUNCTION("""COMPUTED_VALUE"""),"aiwa")</f>
        <v>aiwa</v>
      </c>
      <c r="D983" s="12" t="str">
        <f ca="1">IFERROR(__xludf.DUMMYFUNCTION("""COMPUTED_VALUE"""),"aiwa多功能料理盤AI-GEH3")</f>
        <v>aiwa多功能料理盤AI-GEH3</v>
      </c>
      <c r="E983" s="12" t="str">
        <f ca="1">IFERROR(__xludf.DUMMYFUNCTION("""COMPUTED_VALUE"""),"AI-GEH3")</f>
        <v>AI-GEH3</v>
      </c>
      <c r="F983" s="12">
        <f ca="1">IFERROR(__xludf.DUMMYFUNCTION("""COMPUTED_VALUE"""),51057328)</f>
        <v>51057328</v>
      </c>
      <c r="G983" s="12" t="str">
        <f ca="1">IFERROR(__xludf.DUMMYFUNCTION("""COMPUTED_VALUE"""),"IGEM088L")</f>
        <v>IGEM088L</v>
      </c>
      <c r="H983" s="13">
        <f ca="1">IFERROR(__xludf.DUMMYFUNCTION("""COMPUTED_VALUE"""),2480)</f>
        <v>2480</v>
      </c>
      <c r="I983" s="14">
        <f ca="1">IFERROR(__xludf.DUMMYFUNCTION("""COMPUTED_VALUE"""),2280)</f>
        <v>2280</v>
      </c>
      <c r="J983" s="16">
        <f ca="1">IFERROR(__xludf.DUMMYFUNCTION("""COMPUTED_VALUE"""),45167)</f>
        <v>45167</v>
      </c>
      <c r="K983" s="12" t="str">
        <f ca="1">IFERROR(__xludf.DUMMYFUNCTION("""COMPUTED_VALUE"""),"新機上架")</f>
        <v>新機上架</v>
      </c>
      <c r="L983" s="12" t="str">
        <f ca="1">IFERROR(__xludf.DUMMYFUNCTION("""COMPUTED_VALUE"""),"上架中")</f>
        <v>上架中</v>
      </c>
      <c r="M983" s="12" t="str">
        <f ca="1">IFERROR(__xludf.DUMMYFUNCTION("""COMPUTED_VALUE"""),"(2/21暫時停售)8/29新機上架")</f>
        <v>(2/21暫時停售)8/29新機上架</v>
      </c>
      <c r="N983" s="12" t="str">
        <f ca="1">IFERROR(__xludf.DUMMYFUNCTION("""COMPUTED_VALUE"""),"電烤盤/爐")</f>
        <v>電烤盤/爐</v>
      </c>
      <c r="O983" s="12" t="str">
        <f ca="1">IFERROR(__xludf.DUMMYFUNCTION("""COMPUTED_VALUE"""),"黑色")</f>
        <v>黑色</v>
      </c>
      <c r="P983" s="12" t="str">
        <f ca="1">IFERROR(__xludf.DUMMYFUNCTION("""COMPUTED_VALUE"""),"商品尺寸:500 x 420 x 130 mm
彩盒尺寸:570 x 470 x 170 mm
商品重量:2.8 Kg
包裝重量:3.5 Kg
主機電源:110V/60Hz 
總額定消耗
電功率:1400 W")</f>
        <v>商品尺寸:500 x 420 x 130 mm
彩盒尺寸:570 x 470 x 170 mm
商品重量:2.8 Kg
包裝重量:3.5 Kg
主機電源:110V/60Hz 
總額定消耗
電功率:1400 W</v>
      </c>
      <c r="Q983" s="12" t="str">
        <f ca="1">IFERROR(__xludf.DUMMYFUNCTION("""COMPUTED_VALUE"""),"500 x 420 x 130 mm
")</f>
        <v xml:space="preserve">500 x 420 x 130 mm
</v>
      </c>
      <c r="R983" s="12" t="str">
        <f ca="1">IFERROR(__xludf.DUMMYFUNCTION("""COMPUTED_VALUE"""),"中國")</f>
        <v>中國</v>
      </c>
      <c r="S983" s="12"/>
      <c r="T983" s="12"/>
      <c r="U983" s="12" t="str">
        <f ca="1">IFERROR(__xludf.DUMMYFUNCTION("""COMPUTED_VALUE"""),"1年")</f>
        <v>1年</v>
      </c>
      <c r="V983" s="12"/>
      <c r="W983" s="12"/>
      <c r="X983" s="12"/>
      <c r="Y983" s="12"/>
      <c r="Z983" s="14"/>
      <c r="AA983" s="15" t="str">
        <f ca="1">IFERROR(__xludf.DUMMYFUNCTION("""COMPUTED_VALUE"""),"*烤涮一體 , 雙重享受*雙旋鈕獨立控溫*不沾黏塗層 , 好清洗*1400瓦大火力 *大面積烤肉 , 一次滿足*溫度保險絲 , 高溫自動跳斷 , 安全有保障*玻璃上蓋 , 料理一目了然*排油設計，減少油煙，健康料理")</f>
        <v>*烤涮一體 , 雙重享受*雙旋鈕獨立控溫*不沾黏塗層 , 好清洗*1400瓦大火力 *大面積烤肉 , 一次滿足*溫度保險絲 , 高溫自動跳斷 , 安全有保障*玻璃上蓋 , 料理一目了然*排油設計，減少油煙，健康料理</v>
      </c>
    </row>
    <row r="984" spans="1:27" ht="19.5" customHeight="1">
      <c r="A984" s="12" t="str">
        <f ca="1">IFERROR(__xludf.DUMMYFUNCTION("""COMPUTED_VALUE"""),"廚房家電")</f>
        <v>廚房家電</v>
      </c>
      <c r="B984" s="12" t="str">
        <f ca="1">IFERROR(__xludf.DUMMYFUNCTION("""COMPUTED_VALUE"""),"中華大雄")</f>
        <v>中華大雄</v>
      </c>
      <c r="C984" s="12" t="str">
        <f ca="1">IFERROR(__xludf.DUMMYFUNCTION("""COMPUTED_VALUE"""),"aiwa")</f>
        <v>aiwa</v>
      </c>
      <c r="D984" s="12" t="str">
        <f ca="1">IFERROR(__xludf.DUMMYFUNCTION("""COMPUTED_VALUE"""),"aiwa 4L電烤盤AI-DKL02G")</f>
        <v>aiwa 4L電烤盤AI-DKL02G</v>
      </c>
      <c r="E984" s="12" t="str">
        <f ca="1">IFERROR(__xludf.DUMMYFUNCTION("""COMPUTED_VALUE"""),"AI-DKL02G")</f>
        <v>AI-DKL02G</v>
      </c>
      <c r="F984" s="12">
        <f ca="1">IFERROR(__xludf.DUMMYFUNCTION("""COMPUTED_VALUE"""),51057329)</f>
        <v>51057329</v>
      </c>
      <c r="G984" s="12" t="str">
        <f ca="1">IFERROR(__xludf.DUMMYFUNCTION("""COMPUTED_VALUE"""),"IGEM088M")</f>
        <v>IGEM088M</v>
      </c>
      <c r="H984" s="13">
        <f ca="1">IFERROR(__xludf.DUMMYFUNCTION("""COMPUTED_VALUE"""),2480)</f>
        <v>2480</v>
      </c>
      <c r="I984" s="14">
        <f ca="1">IFERROR(__xludf.DUMMYFUNCTION("""COMPUTED_VALUE"""),2280)</f>
        <v>2280</v>
      </c>
      <c r="J984" s="16">
        <f ca="1">IFERROR(__xludf.DUMMYFUNCTION("""COMPUTED_VALUE"""),45167)</f>
        <v>45167</v>
      </c>
      <c r="K984" s="12" t="str">
        <f ca="1">IFERROR(__xludf.DUMMYFUNCTION("""COMPUTED_VALUE"""),"新機上架")</f>
        <v>新機上架</v>
      </c>
      <c r="L984" s="12" t="str">
        <f ca="1">IFERROR(__xludf.DUMMYFUNCTION("""COMPUTED_VALUE"""),"上架中")</f>
        <v>上架中</v>
      </c>
      <c r="M984" s="12" t="str">
        <f ca="1">IFERROR(__xludf.DUMMYFUNCTION("""COMPUTED_VALUE"""),"(2/21暫時停售)8/29新機上架")</f>
        <v>(2/21暫時停售)8/29新機上架</v>
      </c>
      <c r="N984" s="12" t="str">
        <f ca="1">IFERROR(__xludf.DUMMYFUNCTION("""COMPUTED_VALUE"""),"電烤盤/爐")</f>
        <v>電烤盤/爐</v>
      </c>
      <c r="O984" s="12" t="str">
        <f ca="1">IFERROR(__xludf.DUMMYFUNCTION("""COMPUTED_VALUE"""),"淺綠色")</f>
        <v>淺綠色</v>
      </c>
      <c r="P984" s="12" t="str">
        <f ca="1">IFERROR(__xludf.DUMMYFUNCTION("""COMPUTED_VALUE"""),"商品尺寸:450 x 250 x 170 mm
彩盒尺寸:500 x 315 x 260 mm
商品重量:約4.6 Kgs
包裝重量:約5.2 Kgs
烤盤深度:60 mm
主機電源:110V/60Hz 
總額定消耗
電功率:1200 W")</f>
        <v>商品尺寸:450 x 250 x 170 mm
彩盒尺寸:500 x 315 x 260 mm
商品重量:約4.6 Kgs
包裝重量:約5.2 Kgs
烤盤深度:60 mm
主機電源:110V/60Hz 
總額定消耗
電功率:1200 W</v>
      </c>
      <c r="Q984" s="12" t="str">
        <f ca="1">IFERROR(__xludf.DUMMYFUNCTION("""COMPUTED_VALUE"""),"450 x 250 x 170 mm
")</f>
        <v xml:space="preserve">450 x 250 x 170 mm
</v>
      </c>
      <c r="R984" s="12" t="str">
        <f ca="1">IFERROR(__xludf.DUMMYFUNCTION("""COMPUTED_VALUE"""),"中國")</f>
        <v>中國</v>
      </c>
      <c r="S984" s="12"/>
      <c r="T984" s="12"/>
      <c r="U984" s="12" t="str">
        <f ca="1">IFERROR(__xludf.DUMMYFUNCTION("""COMPUTED_VALUE"""),"1年")</f>
        <v>1年</v>
      </c>
      <c r="V984" s="12"/>
      <c r="W984" s="12"/>
      <c r="X984" s="12"/>
      <c r="Y984" s="12"/>
      <c r="Z984" s="14"/>
      <c r="AA984" s="15" t="str">
        <f ca="1">IFERROR(__xludf.DUMMYFUNCTION("""COMPUTED_VALUE"""),"*4公升深型大烤盤 , 料理靈活多變*無段式旋鈕 , 火力隨意調*不沾黏塗層 , 好清洗*1200瓦大火力 , 快速加熱*分離式鍋盤 , 單獨清洗更輕鬆*溫度保險絲 , 高溫自動跳斷 , 安全有保障*強化玻璃上蓋 , 一目了然")</f>
        <v>*4公升深型大烤盤 , 料理靈活多變*無段式旋鈕 , 火力隨意調*不沾黏塗層 , 好清洗*1200瓦大火力 , 快速加熱*分離式鍋盤 , 單獨清洗更輕鬆*溫度保險絲 , 高溫自動跳斷 , 安全有保障*強化玻璃上蓋 , 一目了然</v>
      </c>
    </row>
    <row r="985" spans="1:27" ht="19.5" customHeight="1">
      <c r="A985" s="12" t="str">
        <f ca="1">IFERROR(__xludf.DUMMYFUNCTION("""COMPUTED_VALUE"""),"生活家電")</f>
        <v>生活家電</v>
      </c>
      <c r="B985" s="12" t="str">
        <f ca="1">IFERROR(__xludf.DUMMYFUNCTION("""COMPUTED_VALUE"""),"昶宏")</f>
        <v>昶宏</v>
      </c>
      <c r="C985" s="12" t="str">
        <f ca="1">IFERROR(__xludf.DUMMYFUNCTION("""COMPUTED_VALUE"""),"NICONICO")</f>
        <v>NICONICO</v>
      </c>
      <c r="D985" s="12" t="str">
        <f ca="1">IFERROR(__xludf.DUMMYFUNCTION("""COMPUTED_VALUE"""),"NICONICO多用途定時烘物器NI-BS1002(薄櫻粉)")</f>
        <v>NICONICO多用途定時烘物器NI-BS1002(薄櫻粉)</v>
      </c>
      <c r="E985" s="12" t="str">
        <f ca="1">IFERROR(__xludf.DUMMYFUNCTION("""COMPUTED_VALUE"""),"NI-BS1002(薄櫻粉)")</f>
        <v>NI-BS1002(薄櫻粉)</v>
      </c>
      <c r="F985" s="12">
        <f ca="1">IFERROR(__xludf.DUMMYFUNCTION("""COMPUTED_VALUE"""),51078034)</f>
        <v>51078034</v>
      </c>
      <c r="G985" s="12" t="str">
        <f ca="1">IFERROR(__xludf.DUMMYFUNCTION("""COMPUTED_VALUE"""),"IGEM050E")</f>
        <v>IGEM050E</v>
      </c>
      <c r="H985" s="12">
        <f ca="1">IFERROR(__xludf.DUMMYFUNCTION("""COMPUTED_VALUE"""),1280)</f>
        <v>1280</v>
      </c>
      <c r="I985" s="14">
        <f ca="1">IFERROR(__xludf.DUMMYFUNCTION("""COMPUTED_VALUE"""),799)</f>
        <v>799</v>
      </c>
      <c r="J985" s="16">
        <f ca="1">IFERROR(__xludf.DUMMYFUNCTION("""COMPUTED_VALUE"""),45621)</f>
        <v>45621</v>
      </c>
      <c r="K985" s="12" t="str">
        <f ca="1">IFERROR(__xludf.DUMMYFUNCTION("""COMPUTED_VALUE"""),"缺貨")</f>
        <v>缺貨</v>
      </c>
      <c r="L985" s="12" t="str">
        <f ca="1">IFERROR(__xludf.DUMMYFUNCTION("""COMPUTED_VALUE"""),"缺貨")</f>
        <v>缺貨</v>
      </c>
      <c r="M985" s="12" t="str">
        <f ca="1">IFERROR(__xludf.DUMMYFUNCTION("""COMPUTED_VALUE"""),"2024/11/25缺貨，2022/10/21降價、2022/7/20到貨、2022/5/9缺貨預計8月初到貨、2021/11/5新品上架")</f>
        <v>2024/11/25缺貨，2022/10/21降價、2022/7/20到貨、2022/5/9缺貨預計8月初到貨、2021/11/5新品上架</v>
      </c>
      <c r="N985" s="12" t="str">
        <f ca="1">IFERROR(__xludf.DUMMYFUNCTION("""COMPUTED_VALUE"""),"烘被/烘鞋機")</f>
        <v>烘被/烘鞋機</v>
      </c>
      <c r="O985" s="12" t="str">
        <f ca="1">IFERROR(__xludf.DUMMYFUNCTION("""COMPUTED_VALUE"""),"薄櫻粉")</f>
        <v>薄櫻粉</v>
      </c>
      <c r="P985" s="12"/>
      <c r="Q985" s="12" t="str">
        <f ca="1">IFERROR(__xludf.DUMMYFUNCTION("""COMPUTED_VALUE"""),"產品尺寸65x27x190mm
產品重量約350G")</f>
        <v>產品尺寸65x27x190mm
產品重量約350G</v>
      </c>
      <c r="R985" s="12" t="str">
        <f ca="1">IFERROR(__xludf.DUMMYFUNCTION("""COMPUTED_VALUE"""),"中國")</f>
        <v>中國</v>
      </c>
      <c r="S985" s="12"/>
      <c r="T985" s="12"/>
      <c r="U985" s="12" t="str">
        <f ca="1">IFERROR(__xludf.DUMMYFUNCTION("""COMPUTED_VALUE"""),"1年")</f>
        <v>1年</v>
      </c>
      <c r="V985" s="12"/>
      <c r="W985" s="12"/>
      <c r="X985" s="12"/>
      <c r="Y985" s="12"/>
      <c r="Z985" s="14"/>
      <c r="AA985" s="15" t="str">
        <f ca="1">IFERROR(__xludf.DUMMYFUNCTION("""COMPUTED_VALUE"""),"*防潮/除臭/烘乾/保暖*360°立體烘乾，快速均勻發熱*PTC陶瓷恆溫加熱，使用更安全*雙面多孔散熱，除濕去味抑制細菌*三檔智能定時，自由選擇*45度斜角設計，電源線不易彎折*多功能用途，各式鞋款、衣襪、手套""")</f>
        <v>*防潮/除臭/烘乾/保暖*360°立體烘乾，快速均勻發熱*PTC陶瓷恆溫加熱，使用更安全*雙面多孔散熱，除濕去味抑制細菌*三檔智能定時，自由選擇*45度斜角設計，電源線不易彎折*多功能用途，各式鞋款、衣襪、手套"</v>
      </c>
    </row>
    <row r="986" spans="1:27" ht="19.5" customHeight="1">
      <c r="A986" s="12" t="str">
        <f ca="1">IFERROR(__xludf.DUMMYFUNCTION("""COMPUTED_VALUE"""),"生活家電")</f>
        <v>生活家電</v>
      </c>
      <c r="B986" s="12" t="str">
        <f ca="1">IFERROR(__xludf.DUMMYFUNCTION("""COMPUTED_VALUE"""),"昶宏")</f>
        <v>昶宏</v>
      </c>
      <c r="C986" s="12" t="str">
        <f ca="1">IFERROR(__xludf.DUMMYFUNCTION("""COMPUTED_VALUE"""),"NICONICO")</f>
        <v>NICONICO</v>
      </c>
      <c r="D986" s="12" t="str">
        <f ca="1">IFERROR(__xludf.DUMMYFUNCTION("""COMPUTED_VALUE"""),"NICONICO複合式陶瓷美型電暖器NI-EH1009")</f>
        <v>NICONICO複合式陶瓷美型電暖器NI-EH1009</v>
      </c>
      <c r="E986" s="12" t="str">
        <f ca="1">IFERROR(__xludf.DUMMYFUNCTION("""COMPUTED_VALUE"""),"NI-EH1009")</f>
        <v>NI-EH1009</v>
      </c>
      <c r="F986" s="12">
        <f ca="1">IFERROR(__xludf.DUMMYFUNCTION("""COMPUTED_VALUE"""),51078036)</f>
        <v>51078036</v>
      </c>
      <c r="G986" s="12" t="str">
        <f ca="1">IFERROR(__xludf.DUMMYFUNCTION("""COMPUTED_VALUE"""),"IGEM051K")</f>
        <v>IGEM051K</v>
      </c>
      <c r="H986" s="12">
        <f ca="1">IFERROR(__xludf.DUMMYFUNCTION("""COMPUTED_VALUE"""),1980)</f>
        <v>1980</v>
      </c>
      <c r="I986" s="14">
        <f ca="1">IFERROR(__xludf.DUMMYFUNCTION("""COMPUTED_VALUE"""),999)</f>
        <v>999</v>
      </c>
      <c r="J986" s="16">
        <f ca="1">IFERROR(__xludf.DUMMYFUNCTION("""COMPUTED_VALUE"""),45323)</f>
        <v>45323</v>
      </c>
      <c r="K986" s="12" t="str">
        <f ca="1">IFERROR(__xludf.DUMMYFUNCTION("""COMPUTED_VALUE"""),"短促")</f>
        <v>短促</v>
      </c>
      <c r="L986" s="12" t="str">
        <f ca="1">IFERROR(__xludf.DUMMYFUNCTION("""COMPUTED_VALUE"""),"上架中")</f>
        <v>上架中</v>
      </c>
      <c r="M986" s="12" t="str">
        <f ca="1">IFERROR(__xludf.DUMMYFUNCTION("""COMPUTED_VALUE"""),"2/1短促，2022/12/1回價、2022/10/24降價、2021/12/9新機")</f>
        <v>2/1短促，2022/12/1回價、2022/10/24降價、2021/12/9新機</v>
      </c>
      <c r="N986" s="12" t="str">
        <f ca="1">IFERROR(__xludf.DUMMYFUNCTION("""COMPUTED_VALUE"""),"電暖器")</f>
        <v>電暖器</v>
      </c>
      <c r="O986" s="12" t="str">
        <f ca="1">IFERROR(__xludf.DUMMYFUNCTION("""COMPUTED_VALUE"""),"粉紅色")</f>
        <v>粉紅色</v>
      </c>
      <c r="P986" s="12"/>
      <c r="Q986" s="12" t="str">
        <f ca="1">IFERROR(__xludf.DUMMYFUNCTION("""COMPUTED_VALUE"""),"產品尺寸：144x128x149mm
產品重量：約560g")</f>
        <v>產品尺寸：144x128x149mm
產品重量：約560g</v>
      </c>
      <c r="R986" s="12" t="str">
        <f ca="1">IFERROR(__xludf.DUMMYFUNCTION("""COMPUTED_VALUE"""),"中國")</f>
        <v>中國</v>
      </c>
      <c r="S986" s="12"/>
      <c r="T986" s="12"/>
      <c r="U986" s="12" t="str">
        <f ca="1">IFERROR(__xludf.DUMMYFUNCTION("""COMPUTED_VALUE"""),"1年")</f>
        <v>1年</v>
      </c>
      <c r="V986" s="12"/>
      <c r="W986" s="12"/>
      <c r="X986" s="12"/>
      <c r="Y986" s="12"/>
      <c r="Z986" s="14"/>
      <c r="AA986" s="15" t="str">
        <f ca="1">IFERROR(__xludf.DUMMYFUNCTION("""COMPUTED_VALUE"""),"*開機快速加熱*採用PTC陶瓷發熱體*冷暖二檔溫度*可拆卸暖手寶*小巧好移動*傾倒自動斷電警示音*過熱安全保護裝置")</f>
        <v>*開機快速加熱*採用PTC陶瓷發熱體*冷暖二檔溫度*可拆卸暖手寶*小巧好移動*傾倒自動斷電警示音*過熱安全保護裝置</v>
      </c>
    </row>
    <row r="987" spans="1:27" ht="19.5" customHeight="1">
      <c r="A987" s="12" t="str">
        <f ca="1">IFERROR(__xludf.DUMMYFUNCTION("""COMPUTED_VALUE"""),"生活家電")</f>
        <v>生活家電</v>
      </c>
      <c r="B987" s="12" t="str">
        <f ca="1">IFERROR(__xludf.DUMMYFUNCTION("""COMPUTED_VALUE"""),"昶宏")</f>
        <v>昶宏</v>
      </c>
      <c r="C987" s="12" t="str">
        <f ca="1">IFERROR(__xludf.DUMMYFUNCTION("""COMPUTED_VALUE"""),"NICONICO")</f>
        <v>NICONICO</v>
      </c>
      <c r="D987" s="12" t="str">
        <f ca="1">IFERROR(__xludf.DUMMYFUNCTION("""COMPUTED_VALUE"""),"NICONICO移動式智能水冷扇NI-BF1126W")</f>
        <v>NICONICO移動式智能水冷扇NI-BF1126W</v>
      </c>
      <c r="E987" s="12" t="str">
        <f ca="1">IFERROR(__xludf.DUMMYFUNCTION("""COMPUTED_VALUE"""),"NI-BF1126W")</f>
        <v>NI-BF1126W</v>
      </c>
      <c r="F987" s="12">
        <f ca="1">IFERROR(__xludf.DUMMYFUNCTION("""COMPUTED_VALUE"""),51078042)</f>
        <v>51078042</v>
      </c>
      <c r="G987" s="12" t="str">
        <f ca="1">IFERROR(__xludf.DUMMYFUNCTION("""COMPUTED_VALUE"""),"IGEM064X")</f>
        <v>IGEM064X</v>
      </c>
      <c r="H987" s="12">
        <f ca="1">IFERROR(__xludf.DUMMYFUNCTION("""COMPUTED_VALUE"""),6990)</f>
        <v>6990</v>
      </c>
      <c r="I987" s="14">
        <f ca="1">IFERROR(__xludf.DUMMYFUNCTION("""COMPUTED_VALUE"""),2680)</f>
        <v>2680</v>
      </c>
      <c r="J987" s="12"/>
      <c r="K987" s="12"/>
      <c r="L987" s="12" t="str">
        <f ca="1">IFERROR(__xludf.DUMMYFUNCTION("""COMPUTED_VALUE"""),"缺貨")</f>
        <v>缺貨</v>
      </c>
      <c r="M987" s="12" t="str">
        <f ca="1">IFERROR(__xludf.DUMMYFUNCTION("""COMPUTED_VALUE"""),"2024/8/12缺貨，2022/6/3新機上架")</f>
        <v>2024/8/12缺貨，2022/6/3新機上架</v>
      </c>
      <c r="N987" s="12" t="str">
        <f ca="1">IFERROR(__xludf.DUMMYFUNCTION("""COMPUTED_VALUE"""),"風扇")</f>
        <v>風扇</v>
      </c>
      <c r="O987" s="12" t="str">
        <f ca="1">IFERROR(__xludf.DUMMYFUNCTION("""COMPUTED_VALUE"""),"白色")</f>
        <v>白色</v>
      </c>
      <c r="P987" s="12" t="str">
        <f ca="1">IFERROR(__xludf.DUMMYFUNCTION("""COMPUTED_VALUE"""),"產品重量 約4.6KG")</f>
        <v>產品重量 約4.6KG</v>
      </c>
      <c r="Q987" s="12" t="str">
        <f ca="1">IFERROR(__xludf.DUMMYFUNCTION("""COMPUTED_VALUE"""),"產品尺寸 270x300x600 mm")</f>
        <v>產品尺寸 270x300x600 mm</v>
      </c>
      <c r="R987" s="12" t="str">
        <f ca="1">IFERROR(__xludf.DUMMYFUNCTION("""COMPUTED_VALUE"""),"中國")</f>
        <v>中國</v>
      </c>
      <c r="S987" s="12"/>
      <c r="T987" s="12"/>
      <c r="U987" s="12" t="str">
        <f ca="1">IFERROR(__xludf.DUMMYFUNCTION("""COMPUTED_VALUE"""),"1年")</f>
        <v>1年</v>
      </c>
      <c r="V987" s="12"/>
      <c r="W987" s="12"/>
      <c r="X987" s="12"/>
      <c r="Y987" s="12"/>
      <c r="Z987" s="14"/>
      <c r="AA987" s="15" t="str">
        <f ca="1">IFERROR(__xludf.DUMMYFUNCTION("""COMPUTED_VALUE"""),"*水循環清涼持久，舒爽不乾燥*3D蜂巢式水簾，快速製冷*3種情境模式(正常/自然/睡眠)*3段風速(弱/中/強)*水箱分離式設計，清洗、加水更便利*可加放冰塊或雙冰晶罐，加速降溫*智能定時可達12小時*全功能無線遙控*萬象滾輪移動方便*附冰晶罐x2
")</f>
        <v xml:space="preserve">*水循環清涼持久，舒爽不乾燥*3D蜂巢式水簾，快速製冷*3種情境模式(正常/自然/睡眠)*3段風速(弱/中/強)*水箱分離式設計，清洗、加水更便利*可加放冰塊或雙冰晶罐，加速降溫*智能定時可達12小時*全功能無線遙控*萬象滾輪移動方便*附冰晶罐x2
</v>
      </c>
    </row>
    <row r="988" spans="1:27" ht="19.5" customHeight="1">
      <c r="A988" s="12" t="str">
        <f ca="1">IFERROR(__xludf.DUMMYFUNCTION("""COMPUTED_VALUE"""),"生活家電")</f>
        <v>生活家電</v>
      </c>
      <c r="B988" s="12" t="str">
        <f ca="1">IFERROR(__xludf.DUMMYFUNCTION("""COMPUTED_VALUE"""),"昶宏")</f>
        <v>昶宏</v>
      </c>
      <c r="C988" s="12" t="str">
        <f ca="1">IFERROR(__xludf.DUMMYFUNCTION("""COMPUTED_VALUE"""),"NICONICO")</f>
        <v>NICONICO</v>
      </c>
      <c r="D988" s="12" t="str">
        <f ca="1">IFERROR(__xludf.DUMMYFUNCTION("""COMPUTED_VALUE"""),"NICONICO 360度球形DC遙控美型立扇NI-S2011(薄荷綠)")</f>
        <v>NICONICO 360度球形DC遙控美型立扇NI-S2011(薄荷綠)</v>
      </c>
      <c r="E988" s="12" t="str">
        <f ca="1">IFERROR(__xludf.DUMMYFUNCTION("""COMPUTED_VALUE"""),"NI-S2011(薄荷綠)")</f>
        <v>NI-S2011(薄荷綠)</v>
      </c>
      <c r="F988" s="12">
        <f ca="1">IFERROR(__xludf.DUMMYFUNCTION("""COMPUTED_VALUE"""),51078048)</f>
        <v>51078048</v>
      </c>
      <c r="G988" s="12" t="str">
        <f ca="1">IFERROR(__xludf.DUMMYFUNCTION("""COMPUTED_VALUE"""),"IGEM078U")</f>
        <v>IGEM078U</v>
      </c>
      <c r="H988" s="13">
        <f ca="1">IFERROR(__xludf.DUMMYFUNCTION("""COMPUTED_VALUE"""),5980)</f>
        <v>5980</v>
      </c>
      <c r="I988" s="14">
        <f ca="1">IFERROR(__xludf.DUMMYFUNCTION("""COMPUTED_VALUE"""),2990)</f>
        <v>2990</v>
      </c>
      <c r="J988" s="16">
        <f ca="1">IFERROR(__xludf.DUMMYFUNCTION("""COMPUTED_VALUE"""),45413)</f>
        <v>45413</v>
      </c>
      <c r="K988" s="12" t="str">
        <f ca="1">IFERROR(__xludf.DUMMYFUNCTION("""COMPUTED_VALUE"""),"短促")</f>
        <v>短促</v>
      </c>
      <c r="L988" s="12" t="str">
        <f ca="1">IFERROR(__xludf.DUMMYFUNCTION("""COMPUTED_VALUE"""),"上架中")</f>
        <v>上架中</v>
      </c>
      <c r="M988" s="12" t="str">
        <f ca="1">IFERROR(__xludf.DUMMYFUNCTION("""COMPUTED_VALUE"""),"2024/5/1短促，5/1-8/31短促4/11降價2023/3/23新機上架")</f>
        <v>2024/5/1短促，5/1-8/31短促4/11降價2023/3/23新機上架</v>
      </c>
      <c r="N988" s="12" t="str">
        <f ca="1">IFERROR(__xludf.DUMMYFUNCTION("""COMPUTED_VALUE"""),"風扇")</f>
        <v>風扇</v>
      </c>
      <c r="O988" s="12" t="str">
        <f ca="1">IFERROR(__xludf.DUMMYFUNCTION("""COMPUTED_VALUE"""),"薄荷綠")</f>
        <v>薄荷綠</v>
      </c>
      <c r="P988" s="12"/>
      <c r="Q988" s="12" t="str">
        <f ca="1">IFERROR(__xludf.DUMMYFUNCTION("""COMPUTED_VALUE"""),"(H)800~920x(W)320x(D)320 mm ")</f>
        <v xml:space="preserve">(H)800~920x(W)320x(D)320 mm </v>
      </c>
      <c r="R988" s="12" t="str">
        <f ca="1">IFERROR(__xludf.DUMMYFUNCTION("""COMPUTED_VALUE"""),"中國")</f>
        <v>中國</v>
      </c>
      <c r="S988" s="12"/>
      <c r="T988" s="12"/>
      <c r="U988" s="12" t="str">
        <f ca="1">IFERROR(__xludf.DUMMYFUNCTION("""COMPUTED_VALUE"""),"1年")</f>
        <v>1年</v>
      </c>
      <c r="V988" s="12"/>
      <c r="W988" s="12"/>
      <c r="X988" s="12"/>
      <c r="Y988" s="12"/>
      <c r="Z988" s="14"/>
      <c r="AA988" s="15" t="str">
        <f ca="1">IFERROR(__xludf.DUMMYFUNCTION("""COMPUTED_VALUE"""),"*360度環繞送風，12段風速可調*ECO智慧溫控，自動偵測室溫調整風速*LED微電腦觸控面板，可無線遙控*四種風量模式(正常、自然、睡眠、ECO)*DC直流馬達節能省電*智能定時可達8小時*120mm高度可自由調整*炫彩夜燈設計，打造輕鬆氛圍")</f>
        <v>*360度環繞送風，12段風速可調*ECO智慧溫控，自動偵測室溫調整風速*LED微電腦觸控面板，可無線遙控*四種風量模式(正常、自然、睡眠、ECO)*DC直流馬達節能省電*智能定時可達8小時*120mm高度可自由調整*炫彩夜燈設計，打造輕鬆氛圍</v>
      </c>
    </row>
    <row r="989" spans="1:27" ht="19.5" customHeight="1">
      <c r="A989" s="12" t="str">
        <f ca="1">IFERROR(__xludf.DUMMYFUNCTION("""COMPUTED_VALUE"""),"生活家電")</f>
        <v>生活家電</v>
      </c>
      <c r="B989" s="12" t="str">
        <f ca="1">IFERROR(__xludf.DUMMYFUNCTION("""COMPUTED_VALUE"""),"昶宏")</f>
        <v>昶宏</v>
      </c>
      <c r="C989" s="12" t="str">
        <f ca="1">IFERROR(__xludf.DUMMYFUNCTION("""COMPUTED_VALUE"""),"NICONICO")</f>
        <v>NICONICO</v>
      </c>
      <c r="D989" s="12" t="str">
        <f ca="1">IFERROR(__xludf.DUMMYFUNCTION("""COMPUTED_VALUE"""),"NICONICO 360度球形DC遙控美型立扇NI-S2011(璀璨白)")</f>
        <v>NICONICO 360度球形DC遙控美型立扇NI-S2011(璀璨白)</v>
      </c>
      <c r="E989" s="12" t="str">
        <f ca="1">IFERROR(__xludf.DUMMYFUNCTION("""COMPUTED_VALUE"""),"NI-S2011(璀璨白)")</f>
        <v>NI-S2011(璀璨白)</v>
      </c>
      <c r="F989" s="12">
        <f ca="1">IFERROR(__xludf.DUMMYFUNCTION("""COMPUTED_VALUE"""),51078049)</f>
        <v>51078049</v>
      </c>
      <c r="G989" s="12" t="str">
        <f ca="1">IFERROR(__xludf.DUMMYFUNCTION("""COMPUTED_VALUE"""),"IGEM078V")</f>
        <v>IGEM078V</v>
      </c>
      <c r="H989" s="13">
        <f ca="1">IFERROR(__xludf.DUMMYFUNCTION("""COMPUTED_VALUE"""),5980)</f>
        <v>5980</v>
      </c>
      <c r="I989" s="14">
        <f ca="1">IFERROR(__xludf.DUMMYFUNCTION("""COMPUTED_VALUE"""),2990)</f>
        <v>2990</v>
      </c>
      <c r="J989" s="16">
        <f ca="1">IFERROR(__xludf.DUMMYFUNCTION("""COMPUTED_VALUE"""),45413)</f>
        <v>45413</v>
      </c>
      <c r="K989" s="12" t="str">
        <f ca="1">IFERROR(__xludf.DUMMYFUNCTION("""COMPUTED_VALUE"""),"短促")</f>
        <v>短促</v>
      </c>
      <c r="L989" s="12" t="str">
        <f ca="1">IFERROR(__xludf.DUMMYFUNCTION("""COMPUTED_VALUE"""),"上架中")</f>
        <v>上架中</v>
      </c>
      <c r="M989" s="12" t="str">
        <f ca="1">IFERROR(__xludf.DUMMYFUNCTION("""COMPUTED_VALUE"""),"2024/5/1短促，5/1-8/31短促4/11降價2023/3/23新機上架")</f>
        <v>2024/5/1短促，5/1-8/31短促4/11降價2023/3/23新機上架</v>
      </c>
      <c r="N989" s="12" t="str">
        <f ca="1">IFERROR(__xludf.DUMMYFUNCTION("""COMPUTED_VALUE"""),"風扇")</f>
        <v>風扇</v>
      </c>
      <c r="O989" s="12" t="str">
        <f ca="1">IFERROR(__xludf.DUMMYFUNCTION("""COMPUTED_VALUE"""),"璀璨白")</f>
        <v>璀璨白</v>
      </c>
      <c r="P989" s="12"/>
      <c r="Q989" s="12" t="str">
        <f ca="1">IFERROR(__xludf.DUMMYFUNCTION("""COMPUTED_VALUE"""),"H800~920xW320xD320 mm ")</f>
        <v xml:space="preserve">H800~920xW320xD320 mm </v>
      </c>
      <c r="R989" s="12" t="str">
        <f ca="1">IFERROR(__xludf.DUMMYFUNCTION("""COMPUTED_VALUE"""),"中國")</f>
        <v>中國</v>
      </c>
      <c r="S989" s="12"/>
      <c r="T989" s="12"/>
      <c r="U989" s="12" t="str">
        <f ca="1">IFERROR(__xludf.DUMMYFUNCTION("""COMPUTED_VALUE"""),"1年")</f>
        <v>1年</v>
      </c>
      <c r="V989" s="12"/>
      <c r="W989" s="12"/>
      <c r="X989" s="12"/>
      <c r="Y989" s="12"/>
      <c r="Z989" s="14"/>
      <c r="AA989" s="15" t="str">
        <f ca="1">IFERROR(__xludf.DUMMYFUNCTION("""COMPUTED_VALUE"""),"*360度環繞送風，12段風速可調*ECO智慧溫控，自動偵測室溫調整風速*LED微電腦觸控面板，可無線遙控*四種風量模式(正常、自然、睡眠、ECO)*DC直流馬達節能省電*智能定時可達8小時*120mm高度可自由調整*炫彩夜燈設計，打造輕鬆氛圍")</f>
        <v>*360度環繞送風，12段風速可調*ECO智慧溫控，自動偵測室溫調整風速*LED微電腦觸控面板，可無線遙控*四種風量模式(正常、自然、睡眠、ECO)*DC直流馬達節能省電*智能定時可達8小時*120mm高度可自由調整*炫彩夜燈設計，打造輕鬆氛圍</v>
      </c>
    </row>
    <row r="990" spans="1:27" ht="19.5" customHeight="1">
      <c r="A990" s="12" t="str">
        <f ca="1">IFERROR(__xludf.DUMMYFUNCTION("""COMPUTED_VALUE"""),"生活家電")</f>
        <v>生活家電</v>
      </c>
      <c r="B990" s="12" t="str">
        <f ca="1">IFERROR(__xludf.DUMMYFUNCTION("""COMPUTED_VALUE"""),"昶宏")</f>
        <v>昶宏</v>
      </c>
      <c r="C990" s="12" t="str">
        <f ca="1">IFERROR(__xludf.DUMMYFUNCTION("""COMPUTED_VALUE"""),"NICONICO")</f>
        <v>NICONICO</v>
      </c>
      <c r="D990" s="12" t="str">
        <f ca="1">IFERROR(__xludf.DUMMYFUNCTION("""COMPUTED_VALUE"""),"NICONICO美型微電腦大廈扇NI-S2024 ")</f>
        <v xml:space="preserve">NICONICO美型微電腦大廈扇NI-S2024 </v>
      </c>
      <c r="E990" s="12" t="str">
        <f ca="1">IFERROR(__xludf.DUMMYFUNCTION("""COMPUTED_VALUE"""),"NI-S2024")</f>
        <v>NI-S2024</v>
      </c>
      <c r="F990" s="12">
        <f ca="1">IFERROR(__xludf.DUMMYFUNCTION("""COMPUTED_VALUE"""),51078050)</f>
        <v>51078050</v>
      </c>
      <c r="G990" s="12" t="str">
        <f ca="1">IFERROR(__xludf.DUMMYFUNCTION("""COMPUTED_VALUE"""),"IGEM082F")</f>
        <v>IGEM082F</v>
      </c>
      <c r="H990" s="13">
        <f ca="1">IFERROR(__xludf.DUMMYFUNCTION("""COMPUTED_VALUE"""),2980)</f>
        <v>2980</v>
      </c>
      <c r="I990" s="14">
        <f ca="1">IFERROR(__xludf.DUMMYFUNCTION("""COMPUTED_VALUE"""),1980)</f>
        <v>1980</v>
      </c>
      <c r="J990" s="16">
        <f ca="1">IFERROR(__xludf.DUMMYFUNCTION("""COMPUTED_VALUE"""),45523)</f>
        <v>45523</v>
      </c>
      <c r="K990" s="12" t="str">
        <f ca="1">IFERROR(__xludf.DUMMYFUNCTION("""COMPUTED_VALUE"""),"短促")</f>
        <v>短促</v>
      </c>
      <c r="L990" s="12" t="str">
        <f ca="1">IFERROR(__xludf.DUMMYFUNCTION("""COMPUTED_VALUE"""),"上架中")</f>
        <v>上架中</v>
      </c>
      <c r="M990" s="12" t="str">
        <f ca="1">IFERROR(__xludf.DUMMYFUNCTION("""COMPUTED_VALUE"""),"113/8/19短促，4/27新機上架")</f>
        <v>113/8/19短促，4/27新機上架</v>
      </c>
      <c r="N990" s="12" t="str">
        <f ca="1">IFERROR(__xludf.DUMMYFUNCTION("""COMPUTED_VALUE"""),"風扇")</f>
        <v>風扇</v>
      </c>
      <c r="O990" s="12" t="str">
        <f ca="1">IFERROR(__xludf.DUMMYFUNCTION("""COMPUTED_VALUE"""),"綠色")</f>
        <v>綠色</v>
      </c>
      <c r="P990" s="12"/>
      <c r="Q990" s="12" t="str">
        <f ca="1">IFERROR(__xludf.DUMMYFUNCTION("""COMPUTED_VALUE"""),"190x190x860mm")</f>
        <v>190x190x860mm</v>
      </c>
      <c r="R990" s="12" t="str">
        <f ca="1">IFERROR(__xludf.DUMMYFUNCTION("""COMPUTED_VALUE"""),"中國")</f>
        <v>中國</v>
      </c>
      <c r="S990" s="12"/>
      <c r="T990" s="12"/>
      <c r="U990" s="12" t="str">
        <f ca="1">IFERROR(__xludf.DUMMYFUNCTION("""COMPUTED_VALUE"""),"1年")</f>
        <v>1年</v>
      </c>
      <c r="V990" s="12"/>
      <c r="W990" s="12"/>
      <c r="X990" s="12"/>
      <c r="Y990" s="12"/>
      <c r="Z990" s="14"/>
      <c r="AA990" s="15" t="str">
        <f ca="1">IFERROR(__xludf.DUMMYFUNCTION("""COMPUTED_VALUE"""),"*三檔風速調節(弱/中/強)*左右自動擺頭，可無線遙控*大廣角送風，促進空氣循環*6段風輪立體送風，風大而柔*清涼舒爽，擺放不佔空間*搭配冷暖氣，加強循環對流*智能定時可達9小時*提手設計，方便提拿與移動")</f>
        <v>*三檔風速調節(弱/中/強)*左右自動擺頭，可無線遙控*大廣角送風，促進空氣循環*6段風輪立體送風，風大而柔*清涼舒爽，擺放不佔空間*搭配冷暖氣，加強循環對流*智能定時可達9小時*提手設計，方便提拿與移動</v>
      </c>
    </row>
    <row r="991" spans="1:27" ht="19.5" customHeight="1">
      <c r="A991" s="12" t="str">
        <f ca="1">IFERROR(__xludf.DUMMYFUNCTION("""COMPUTED_VALUE"""),"生活家電")</f>
        <v>生活家電</v>
      </c>
      <c r="B991" s="12" t="str">
        <f ca="1">IFERROR(__xludf.DUMMYFUNCTION("""COMPUTED_VALUE"""),"昶宏")</f>
        <v>昶宏</v>
      </c>
      <c r="C991" s="12" t="str">
        <f ca="1">IFERROR(__xludf.DUMMYFUNCTION("""COMPUTED_VALUE"""),"NICONICO")</f>
        <v>NICONICO</v>
      </c>
      <c r="D991" s="12" t="str">
        <f ca="1">IFERROR(__xludf.DUMMYFUNCTION("""COMPUTED_VALUE"""),"NICONICO升降摺疊DC風扇NI-S2033")</f>
        <v>NICONICO升降摺疊DC風扇NI-S2033</v>
      </c>
      <c r="E991" s="12" t="str">
        <f ca="1">IFERROR(__xludf.DUMMYFUNCTION("""COMPUTED_VALUE"""),"NI-S2033")</f>
        <v>NI-S2033</v>
      </c>
      <c r="F991" s="12">
        <f ca="1">IFERROR(__xludf.DUMMYFUNCTION("""COMPUTED_VALUE"""),51078051)</f>
        <v>51078051</v>
      </c>
      <c r="G991" s="12" t="str">
        <f ca="1">IFERROR(__xludf.DUMMYFUNCTION("""COMPUTED_VALUE"""),"IGEM082G")</f>
        <v>IGEM082G</v>
      </c>
      <c r="H991" s="13">
        <f ca="1">IFERROR(__xludf.DUMMYFUNCTION("""COMPUTED_VALUE"""),4980)</f>
        <v>4980</v>
      </c>
      <c r="I991" s="14">
        <f ca="1">IFERROR(__xludf.DUMMYFUNCTION("""COMPUTED_VALUE"""),2980)</f>
        <v>2980</v>
      </c>
      <c r="J991" s="16">
        <f ca="1">IFERROR(__xludf.DUMMYFUNCTION("""COMPUTED_VALUE"""),45080)</f>
        <v>45080</v>
      </c>
      <c r="K991" s="12" t="str">
        <f ca="1">IFERROR(__xludf.DUMMYFUNCTION("""COMPUTED_VALUE"""),"短促")</f>
        <v>短促</v>
      </c>
      <c r="L991" s="12" t="str">
        <f ca="1">IFERROR(__xludf.DUMMYFUNCTION("""COMPUTED_VALUE"""),"上架中")</f>
        <v>上架中</v>
      </c>
      <c r="M991" s="12" t="str">
        <f ca="1">IFERROR(__xludf.DUMMYFUNCTION("""COMPUTED_VALUE"""),"4/27新機上架")</f>
        <v>4/27新機上架</v>
      </c>
      <c r="N991" s="12" t="str">
        <f ca="1">IFERROR(__xludf.DUMMYFUNCTION("""COMPUTED_VALUE"""),"風扇")</f>
        <v>風扇</v>
      </c>
      <c r="O991" s="12" t="str">
        <f ca="1">IFERROR(__xludf.DUMMYFUNCTION("""COMPUTED_VALUE"""),"白色")</f>
        <v>白色</v>
      </c>
      <c r="P991" s="12"/>
      <c r="Q991" s="12" t="str">
        <f ca="1">IFERROR(__xludf.DUMMYFUNCTION("""COMPUTED_VALUE"""),"715x120x415mm
 摺疊尺寸 358x70x670mm")</f>
        <v>715x120x415mm
 摺疊尺寸 358x70x670mm</v>
      </c>
      <c r="R991" s="12" t="str">
        <f ca="1">IFERROR(__xludf.DUMMYFUNCTION("""COMPUTED_VALUE"""),"中國")</f>
        <v>中國</v>
      </c>
      <c r="S991" s="12"/>
      <c r="T991" s="12"/>
      <c r="U991" s="12" t="str">
        <f ca="1">IFERROR(__xludf.DUMMYFUNCTION("""COMPUTED_VALUE"""),"1年")</f>
        <v>1年</v>
      </c>
      <c r="V991" s="12"/>
      <c r="W991" s="12"/>
      <c r="X991" s="12"/>
      <c r="Y991" s="12"/>
      <c r="Z991" s="14"/>
      <c r="AA991" s="15" t="str">
        <f ca="1">IFERROR(__xludf.DUMMYFUNCTION("""COMPUTED_VALUE"""),"*DC直流無刷馬達，安靜又省電*8+8雙層扇葉，自然柔風更舒適*左右擺頭+180度俯仰調整*八段風速可調，可無線遙控*智能定時可達8小時*三段高度自由調整*鋁合金伸縮桿，堅固耐用*可摺疊設計，輕薄好收納")</f>
        <v>*DC直流無刷馬達，安靜又省電*8+8雙層扇葉，自然柔風更舒適*左右擺頭+180度俯仰調整*八段風速可調，可無線遙控*智能定時可達8小時*三段高度自由調整*鋁合金伸縮桿，堅固耐用*可摺疊設計，輕薄好收納</v>
      </c>
    </row>
    <row r="992" spans="1:27" ht="19.5" customHeight="1">
      <c r="A992" s="12" t="str">
        <f ca="1">IFERROR(__xludf.DUMMYFUNCTION("""COMPUTED_VALUE"""),"生活家電")</f>
        <v>生活家電</v>
      </c>
      <c r="B992" s="12" t="str">
        <f ca="1">IFERROR(__xludf.DUMMYFUNCTION("""COMPUTED_VALUE"""),"昶宏")</f>
        <v>昶宏</v>
      </c>
      <c r="C992" s="12" t="str">
        <f ca="1">IFERROR(__xludf.DUMMYFUNCTION("""COMPUTED_VALUE"""),"NICONICO")</f>
        <v>NICONICO</v>
      </c>
      <c r="D992" s="12" t="str">
        <f ca="1">IFERROR(__xludf.DUMMYFUNCTION("""COMPUTED_VALUE"""),"NICONICO新一代強力旋風無線吸塵器(白色)NI-L2004")</f>
        <v>NICONICO新一代強力旋風無線吸塵器(白色)NI-L2004</v>
      </c>
      <c r="E992" s="12" t="str">
        <f ca="1">IFERROR(__xludf.DUMMYFUNCTION("""COMPUTED_VALUE"""),"NI-L2004(白色)")</f>
        <v>NI-L2004(白色)</v>
      </c>
      <c r="F992" s="12">
        <f ca="1">IFERROR(__xludf.DUMMYFUNCTION("""COMPUTED_VALUE"""),51078052)</f>
        <v>51078052</v>
      </c>
      <c r="G992" s="12" t="str">
        <f ca="1">IFERROR(__xludf.DUMMYFUNCTION("""COMPUTED_VALUE"""),"IGEM087O")</f>
        <v>IGEM087O</v>
      </c>
      <c r="H992" s="12">
        <f ca="1">IFERROR(__xludf.DUMMYFUNCTION("""COMPUTED_VALUE"""),7980)</f>
        <v>7980</v>
      </c>
      <c r="I992" s="14">
        <f ca="1">IFERROR(__xludf.DUMMYFUNCTION("""COMPUTED_VALUE"""),4680)</f>
        <v>4680</v>
      </c>
      <c r="J992" s="16">
        <f ca="1">IFERROR(__xludf.DUMMYFUNCTION("""COMPUTED_VALUE"""),45141)</f>
        <v>45141</v>
      </c>
      <c r="K992" s="12" t="str">
        <f ca="1">IFERROR(__xludf.DUMMYFUNCTION("""COMPUTED_VALUE"""),"新機上架")</f>
        <v>新機上架</v>
      </c>
      <c r="L992" s="12" t="str">
        <f ca="1">IFERROR(__xludf.DUMMYFUNCTION("""COMPUTED_VALUE"""),"上架中")</f>
        <v>上架中</v>
      </c>
      <c r="M992" s="12" t="str">
        <f ca="1">IFERROR(__xludf.DUMMYFUNCTION("""COMPUTED_VALUE"""),"8/3上架")</f>
        <v>8/3上架</v>
      </c>
      <c r="N992" s="12" t="str">
        <f ca="1">IFERROR(__xludf.DUMMYFUNCTION("""COMPUTED_VALUE"""),"吸塵器")</f>
        <v>吸塵器</v>
      </c>
      <c r="O992" s="12" t="str">
        <f ca="1">IFERROR(__xludf.DUMMYFUNCTION("""COMPUTED_VALUE"""),"白色")</f>
        <v>白色</v>
      </c>
      <c r="P992" s="12"/>
      <c r="Q992" s="12" t="str">
        <f ca="1">IFERROR(__xludf.DUMMYFUNCTION("""COMPUTED_VALUE"""),"1060 (H) x 210 (D) x240 (W) mm")</f>
        <v>1060 (H) x 210 (D) x240 (W) mm</v>
      </c>
      <c r="R992" s="12" t="str">
        <f ca="1">IFERROR(__xludf.DUMMYFUNCTION("""COMPUTED_VALUE"""),"中國")</f>
        <v>中國</v>
      </c>
      <c r="S992" s="12"/>
      <c r="T992" s="12"/>
      <c r="U992" s="12" t="str">
        <f ca="1">IFERROR(__xludf.DUMMYFUNCTION("""COMPUTED_VALUE"""),"1年")</f>
        <v>1年</v>
      </c>
      <c r="V992" s="12"/>
      <c r="W992" s="12"/>
      <c r="X992" s="12"/>
      <c r="Y992" s="12"/>
      <c r="Z992" s="14"/>
      <c r="AA992" s="15" t="str">
        <f ca="1">IFERROR(__xludf.DUMMYFUNCTION("""COMPUTED_VALUE"""),"*直立/手持兩用*強勁吸力，旋風式吸塵*可拆式高效鋰電池，持久續航*升級絨毛滾刷，毛髮不糾纏*多重過濾系統，髒污層層分離*無線設計自在吸塵不牽絆*兩段強弱吸力控制，LED電量顯示*專屬充電收納架，配件擺放更便利*LED照明燈，家具底部深層清潔""
")</f>
        <v xml:space="preserve">*直立/手持兩用*強勁吸力，旋風式吸塵*可拆式高效鋰電池，持久續航*升級絨毛滾刷，毛髮不糾纏*多重過濾系統，髒污層層分離*無線設計自在吸塵不牽絆*兩段強弱吸力控制，LED電量顯示*專屬充電收納架，配件擺放更便利*LED照明燈，家具底部深層清潔"
</v>
      </c>
    </row>
    <row r="993" spans="1:27" ht="19.5" customHeight="1">
      <c r="A993" s="12" t="str">
        <f ca="1">IFERROR(__xludf.DUMMYFUNCTION("""COMPUTED_VALUE"""),"生活家電")</f>
        <v>生活家電</v>
      </c>
      <c r="B993" s="12" t="str">
        <f ca="1">IFERROR(__xludf.DUMMYFUNCTION("""COMPUTED_VALUE"""),"昶宏")</f>
        <v>昶宏</v>
      </c>
      <c r="C993" s="12" t="str">
        <f ca="1">IFERROR(__xludf.DUMMYFUNCTION("""COMPUTED_VALUE"""),"NICONICO")</f>
        <v>NICONICO</v>
      </c>
      <c r="D993" s="12" t="str">
        <f ca="1">IFERROR(__xludf.DUMMYFUNCTION("""COMPUTED_VALUE"""),"NICONICO新一代強力旋風無線吸塵器(灰色)NI-L2004")</f>
        <v>NICONICO新一代強力旋風無線吸塵器(灰色)NI-L2004</v>
      </c>
      <c r="E993" s="12" t="str">
        <f ca="1">IFERROR(__xludf.DUMMYFUNCTION("""COMPUTED_VALUE"""),"NI-L2004(灰色)")</f>
        <v>NI-L2004(灰色)</v>
      </c>
      <c r="F993" s="12">
        <f ca="1">IFERROR(__xludf.DUMMYFUNCTION("""COMPUTED_VALUE"""),51078053)</f>
        <v>51078053</v>
      </c>
      <c r="G993" s="12" t="str">
        <f ca="1">IFERROR(__xludf.DUMMYFUNCTION("""COMPUTED_VALUE"""),"IGEM087P")</f>
        <v>IGEM087P</v>
      </c>
      <c r="H993" s="12">
        <f ca="1">IFERROR(__xludf.DUMMYFUNCTION("""COMPUTED_VALUE"""),7980)</f>
        <v>7980</v>
      </c>
      <c r="I993" s="14">
        <f ca="1">IFERROR(__xludf.DUMMYFUNCTION("""COMPUTED_VALUE"""),4680)</f>
        <v>4680</v>
      </c>
      <c r="J993" s="16">
        <f ca="1">IFERROR(__xludf.DUMMYFUNCTION("""COMPUTED_VALUE"""),45644)</f>
        <v>45644</v>
      </c>
      <c r="K993" s="12" t="str">
        <f ca="1">IFERROR(__xludf.DUMMYFUNCTION("""COMPUTED_VALUE"""),"缺貨")</f>
        <v>缺貨</v>
      </c>
      <c r="L993" s="12" t="str">
        <f ca="1">IFERROR(__xludf.DUMMYFUNCTION("""COMPUTED_VALUE"""),"缺貨")</f>
        <v>缺貨</v>
      </c>
      <c r="M993" s="12" t="str">
        <f ca="1">IFERROR(__xludf.DUMMYFUNCTION("""COMPUTED_VALUE"""),"2024/12/18缺貨，8/3上架")</f>
        <v>2024/12/18缺貨，8/3上架</v>
      </c>
      <c r="N993" s="12" t="str">
        <f ca="1">IFERROR(__xludf.DUMMYFUNCTION("""COMPUTED_VALUE"""),"吸塵器")</f>
        <v>吸塵器</v>
      </c>
      <c r="O993" s="12" t="str">
        <f ca="1">IFERROR(__xludf.DUMMYFUNCTION("""COMPUTED_VALUE"""),"灰色")</f>
        <v>灰色</v>
      </c>
      <c r="P993" s="12"/>
      <c r="Q993" s="12" t="str">
        <f ca="1">IFERROR(__xludf.DUMMYFUNCTION("""COMPUTED_VALUE"""),"1060 (H) x 210 (D) x240 (W) mm")</f>
        <v>1060 (H) x 210 (D) x240 (W) mm</v>
      </c>
      <c r="R993" s="12" t="str">
        <f ca="1">IFERROR(__xludf.DUMMYFUNCTION("""COMPUTED_VALUE"""),"中國")</f>
        <v>中國</v>
      </c>
      <c r="S993" s="12"/>
      <c r="T993" s="12"/>
      <c r="U993" s="12" t="str">
        <f ca="1">IFERROR(__xludf.DUMMYFUNCTION("""COMPUTED_VALUE"""),"1年")</f>
        <v>1年</v>
      </c>
      <c r="V993" s="12"/>
      <c r="W993" s="12"/>
      <c r="X993" s="12"/>
      <c r="Y993" s="12"/>
      <c r="Z993" s="14"/>
      <c r="AA993" s="15" t="str">
        <f ca="1">IFERROR(__xludf.DUMMYFUNCTION("""COMPUTED_VALUE"""),"*直立/手持兩用*強勁吸力，旋風式吸塵*可拆式高效鋰電池，持久續航*升級絨毛滾刷，毛髮不糾纏*多重過濾系統，髒污層層分離*無線設計自在吸塵不牽絆*兩段強弱吸力控制，LED電量顯示*專屬充電收納架，配件擺放更便利*LED照明燈，家具底部深層清潔""
")</f>
        <v xml:space="preserve">*直立/手持兩用*強勁吸力，旋風式吸塵*可拆式高效鋰電池，持久續航*升級絨毛滾刷，毛髮不糾纏*多重過濾系統，髒污層層分離*無線設計自在吸塵不牽絆*兩段強弱吸力控制，LED電量顯示*專屬充電收納架，配件擺放更便利*LED照明燈，家具底部深層清潔"
</v>
      </c>
    </row>
    <row r="994" spans="1:27" ht="19.5" customHeight="1">
      <c r="A994" s="12" t="str">
        <f ca="1">IFERROR(__xludf.DUMMYFUNCTION("""COMPUTED_VALUE"""),"生活家電")</f>
        <v>生活家電</v>
      </c>
      <c r="B994" s="12" t="str">
        <f ca="1">IFERROR(__xludf.DUMMYFUNCTION("""COMPUTED_VALUE"""),"昶宏")</f>
        <v>昶宏</v>
      </c>
      <c r="C994" s="12" t="str">
        <f ca="1">IFERROR(__xludf.DUMMYFUNCTION("""COMPUTED_VALUE"""),"NICONICO")</f>
        <v>NICONICO</v>
      </c>
      <c r="D994" s="12" t="str">
        <f ca="1">IFERROR(__xludf.DUMMYFUNCTION("""COMPUTED_VALUE"""),"NICONICO美型電動除毛球機NI-LB2316")</f>
        <v>NICONICO美型電動除毛球機NI-LB2316</v>
      </c>
      <c r="E994" s="12" t="str">
        <f ca="1">IFERROR(__xludf.DUMMYFUNCTION("""COMPUTED_VALUE"""),"NI-LB2316")</f>
        <v>NI-LB2316</v>
      </c>
      <c r="F994" s="12">
        <f ca="1">IFERROR(__xludf.DUMMYFUNCTION("""COMPUTED_VALUE"""),51078062)</f>
        <v>51078062</v>
      </c>
      <c r="G994" s="12" t="str">
        <f ca="1">IFERROR(__xludf.DUMMYFUNCTION("""COMPUTED_VALUE"""),"IGEM103Z")</f>
        <v>IGEM103Z</v>
      </c>
      <c r="H994" s="13">
        <f ca="1">IFERROR(__xludf.DUMMYFUNCTION("""COMPUTED_VALUE"""),999)</f>
        <v>999</v>
      </c>
      <c r="I994" s="14">
        <f ca="1">IFERROR(__xludf.DUMMYFUNCTION("""COMPUTED_VALUE"""),699)</f>
        <v>699</v>
      </c>
      <c r="J994" s="16">
        <f ca="1">IFERROR(__xludf.DUMMYFUNCTION("""COMPUTED_VALUE"""),45671)</f>
        <v>45671</v>
      </c>
      <c r="K994" s="12" t="str">
        <f ca="1">IFERROR(__xludf.DUMMYFUNCTION("""COMPUTED_VALUE"""),"缺貨")</f>
        <v>缺貨</v>
      </c>
      <c r="L994" s="12" t="str">
        <f ca="1">IFERROR(__xludf.DUMMYFUNCTION("""COMPUTED_VALUE"""),"缺貨")</f>
        <v>缺貨</v>
      </c>
      <c r="M994" s="12" t="str">
        <f ca="1">IFERROR(__xludf.DUMMYFUNCTION("""COMPUTED_VALUE"""),"2025/1/14缺貨，2024/7/1新機上架")</f>
        <v>2025/1/14缺貨，2024/7/1新機上架</v>
      </c>
      <c r="N994" s="12" t="str">
        <f ca="1">IFERROR(__xludf.DUMMYFUNCTION("""COMPUTED_VALUE"""),"除毛球機")</f>
        <v>除毛球機</v>
      </c>
      <c r="O994" s="12" t="str">
        <f ca="1">IFERROR(__xludf.DUMMYFUNCTION("""COMPUTED_VALUE"""),"白色")</f>
        <v>白色</v>
      </c>
      <c r="P994" s="12"/>
      <c r="Q994" s="12" t="str">
        <f ca="1">IFERROR(__xludf.DUMMYFUNCTION("""COMPUTED_VALUE"""),"112 (H) x 80 (D) x110 (W)mm")</f>
        <v>112 (H) x 80 (D) x110 (W)mm</v>
      </c>
      <c r="R994" s="12" t="str">
        <f ca="1">IFERROR(__xludf.DUMMYFUNCTION("""COMPUTED_VALUE"""),"中國")</f>
        <v>中國</v>
      </c>
      <c r="S994" s="12"/>
      <c r="T994" s="12"/>
      <c r="U994" s="12" t="str">
        <f ca="1">IFERROR(__xludf.DUMMYFUNCTION("""COMPUTED_VALUE"""),"1年")</f>
        <v>1年</v>
      </c>
      <c r="V994" s="12"/>
      <c r="W994" s="12"/>
      <c r="X994" s="12"/>
      <c r="Y994" s="12"/>
      <c r="Z994" s="14"/>
      <c r="AA994" s="15" t="str">
        <f ca="1">IFERROR(__xludf.DUMMYFUNCTION("""COMPUTED_VALUE"""),"*DC馬達，8000RPM大馬力*高轉速去除毛球，修剪更徹底*6葉鋒利刀頭，持久耐用*耐磨不鏽鋼網罩，去毛球同時保護衣物*兩段調速切換，可依不同材質選擇*TYPE-C接頭，可充電/插電兩用*可水洗刀頭及網罩，拆卸清潔更方便*磁吸式設計，大容量集塵盒*高效鋰電池，持久續航")</f>
        <v>*DC馬達，8000RPM大馬力*高轉速去除毛球，修剪更徹底*6葉鋒利刀頭，持久耐用*耐磨不鏽鋼網罩，去毛球同時保護衣物*兩段調速切換，可依不同材質選擇*TYPE-C接頭，可充電/插電兩用*可水洗刀頭及網罩，拆卸清潔更方便*磁吸式設計，大容量集塵盒*高效鋰電池，持久續航</v>
      </c>
    </row>
    <row r="995" spans="1:27" ht="19.5" customHeight="1">
      <c r="A995" s="12" t="str">
        <f ca="1">IFERROR(__xludf.DUMMYFUNCTION("""COMPUTED_VALUE"""),"生活家電")</f>
        <v>生活家電</v>
      </c>
      <c r="B995" s="12" t="str">
        <f ca="1">IFERROR(__xludf.DUMMYFUNCTION("""COMPUTED_VALUE"""),"昶宏")</f>
        <v>昶宏</v>
      </c>
      <c r="C995" s="12" t="str">
        <f ca="1">IFERROR(__xludf.DUMMYFUNCTION("""COMPUTED_VALUE"""),"NICONICO")</f>
        <v>NICONICO</v>
      </c>
      <c r="D995" s="12" t="str">
        <f ca="1">IFERROR(__xludf.DUMMYFUNCTION("""COMPUTED_VALUE"""),"NICONICO 12吋DC觸控摺疊循環扇NI-DC2403")</f>
        <v>NICONICO 12吋DC觸控摺疊循環扇NI-DC2403</v>
      </c>
      <c r="E995" s="12" t="str">
        <f ca="1">IFERROR(__xludf.DUMMYFUNCTION("""COMPUTED_VALUE"""),"NI-DC2403")</f>
        <v>NI-DC2403</v>
      </c>
      <c r="F995" s="12">
        <f ca="1">IFERROR(__xludf.DUMMYFUNCTION("""COMPUTED_VALUE"""),51078063)</f>
        <v>51078063</v>
      </c>
      <c r="G995" s="12" t="str">
        <f ca="1">IFERROR(__xludf.DUMMYFUNCTION("""COMPUTED_VALUE"""),"IGEM108O")</f>
        <v>IGEM108O</v>
      </c>
      <c r="H995" s="13">
        <f ca="1">IFERROR(__xludf.DUMMYFUNCTION("""COMPUTED_VALUE"""),3680)</f>
        <v>3680</v>
      </c>
      <c r="I995" s="14">
        <f ca="1">IFERROR(__xludf.DUMMYFUNCTION("""COMPUTED_VALUE"""),2099)</f>
        <v>2099</v>
      </c>
      <c r="J995" s="16">
        <f ca="1">IFERROR(__xludf.DUMMYFUNCTION("""COMPUTED_VALUE"""),45536)</f>
        <v>45536</v>
      </c>
      <c r="K995" s="12" t="str">
        <f ca="1">IFERROR(__xludf.DUMMYFUNCTION("""COMPUTED_VALUE"""),"新機上架")</f>
        <v>新機上架</v>
      </c>
      <c r="L995" s="12" t="str">
        <f ca="1">IFERROR(__xludf.DUMMYFUNCTION("""COMPUTED_VALUE"""),"上架中")</f>
        <v>上架中</v>
      </c>
      <c r="M995" s="12" t="str">
        <f ca="1">IFERROR(__xludf.DUMMYFUNCTION("""COMPUTED_VALUE"""),"2024/9/1新機上架")</f>
        <v>2024/9/1新機上架</v>
      </c>
      <c r="N995" s="12" t="str">
        <f ca="1">IFERROR(__xludf.DUMMYFUNCTION("""COMPUTED_VALUE"""),"循環扇")</f>
        <v>循環扇</v>
      </c>
      <c r="O995" s="12" t="str">
        <f ca="1">IFERROR(__xludf.DUMMYFUNCTION("""COMPUTED_VALUE"""),"白色")</f>
        <v>白色</v>
      </c>
      <c r="P995" s="12"/>
      <c r="Q995" s="12" t="str">
        <f ca="1">IFERROR(__xludf.DUMMYFUNCTION("""COMPUTED_VALUE"""),"摺疊尺寸：148 (H)  x 295 (D) x295 (W) mm")</f>
        <v>摺疊尺寸：148 (H)  x 295 (D) x295 (W) mm</v>
      </c>
      <c r="R995" s="12" t="str">
        <f ca="1">IFERROR(__xludf.DUMMYFUNCTION("""COMPUTED_VALUE"""),"中國")</f>
        <v>中國</v>
      </c>
      <c r="S995" s="12"/>
      <c r="T995" s="12"/>
      <c r="U995" s="12" t="str">
        <f ca="1">IFERROR(__xludf.DUMMYFUNCTION("""COMPUTED_VALUE"""),"1年")</f>
        <v>1年</v>
      </c>
      <c r="V995" s="12"/>
      <c r="W995" s="12"/>
      <c r="X995" s="12"/>
      <c r="Y995" s="12"/>
      <c r="Z995" s="14"/>
      <c r="AA995" s="15" t="str">
        <f ca="1">IFERROR(__xludf.DUMMYFUNCTION("""COMPUTED_VALUE"""),"*充電式設計，停電/露營好幫手*左右擺頭+180度大角度調整*9+9雙層葉扇*八段風速調整*智能定時可達8小時*高效鋰電池，持久續航*鋁合金伸縮桿，桌扇/落地兩用
")</f>
        <v xml:space="preserve">*充電式設計，停電/露營好幫手*左右擺頭+180度大角度調整*9+9雙層葉扇*八段風速調整*智能定時可達8小時*高效鋰電池，持久續航*鋁合金伸縮桿，桌扇/落地兩用
</v>
      </c>
    </row>
    <row r="996" spans="1:27" ht="19.5" customHeight="1">
      <c r="A996" s="12" t="str">
        <f ca="1">IFERROR(__xludf.DUMMYFUNCTION("""COMPUTED_VALUE"""),"生活家電")</f>
        <v>生活家電</v>
      </c>
      <c r="B996" s="12" t="str">
        <f ca="1">IFERROR(__xludf.DUMMYFUNCTION("""COMPUTED_VALUE"""),"昶宏")</f>
        <v>昶宏</v>
      </c>
      <c r="C996" s="12" t="str">
        <f ca="1">IFERROR(__xludf.DUMMYFUNCTION("""COMPUTED_VALUE"""),"kokomo")</f>
        <v>kokomo</v>
      </c>
      <c r="D996" s="12" t="str">
        <f ca="1">IFERROR(__xludf.DUMMYFUNCTION("""COMPUTED_VALUE"""),"kokomo 升降摺疊DC充電風扇KO-S2034")</f>
        <v>kokomo 升降摺疊DC充電風扇KO-S2034</v>
      </c>
      <c r="E996" s="12" t="str">
        <f ca="1">IFERROR(__xludf.DUMMYFUNCTION("""COMPUTED_VALUE"""),"KO-S2034")</f>
        <v>KO-S2034</v>
      </c>
      <c r="F996" s="12">
        <f ca="1">IFERROR(__xludf.DUMMYFUNCTION("""COMPUTED_VALUE"""),51078061)</f>
        <v>51078061</v>
      </c>
      <c r="G996" s="12" t="str">
        <f ca="1">IFERROR(__xludf.DUMMYFUNCTION("""COMPUTED_VALUE"""),"IGEM103Y")</f>
        <v>IGEM103Y</v>
      </c>
      <c r="H996" s="13">
        <f ca="1">IFERROR(__xludf.DUMMYFUNCTION("""COMPUTED_VALUE"""),4980)</f>
        <v>4980</v>
      </c>
      <c r="I996" s="14">
        <f ca="1">IFERROR(__xludf.DUMMYFUNCTION("""COMPUTED_VALUE"""),2980)</f>
        <v>2980</v>
      </c>
      <c r="J996" s="16">
        <f ca="1">IFERROR(__xludf.DUMMYFUNCTION("""COMPUTED_VALUE"""),45474)</f>
        <v>45474</v>
      </c>
      <c r="K996" s="12" t="str">
        <f ca="1">IFERROR(__xludf.DUMMYFUNCTION("""COMPUTED_VALUE"""),"新機上架")</f>
        <v>新機上架</v>
      </c>
      <c r="L996" s="12" t="str">
        <f ca="1">IFERROR(__xludf.DUMMYFUNCTION("""COMPUTED_VALUE"""),"上架中")</f>
        <v>上架中</v>
      </c>
      <c r="M996" s="12" t="str">
        <f ca="1">IFERROR(__xludf.DUMMYFUNCTION("""COMPUTED_VALUE"""),"2024/7/1新機上架")</f>
        <v>2024/7/1新機上架</v>
      </c>
      <c r="N996" s="12" t="str">
        <f ca="1">IFERROR(__xludf.DUMMYFUNCTION("""COMPUTED_VALUE"""),"風扇")</f>
        <v>風扇</v>
      </c>
      <c r="O996" s="12" t="str">
        <f ca="1">IFERROR(__xludf.DUMMYFUNCTION("""COMPUTED_VALUE"""),"黑色")</f>
        <v>黑色</v>
      </c>
      <c r="P996" s="12"/>
      <c r="Q996" s="12" t="str">
        <f ca="1">IFERROR(__xludf.DUMMYFUNCTION("""COMPUTED_VALUE"""),"摺疊尺寸：670 (H) x 70 (D) x358 (W)  mm")</f>
        <v>摺疊尺寸：670 (H) x 70 (D) x358 (W)  mm</v>
      </c>
      <c r="R996" s="12" t="str">
        <f ca="1">IFERROR(__xludf.DUMMYFUNCTION("""COMPUTED_VALUE"""),"中國")</f>
        <v>中國</v>
      </c>
      <c r="S996" s="12"/>
      <c r="T996" s="12"/>
      <c r="U996" s="12" t="str">
        <f ca="1">IFERROR(__xludf.DUMMYFUNCTION("""COMPUTED_VALUE"""),"1年")</f>
        <v>1年</v>
      </c>
      <c r="V996" s="12"/>
      <c r="W996" s="12"/>
      <c r="X996" s="12"/>
      <c r="Y996" s="12"/>
      <c r="Z996" s="14"/>
      <c r="AA996" s="15" t="str">
        <f ca="1">IFERROR(__xludf.DUMMYFUNCTION("""COMPUTED_VALUE"""),"*充電設計可無線使用，停電/露營好幫手*DC直流無刷馬達，安靜又省電*8+8雙層扇葉，自然柔風更舒適*高效鋰電池，持久續航*左右擺頭+180度俯仰調整*八段風速可調，可無線遙控*智能定時可達8小時*桌扇/落地兩用，高度三段自由調整*鋁合金伸縮桿，堅固耐用*可摺疊收納，輕薄不占空間")</f>
        <v>*充電設計可無線使用，停電/露營好幫手*DC直流無刷馬達，安靜又省電*8+8雙層扇葉，自然柔風更舒適*高效鋰電池，持久續航*左右擺頭+180度俯仰調整*八段風速可調，可無線遙控*智能定時可達8小時*桌扇/落地兩用，高度三段自由調整*鋁合金伸縮桿，堅固耐用*可摺疊收納，輕薄不占空間</v>
      </c>
    </row>
    <row r="997" spans="1:27" ht="19.5" customHeight="1">
      <c r="A997" s="12" t="str">
        <f ca="1">IFERROR(__xludf.DUMMYFUNCTION("""COMPUTED_VALUE"""),"生活家電")</f>
        <v>生活家電</v>
      </c>
      <c r="B997" s="12" t="str">
        <f ca="1">IFERROR(__xludf.DUMMYFUNCTION("""COMPUTED_VALUE"""),"昶宏")</f>
        <v>昶宏</v>
      </c>
      <c r="C997" s="12" t="str">
        <f ca="1">IFERROR(__xludf.DUMMYFUNCTION("""COMPUTED_VALUE"""),"NICONICO")</f>
        <v>NICONICO</v>
      </c>
      <c r="D997" s="12" t="str">
        <f ca="1">IFERROR(__xludf.DUMMYFUNCTION("""COMPUTED_VALUE"""),"NICONICO自動雙電壓極速吹風機NI-IH2413")</f>
        <v>NICONICO自動雙電壓極速吹風機NI-IH2413</v>
      </c>
      <c r="E997" s="12" t="str">
        <f ca="1">IFERROR(__xludf.DUMMYFUNCTION("""COMPUTED_VALUE"""),"NI-IH2413")</f>
        <v>NI-IH2413</v>
      </c>
      <c r="F997" s="12">
        <f ca="1">IFERROR(__xludf.DUMMYFUNCTION("""COMPUTED_VALUE"""),51078064)</f>
        <v>51078064</v>
      </c>
      <c r="G997" s="12" t="str">
        <f ca="1">IFERROR(__xludf.DUMMYFUNCTION("""COMPUTED_VALUE"""),"IGEM1166")</f>
        <v>IGEM1166</v>
      </c>
      <c r="H997" s="13">
        <f ca="1">IFERROR(__xludf.DUMMYFUNCTION("""COMPUTED_VALUE"""),4980)</f>
        <v>4980</v>
      </c>
      <c r="I997" s="14">
        <f ca="1">IFERROR(__xludf.DUMMYFUNCTION("""COMPUTED_VALUE"""),2780)</f>
        <v>2780</v>
      </c>
      <c r="J997" s="16">
        <f ca="1">IFERROR(__xludf.DUMMYFUNCTION("""COMPUTED_VALUE"""),45658)</f>
        <v>45658</v>
      </c>
      <c r="K997" s="12" t="str">
        <f ca="1">IFERROR(__xludf.DUMMYFUNCTION("""COMPUTED_VALUE"""),"新機上架")</f>
        <v>新機上架</v>
      </c>
      <c r="L997" s="12" t="str">
        <f ca="1">IFERROR(__xludf.DUMMYFUNCTION("""COMPUTED_VALUE"""),"上架中")</f>
        <v>上架中</v>
      </c>
      <c r="M997" s="12" t="str">
        <f ca="1">IFERROR(__xludf.DUMMYFUNCTION("""COMPUTED_VALUE"""),"2025/1/1新機上架")</f>
        <v>2025/1/1新機上架</v>
      </c>
      <c r="N997" s="12" t="str">
        <f ca="1">IFERROR(__xludf.DUMMYFUNCTION("""COMPUTED_VALUE"""),"吹風機/造型整髮器")</f>
        <v>吹風機/造型整髮器</v>
      </c>
      <c r="O997" s="12" t="str">
        <f ca="1">IFERROR(__xludf.DUMMYFUNCTION("""COMPUTED_VALUE"""),"灰色")</f>
        <v>灰色</v>
      </c>
      <c r="P997" s="12"/>
      <c r="Q997" s="12" t="str">
        <f ca="1">IFERROR(__xludf.DUMMYFUNCTION("""COMPUTED_VALUE""")," 243 (H) x218 (W) x 51 (D) mm")</f>
        <v xml:space="preserve"> 243 (H) x218 (W) x 51 (D) mm</v>
      </c>
      <c r="R997" s="12" t="str">
        <f ca="1">IFERROR(__xludf.DUMMYFUNCTION("""COMPUTED_VALUE"""),"中國")</f>
        <v>中國</v>
      </c>
      <c r="S997" s="12"/>
      <c r="T997" s="12"/>
      <c r="U997" s="12" t="str">
        <f ca="1">IFERROR(__xludf.DUMMYFUNCTION("""COMPUTED_VALUE"""),"1年")</f>
        <v>1年</v>
      </c>
      <c r="V997" s="12"/>
      <c r="W997" s="12"/>
      <c r="X997" s="12"/>
      <c r="Y997" s="12"/>
      <c r="Z997" s="14"/>
      <c r="AA997" s="15" t="str">
        <f ca="1">IFERROR(__xludf.DUMMYFUNCTION("""COMPUTED_VALUE"""),"*100-240V全球通用，自動變壓*11萬轉高速乾髮，超大風力*1億等離子釋放，從根源深度護髮*智能控溫，杜絕髮絲熱傷害*輕量化設計，吹髮不再像重訓*三段風速，二檔瘋溫，自由選擇")</f>
        <v>*100-240V全球通用，自動變壓*11萬轉高速乾髮，超大風力*1億等離子釋放，從根源深度護髮*智能控溫，杜絕髮絲熱傷害*輕量化設計，吹髮不再像重訓*三段風速，二檔瘋溫，自由選擇</v>
      </c>
    </row>
    <row r="998" spans="1:27" ht="19.5" customHeight="1">
      <c r="A998" s="12" t="str">
        <f ca="1">IFERROR(__xludf.DUMMYFUNCTION("""COMPUTED_VALUE"""),"廚房家電")</f>
        <v>廚房家電</v>
      </c>
      <c r="B998" s="12" t="str">
        <f ca="1">IFERROR(__xludf.DUMMYFUNCTION("""COMPUTED_VALUE"""),"昶宏")</f>
        <v>昶宏</v>
      </c>
      <c r="C998" s="12" t="str">
        <f ca="1">IFERROR(__xludf.DUMMYFUNCTION("""COMPUTED_VALUE"""),"NICONICO")</f>
        <v>NICONICO</v>
      </c>
      <c r="D998" s="12" t="str">
        <f ca="1">IFERROR(__xludf.DUMMYFUNCTION("""COMPUTED_VALUE"""),"NICONICO1.7L日式陶瓷料理鍋NI-GP930")</f>
        <v>NICONICO1.7L日式陶瓷料理鍋NI-GP930</v>
      </c>
      <c r="E998" s="12" t="str">
        <f ca="1">IFERROR(__xludf.DUMMYFUNCTION("""COMPUTED_VALUE"""),"NI-GP930")</f>
        <v>NI-GP930</v>
      </c>
      <c r="F998" s="12">
        <f ca="1">IFERROR(__xludf.DUMMYFUNCTION("""COMPUTED_VALUE"""),51078019)</f>
        <v>51078019</v>
      </c>
      <c r="G998" s="12" t="str">
        <f ca="1">IFERROR(__xludf.DUMMYFUNCTION("""COMPUTED_VALUE"""),"IGEM027Y")</f>
        <v>IGEM027Y</v>
      </c>
      <c r="H998" s="12">
        <f ca="1">IFERROR(__xludf.DUMMYFUNCTION("""COMPUTED_VALUE"""),1180)</f>
        <v>1180</v>
      </c>
      <c r="I998" s="14">
        <f ca="1">IFERROR(__xludf.DUMMYFUNCTION("""COMPUTED_VALUE"""),888)</f>
        <v>888</v>
      </c>
      <c r="J998" s="12"/>
      <c r="K998" s="12"/>
      <c r="L998" s="12" t="str">
        <f ca="1">IFERROR(__xludf.DUMMYFUNCTION("""COMPUTED_VALUE"""),"上架中")</f>
        <v>上架中</v>
      </c>
      <c r="M998" s="12" t="str">
        <f ca="1">IFERROR(__xludf.DUMMYFUNCTION("""COMPUTED_VALUE"""),"2021/11/19到貨/110/11/15缺貨.110/8/17到貨.6/29缺貨.110/1/12新機")</f>
        <v>2021/11/19到貨/110/11/15缺貨.110/8/17到貨.6/29缺貨.110/1/12新機</v>
      </c>
      <c r="N998" s="12" t="str">
        <f ca="1">IFERROR(__xludf.DUMMYFUNCTION("""COMPUTED_VALUE"""),"多功能調理鍋/蒸氣烘烤爐")</f>
        <v>多功能調理鍋/蒸氣烘烤爐</v>
      </c>
      <c r="O998" s="12" t="str">
        <f ca="1">IFERROR(__xludf.DUMMYFUNCTION("""COMPUTED_VALUE"""),"白色")</f>
        <v>白色</v>
      </c>
      <c r="P998" s="12" t="str">
        <f ca="1">IFERROR(__xludf.DUMMYFUNCTION("""COMPUTED_VALUE"""),"產品重量:1.07kg
包裝尺寸:240x240x165mm
額定電壓/頻率:110v/60hz
")</f>
        <v xml:space="preserve">產品重量:1.07kg
包裝尺寸:240x240x165mm
額定電壓/頻率:110v/60hz
</v>
      </c>
      <c r="Q998" s="12" t="str">
        <f ca="1">IFERROR(__xludf.DUMMYFUNCTION("""COMPUTED_VALUE"""),"146x210x250mm高寬長mm
")</f>
        <v xml:space="preserve">146x210x250mm高寬長mm
</v>
      </c>
      <c r="R998" s="12" t="str">
        <f ca="1">IFERROR(__xludf.DUMMYFUNCTION("""COMPUTED_VALUE"""),"中國")</f>
        <v>中國</v>
      </c>
      <c r="S998" s="12"/>
      <c r="T998" s="12"/>
      <c r="U998" s="12" t="str">
        <f ca="1">IFERROR(__xludf.DUMMYFUNCTION("""COMPUTED_VALUE"""),"1年")</f>
        <v>1年</v>
      </c>
      <c r="V998" s="12"/>
      <c r="W998" s="12"/>
      <c r="X998" s="12"/>
      <c r="Y998" s="12"/>
      <c r="Z998" s="14"/>
      <c r="AA998" s="15" t="str">
        <f ca="1">IFERROR(__xludf.DUMMYFUNCTION("""COMPUTED_VALUE"""),"*多樣化料理，燉、煮、煎、炒、炸
*啟動指示燈，電源啟動清楚明瞭
*內鍋陶瓷塗層，鍋底不沾黏好料理
*二檔火力調節鈕，料理食物隨心所欲
*透明玻璃鍋蓋設計，烹調狀況一目瞭然
")</f>
        <v xml:space="preserve">*多樣化料理，燉、煮、煎、炒、炸
*啟動指示燈，電源啟動清楚明瞭
*內鍋陶瓷塗層，鍋底不沾黏好料理
*二檔火力調節鈕，料理食物隨心所欲
*透明玻璃鍋蓋設計，烹調狀況一目瞭然
</v>
      </c>
    </row>
    <row r="999" spans="1:27" ht="19.5" customHeight="1">
      <c r="A999" s="12" t="str">
        <f ca="1">IFERROR(__xludf.DUMMYFUNCTION("""COMPUTED_VALUE"""),"廚房家電")</f>
        <v>廚房家電</v>
      </c>
      <c r="B999" s="12" t="str">
        <f ca="1">IFERROR(__xludf.DUMMYFUNCTION("""COMPUTED_VALUE"""),"昶宏")</f>
        <v>昶宏</v>
      </c>
      <c r="C999" s="12" t="str">
        <f ca="1">IFERROR(__xludf.DUMMYFUNCTION("""COMPUTED_VALUE"""),"NICONICO")</f>
        <v>NICONICO</v>
      </c>
      <c r="D999" s="12" t="str">
        <f ca="1">IFERROR(__xludf.DUMMYFUNCTION("""COMPUTED_VALUE"""),"NICONICO日式蒸煮陶瓷料理鍋(長手柄設計)NI-GP931")</f>
        <v>NICONICO日式蒸煮陶瓷料理鍋(長手柄設計)NI-GP931</v>
      </c>
      <c r="E999" s="12" t="str">
        <f ca="1">IFERROR(__xludf.DUMMYFUNCTION("""COMPUTED_VALUE"""),"NI-GP931")</f>
        <v>NI-GP931</v>
      </c>
      <c r="F999" s="12">
        <f ca="1">IFERROR(__xludf.DUMMYFUNCTION("""COMPUTED_VALUE"""),51078020)</f>
        <v>51078020</v>
      </c>
      <c r="G999" s="12" t="str">
        <f ca="1">IFERROR(__xludf.DUMMYFUNCTION("""COMPUTED_VALUE"""),"IGEM027Z")</f>
        <v>IGEM027Z</v>
      </c>
      <c r="H999" s="12">
        <f ca="1">IFERROR(__xludf.DUMMYFUNCTION("""COMPUTED_VALUE"""),1580)</f>
        <v>1580</v>
      </c>
      <c r="I999" s="14">
        <f ca="1">IFERROR(__xludf.DUMMYFUNCTION("""COMPUTED_VALUE"""),1180)</f>
        <v>1180</v>
      </c>
      <c r="J999" s="12"/>
      <c r="K999" s="12"/>
      <c r="L999" s="12" t="str">
        <f ca="1">IFERROR(__xludf.DUMMYFUNCTION("""COMPUTED_VALUE"""),"上架中")</f>
        <v>上架中</v>
      </c>
      <c r="M999" s="12" t="str">
        <f ca="1">IFERROR(__xludf.DUMMYFUNCTION("""COMPUTED_VALUE"""),"2022/5/30到貨、2022/5/11缺貨、預計五月底到貨、2021/10/22到貨、2021/10/14缺貨、2021/8/17到貨、2021/6/29缺貨、2021/1/12新機")</f>
        <v>2022/5/30到貨、2022/5/11缺貨、預計五月底到貨、2021/10/22到貨、2021/10/14缺貨、2021/8/17到貨、2021/6/29缺貨、2021/1/12新機</v>
      </c>
      <c r="N999" s="12" t="str">
        <f ca="1">IFERROR(__xludf.DUMMYFUNCTION("""COMPUTED_VALUE"""),"多功能調理鍋/蒸氣烘烤爐")</f>
        <v>多功能調理鍋/蒸氣烘烤爐</v>
      </c>
      <c r="O999" s="12" t="str">
        <f ca="1">IFERROR(__xludf.DUMMYFUNCTION("""COMPUTED_VALUE"""),"白色")</f>
        <v>白色</v>
      </c>
      <c r="P999" s="12" t="str">
        <f ca="1">IFERROR(__xludf.DUMMYFUNCTION("""COMPUTED_VALUE"""),"產品重量:1.32KG
包裝尺寸:410*230*140mm
包裝重量:1.6KG
消耗功率:600w
額定電壓/頻率:110v/60hz
")</f>
        <v xml:space="preserve">產品重量:1.32KG
包裝尺寸:410*230*140mm
包裝重量:1.6KG
消耗功率:600w
額定電壓/頻率:110v/60hz
</v>
      </c>
      <c r="Q999" s="12" t="str">
        <f ca="1">IFERROR(__xludf.DUMMYFUNCTION("""COMPUTED_VALUE"""),"187*230*367mm高寬長mm
")</f>
        <v xml:space="preserve">187*230*367mm高寬長mm
</v>
      </c>
      <c r="R999" s="12" t="str">
        <f ca="1">IFERROR(__xludf.DUMMYFUNCTION("""COMPUTED_VALUE"""),"中國")</f>
        <v>中國</v>
      </c>
      <c r="S999" s="12"/>
      <c r="T999" s="12"/>
      <c r="U999" s="12" t="str">
        <f ca="1">IFERROR(__xludf.DUMMYFUNCTION("""COMPUTED_VALUE"""),"1年")</f>
        <v>1年</v>
      </c>
      <c r="V999" s="12"/>
      <c r="W999" s="12"/>
      <c r="X999" s="12"/>
      <c r="Y999" s="12"/>
      <c r="Z999" s="14"/>
      <c r="AA999" s="15" t="str">
        <f ca="1">IFERROR(__xludf.DUMMYFUNCTION("""COMPUTED_VALUE"""),"*附設蒸籠，上蒸下煮同時進行*多樣化料理，燉、煮、煎、炒、炸、蒸*啟動指示燈，電源啟動清楚明瞭*內鍋陶瓷塗層，鍋底不沾黏好料*二檔火力調節鈕，料理食物隨心所欲*透明玻璃鍋蓋設計，烹調狀況一目瞭然*長手柄設計更好操作、清潔*1.5L容量")</f>
        <v>*附設蒸籠，上蒸下煮同時進行*多樣化料理，燉、煮、煎、炒、炸、蒸*啟動指示燈，電源啟動清楚明瞭*內鍋陶瓷塗層，鍋底不沾黏好料*二檔火力調節鈕，料理食物隨心所欲*透明玻璃鍋蓋設計，烹調狀況一目瞭然*長手柄設計更好操作、清潔*1.5L容量</v>
      </c>
    </row>
    <row r="1000" spans="1:27" ht="19.5" customHeight="1">
      <c r="A1000" s="12" t="str">
        <f ca="1">IFERROR(__xludf.DUMMYFUNCTION("""COMPUTED_VALUE"""),"廚房家電")</f>
        <v>廚房家電</v>
      </c>
      <c r="B1000" s="12" t="str">
        <f ca="1">IFERROR(__xludf.DUMMYFUNCTION("""COMPUTED_VALUE"""),"昶宏")</f>
        <v>昶宏</v>
      </c>
      <c r="C1000" s="12" t="str">
        <f ca="1">IFERROR(__xludf.DUMMYFUNCTION("""COMPUTED_VALUE"""),"NICONICO")</f>
        <v>NICONICO</v>
      </c>
      <c r="D1000" s="12" t="str">
        <f ca="1">IFERROR(__xludf.DUMMYFUNCTION("""COMPUTED_VALUE"""),"NICONICO2.7L日式美型陶瓷料理鍋NI-GP932")</f>
        <v>NICONICO2.7L日式美型陶瓷料理鍋NI-GP932</v>
      </c>
      <c r="E1000" s="12" t="str">
        <f ca="1">IFERROR(__xludf.DUMMYFUNCTION("""COMPUTED_VALUE"""),"NI-GP932")</f>
        <v>NI-GP932</v>
      </c>
      <c r="F1000" s="12">
        <f ca="1">IFERROR(__xludf.DUMMYFUNCTION("""COMPUTED_VALUE"""),51078021)</f>
        <v>51078021</v>
      </c>
      <c r="G1000" s="12" t="str">
        <f ca="1">IFERROR(__xludf.DUMMYFUNCTION("""COMPUTED_VALUE"""),"IGEM0280")</f>
        <v>IGEM0280</v>
      </c>
      <c r="H1000" s="12">
        <f ca="1">IFERROR(__xludf.DUMMYFUNCTION("""COMPUTED_VALUE"""),1580)</f>
        <v>1580</v>
      </c>
      <c r="I1000" s="14">
        <f ca="1">IFERROR(__xludf.DUMMYFUNCTION("""COMPUTED_VALUE"""),1180)</f>
        <v>1180</v>
      </c>
      <c r="J1000" s="12"/>
      <c r="K1000" s="12"/>
      <c r="L1000" s="12" t="str">
        <f ca="1">IFERROR(__xludf.DUMMYFUNCTION("""COMPUTED_VALUE"""),"上架中")</f>
        <v>上架中</v>
      </c>
      <c r="M1000" s="12" t="str">
        <f ca="1">IFERROR(__xludf.DUMMYFUNCTION("""COMPUTED_VALUE"""),"2021/8/17到貨.6/29缺貨.2021/1/12新機")</f>
        <v>2021/8/17到貨.6/29缺貨.2021/1/12新機</v>
      </c>
      <c r="N1000" s="12" t="str">
        <f ca="1">IFERROR(__xludf.DUMMYFUNCTION("""COMPUTED_VALUE"""),"多功能調理鍋/蒸氣烘烤爐")</f>
        <v>多功能調理鍋/蒸氣烘烤爐</v>
      </c>
      <c r="O1000" s="12" t="str">
        <f ca="1">IFERROR(__xludf.DUMMYFUNCTION("""COMPUTED_VALUE"""),"白色")</f>
        <v>白色</v>
      </c>
      <c r="P1000" s="12" t="str">
        <f ca="1">IFERROR(__xludf.DUMMYFUNCTION("""COMPUTED_VALUE"""),"包裝尺寸300*24*170mm
產品重量:1.29kg
包裝重量:1.6kg
使用電源:110v/60hz
消耗功率:700W
")</f>
        <v xml:space="preserve">包裝尺寸300*24*170mm
產品重量:1.29kg
包裝重量:1.6kg
使用電源:110v/60hz
消耗功率:700W
</v>
      </c>
      <c r="Q1000" s="12" t="str">
        <f ca="1">IFERROR(__xludf.DUMMYFUNCTION("""COMPUTED_VALUE"""),"178*240*285mm高寬長mm
")</f>
        <v xml:space="preserve">178*240*285mm高寬長mm
</v>
      </c>
      <c r="R1000" s="12" t="str">
        <f ca="1">IFERROR(__xludf.DUMMYFUNCTION("""COMPUTED_VALUE"""),"中國")</f>
        <v>中國</v>
      </c>
      <c r="S1000" s="12"/>
      <c r="T1000" s="12"/>
      <c r="U1000" s="12" t="str">
        <f ca="1">IFERROR(__xludf.DUMMYFUNCTION("""COMPUTED_VALUE"""),"1年")</f>
        <v>1年</v>
      </c>
      <c r="V1000" s="12"/>
      <c r="W1000" s="12"/>
      <c r="X1000" s="12"/>
      <c r="Y1000" s="12"/>
      <c r="Z1000" s="14"/>
      <c r="AA1000" s="15" t="str">
        <f ca="1">IFERROR(__xludf.DUMMYFUNCTION("""COMPUTED_VALUE"""),"*多樣化料理，燉、煮、煎、炒、炸*啟動指示燈，電源啟動清楚明瞭*內鍋陶瓷塗層，鍋底不沾黏好料理*二檔火力調節鈕，料理食物隨心所欲*透明玻璃鍋蓋設計，烹調狀況一目瞭然*2.7L容量")</f>
        <v>*多樣化料理，燉、煮、煎、炒、炸*啟動指示燈，電源啟動清楚明瞭*內鍋陶瓷塗層，鍋底不沾黏好料理*二檔火力調節鈕，料理食物隨心所欲*透明玻璃鍋蓋設計，烹調狀況一目瞭然*2.7L容量</v>
      </c>
    </row>
    <row r="1001" spans="1:27" ht="19.5" customHeight="1">
      <c r="A1001" s="12" t="str">
        <f ca="1">IFERROR(__xludf.DUMMYFUNCTION("""COMPUTED_VALUE"""),"廚房家電")</f>
        <v>廚房家電</v>
      </c>
      <c r="B1001" s="12" t="str">
        <f ca="1">IFERROR(__xludf.DUMMYFUNCTION("""COMPUTED_VALUE"""),"昶宏")</f>
        <v>昶宏</v>
      </c>
      <c r="C1001" s="12" t="str">
        <f ca="1">IFERROR(__xludf.DUMMYFUNCTION("""COMPUTED_VALUE"""),"NICONICO")</f>
        <v>NICONICO</v>
      </c>
      <c r="D1001" s="12" t="str">
        <f ca="1">IFERROR(__xludf.DUMMYFUNCTION("""COMPUTED_VALUE"""),"NICONICO樂活玻璃料理鍋組NI-SET2313")</f>
        <v>NICONICO樂活玻璃料理鍋組NI-SET2313</v>
      </c>
      <c r="E1001" s="12" t="str">
        <f ca="1">IFERROR(__xludf.DUMMYFUNCTION("""COMPUTED_VALUE"""),"NI-SET2313")</f>
        <v>NI-SET2313</v>
      </c>
      <c r="F1001" s="12">
        <f ca="1">IFERROR(__xludf.DUMMYFUNCTION("""COMPUTED_VALUE"""),51078065)</f>
        <v>51078065</v>
      </c>
      <c r="G1001" s="12" t="str">
        <f ca="1">IFERROR(__xludf.DUMMYFUNCTION("""COMPUTED_VALUE"""),"IGEM1167")</f>
        <v>IGEM1167</v>
      </c>
      <c r="H1001" s="13">
        <f ca="1">IFERROR(__xludf.DUMMYFUNCTION("""COMPUTED_VALUE"""),2480)</f>
        <v>2480</v>
      </c>
      <c r="I1001" s="14">
        <f ca="1">IFERROR(__xludf.DUMMYFUNCTION("""COMPUTED_VALUE"""),1480)</f>
        <v>1480</v>
      </c>
      <c r="J1001" s="16">
        <f ca="1">IFERROR(__xludf.DUMMYFUNCTION("""COMPUTED_VALUE"""),45658)</f>
        <v>45658</v>
      </c>
      <c r="K1001" s="12" t="str">
        <f ca="1">IFERROR(__xludf.DUMMYFUNCTION("""COMPUTED_VALUE"""),"新機上架")</f>
        <v>新機上架</v>
      </c>
      <c r="L1001" s="12" t="str">
        <f ca="1">IFERROR(__xludf.DUMMYFUNCTION("""COMPUTED_VALUE"""),"上架中")</f>
        <v>上架中</v>
      </c>
      <c r="M1001" s="12" t="str">
        <f ca="1">IFERROR(__xludf.DUMMYFUNCTION("""COMPUTED_VALUE"""),"2025/1/1新機上架")</f>
        <v>2025/1/1新機上架</v>
      </c>
      <c r="N1001" s="12" t="str">
        <f ca="1">IFERROR(__xludf.DUMMYFUNCTION("""COMPUTED_VALUE"""),"美食鍋/料理鍋/快煮鍋")</f>
        <v>美食鍋/料理鍋/快煮鍋</v>
      </c>
      <c r="O1001" s="12" t="str">
        <f ca="1">IFERROR(__xludf.DUMMYFUNCTION("""COMPUTED_VALUE"""),"米色")</f>
        <v>米色</v>
      </c>
      <c r="P1001" s="12"/>
      <c r="Q1001" s="12" t="str">
        <f ca="1">IFERROR(__xludf.DUMMYFUNCTION("""COMPUTED_VALUE"""),"燉煮鍋尺寸： 183 (H) x 223 (W) x 175 (D)mm
 快煮壺尺寸： 245 (H)x151 (W) x 206 (D)  mm
 加熱座尺寸： 49 (H)x179 (W) x 233 (D) mm")</f>
        <v>燉煮鍋尺寸： 183 (H) x 223 (W) x 175 (D)mm
 快煮壺尺寸： 245 (H)x151 (W) x 206 (D)  mm
 加熱座尺寸： 49 (H)x179 (W) x 233 (D) mm</v>
      </c>
      <c r="R1001" s="12" t="str">
        <f ca="1">IFERROR(__xludf.DUMMYFUNCTION("""COMPUTED_VALUE"""),"中國")</f>
        <v>中國</v>
      </c>
      <c r="S1001" s="12"/>
      <c r="T1001" s="12"/>
      <c r="U1001" s="12" t="str">
        <f ca="1">IFERROR(__xludf.DUMMYFUNCTION("""COMPUTED_VALUE"""),"1年")</f>
        <v>1年</v>
      </c>
      <c r="V1001" s="12"/>
      <c r="W1001" s="12"/>
      <c r="X1001" s="12"/>
      <c r="Y1001" s="12"/>
      <c r="Z1001" s="14"/>
      <c r="AA1001" s="15" t="str">
        <f ca="1">IFERROR(__xludf.DUMMYFUNCTION("""COMPUTED_VALUE"""),"*1+1組合鍋，滿足料理需求*12大智能烹煮，享食多種美味*NTC 精準控溫，11檔溫度調節*180分鐘定時，24小時預約功能*強化玻璃壺身，耐得住冷熱溫差*分離式底座，快速上桌清洗便利*一鍵烹煮，直覺式簡單操作")</f>
        <v>*1+1組合鍋，滿足料理需求*12大智能烹煮，享食多種美味*NTC 精準控溫，11檔溫度調節*180分鐘定時，24小時預約功能*強化玻璃壺身，耐得住冷熱溫差*分離式底座，快速上桌清洗便利*一鍵烹煮，直覺式簡單操作</v>
      </c>
    </row>
    <row r="1002" spans="1:27" ht="19.5" customHeight="1">
      <c r="A1002" s="12" t="str">
        <f ca="1">IFERROR(__xludf.DUMMYFUNCTION("""COMPUTED_VALUE"""),"廚房家電")</f>
        <v>廚房家電</v>
      </c>
      <c r="B1002" s="12" t="str">
        <f ca="1">IFERROR(__xludf.DUMMYFUNCTION("""COMPUTED_VALUE"""),"昶宏")</f>
        <v>昶宏</v>
      </c>
      <c r="C1002" s="12" t="str">
        <f ca="1">IFERROR(__xludf.DUMMYFUNCTION("""COMPUTED_VALUE"""),"NICONICO")</f>
        <v>NICONICO</v>
      </c>
      <c r="D1002" s="12" t="str">
        <f ca="1">IFERROR(__xludf.DUMMYFUNCTION("""COMPUTED_VALUE"""),"NICONICO古巴三明治機NI-T801")</f>
        <v>NICONICO古巴三明治機NI-T801</v>
      </c>
      <c r="E1002" s="12" t="str">
        <f ca="1">IFERROR(__xludf.DUMMYFUNCTION("""COMPUTED_VALUE"""),"NI-T801")</f>
        <v>NI-T801</v>
      </c>
      <c r="F1002" s="12">
        <f ca="1">IFERROR(__xludf.DUMMYFUNCTION("""COMPUTED_VALUE"""),51078007)</f>
        <v>51078007</v>
      </c>
      <c r="G1002" s="12" t="str">
        <f ca="1">IFERROR(__xludf.DUMMYFUNCTION("""COMPUTED_VALUE"""),"IGEM01WV")</f>
        <v>IGEM01WV</v>
      </c>
      <c r="H1002" s="12">
        <f ca="1">IFERROR(__xludf.DUMMYFUNCTION("""COMPUTED_VALUE"""),1480)</f>
        <v>1480</v>
      </c>
      <c r="I1002" s="14">
        <f ca="1">IFERROR(__xludf.DUMMYFUNCTION("""COMPUTED_VALUE"""),990)</f>
        <v>990</v>
      </c>
      <c r="J1002" s="12"/>
      <c r="K1002" s="12"/>
      <c r="L1002" s="12" t="str">
        <f ca="1">IFERROR(__xludf.DUMMYFUNCTION("""COMPUTED_VALUE"""),"上架中")</f>
        <v>上架中</v>
      </c>
      <c r="M1002" s="12" t="str">
        <f ca="1">IFERROR(__xludf.DUMMYFUNCTION("""COMPUTED_VALUE"""),"2022/2/12到貨、2021/10/29缺貨、5/4到貨、12/21缺貨、8/25新機")</f>
        <v>2022/2/12到貨、2021/10/29缺貨、5/4到貨、12/21缺貨、8/25新機</v>
      </c>
      <c r="N1002" s="12" t="str">
        <f ca="1">IFERROR(__xludf.DUMMYFUNCTION("""COMPUTED_VALUE"""),"鬆餅/三明治/點心機")</f>
        <v>鬆餅/三明治/點心機</v>
      </c>
      <c r="O1002" s="12" t="str">
        <f ca="1">IFERROR(__xludf.DUMMYFUNCTION("""COMPUTED_VALUE"""),"紅色")</f>
        <v>紅色</v>
      </c>
      <c r="P1002" s="12" t="str">
        <f ca="1">IFERROR(__xludf.DUMMYFUNCTION("""COMPUTED_VALUE"""),"產品重量1.2KG")</f>
        <v>產品重量1.2KG</v>
      </c>
      <c r="Q1002" s="12" t="str">
        <f ca="1">IFERROR(__xludf.DUMMYFUNCTION("""COMPUTED_VALUE"""),"產品尺寸:184x88x94高寬長mm
")</f>
        <v xml:space="preserve">產品尺寸:184x88x94高寬長mm
</v>
      </c>
      <c r="R1002" s="12" t="str">
        <f ca="1">IFERROR(__xludf.DUMMYFUNCTION("""COMPUTED_VALUE"""),"中國")</f>
        <v>中國</v>
      </c>
      <c r="S1002" s="12"/>
      <c r="T1002" s="12"/>
      <c r="U1002" s="12" t="str">
        <f ca="1">IFERROR(__xludf.DUMMYFUNCTION("""COMPUTED_VALUE"""),"1年")</f>
        <v>1年</v>
      </c>
      <c r="V1002" s="12"/>
      <c r="W1002" s="12"/>
      <c r="X1002" s="12"/>
      <c r="Y1002" s="12"/>
      <c r="Z1002" s="14"/>
      <c r="AA1002" s="15" t="str">
        <f ca="1">IFERROR(__xludf.DUMMYFUNCTION("""COMPUTED_VALUE"""),"*曲面烤盤加深設計，內餡容量大增
*條紋烤盤壓模，烙燒漂亮酥脆烤痕
*烤盤使用不沾黏塗層，清潔容易
*自動加熱，操作簡單輕易上手
*加熱指示燈，使用狀態一目瞭然
*總電源開關設計，使用更安全
*可直立收藏不佔空間
")</f>
        <v xml:space="preserve">*曲面烤盤加深設計，內餡容量大增
*條紋烤盤壓模，烙燒漂亮酥脆烤痕
*烤盤使用不沾黏塗層，清潔容易
*自動加熱，操作簡單輕易上手
*加熱指示燈，使用狀態一目瞭然
*總電源開關設計，使用更安全
*可直立收藏不佔空間
</v>
      </c>
    </row>
    <row r="1003" spans="1:27" ht="19.5" customHeight="1">
      <c r="A1003" s="12" t="str">
        <f ca="1">IFERROR(__xludf.DUMMYFUNCTION("""COMPUTED_VALUE"""),"廚房家電")</f>
        <v>廚房家電</v>
      </c>
      <c r="B1003" s="12" t="str">
        <f ca="1">IFERROR(__xludf.DUMMYFUNCTION("""COMPUTED_VALUE"""),"昶宏")</f>
        <v>昶宏</v>
      </c>
      <c r="C1003" s="12" t="str">
        <f ca="1">IFERROR(__xludf.DUMMYFUNCTION("""COMPUTED_VALUE"""),"NICONICO")</f>
        <v>NICONICO</v>
      </c>
      <c r="D1003" s="12" t="str">
        <f ca="1">IFERROR(__xludf.DUMMYFUNCTION("""COMPUTED_VALUE"""),"NICONICO雙享隨行杯NI-JC922")</f>
        <v>NICONICO雙享隨行杯NI-JC922</v>
      </c>
      <c r="E1003" s="12" t="str">
        <f ca="1">IFERROR(__xludf.DUMMYFUNCTION("""COMPUTED_VALUE"""),"NI-JC922")</f>
        <v>NI-JC922</v>
      </c>
      <c r="F1003" s="12">
        <f ca="1">IFERROR(__xludf.DUMMYFUNCTION("""COMPUTED_VALUE"""),51078025)</f>
        <v>51078025</v>
      </c>
      <c r="G1003" s="12" t="str">
        <f ca="1">IFERROR(__xludf.DUMMYFUNCTION("""COMPUTED_VALUE"""),"IGEM0467")</f>
        <v>IGEM0467</v>
      </c>
      <c r="H1003" s="12">
        <f ca="1">IFERROR(__xludf.DUMMYFUNCTION("""COMPUTED_VALUE"""),1980)</f>
        <v>1980</v>
      </c>
      <c r="I1003" s="14">
        <f ca="1">IFERROR(__xludf.DUMMYFUNCTION("""COMPUTED_VALUE"""),999)</f>
        <v>999</v>
      </c>
      <c r="J1003" s="16">
        <f ca="1">IFERROR(__xludf.DUMMYFUNCTION("""COMPUTED_VALUE"""),44986)</f>
        <v>44986</v>
      </c>
      <c r="K1003" s="12" t="str">
        <f ca="1">IFERROR(__xludf.DUMMYFUNCTION("""COMPUTED_VALUE"""),"短促")</f>
        <v>短促</v>
      </c>
      <c r="L1003" s="12" t="str">
        <f ca="1">IFERROR(__xludf.DUMMYFUNCTION("""COMPUTED_VALUE"""),"上架中")</f>
        <v>上架中</v>
      </c>
      <c r="M1003" s="12" t="str">
        <f ca="1">IFERROR(__xludf.DUMMYFUNCTION("""COMPUTED_VALUE"""),"2023/3/1-8/31短促2021/12/2-12/31短促、2021/8/23新機上架")</f>
        <v>2023/3/1-8/31短促2021/12/2-12/31短促、2021/8/23新機上架</v>
      </c>
      <c r="N1003" s="12" t="str">
        <f ca="1">IFERROR(__xludf.DUMMYFUNCTION("""COMPUTED_VALUE"""),"果汁機/調理機/豆漿機")</f>
        <v>果汁機/調理機/豆漿機</v>
      </c>
      <c r="O1003" s="12" t="str">
        <f ca="1">IFERROR(__xludf.DUMMYFUNCTION("""COMPUTED_VALUE"""),"藍色")</f>
        <v>藍色</v>
      </c>
      <c r="P1003" s="12" t="str">
        <f ca="1">IFERROR(__xludf.DUMMYFUNCTION("""COMPUTED_VALUE"""),"產品重量約362G
包裝尺寸175x95x185mm
包裝重量約500G")</f>
        <v>產品重量約362G
包裝尺寸175x95x185mm
包裝重量約500G</v>
      </c>
      <c r="Q1003" s="12" t="str">
        <f ca="1">IFERROR(__xludf.DUMMYFUNCTION("""COMPUTED_VALUE"""),"產品尺寸80x80x174mm")</f>
        <v>產品尺寸80x80x174mm</v>
      </c>
      <c r="R1003" s="12" t="str">
        <f ca="1">IFERROR(__xludf.DUMMYFUNCTION("""COMPUTED_VALUE"""),"中國")</f>
        <v>中國</v>
      </c>
      <c r="S1003" s="12"/>
      <c r="T1003" s="12"/>
      <c r="U1003" s="12" t="str">
        <f ca="1">IFERROR(__xludf.DUMMYFUNCTION("""COMPUTED_VALUE"""),"1年")</f>
        <v>1年</v>
      </c>
      <c r="V1003" s="12"/>
      <c r="W1003" s="12"/>
      <c r="X1003" s="12"/>
      <c r="Y1003" s="12"/>
      <c r="Z1003" s="14"/>
      <c r="AA1003" s="15" t="str">
        <f ca="1">IFERROR(__xludf.DUMMYFUNCTION("""COMPUTED_VALUE"""),"*手沖研磨咖啡&amp;現榨新鮮果汁，附咖啡及果汁濾網，享受兩種模式*300ml黃金容量輕巧攜便*採用TRITAN材質耐熱不含雙酚A*SUS304食品級不銹鋼濾網杯身分離自動斷電*USB磁吸式充電*附即飲杯蓋")</f>
        <v>*手沖研磨咖啡&amp;現榨新鮮果汁，附咖啡及果汁濾網，享受兩種模式*300ml黃金容量輕巧攜便*採用TRITAN材質耐熱不含雙酚A*SUS304食品級不銹鋼濾網杯身分離自動斷電*USB磁吸式充電*附即飲杯蓋</v>
      </c>
    </row>
    <row r="1004" spans="1:27" ht="19.5" customHeight="1">
      <c r="A1004" s="12" t="str">
        <f ca="1">IFERROR(__xludf.DUMMYFUNCTION("""COMPUTED_VALUE"""),"廚房家電")</f>
        <v>廚房家電</v>
      </c>
      <c r="B1004" s="12" t="str">
        <f ca="1">IFERROR(__xludf.DUMMYFUNCTION("""COMPUTED_VALUE"""),"昶宏")</f>
        <v>昶宏</v>
      </c>
      <c r="C1004" s="12" t="str">
        <f ca="1">IFERROR(__xludf.DUMMYFUNCTION("""COMPUTED_VALUE"""),"NICONICO")</f>
        <v>NICONICO</v>
      </c>
      <c r="D1004" s="12" t="str">
        <f ca="1">IFERROR(__xludf.DUMMYFUNCTION("""COMPUTED_VALUE"""),"NICONICO無線手持攪拌料理機NI-CM1015(淡雅白)")</f>
        <v>NICONICO無線手持攪拌料理機NI-CM1015(淡雅白)</v>
      </c>
      <c r="E1004" s="12" t="str">
        <f ca="1">IFERROR(__xludf.DUMMYFUNCTION("""COMPUTED_VALUE"""),"NI-CM1015(淡雅白)")</f>
        <v>NI-CM1015(淡雅白)</v>
      </c>
      <c r="F1004" s="12">
        <f ca="1">IFERROR(__xludf.DUMMYFUNCTION("""COMPUTED_VALUE"""),51078032)</f>
        <v>51078032</v>
      </c>
      <c r="G1004" s="12" t="str">
        <f ca="1">IFERROR(__xludf.DUMMYFUNCTION("""COMPUTED_VALUE"""),"IGEM050F")</f>
        <v>IGEM050F</v>
      </c>
      <c r="H1004" s="12">
        <f ca="1">IFERROR(__xludf.DUMMYFUNCTION("""COMPUTED_VALUE"""),1980)</f>
        <v>1980</v>
      </c>
      <c r="I1004" s="14">
        <f ca="1">IFERROR(__xludf.DUMMYFUNCTION("""COMPUTED_VALUE"""),888)</f>
        <v>888</v>
      </c>
      <c r="J1004" s="12"/>
      <c r="K1004" s="12" t="str">
        <f ca="1">IFERROR(__xludf.DUMMYFUNCTION("""COMPUTED_VALUE"""),"短促")</f>
        <v>短促</v>
      </c>
      <c r="L1004" s="12" t="str">
        <f ca="1">IFERROR(__xludf.DUMMYFUNCTION("""COMPUTED_VALUE"""),"上架中")</f>
        <v>上架中</v>
      </c>
      <c r="M1004" s="12" t="str">
        <f ca="1">IFERROR(__xludf.DUMMYFUNCTION("""COMPUTED_VALUE"""),"2024/4/1短促，2022/10/4到貨、2022/5/9缺貨，到貨日不確定")</f>
        <v>2024/4/1短促，2022/10/4到貨、2022/5/9缺貨，到貨日不確定</v>
      </c>
      <c r="N1004" s="12" t="str">
        <f ca="1">IFERROR(__xludf.DUMMYFUNCTION("""COMPUTED_VALUE"""),"攪拌/研磨機")</f>
        <v>攪拌/研磨機</v>
      </c>
      <c r="O1004" s="12" t="str">
        <f ca="1">IFERROR(__xludf.DUMMYFUNCTION("""COMPUTED_VALUE"""),"淡雅白")</f>
        <v>淡雅白</v>
      </c>
      <c r="P1004" s="12"/>
      <c r="Q1004" s="12" t="str">
        <f ca="1">IFERROR(__xludf.DUMMYFUNCTION("""COMPUTED_VALUE"""),"產品尺寸59.5x92.4x159mm
產品重量約234G")</f>
        <v>產品尺寸59.5x92.4x159mm
產品重量約234G</v>
      </c>
      <c r="R1004" s="12" t="str">
        <f ca="1">IFERROR(__xludf.DUMMYFUNCTION("""COMPUTED_VALUE"""),"中國")</f>
        <v>中國</v>
      </c>
      <c r="S1004" s="12"/>
      <c r="T1004" s="12"/>
      <c r="U1004" s="12" t="str">
        <f ca="1">IFERROR(__xludf.DUMMYFUNCTION("""COMPUTED_VALUE"""),"1年")</f>
        <v>1年</v>
      </c>
      <c r="V1004" s="12"/>
      <c r="W1004" s="12"/>
      <c r="X1004" s="12"/>
      <c r="Y1004" s="12"/>
      <c r="Z1004" s="14"/>
      <c r="AA1004" s="15" t="str">
        <f ca="1">IFERROR(__xludf.DUMMYFUNCTION("""COMPUTED_VALUE"""),"*四合一設計，廚房得力助手*一機多功能，攪拌、混合、切碎、打泥*觸控面板，五段式調速檔位*兩組可更換304不鏽鋼攪拌棒*雙調理杯，大小容量兼具*三枚刃+二枚刃雙刀頭，鋒利耐用*高效鋰電池，持久續航*可直立放置，食材不沾桌面")</f>
        <v>*四合一設計，廚房得力助手*一機多功能，攪拌、混合、切碎、打泥*觸控面板，五段式調速檔位*兩組可更換304不鏽鋼攪拌棒*雙調理杯，大小容量兼具*三枚刃+二枚刃雙刀頭，鋒利耐用*高效鋰電池，持久續航*可直立放置，食材不沾桌面</v>
      </c>
    </row>
    <row r="1005" spans="1:27" ht="19.5" customHeight="1">
      <c r="A1005" s="12" t="str">
        <f ca="1">IFERROR(__xludf.DUMMYFUNCTION("""COMPUTED_VALUE"""),"廚房家電")</f>
        <v>廚房家電</v>
      </c>
      <c r="B1005" s="12" t="str">
        <f ca="1">IFERROR(__xludf.DUMMYFUNCTION("""COMPUTED_VALUE"""),"昶宏")</f>
        <v>昶宏</v>
      </c>
      <c r="C1005" s="12" t="str">
        <f ca="1">IFERROR(__xludf.DUMMYFUNCTION("""COMPUTED_VALUE"""),"NICONICO")</f>
        <v>NICONICO</v>
      </c>
      <c r="D1005" s="12" t="str">
        <f ca="1">IFERROR(__xludf.DUMMYFUNCTION("""COMPUTED_VALUE"""),"NICONICO無線手持攪拌料理機NI-CM1015(天晴藍)")</f>
        <v>NICONICO無線手持攪拌料理機NI-CM1015(天晴藍)</v>
      </c>
      <c r="E1005" s="12" t="str">
        <f ca="1">IFERROR(__xludf.DUMMYFUNCTION("""COMPUTED_VALUE"""),"NI-CM1015(天晴藍)")</f>
        <v>NI-CM1015(天晴藍)</v>
      </c>
      <c r="F1005" s="12">
        <f ca="1">IFERROR(__xludf.DUMMYFUNCTION("""COMPUTED_VALUE"""),51078033)</f>
        <v>51078033</v>
      </c>
      <c r="G1005" s="12" t="str">
        <f ca="1">IFERROR(__xludf.DUMMYFUNCTION("""COMPUTED_VALUE"""),"IGEM050G")</f>
        <v>IGEM050G</v>
      </c>
      <c r="H1005" s="12">
        <f ca="1">IFERROR(__xludf.DUMMYFUNCTION("""COMPUTED_VALUE"""),1980)</f>
        <v>1980</v>
      </c>
      <c r="I1005" s="14">
        <f ca="1">IFERROR(__xludf.DUMMYFUNCTION("""COMPUTED_VALUE"""),888)</f>
        <v>888</v>
      </c>
      <c r="J1005" s="12"/>
      <c r="K1005" s="12" t="str">
        <f ca="1">IFERROR(__xludf.DUMMYFUNCTION("""COMPUTED_VALUE"""),"短促")</f>
        <v>短促</v>
      </c>
      <c r="L1005" s="12" t="str">
        <f ca="1">IFERROR(__xludf.DUMMYFUNCTION("""COMPUTED_VALUE"""),"上架中")</f>
        <v>上架中</v>
      </c>
      <c r="M1005" s="12" t="str">
        <f ca="1">IFERROR(__xludf.DUMMYFUNCTION("""COMPUTED_VALUE"""),"2024/4/1短促，2021/11/3新品上架")</f>
        <v>2024/4/1短促，2021/11/3新品上架</v>
      </c>
      <c r="N1005" s="12" t="str">
        <f ca="1">IFERROR(__xludf.DUMMYFUNCTION("""COMPUTED_VALUE"""),"攪拌/研磨機")</f>
        <v>攪拌/研磨機</v>
      </c>
      <c r="O1005" s="12" t="str">
        <f ca="1">IFERROR(__xludf.DUMMYFUNCTION("""COMPUTED_VALUE"""),"天晴藍")</f>
        <v>天晴藍</v>
      </c>
      <c r="P1005" s="12"/>
      <c r="Q1005" s="12" t="str">
        <f ca="1">IFERROR(__xludf.DUMMYFUNCTION("""COMPUTED_VALUE"""),"產品尺寸59.5x92.4x159mm
產品重量約234G")</f>
        <v>產品尺寸59.5x92.4x159mm
產品重量約234G</v>
      </c>
      <c r="R1005" s="12" t="str">
        <f ca="1">IFERROR(__xludf.DUMMYFUNCTION("""COMPUTED_VALUE"""),"中國")</f>
        <v>中國</v>
      </c>
      <c r="S1005" s="12"/>
      <c r="T1005" s="12"/>
      <c r="U1005" s="12" t="str">
        <f ca="1">IFERROR(__xludf.DUMMYFUNCTION("""COMPUTED_VALUE"""),"1年")</f>
        <v>1年</v>
      </c>
      <c r="V1005" s="12"/>
      <c r="W1005" s="12"/>
      <c r="X1005" s="12"/>
      <c r="Y1005" s="12"/>
      <c r="Z1005" s="14"/>
      <c r="AA1005" s="15" t="str">
        <f ca="1">IFERROR(__xludf.DUMMYFUNCTION("""COMPUTED_VALUE"""),"*四合一設計，廚房得力助手*一機多功能，攪拌、混合、切碎、打泥*觸控面板，五段式調速檔位*兩組可更換304不鏽鋼攪拌棒*雙調理杯，大小容量兼具*三枚刃+二枚刃雙刀頭，鋒利耐用*高效鋰電池，持久續航*可直立放置，食材不沾桌面")</f>
        <v>*四合一設計，廚房得力助手*一機多功能，攪拌、混合、切碎、打泥*觸控面板，五段式調速檔位*兩組可更換304不鏽鋼攪拌棒*雙調理杯，大小容量兼具*三枚刃+二枚刃雙刀頭，鋒利耐用*高效鋰電池，持久續航*可直立放置，食材不沾桌面</v>
      </c>
    </row>
    <row r="1006" spans="1:27" ht="19.5" customHeight="1">
      <c r="A1006" s="12" t="str">
        <f ca="1">IFERROR(__xludf.DUMMYFUNCTION("""COMPUTED_VALUE"""),"廚房家電")</f>
        <v>廚房家電</v>
      </c>
      <c r="B1006" s="12" t="str">
        <f ca="1">IFERROR(__xludf.DUMMYFUNCTION("""COMPUTED_VALUE"""),"昶宏")</f>
        <v>昶宏</v>
      </c>
      <c r="C1006" s="12" t="str">
        <f ca="1">IFERROR(__xludf.DUMMYFUNCTION("""COMPUTED_VALUE"""),"NICONICO")</f>
        <v>NICONICO</v>
      </c>
      <c r="D1006" s="12" t="str">
        <f ca="1">IFERROR(__xludf.DUMMYFUNCTION("""COMPUTED_VALUE"""),"NICONICO掀蓋式火鍋燒烤料理機NI-D1109 ")</f>
        <v xml:space="preserve">NICONICO掀蓋式火鍋燒烤料理機NI-D1109 </v>
      </c>
      <c r="E1006" s="12" t="str">
        <f ca="1">IFERROR(__xludf.DUMMYFUNCTION("""COMPUTED_VALUE"""),"NI-D1109")</f>
        <v>NI-D1109</v>
      </c>
      <c r="F1006" s="12">
        <f ca="1">IFERROR(__xludf.DUMMYFUNCTION("""COMPUTED_VALUE"""),51078044)</f>
        <v>51078044</v>
      </c>
      <c r="G1006" s="12" t="str">
        <f ca="1">IFERROR(__xludf.DUMMYFUNCTION("""COMPUTED_VALUE"""),"IGEM067H")</f>
        <v>IGEM067H</v>
      </c>
      <c r="H1006" s="13">
        <f ca="1">IFERROR(__xludf.DUMMYFUNCTION("""COMPUTED_VALUE"""),4980)</f>
        <v>4980</v>
      </c>
      <c r="I1006" s="14">
        <f ca="1">IFERROR(__xludf.DUMMYFUNCTION("""COMPUTED_VALUE"""),2550)</f>
        <v>2550</v>
      </c>
      <c r="J1006" s="16">
        <f ca="1">IFERROR(__xludf.DUMMYFUNCTION("""COMPUTED_VALUE"""),45566)</f>
        <v>45566</v>
      </c>
      <c r="K1006" s="12" t="str">
        <f ca="1">IFERROR(__xludf.DUMMYFUNCTION("""COMPUTED_VALUE"""),"短促")</f>
        <v>短促</v>
      </c>
      <c r="L1006" s="12" t="str">
        <f ca="1">IFERROR(__xludf.DUMMYFUNCTION("""COMPUTED_VALUE"""),"上架中")</f>
        <v>上架中</v>
      </c>
      <c r="M1006" s="12" t="str">
        <f ca="1">IFERROR(__xludf.DUMMYFUNCTION("""COMPUTED_VALUE"""),"2024/10/1短促，2024/4/1回價，2024/2/1短促，5/1-8/31短促，2022/8/2新機")</f>
        <v>2024/10/1短促，2024/4/1回價，2024/2/1短促，5/1-8/31短促，2022/8/2新機</v>
      </c>
      <c r="N1006" s="12" t="str">
        <f ca="1">IFERROR(__xludf.DUMMYFUNCTION("""COMPUTED_VALUE"""),"電烤盤/爐")</f>
        <v>電烤盤/爐</v>
      </c>
      <c r="O1006" s="12" t="str">
        <f ca="1">IFERROR(__xludf.DUMMYFUNCTION("""COMPUTED_VALUE"""),"藍")</f>
        <v>藍</v>
      </c>
      <c r="P1006" s="12"/>
      <c r="Q1006" s="12" t="str">
        <f ca="1">IFERROR(__xludf.DUMMYFUNCTION("""COMPUTED_VALUE"""),"產品尺寸400x250x190mm 
產品重量 約4.6KG
")</f>
        <v xml:space="preserve">產品尺寸400x250x190mm 
產品重量 約4.6KG
</v>
      </c>
      <c r="R1006" s="12" t="str">
        <f ca="1">IFERROR(__xludf.DUMMYFUNCTION("""COMPUTED_VALUE"""),"中國")</f>
        <v>中國</v>
      </c>
      <c r="S1006" s="12"/>
      <c r="T1006" s="12"/>
      <c r="U1006" s="12" t="str">
        <f ca="1">IFERROR(__xludf.DUMMYFUNCTION("""COMPUTED_VALUE"""),"1年")</f>
        <v>1年</v>
      </c>
      <c r="V1006" s="12"/>
      <c r="W1006" s="12"/>
      <c r="X1006" s="12"/>
      <c r="Y1006" s="12"/>
      <c r="Z1006" s="14"/>
      <c r="AA1006" s="15" t="str">
        <f ca="1">IFERROR(__xludf.DUMMYFUNCTION("""COMPUTED_VALUE"""),"*一機料理多功能，烤、煎、煮、燉*180度掀蓋式設計，雙鍋美味展開分享*烤箱模式蒸氣循環烘烤，口感外酥內軟*230度獨立溫控範圍，火力自由調整*60分鐘定時可調，結束鈴聲通知*四款配件，滿足百變料理樂趣*可拆式集屑盤，方便清潔
")</f>
        <v xml:space="preserve">*一機料理多功能，烤、煎、煮、燉*180度掀蓋式設計，雙鍋美味展開分享*烤箱模式蒸氣循環烘烤，口感外酥內軟*230度獨立溫控範圍，火力自由調整*60分鐘定時可調，結束鈴聲通知*四款配件，滿足百變料理樂趣*可拆式集屑盤，方便清潔
</v>
      </c>
    </row>
    <row r="1007" spans="1:27" ht="19.5" customHeight="1">
      <c r="A1007" s="12" t="str">
        <f ca="1">IFERROR(__xludf.DUMMYFUNCTION("""COMPUTED_VALUE"""),"廚房家電")</f>
        <v>廚房家電</v>
      </c>
      <c r="B1007" s="12" t="str">
        <f ca="1">IFERROR(__xludf.DUMMYFUNCTION("""COMPUTED_VALUE"""),"昶宏")</f>
        <v>昶宏</v>
      </c>
      <c r="C1007" s="12" t="str">
        <f ca="1">IFERROR(__xludf.DUMMYFUNCTION("""COMPUTED_VALUE"""),"NICONICO")</f>
        <v>NICONICO</v>
      </c>
      <c r="D1007" s="12" t="str">
        <f ca="1">IFERROR(__xludf.DUMMYFUNCTION("""COMPUTED_VALUE"""),"NICONICO美型兩用料理鍋NI-GP1035(白色)")</f>
        <v>NICONICO美型兩用料理鍋NI-GP1035(白色)</v>
      </c>
      <c r="E1007" s="12" t="str">
        <f ca="1">IFERROR(__xludf.DUMMYFUNCTION("""COMPUTED_VALUE"""),"NI-GP1035(白色)")</f>
        <v>NI-GP1035(白色)</v>
      </c>
      <c r="F1007" s="12">
        <f ca="1">IFERROR(__xludf.DUMMYFUNCTION("""COMPUTED_VALUE"""),51008165)</f>
        <v>51008165</v>
      </c>
      <c r="G1007" s="12" t="str">
        <f ca="1">IFERROR(__xludf.DUMMYFUNCTION("""COMPUTED_VALUE"""),"IGEM0703")</f>
        <v>IGEM0703</v>
      </c>
      <c r="H1007" s="13">
        <f ca="1">IFERROR(__xludf.DUMMYFUNCTION("""COMPUTED_VALUE"""),1980)</f>
        <v>1980</v>
      </c>
      <c r="I1007" s="14">
        <f ca="1">IFERROR(__xludf.DUMMYFUNCTION("""COMPUTED_VALUE"""),1390)</f>
        <v>1390</v>
      </c>
      <c r="J1007" s="16">
        <f ca="1">IFERROR(__xludf.DUMMYFUNCTION("""COMPUTED_VALUE"""),45205)</f>
        <v>45205</v>
      </c>
      <c r="K1007" s="12" t="str">
        <f ca="1">IFERROR(__xludf.DUMMYFUNCTION("""COMPUTED_VALUE"""),"缺貨")</f>
        <v>缺貨</v>
      </c>
      <c r="L1007" s="12" t="str">
        <f ca="1">IFERROR(__xludf.DUMMYFUNCTION("""COMPUTED_VALUE"""),"缺貨")</f>
        <v>缺貨</v>
      </c>
      <c r="M1007" s="12" t="str">
        <f ca="1">IFERROR(__xludf.DUMMYFUNCTION("""COMPUTED_VALUE"""),"2023/10/6缺貨，2022/11/1短促，2022/10/11新機")</f>
        <v>2023/10/6缺貨，2022/11/1短促，2022/10/11新機</v>
      </c>
      <c r="N1007" s="12" t="str">
        <f ca="1">IFERROR(__xludf.DUMMYFUNCTION("""COMPUTED_VALUE"""),"美食鍋/料理鍋/快煮鍋")</f>
        <v>美食鍋/料理鍋/快煮鍋</v>
      </c>
      <c r="O1007" s="12" t="str">
        <f ca="1">IFERROR(__xludf.DUMMYFUNCTION("""COMPUTED_VALUE"""),"白色")</f>
        <v>白色</v>
      </c>
      <c r="P1007" s="12" t="str">
        <f ca="1">IFERROR(__xludf.DUMMYFUNCTION("""COMPUTED_VALUE"""),"重量約1.8KG")</f>
        <v>重量約1.8KG</v>
      </c>
      <c r="Q1007" s="12" t="str">
        <f ca="1">IFERROR(__xludf.DUMMYFUNCTION("""COMPUTED_VALUE"""),"產品尺寸：  210 (H) x 286 (W) x 240 (D) mm
包裝尺寸：  248 (H)x 302 (W) x 270 (D) mm")</f>
        <v>產品尺寸：  210 (H) x 286 (W) x 240 (D) mm
包裝尺寸：  248 (H)x 302 (W) x 270 (D) mm</v>
      </c>
      <c r="R1007" s="12" t="str">
        <f ca="1">IFERROR(__xludf.DUMMYFUNCTION("""COMPUTED_VALUE"""),"中國")</f>
        <v>中國</v>
      </c>
      <c r="S1007" s="12"/>
      <c r="T1007" s="12"/>
      <c r="U1007" s="12" t="str">
        <f ca="1">IFERROR(__xludf.DUMMYFUNCTION("""COMPUTED_VALUE"""),"1年")</f>
        <v>1年</v>
      </c>
      <c r="V1007" s="12"/>
      <c r="W1007" s="12"/>
      <c r="X1007" s="12"/>
      <c r="Y1007" s="12"/>
      <c r="Z1007" s="14"/>
      <c r="AA1007" s="15" t="str">
        <f ca="1">IFERROR(__xludf.DUMMYFUNCTION("""COMPUTED_VALUE"""),"*多樣化料理，燉、煮、煎、炒、炸、蒸*附蒸籠，上蒸下煮同時進行*內鍋不沾塗層，不黏鍋好清潔*二檔火力調節鈕，料理食物隨心所欲*長效保溫設計，維持最佳溫度*透明玻璃鍋蓋，烹調狀況一目瞭然*防乾燒安全保護裝置，安全有保障*方型鍋體，時尚簡約")</f>
        <v>*多樣化料理，燉、煮、煎、炒、炸、蒸*附蒸籠，上蒸下煮同時進行*內鍋不沾塗層，不黏鍋好清潔*二檔火力調節鈕，料理食物隨心所欲*長效保溫設計，維持最佳溫度*透明玻璃鍋蓋，烹調狀況一目瞭然*防乾燒安全保護裝置，安全有保障*方型鍋體，時尚簡約</v>
      </c>
    </row>
    <row r="1008" spans="1:27" ht="19.5" customHeight="1">
      <c r="A1008" s="12" t="str">
        <f ca="1">IFERROR(__xludf.DUMMYFUNCTION("""COMPUTED_VALUE"""),"廚房家電")</f>
        <v>廚房家電</v>
      </c>
      <c r="B1008" s="12" t="str">
        <f ca="1">IFERROR(__xludf.DUMMYFUNCTION("""COMPUTED_VALUE"""),"昶宏")</f>
        <v>昶宏</v>
      </c>
      <c r="C1008" s="12" t="str">
        <f ca="1">IFERROR(__xludf.DUMMYFUNCTION("""COMPUTED_VALUE"""),"NICONICO")</f>
        <v>NICONICO</v>
      </c>
      <c r="D1008" s="12" t="str">
        <f ca="1">IFERROR(__xludf.DUMMYFUNCTION("""COMPUTED_VALUE"""),"NICONICO美型兩用料理鍋NI-GP1035(紅色)")</f>
        <v>NICONICO美型兩用料理鍋NI-GP1035(紅色)</v>
      </c>
      <c r="E1008" s="12" t="str">
        <f ca="1">IFERROR(__xludf.DUMMYFUNCTION("""COMPUTED_VALUE"""),"NI-GP1035(紅色)")</f>
        <v>NI-GP1035(紅色)</v>
      </c>
      <c r="F1008" s="12">
        <f ca="1">IFERROR(__xludf.DUMMYFUNCTION("""COMPUTED_VALUE"""),51008166)</f>
        <v>51008166</v>
      </c>
      <c r="G1008" s="12" t="str">
        <f ca="1">IFERROR(__xludf.DUMMYFUNCTION("""COMPUTED_VALUE"""),"IGEM0704")</f>
        <v>IGEM0704</v>
      </c>
      <c r="H1008" s="13">
        <f ca="1">IFERROR(__xludf.DUMMYFUNCTION("""COMPUTED_VALUE"""),1980)</f>
        <v>1980</v>
      </c>
      <c r="I1008" s="14">
        <f ca="1">IFERROR(__xludf.DUMMYFUNCTION("""COMPUTED_VALUE"""),1390)</f>
        <v>1390</v>
      </c>
      <c r="J1008" s="16">
        <f ca="1">IFERROR(__xludf.DUMMYFUNCTION("""COMPUTED_VALUE"""),45692)</f>
        <v>45692</v>
      </c>
      <c r="K1008" s="12" t="str">
        <f ca="1">IFERROR(__xludf.DUMMYFUNCTION("""COMPUTED_VALUE"""),"缺貨")</f>
        <v>缺貨</v>
      </c>
      <c r="L1008" s="12" t="str">
        <f ca="1">IFERROR(__xludf.DUMMYFUNCTION("""COMPUTED_VALUE"""),"缺貨")</f>
        <v>缺貨</v>
      </c>
      <c r="M1008" s="12" t="str">
        <f ca="1">IFERROR(__xludf.DUMMYFUNCTION("""COMPUTED_VALUE"""),"2025/2/4缺貨，2024/12/1回價，2022/11/1短促2022/10/11新機")</f>
        <v>2025/2/4缺貨，2024/12/1回價，2022/11/1短促2022/10/11新機</v>
      </c>
      <c r="N1008" s="12" t="str">
        <f ca="1">IFERROR(__xludf.DUMMYFUNCTION("""COMPUTED_VALUE"""),"多功能調理鍋/蒸氣烘烤爐")</f>
        <v>多功能調理鍋/蒸氣烘烤爐</v>
      </c>
      <c r="O1008" s="12" t="str">
        <f ca="1">IFERROR(__xludf.DUMMYFUNCTION("""COMPUTED_VALUE"""),"紅色")</f>
        <v>紅色</v>
      </c>
      <c r="P1008" s="12" t="str">
        <f ca="1">IFERROR(__xludf.DUMMYFUNCTION("""COMPUTED_VALUE"""),"重量約1.8KG")</f>
        <v>重量約1.8KG</v>
      </c>
      <c r="Q1008" s="12" t="str">
        <f ca="1">IFERROR(__xludf.DUMMYFUNCTION("""COMPUTED_VALUE"""),"產品尺寸：  210 (H)x  286 (W) x 240 (D)mm
包裝尺寸： 248 (H) x 302 (W) x 270 (D) mm")</f>
        <v>產品尺寸：  210 (H)x  286 (W) x 240 (D)mm
包裝尺寸： 248 (H) x 302 (W) x 270 (D) mm</v>
      </c>
      <c r="R1008" s="12" t="str">
        <f ca="1">IFERROR(__xludf.DUMMYFUNCTION("""COMPUTED_VALUE"""),"中國")</f>
        <v>中國</v>
      </c>
      <c r="S1008" s="12"/>
      <c r="T1008" s="12"/>
      <c r="U1008" s="12" t="str">
        <f ca="1">IFERROR(__xludf.DUMMYFUNCTION("""COMPUTED_VALUE"""),"1年")</f>
        <v>1年</v>
      </c>
      <c r="V1008" s="12"/>
      <c r="W1008" s="12"/>
      <c r="X1008" s="12"/>
      <c r="Y1008" s="12"/>
      <c r="Z1008" s="14"/>
      <c r="AA1008" s="15" t="str">
        <f ca="1">IFERROR(__xludf.DUMMYFUNCTION("""COMPUTED_VALUE"""),"*多樣化料理，燉、煮、煎、炒、炸、蒸*附蒸籠，上蒸下煮同時進行*內鍋不沾塗層，不黏鍋好清潔*二檔火力調節鈕，料理食物隨心所欲*長效保溫設計，維持最佳溫度*透明玻璃鍋蓋，烹調狀況一目瞭然*防乾燒安全保護裝置，安全有保障*方型鍋體，時尚簡約")</f>
        <v>*多樣化料理，燉、煮、煎、炒、炸、蒸*附蒸籠，上蒸下煮同時進行*內鍋不沾塗層，不黏鍋好清潔*二檔火力調節鈕，料理食物隨心所欲*長效保溫設計，維持最佳溫度*透明玻璃鍋蓋，烹調狀況一目瞭然*防乾燒安全保護裝置，安全有保障*方型鍋體，時尚簡約</v>
      </c>
    </row>
    <row r="1009" spans="1:27" ht="19.5" customHeight="1">
      <c r="A1009" s="12" t="str">
        <f ca="1">IFERROR(__xludf.DUMMYFUNCTION("""COMPUTED_VALUE"""),"廚房家電")</f>
        <v>廚房家電</v>
      </c>
      <c r="B1009" s="12" t="str">
        <f ca="1">IFERROR(__xludf.DUMMYFUNCTION("""COMPUTED_VALUE"""),"昶宏")</f>
        <v>昶宏</v>
      </c>
      <c r="C1009" s="12" t="str">
        <f ca="1">IFERROR(__xludf.DUMMYFUNCTION("""COMPUTED_VALUE"""),"NICONICO")</f>
        <v>NICONICO</v>
      </c>
      <c r="D1009" s="12" t="str">
        <f ca="1">IFERROR(__xludf.DUMMYFUNCTION("""COMPUTED_VALUE"""),"NICONICO 4人份微電腦電子鍋NI-TE1114")</f>
        <v>NICONICO 4人份微電腦電子鍋NI-TE1114</v>
      </c>
      <c r="E1009" s="12" t="str">
        <f ca="1">IFERROR(__xludf.DUMMYFUNCTION("""COMPUTED_VALUE"""),"NI-TE1114")</f>
        <v>NI-TE1114</v>
      </c>
      <c r="F1009" s="12">
        <f ca="1">IFERROR(__xludf.DUMMYFUNCTION("""COMPUTED_VALUE"""),51078045)</f>
        <v>51078045</v>
      </c>
      <c r="G1009" s="12" t="str">
        <f ca="1">IFERROR(__xludf.DUMMYFUNCTION("""COMPUTED_VALUE"""),"IGEM072G")</f>
        <v>IGEM072G</v>
      </c>
      <c r="H1009" s="13">
        <f ca="1">IFERROR(__xludf.DUMMYFUNCTION("""COMPUTED_VALUE"""),2680)</f>
        <v>2680</v>
      </c>
      <c r="I1009" s="14">
        <f ca="1">IFERROR(__xludf.DUMMYFUNCTION("""COMPUTED_VALUE"""),1780)</f>
        <v>1780</v>
      </c>
      <c r="J1009" s="12"/>
      <c r="K1009" s="12"/>
      <c r="L1009" s="12" t="str">
        <f ca="1">IFERROR(__xludf.DUMMYFUNCTION("""COMPUTED_VALUE"""),"上架中")</f>
        <v>上架中</v>
      </c>
      <c r="M1009" s="12" t="str">
        <f ca="1">IFERROR(__xludf.DUMMYFUNCTION("""COMPUTED_VALUE"""),"2022/11/15上架")</f>
        <v>2022/11/15上架</v>
      </c>
      <c r="N1009" s="12" t="str">
        <f ca="1">IFERROR(__xludf.DUMMYFUNCTION("""COMPUTED_VALUE"""),"電子鍋")</f>
        <v>電子鍋</v>
      </c>
      <c r="O1009" s="12" t="str">
        <f ca="1">IFERROR(__xludf.DUMMYFUNCTION("""COMPUTED_VALUE"""),"白色")</f>
        <v>白色</v>
      </c>
      <c r="P1009" s="12" t="str">
        <f ca="1">IFERROR(__xludf.DUMMYFUNCTION("""COMPUTED_VALUE"""),"重量約2KG")</f>
        <v>重量約2KG</v>
      </c>
      <c r="Q1009" s="12" t="str">
        <f ca="1">IFERROR(__xludf.DUMMYFUNCTION("""COMPUTED_VALUE"""),"產品尺寸：   203 (H)x239 (W) x 247 (D) mm
包裝尺寸：  255 (H)x 280 (W) x 280 (D) mm")</f>
        <v>產品尺寸：   203 (H)x239 (W) x 247 (D) mm
包裝尺寸：  255 (H)x 280 (W) x 280 (D) mm</v>
      </c>
      <c r="R1009" s="12" t="str">
        <f ca="1">IFERROR(__xludf.DUMMYFUNCTION("""COMPUTED_VALUE"""),"中國")</f>
        <v>中國</v>
      </c>
      <c r="S1009" s="12"/>
      <c r="T1009" s="12"/>
      <c r="U1009" s="12" t="str">
        <f ca="1">IFERROR(__xludf.DUMMYFUNCTION("""COMPUTED_VALUE"""),"1年")</f>
        <v>1年</v>
      </c>
      <c r="V1009" s="12"/>
      <c r="W1009" s="12"/>
      <c r="X1009" s="12"/>
      <c r="Y1009" s="12"/>
      <c r="Z1009" s="14"/>
      <c r="AA1009" s="15" t="str">
        <f ca="1">IFERROR(__xludf.DUMMYFUNCTION("""COMPUTED_VALUE"""),"*球釜內鍋，均勻受熱*微電腦觸控面板*球釜不沾內鍋，不黏鍋易清洗*四大烹調功能，料理多樣化選擇*全方位均勻受熱，米飯更Q彈香甜*1.5L黃金容量，小家庭、單身貴族適用*8小時預約功能，美食不久等*自動保溫，食材美味不流失*附飯匙、量杯
")</f>
        <v xml:space="preserve">*球釜內鍋，均勻受熱*微電腦觸控面板*球釜不沾內鍋，不黏鍋易清洗*四大烹調功能，料理多樣化選擇*全方位均勻受熱，米飯更Q彈香甜*1.5L黃金容量，小家庭、單身貴族適用*8小時預約功能，美食不久等*自動保溫，食材美味不流失*附飯匙、量杯
</v>
      </c>
    </row>
    <row r="1010" spans="1:27" ht="19.5" customHeight="1">
      <c r="A1010" s="12" t="str">
        <f ca="1">IFERROR(__xludf.DUMMYFUNCTION("""COMPUTED_VALUE"""),"廚房家電")</f>
        <v>廚房家電</v>
      </c>
      <c r="B1010" s="12" t="str">
        <f ca="1">IFERROR(__xludf.DUMMYFUNCTION("""COMPUTED_VALUE"""),"昶宏")</f>
        <v>昶宏</v>
      </c>
      <c r="C1010" s="12" t="str">
        <f ca="1">IFERROR(__xludf.DUMMYFUNCTION("""COMPUTED_VALUE"""),"NICONICO")</f>
        <v>NICONICO</v>
      </c>
      <c r="D1010" s="12" t="str">
        <f ca="1">IFERROR(__xludf.DUMMYFUNCTION("""COMPUTED_VALUE"""),"NICONICO電子溫控手沖壺炭晶黑(細口)NI-L2003B")</f>
        <v>NICONICO電子溫控手沖壺炭晶黑(細口)NI-L2003B</v>
      </c>
      <c r="E1010" s="12" t="str">
        <f ca="1">IFERROR(__xludf.DUMMYFUNCTION("""COMPUTED_VALUE"""),"NI-L2003B")</f>
        <v>NI-L2003B</v>
      </c>
      <c r="F1010" s="12">
        <f ca="1">IFERROR(__xludf.DUMMYFUNCTION("""COMPUTED_VALUE"""),51078046)</f>
        <v>51078046</v>
      </c>
      <c r="G1010" s="12" t="str">
        <f ca="1">IFERROR(__xludf.DUMMYFUNCTION("""COMPUTED_VALUE"""),"IGEM074I")</f>
        <v>IGEM074I</v>
      </c>
      <c r="H1010" s="12">
        <f ca="1">IFERROR(__xludf.DUMMYFUNCTION("""COMPUTED_VALUE"""),3280)</f>
        <v>3280</v>
      </c>
      <c r="I1010" s="14">
        <f ca="1">IFERROR(__xludf.DUMMYFUNCTION("""COMPUTED_VALUE"""),1990)</f>
        <v>1990</v>
      </c>
      <c r="J1010" s="16">
        <f ca="1">IFERROR(__xludf.DUMMYFUNCTION("""COMPUTED_VALUE"""),45474)</f>
        <v>45474</v>
      </c>
      <c r="K1010" s="12" t="str">
        <f ca="1">IFERROR(__xludf.DUMMYFUNCTION("""COMPUTED_VALUE"""),"短促")</f>
        <v>短促</v>
      </c>
      <c r="L1010" s="12" t="str">
        <f ca="1">IFERROR(__xludf.DUMMYFUNCTION("""COMPUTED_VALUE"""),"上架中")</f>
        <v>上架中</v>
      </c>
      <c r="M1010" s="12" t="str">
        <f ca="1">IFERROR(__xludf.DUMMYFUNCTION("""COMPUTED_VALUE"""),"2024/7/1短促，2024/6/25到貨，2024/03/04缺貨，6/8短促，6/1回價，2023/3/1-5/31短促2023/1/10新機上架")</f>
        <v>2024/7/1短促，2024/6/25到貨，2024/03/04缺貨，6/8短促，6/1回價，2023/3/1-5/31短促2023/1/10新機上架</v>
      </c>
      <c r="N1010" s="12" t="str">
        <f ca="1">IFERROR(__xludf.DUMMYFUNCTION("""COMPUTED_VALUE"""),"快煮壺/料理壺/手沖壺")</f>
        <v>快煮壺/料理壺/手沖壺</v>
      </c>
      <c r="O1010" s="12" t="str">
        <f ca="1">IFERROR(__xludf.DUMMYFUNCTION("""COMPUTED_VALUE"""),"炭晶黑")</f>
        <v>炭晶黑</v>
      </c>
      <c r="P1010" s="12" t="str">
        <f ca="1">IFERROR(__xludf.DUMMYFUNCTION("""COMPUTED_VALUE"""),"產品重量 約1.07KG")</f>
        <v>產品重量 約1.07KG</v>
      </c>
      <c r="Q1010" s="12" t="str">
        <f ca="1">IFERROR(__xludf.DUMMYFUNCTION("""COMPUTED_VALUE"""),"200 (H)x  277 (W) x 225 (D) mm")</f>
        <v>200 (H)x  277 (W) x 225 (D) mm</v>
      </c>
      <c r="R1010" s="12" t="str">
        <f ca="1">IFERROR(__xludf.DUMMYFUNCTION("""COMPUTED_VALUE"""),"中國")</f>
        <v>中國</v>
      </c>
      <c r="S1010" s="12"/>
      <c r="T1010" s="12"/>
      <c r="U1010" s="12" t="str">
        <f ca="1">IFERROR(__xludf.DUMMYFUNCTION("""COMPUTED_VALUE"""),"1年")</f>
        <v>1年</v>
      </c>
      <c r="V1010" s="12"/>
      <c r="W1010" s="12"/>
      <c r="X1010" s="12"/>
      <c r="Y1010" s="12"/>
      <c r="Z1010" s="14"/>
      <c r="AA1010" s="15" t="str">
        <f ca="1">IFERROR(__xludf.DUMMYFUNCTION("""COMPUTED_VALUE"""),"*掌控溫度及水流，滿足專業品味*無段式溫控顯示，1°C為單位精準調整水溫*保溫設計，維持最佳溫度*天鵝頸壺嘴，絕佳水流控制*採用304不鏽鋼材質，飲用安心*沸騰自動斷電，防乾燒保護裝置*分離式電源底座，清洗方便*防燙把手，握感舒適好拿")</f>
        <v>*掌控溫度及水流，滿足專業品味*無段式溫控顯示，1°C為單位精準調整水溫*保溫設計，維持最佳溫度*天鵝頸壺嘴，絕佳水流控制*採用304不鏽鋼材質，飲用安心*沸騰自動斷電，防乾燒保護裝置*分離式電源底座，清洗方便*防燙把手，握感舒適好拿</v>
      </c>
    </row>
    <row r="1011" spans="1:27" ht="19.5" customHeight="1">
      <c r="A1011" s="12" t="str">
        <f ca="1">IFERROR(__xludf.DUMMYFUNCTION("""COMPUTED_VALUE"""),"廚房家電")</f>
        <v>廚房家電</v>
      </c>
      <c r="B1011" s="12" t="str">
        <f ca="1">IFERROR(__xludf.DUMMYFUNCTION("""COMPUTED_VALUE"""),"昶宏")</f>
        <v>昶宏</v>
      </c>
      <c r="C1011" s="12" t="str">
        <f ca="1">IFERROR(__xludf.DUMMYFUNCTION("""COMPUTED_VALUE"""),"NICONICO")</f>
        <v>NICONICO</v>
      </c>
      <c r="D1011" s="12" t="str">
        <f ca="1">IFERROR(__xludf.DUMMYFUNCTION("""COMPUTED_VALUE"""),"NICONICO電子溫控手沖壺雪幕白(寬口)NI-L2003W")</f>
        <v>NICONICO電子溫控手沖壺雪幕白(寬口)NI-L2003W</v>
      </c>
      <c r="E1011" s="12" t="str">
        <f ca="1">IFERROR(__xludf.DUMMYFUNCTION("""COMPUTED_VALUE"""),"NI-L2003W")</f>
        <v>NI-L2003W</v>
      </c>
      <c r="F1011" s="12">
        <f ca="1">IFERROR(__xludf.DUMMYFUNCTION("""COMPUTED_VALUE"""),51078047)</f>
        <v>51078047</v>
      </c>
      <c r="G1011" s="12" t="str">
        <f ca="1">IFERROR(__xludf.DUMMYFUNCTION("""COMPUTED_VALUE"""),"IGEM074J")</f>
        <v>IGEM074J</v>
      </c>
      <c r="H1011" s="12">
        <f ca="1">IFERROR(__xludf.DUMMYFUNCTION("""COMPUTED_VALUE"""),3280)</f>
        <v>3280</v>
      </c>
      <c r="I1011" s="14">
        <f ca="1">IFERROR(__xludf.DUMMYFUNCTION("""COMPUTED_VALUE"""),1990)</f>
        <v>1990</v>
      </c>
      <c r="J1011" s="16">
        <f ca="1">IFERROR(__xludf.DUMMYFUNCTION("""COMPUTED_VALUE"""),45474)</f>
        <v>45474</v>
      </c>
      <c r="K1011" s="12" t="str">
        <f ca="1">IFERROR(__xludf.DUMMYFUNCTION("""COMPUTED_VALUE"""),"短促")</f>
        <v>短促</v>
      </c>
      <c r="L1011" s="12" t="str">
        <f ca="1">IFERROR(__xludf.DUMMYFUNCTION("""COMPUTED_VALUE"""),"上架中")</f>
        <v>上架中</v>
      </c>
      <c r="M1011" s="12" t="str">
        <f ca="1">IFERROR(__xludf.DUMMYFUNCTION("""COMPUTED_VALUE"""),"2024/7/1短促，2024/3/22短促，6/8短促，6/1回價，2023/3/1-5/31短促2023/1/10新機上架")</f>
        <v>2024/7/1短促，2024/3/22短促，6/8短促，6/1回價，2023/3/1-5/31短促2023/1/10新機上架</v>
      </c>
      <c r="N1011" s="12" t="str">
        <f ca="1">IFERROR(__xludf.DUMMYFUNCTION("""COMPUTED_VALUE"""),"快煮壺/料理壺/手沖壺")</f>
        <v>快煮壺/料理壺/手沖壺</v>
      </c>
      <c r="O1011" s="12" t="str">
        <f ca="1">IFERROR(__xludf.DUMMYFUNCTION("""COMPUTED_VALUE"""),"雪幕白")</f>
        <v>雪幕白</v>
      </c>
      <c r="P1011" s="12" t="str">
        <f ca="1">IFERROR(__xludf.DUMMYFUNCTION("""COMPUTED_VALUE"""),"產品重量 約1.07KG")</f>
        <v>產品重量 約1.07KG</v>
      </c>
      <c r="Q1011" s="12" t="str">
        <f ca="1">IFERROR(__xludf.DUMMYFUNCTION("""COMPUTED_VALUE"""),"200 (H)  x 247 (W) x 225 (D)mm")</f>
        <v>200 (H)  x 247 (W) x 225 (D)mm</v>
      </c>
      <c r="R1011" s="12" t="str">
        <f ca="1">IFERROR(__xludf.DUMMYFUNCTION("""COMPUTED_VALUE"""),"中國")</f>
        <v>中國</v>
      </c>
      <c r="S1011" s="12"/>
      <c r="T1011" s="12"/>
      <c r="U1011" s="12" t="str">
        <f ca="1">IFERROR(__xludf.DUMMYFUNCTION("""COMPUTED_VALUE"""),"1年")</f>
        <v>1年</v>
      </c>
      <c r="V1011" s="12"/>
      <c r="W1011" s="12"/>
      <c r="X1011" s="12"/>
      <c r="Y1011" s="12"/>
      <c r="Z1011" s="14"/>
      <c r="AA1011" s="15" t="str">
        <f ca="1">IFERROR(__xludf.DUMMYFUNCTION("""COMPUTED_VALUE"""),"*掌控溫度及水流，滿足專業品味*無段式溫控顯示，1°C為單位精準調整水溫*保溫設計，維持最佳溫度*流線型壺嘴，絕佳水流控制*採用304不鏽鋼材質，飲用安心*沸騰自動斷電，防乾燒保護裝置*分離式電源底座，清洗方便*防燙把手，握感舒適好拿")</f>
        <v>*掌控溫度及水流，滿足專業品味*無段式溫控顯示，1°C為單位精準調整水溫*保溫設計，維持最佳溫度*流線型壺嘴，絕佳水流控制*採用304不鏽鋼材質，飲用安心*沸騰自動斷電，防乾燒保護裝置*分離式電源底座，清洗方便*防燙把手，握感舒適好拿</v>
      </c>
    </row>
    <row r="1012" spans="1:27" ht="19.5" customHeight="1">
      <c r="A1012" s="12" t="str">
        <f ca="1">IFERROR(__xludf.DUMMYFUNCTION("""COMPUTED_VALUE"""),"廚房家電")</f>
        <v>廚房家電</v>
      </c>
      <c r="B1012" s="12" t="str">
        <f ca="1">IFERROR(__xludf.DUMMYFUNCTION("""COMPUTED_VALUE"""),"昶宏")</f>
        <v>昶宏</v>
      </c>
      <c r="C1012" s="12" t="str">
        <f ca="1">IFERROR(__xludf.DUMMYFUNCTION("""COMPUTED_VALUE"""),"NICONICO")</f>
        <v>NICONICO</v>
      </c>
      <c r="D1012" s="12" t="str">
        <f ca="1">IFERROR(__xludf.DUMMYFUNCTION("""COMPUTED_VALUE"""),"NICONICO 雙溫控多功能料理鍋 NI-K2001 (大全配) 白色")</f>
        <v>NICONICO 雙溫控多功能料理鍋 NI-K2001 (大全配) 白色</v>
      </c>
      <c r="E1012" s="12" t="str">
        <f ca="1">IFERROR(__xludf.DUMMYFUNCTION("""COMPUTED_VALUE"""),"NI-K200(大全配)")</f>
        <v>NI-K200(大全配)</v>
      </c>
      <c r="F1012" s="12">
        <f ca="1">IFERROR(__xludf.DUMMYFUNCTION("""COMPUTED_VALUE"""),51078054)</f>
        <v>51078054</v>
      </c>
      <c r="G1012" s="12" t="str">
        <f ca="1">IFERROR(__xludf.DUMMYFUNCTION("""COMPUTED_VALUE"""),"IGEM1006")</f>
        <v>IGEM1006</v>
      </c>
      <c r="H1012" s="13">
        <f ca="1">IFERROR(__xludf.DUMMYFUNCTION("""COMPUTED_VALUE"""),8990)</f>
        <v>8990</v>
      </c>
      <c r="I1012" s="18">
        <f ca="1">IFERROR(__xludf.DUMMYFUNCTION("""COMPUTED_VALUE"""),4780)</f>
        <v>4780</v>
      </c>
      <c r="J1012" s="16">
        <f ca="1">IFERROR(__xludf.DUMMYFUNCTION("""COMPUTED_VALUE"""),45717)</f>
        <v>45717</v>
      </c>
      <c r="K1012" s="12" t="str">
        <f ca="1">IFERROR(__xludf.DUMMYFUNCTION("""COMPUTED_VALUE"""),"短促")</f>
        <v>短促</v>
      </c>
      <c r="L1012" s="12" t="str">
        <f ca="1">IFERROR(__xludf.DUMMYFUNCTION("""COMPUTED_VALUE"""),"上架中")</f>
        <v>上架中</v>
      </c>
      <c r="M1012" s="12" t="str">
        <f ca="1">IFERROR(__xludf.DUMMYFUNCTION("""COMPUTED_VALUE"""),"6/15短促，2024/4/24新機上架")</f>
        <v>6/15短促，2024/4/24新機上架</v>
      </c>
      <c r="N1012" s="12" t="str">
        <f ca="1">IFERROR(__xludf.DUMMYFUNCTION("""COMPUTED_VALUE"""),"多功能調理鍋/蒸氣烘烤爐")</f>
        <v>多功能調理鍋/蒸氣烘烤爐</v>
      </c>
      <c r="O1012" s="12" t="str">
        <f ca="1">IFERROR(__xludf.DUMMYFUNCTION("""COMPUTED_VALUE"""),"白")</f>
        <v>白</v>
      </c>
      <c r="P1012" s="12"/>
      <c r="Q1012" s="12" t="str">
        <f ca="1">IFERROR(__xludf.DUMMYFUNCTION("""COMPUTED_VALUE"""),"商品尺寸：195 (H)x 400 (W) x 255 (D)  mm")</f>
        <v>商品尺寸：195 (H)x 400 (W) x 255 (D)  mm</v>
      </c>
      <c r="R1012" s="12" t="str">
        <f ca="1">IFERROR(__xludf.DUMMYFUNCTION("""COMPUTED_VALUE"""),"中國")</f>
        <v>中國</v>
      </c>
      <c r="S1012" s="12"/>
      <c r="T1012" s="12"/>
      <c r="U1012" s="12" t="str">
        <f ca="1">IFERROR(__xludf.DUMMYFUNCTION("""COMPUTED_VALUE"""),"1年")</f>
        <v>1年</v>
      </c>
      <c r="V1012" s="12"/>
      <c r="W1012" s="12"/>
      <c r="X1012" s="12"/>
      <c r="Y1012" s="12"/>
      <c r="Z1012" s="14"/>
      <c r="AA1012" s="15" t="str">
        <f ca="1">IFERROR(__xludf.DUMMYFUNCTION("""COMPUTED_VALUE"""),"*雙邊獨立溫控，可分開單獨使用*無段式溫度選擇，最高溫達 220°C*大面積加熱盤，受熱均勻更快速*多種烤盤搭配，實現料理自由*烤盤鍋體分離，使用後方便清潔*SGS 檢驗合格，使用安心有保障*含主機、深鍋、小煎盤x2、小深鍋含蓋、章魚燒盤、紅豆餅盤、蒸架、上蓋")</f>
        <v>*雙邊獨立溫控，可分開單獨使用*無段式溫度選擇，最高溫達 220°C*大面積加熱盤，受熱均勻更快速*多種烤盤搭配，實現料理自由*烤盤鍋體分離，使用後方便清潔*SGS 檢驗合格，使用安心有保障*含主機、深鍋、小煎盤x2、小深鍋含蓋、章魚燒盤、紅豆餅盤、蒸架、上蓋</v>
      </c>
    </row>
    <row r="1013" spans="1:27" ht="19.5" customHeight="1">
      <c r="A1013" s="12" t="str">
        <f ca="1">IFERROR(__xludf.DUMMYFUNCTION("""COMPUTED_VALUE"""),"廚房家電")</f>
        <v>廚房家電</v>
      </c>
      <c r="B1013" s="12" t="str">
        <f ca="1">IFERROR(__xludf.DUMMYFUNCTION("""COMPUTED_VALUE"""),"昶宏")</f>
        <v>昶宏</v>
      </c>
      <c r="C1013" s="12" t="str">
        <f ca="1">IFERROR(__xludf.DUMMYFUNCTION("""COMPUTED_VALUE"""),"NICONICO")</f>
        <v>NICONICO</v>
      </c>
      <c r="D1013" s="12" t="str">
        <f ca="1">IFERROR(__xludf.DUMMYFUNCTION("""COMPUTED_VALUE"""),"NICONICO 雙溫控多功能料理鍋 NI-K2001 白色")</f>
        <v>NICONICO 雙溫控多功能料理鍋 NI-K2001 白色</v>
      </c>
      <c r="E1013" s="12" t="str">
        <f ca="1">IFERROR(__xludf.DUMMYFUNCTION("""COMPUTED_VALUE"""),"NI-K2001")</f>
        <v>NI-K2001</v>
      </c>
      <c r="F1013" s="12">
        <f ca="1">IFERROR(__xludf.DUMMYFUNCTION("""COMPUTED_VALUE"""),51078055)</f>
        <v>51078055</v>
      </c>
      <c r="G1013" s="12" t="str">
        <f ca="1">IFERROR(__xludf.DUMMYFUNCTION("""COMPUTED_VALUE"""),"IGEM1007")</f>
        <v>IGEM1007</v>
      </c>
      <c r="H1013" s="13">
        <f ca="1">IFERROR(__xludf.DUMMYFUNCTION("""COMPUTED_VALUE"""),4990)</f>
        <v>4990</v>
      </c>
      <c r="I1013" s="18">
        <f ca="1">IFERROR(__xludf.DUMMYFUNCTION("""COMPUTED_VALUE"""),2980)</f>
        <v>2980</v>
      </c>
      <c r="J1013" s="12"/>
      <c r="K1013" s="12" t="str">
        <f ca="1">IFERROR(__xludf.DUMMYFUNCTION("""COMPUTED_VALUE"""),"新機上架")</f>
        <v>新機上架</v>
      </c>
      <c r="L1013" s="12" t="str">
        <f ca="1">IFERROR(__xludf.DUMMYFUNCTION("""COMPUTED_VALUE"""),"上架中")</f>
        <v>上架中</v>
      </c>
      <c r="M1013" s="12" t="str">
        <f ca="1">IFERROR(__xludf.DUMMYFUNCTION("""COMPUTED_VALUE"""),"6/15短促2024/4/24新機上架")</f>
        <v>6/15短促2024/4/24新機上架</v>
      </c>
      <c r="N1013" s="12" t="str">
        <f ca="1">IFERROR(__xludf.DUMMYFUNCTION("""COMPUTED_VALUE"""),"多功能調理鍋/蒸氣烘烤爐")</f>
        <v>多功能調理鍋/蒸氣烘烤爐</v>
      </c>
      <c r="O1013" s="12" t="str">
        <f ca="1">IFERROR(__xludf.DUMMYFUNCTION("""COMPUTED_VALUE"""),"白")</f>
        <v>白</v>
      </c>
      <c r="P1013" s="12"/>
      <c r="Q1013" s="12" t="str">
        <f ca="1">IFERROR(__xludf.DUMMYFUNCTION("""COMPUTED_VALUE"""),"商品尺寸：  195 (H)x400 (W) x 255 (D) mm")</f>
        <v>商品尺寸：  195 (H)x400 (W) x 255 (D) mm</v>
      </c>
      <c r="R1013" s="12" t="str">
        <f ca="1">IFERROR(__xludf.DUMMYFUNCTION("""COMPUTED_VALUE"""),"中國")</f>
        <v>中國</v>
      </c>
      <c r="S1013" s="12"/>
      <c r="T1013" s="12"/>
      <c r="U1013" s="12" t="str">
        <f ca="1">IFERROR(__xludf.DUMMYFUNCTION("""COMPUTED_VALUE"""),"1年")</f>
        <v>1年</v>
      </c>
      <c r="V1013" s="12"/>
      <c r="W1013" s="12"/>
      <c r="X1013" s="12"/>
      <c r="Y1013" s="12"/>
      <c r="Z1013" s="14"/>
      <c r="AA1013" s="15" t="str">
        <f ca="1">IFERROR(__xludf.DUMMYFUNCTION("""COMPUTED_VALUE"""),"*雙邊獨立溫控，可分開單獨使用*無段式溫度選擇，最高溫達 220°C*大面積加熱盤，受熱均勻更快速*多種烤盤搭配，實現料理自由*烤盤鍋體分離，使用後方便清潔*SGS 檢驗合格，使用安心有保障*含主機、深鍋、小煎盤x2、上蓋")</f>
        <v>*雙邊獨立溫控，可分開單獨使用*無段式溫度選擇，最高溫達 220°C*大面積加熱盤，受熱均勻更快速*多種烤盤搭配，實現料理自由*烤盤鍋體分離，使用後方便清潔*SGS 檢驗合格，使用安心有保障*含主機、深鍋、小煎盤x2、上蓋</v>
      </c>
    </row>
    <row r="1014" spans="1:27" ht="19.5" customHeight="1">
      <c r="A1014" s="12" t="str">
        <f ca="1">IFERROR(__xludf.DUMMYFUNCTION("""COMPUTED_VALUE"""),"廚房家電")</f>
        <v>廚房家電</v>
      </c>
      <c r="B1014" s="12" t="str">
        <f ca="1">IFERROR(__xludf.DUMMYFUNCTION("""COMPUTED_VALUE"""),"昶宏")</f>
        <v>昶宏</v>
      </c>
      <c r="C1014" s="12" t="str">
        <f ca="1">IFERROR(__xludf.DUMMYFUNCTION("""COMPUTED_VALUE"""),"NICONICO")</f>
        <v>NICONICO</v>
      </c>
      <c r="D1014" s="12" t="str">
        <f ca="1">IFERROR(__xludf.DUMMYFUNCTION("""COMPUTED_VALUE"""),"NICONICO 30L微電腦紫外線烘碗機 NI-K2016")</f>
        <v>NICONICO 30L微電腦紫外線烘碗機 NI-K2016</v>
      </c>
      <c r="E1014" s="12" t="str">
        <f ca="1">IFERROR(__xludf.DUMMYFUNCTION("""COMPUTED_VALUE"""),"NI-K2016")</f>
        <v>NI-K2016</v>
      </c>
      <c r="F1014" s="12">
        <f ca="1">IFERROR(__xludf.DUMMYFUNCTION("""COMPUTED_VALUE"""),51078056)</f>
        <v>51078056</v>
      </c>
      <c r="G1014" s="12" t="str">
        <f ca="1">IFERROR(__xludf.DUMMYFUNCTION("""COMPUTED_VALUE"""),"IGEM1008")</f>
        <v>IGEM1008</v>
      </c>
      <c r="H1014" s="13">
        <f ca="1">IFERROR(__xludf.DUMMYFUNCTION("""COMPUTED_VALUE"""),5990)</f>
        <v>5990</v>
      </c>
      <c r="I1014" s="18">
        <f ca="1">IFERROR(__xludf.DUMMYFUNCTION("""COMPUTED_VALUE"""),3980)</f>
        <v>3980</v>
      </c>
      <c r="J1014" s="12"/>
      <c r="K1014" s="12" t="str">
        <f ca="1">IFERROR(__xludf.DUMMYFUNCTION("""COMPUTED_VALUE"""),"新機上架")</f>
        <v>新機上架</v>
      </c>
      <c r="L1014" s="12" t="str">
        <f ca="1">IFERROR(__xludf.DUMMYFUNCTION("""COMPUTED_VALUE"""),"上架中")</f>
        <v>上架中</v>
      </c>
      <c r="M1014" s="12" t="str">
        <f ca="1">IFERROR(__xludf.DUMMYFUNCTION("""COMPUTED_VALUE"""),"2024/4/24新機上架")</f>
        <v>2024/4/24新機上架</v>
      </c>
      <c r="N1014" s="12" t="str">
        <f ca="1">IFERROR(__xludf.DUMMYFUNCTION("""COMPUTED_VALUE"""),"洗/烘碗機")</f>
        <v>洗/烘碗機</v>
      </c>
      <c r="O1014" s="12" t="str">
        <f ca="1">IFERROR(__xludf.DUMMYFUNCTION("""COMPUTED_VALUE"""),"白")</f>
        <v>白</v>
      </c>
      <c r="P1014" s="12" t="str">
        <f ca="1">IFERROR(__xludf.DUMMYFUNCTION("""COMPUTED_VALUE"""),"30L")</f>
        <v>30L</v>
      </c>
      <c r="Q1014" s="12" t="str">
        <f ca="1">IFERROR(__xludf.DUMMYFUNCTION("""COMPUTED_VALUE"""),"商品尺寸：406 (H) x 369 (W) x 318 (D) mm")</f>
        <v>商品尺寸：406 (H) x 369 (W) x 318 (D) mm</v>
      </c>
      <c r="R1014" s="12" t="str">
        <f ca="1">IFERROR(__xludf.DUMMYFUNCTION("""COMPUTED_VALUE"""),"中國")</f>
        <v>中國</v>
      </c>
      <c r="S1014" s="12"/>
      <c r="T1014" s="12"/>
      <c r="U1014" s="12" t="str">
        <f ca="1">IFERROR(__xludf.DUMMYFUNCTION("""COMPUTED_VALUE"""),"1年")</f>
        <v>1年</v>
      </c>
      <c r="V1014" s="12"/>
      <c r="W1014" s="12"/>
      <c r="X1014" s="12"/>
      <c r="Y1014" s="12"/>
      <c r="Z1014" s="14"/>
      <c r="AA1014" s="15" t="str">
        <f ca="1">IFERROR(__xludf.DUMMYFUNCTION("""COMPUTED_VALUE"""),"*殺菌、烘乾、收納，三合一多功能*UV 紫外線設計，99％有效殺菌*360°立體熱循環，烘乾無死角*四種智能模式，一鍵輕鬆啟動*30L居家容量，適合小家庭使用*貼心分區收納，方便餐具擺放*可拆式刀架組，輕鬆拆除清潔*安全感應設計，開蓋即停更安心")</f>
        <v>*殺菌、烘乾、收納，三合一多功能*UV 紫外線設計，99％有效殺菌*360°立體熱循環，烘乾無死角*四種智能模式，一鍵輕鬆啟動*30L居家容量，適合小家庭使用*貼心分區收納，方便餐具擺放*可拆式刀架組，輕鬆拆除清潔*安全感應設計，開蓋即停更安心</v>
      </c>
    </row>
    <row r="1015" spans="1:27" ht="19.5" customHeight="1">
      <c r="A1015" s="12" t="str">
        <f ca="1">IFERROR(__xludf.DUMMYFUNCTION("""COMPUTED_VALUE"""),"廚房家電")</f>
        <v>廚房家電</v>
      </c>
      <c r="B1015" s="12" t="str">
        <f ca="1">IFERROR(__xludf.DUMMYFUNCTION("""COMPUTED_VALUE"""),"昶宏")</f>
        <v>昶宏</v>
      </c>
      <c r="C1015" s="12" t="str">
        <f ca="1">IFERROR(__xludf.DUMMYFUNCTION("""COMPUTED_VALUE"""),"NICONICO")</f>
        <v>NICONICO</v>
      </c>
      <c r="D1015" s="12" t="str">
        <f ca="1">IFERROR(__xludf.DUMMYFUNCTION("""COMPUTED_VALUE"""),"NICONICO 12L蒸氣烤箱 NI-S2308 (奶油白)")</f>
        <v>NICONICO 12L蒸氣烤箱 NI-S2308 (奶油白)</v>
      </c>
      <c r="E1015" s="12" t="str">
        <f ca="1">IFERROR(__xludf.DUMMYFUNCTION("""COMPUTED_VALUE"""),"NI-S2308(奶油白)")</f>
        <v>NI-S2308(奶油白)</v>
      </c>
      <c r="F1015" s="12">
        <f ca="1">IFERROR(__xludf.DUMMYFUNCTION("""COMPUTED_VALUE"""),51078057)</f>
        <v>51078057</v>
      </c>
      <c r="G1015" s="12" t="str">
        <f ca="1">IFERROR(__xludf.DUMMYFUNCTION("""COMPUTED_VALUE"""),"IGEM1009")</f>
        <v>IGEM1009</v>
      </c>
      <c r="H1015" s="13">
        <f ca="1">IFERROR(__xludf.DUMMYFUNCTION("""COMPUTED_VALUE"""),2480)</f>
        <v>2480</v>
      </c>
      <c r="I1015" s="18">
        <f ca="1">IFERROR(__xludf.DUMMYFUNCTION("""COMPUTED_VALUE"""),1420)</f>
        <v>1420</v>
      </c>
      <c r="J1015" s="16">
        <f ca="1">IFERROR(__xludf.DUMMYFUNCTION("""COMPUTED_VALUE"""),45474)</f>
        <v>45474</v>
      </c>
      <c r="K1015" s="12" t="str">
        <f ca="1">IFERROR(__xludf.DUMMYFUNCTION("""COMPUTED_VALUE"""),"短促")</f>
        <v>短促</v>
      </c>
      <c r="L1015" s="12" t="str">
        <f ca="1">IFERROR(__xludf.DUMMYFUNCTION("""COMPUTED_VALUE"""),"上架中")</f>
        <v>上架中</v>
      </c>
      <c r="M1015" s="12" t="str">
        <f ca="1">IFERROR(__xludf.DUMMYFUNCTION("""COMPUTED_VALUE"""),"2024/7/1短促，2024/5/1短促，2024/4/24新機上架")</f>
        <v>2024/7/1短促，2024/5/1短促，2024/4/24新機上架</v>
      </c>
      <c r="N1015" s="12" t="str">
        <f ca="1">IFERROR(__xludf.DUMMYFUNCTION("""COMPUTED_VALUE"""),"烤箱")</f>
        <v>烤箱</v>
      </c>
      <c r="O1015" s="12" t="str">
        <f ca="1">IFERROR(__xludf.DUMMYFUNCTION("""COMPUTED_VALUE"""),"奶油白")</f>
        <v>奶油白</v>
      </c>
      <c r="P1015" s="12" t="str">
        <f ca="1">IFERROR(__xludf.DUMMYFUNCTION("""COMPUTED_VALUE"""),"12L")</f>
        <v>12L</v>
      </c>
      <c r="Q1015" s="12" t="str">
        <f ca="1">IFERROR(__xludf.DUMMYFUNCTION("""COMPUTED_VALUE"""),"商品尺寸： 208 (H)x381 (W) x 282 (D)  mm")</f>
        <v>商品尺寸： 208 (H)x381 (W) x 282 (D)  mm</v>
      </c>
      <c r="R1015" s="12" t="str">
        <f ca="1">IFERROR(__xludf.DUMMYFUNCTION("""COMPUTED_VALUE"""),"中國")</f>
        <v>中國</v>
      </c>
      <c r="S1015" s="12"/>
      <c r="T1015" s="12"/>
      <c r="U1015" s="12" t="str">
        <f ca="1">IFERROR(__xludf.DUMMYFUNCTION("""COMPUTED_VALUE"""),"1年")</f>
        <v>1年</v>
      </c>
      <c r="V1015" s="12"/>
      <c r="W1015" s="12"/>
      <c r="X1015" s="12"/>
      <c r="Y1015" s="12"/>
      <c r="Z1015" s="14"/>
      <c r="AA1015" s="15" t="str">
        <f ca="1">IFERROR(__xludf.DUMMYFUNCTION("""COMPUTED_VALUE"""),"*12公升容量，雙旋鈕設計*水蒸氣循環，外層酥脆內層鮮嫩*70~230度溫控範圍，火力自由調整*60分鐘定時可調，結束鈴聲通知*雙N型加熱管設計，加熱更快速*耐高溫鋼化玻璃窗，聚能隔熱更耐用*加熱指示燈，使用狀態更清楚*可開集屑底盤，容易清潔")</f>
        <v>*12公升容量，雙旋鈕設計*水蒸氣循環，外層酥脆內層鮮嫩*70~230度溫控範圍，火力自由調整*60分鐘定時可調，結束鈴聲通知*雙N型加熱管設計，加熱更快速*耐高溫鋼化玻璃窗，聚能隔熱更耐用*加熱指示燈，使用狀態更清楚*可開集屑底盤，容易清潔</v>
      </c>
    </row>
    <row r="1016" spans="1:27" ht="19.5" customHeight="1">
      <c r="A1016" s="12" t="str">
        <f ca="1">IFERROR(__xludf.DUMMYFUNCTION("""COMPUTED_VALUE"""),"廚房家電")</f>
        <v>廚房家電</v>
      </c>
      <c r="B1016" s="12" t="str">
        <f ca="1">IFERROR(__xludf.DUMMYFUNCTION("""COMPUTED_VALUE"""),"昶宏")</f>
        <v>昶宏</v>
      </c>
      <c r="C1016" s="12" t="str">
        <f ca="1">IFERROR(__xludf.DUMMYFUNCTION("""COMPUTED_VALUE"""),"NICONICO")</f>
        <v>NICONICO</v>
      </c>
      <c r="D1016" s="12" t="str">
        <f ca="1">IFERROR(__xludf.DUMMYFUNCTION("""COMPUTED_VALUE"""),"NICONICO 12L蒸氣烤箱 NI-S2308 (薄荷綠)")</f>
        <v>NICONICO 12L蒸氣烤箱 NI-S2308 (薄荷綠)</v>
      </c>
      <c r="E1016" s="12" t="str">
        <f ca="1">IFERROR(__xludf.DUMMYFUNCTION("""COMPUTED_VALUE"""),"NI-S2308(薄荷綠)")</f>
        <v>NI-S2308(薄荷綠)</v>
      </c>
      <c r="F1016" s="12">
        <f ca="1">IFERROR(__xludf.DUMMYFUNCTION("""COMPUTED_VALUE"""),51078058)</f>
        <v>51078058</v>
      </c>
      <c r="G1016" s="12" t="str">
        <f ca="1">IFERROR(__xludf.DUMMYFUNCTION("""COMPUTED_VALUE"""),"IGEM100A")</f>
        <v>IGEM100A</v>
      </c>
      <c r="H1016" s="13">
        <f ca="1">IFERROR(__xludf.DUMMYFUNCTION("""COMPUTED_VALUE"""),2480)</f>
        <v>2480</v>
      </c>
      <c r="I1016" s="18">
        <f ca="1">IFERROR(__xludf.DUMMYFUNCTION("""COMPUTED_VALUE"""),1420)</f>
        <v>1420</v>
      </c>
      <c r="J1016" s="16">
        <f ca="1">IFERROR(__xludf.DUMMYFUNCTION("""COMPUTED_VALUE"""),45474)</f>
        <v>45474</v>
      </c>
      <c r="K1016" s="12" t="str">
        <f ca="1">IFERROR(__xludf.DUMMYFUNCTION("""COMPUTED_VALUE"""),"短促")</f>
        <v>短促</v>
      </c>
      <c r="L1016" s="12" t="str">
        <f ca="1">IFERROR(__xludf.DUMMYFUNCTION("""COMPUTED_VALUE"""),"上架中")</f>
        <v>上架中</v>
      </c>
      <c r="M1016" s="12" t="str">
        <f ca="1">IFERROR(__xludf.DUMMYFUNCTION("""COMPUTED_VALUE"""),"2024/7/1短促，2024/5/1短促，2024/4/24新機上架")</f>
        <v>2024/7/1短促，2024/5/1短促，2024/4/24新機上架</v>
      </c>
      <c r="N1016" s="12" t="str">
        <f ca="1">IFERROR(__xludf.DUMMYFUNCTION("""COMPUTED_VALUE"""),"烤箱")</f>
        <v>烤箱</v>
      </c>
      <c r="O1016" s="12" t="str">
        <f ca="1">IFERROR(__xludf.DUMMYFUNCTION("""COMPUTED_VALUE"""),"薄荷綠")</f>
        <v>薄荷綠</v>
      </c>
      <c r="P1016" s="12" t="str">
        <f ca="1">IFERROR(__xludf.DUMMYFUNCTION("""COMPUTED_VALUE"""),"12L")</f>
        <v>12L</v>
      </c>
      <c r="Q1016" s="12" t="str">
        <f ca="1">IFERROR(__xludf.DUMMYFUNCTION("""COMPUTED_VALUE"""),"商品尺寸：208 (H) x 381 (W) x 282 (D) mm")</f>
        <v>商品尺寸：208 (H) x 381 (W) x 282 (D) mm</v>
      </c>
      <c r="R1016" s="12" t="str">
        <f ca="1">IFERROR(__xludf.DUMMYFUNCTION("""COMPUTED_VALUE"""),"中國")</f>
        <v>中國</v>
      </c>
      <c r="S1016" s="12"/>
      <c r="T1016" s="12"/>
      <c r="U1016" s="12" t="str">
        <f ca="1">IFERROR(__xludf.DUMMYFUNCTION("""COMPUTED_VALUE"""),"1年")</f>
        <v>1年</v>
      </c>
      <c r="V1016" s="12"/>
      <c r="W1016" s="12"/>
      <c r="X1016" s="12"/>
      <c r="Y1016" s="12"/>
      <c r="Z1016" s="14"/>
      <c r="AA1016" s="15" t="str">
        <f ca="1">IFERROR(__xludf.DUMMYFUNCTION("""COMPUTED_VALUE"""),"*12公升容量，雙旋鈕設計*水蒸氣循環，外層酥脆內層鮮嫩*70~230度溫控範圍，火力自由調整*60分鐘定時可調，結束鈴聲通知*雙N型加熱管設計，加熱更快速*耐高溫鋼化玻璃窗，聚能隔熱更耐用*加熱指示燈，使用狀態更清楚*可開集屑底盤，容易清潔")</f>
        <v>*12公升容量，雙旋鈕設計*水蒸氣循環，外層酥脆內層鮮嫩*70~230度溫控範圍，火力自由調整*60分鐘定時可調，結束鈴聲通知*雙N型加熱管設計，加熱更快速*耐高溫鋼化玻璃窗，聚能隔熱更耐用*加熱指示燈，使用狀態更清楚*可開集屑底盤，容易清潔</v>
      </c>
    </row>
    <row r="1017" spans="1:27" ht="19.5" customHeight="1">
      <c r="A1017" s="12" t="str">
        <f ca="1">IFERROR(__xludf.DUMMYFUNCTION("""COMPUTED_VALUE"""),"廚房家電")</f>
        <v>廚房家電</v>
      </c>
      <c r="B1017" s="12" t="str">
        <f ca="1">IFERROR(__xludf.DUMMYFUNCTION("""COMPUTED_VALUE"""),"昶宏")</f>
        <v>昶宏</v>
      </c>
      <c r="C1017" s="12" t="str">
        <f ca="1">IFERROR(__xludf.DUMMYFUNCTION("""COMPUTED_VALUE"""),"聲寶")</f>
        <v>聲寶</v>
      </c>
      <c r="D1017" s="12" t="str">
        <f ca="1">IFERROR(__xludf.DUMMYFUNCTION("""COMPUTED_VALUE"""),"聲寶三公升日式多功能料理鍋(米色)TQ-B19301CL")</f>
        <v>聲寶三公升日式多功能料理鍋(米色)TQ-B19301CL</v>
      </c>
      <c r="E1017" s="12" t="str">
        <f ca="1">IFERROR(__xludf.DUMMYFUNCTION("""COMPUTED_VALUE"""),"TQ-B19301CL(米色)")</f>
        <v>TQ-B19301CL(米色)</v>
      </c>
      <c r="F1017" s="12">
        <f ca="1">IFERROR(__xludf.DUMMYFUNCTION("""COMPUTED_VALUE"""),51078008)</f>
        <v>51078008</v>
      </c>
      <c r="G1017" s="12" t="str">
        <f ca="1">IFERROR(__xludf.DUMMYFUNCTION("""COMPUTED_VALUE"""),"IGEM01WW")</f>
        <v>IGEM01WW</v>
      </c>
      <c r="H1017" s="12">
        <f ca="1">IFERROR(__xludf.DUMMYFUNCTION("""COMPUTED_VALUE"""),1280)</f>
        <v>1280</v>
      </c>
      <c r="I1017" s="14">
        <f ca="1">IFERROR(__xludf.DUMMYFUNCTION("""COMPUTED_VALUE"""),880)</f>
        <v>880</v>
      </c>
      <c r="J1017" s="16">
        <f ca="1">IFERROR(__xludf.DUMMYFUNCTION("""COMPUTED_VALUE"""),45580)</f>
        <v>45580</v>
      </c>
      <c r="K1017" s="12" t="str">
        <f ca="1">IFERROR(__xludf.DUMMYFUNCTION("""COMPUTED_VALUE"""),"缺貨")</f>
        <v>缺貨</v>
      </c>
      <c r="L1017" s="12" t="str">
        <f ca="1">IFERROR(__xludf.DUMMYFUNCTION("""COMPUTED_VALUE"""),"缺貨")</f>
        <v>缺貨</v>
      </c>
      <c r="M1017" s="12" t="str">
        <f ca="1">IFERROR(__xludf.DUMMYFUNCTION("""COMPUTED_VALUE"""),"2024/10/15缺貨，1/16到貨2021/12/16缺貨、2021/1/24到貨、2022/1/6缺貨、2021/12/29缺貨、2/19到貨、2/2缺貨、2020/11/12到貨、10/21缺貨、預計11月中到貨、8/25新機")</f>
        <v>2024/10/15缺貨，1/16到貨2021/12/16缺貨、2021/1/24到貨、2022/1/6缺貨、2021/12/29缺貨、2/19到貨、2/2缺貨、2020/11/12到貨、10/21缺貨、預計11月中到貨、8/25新機</v>
      </c>
      <c r="N1017" s="12" t="str">
        <f ca="1">IFERROR(__xludf.DUMMYFUNCTION("""COMPUTED_VALUE"""),"多功能調理鍋/蒸氣烘烤爐")</f>
        <v>多功能調理鍋/蒸氣烘烤爐</v>
      </c>
      <c r="O1017" s="12" t="str">
        <f ca="1">IFERROR(__xludf.DUMMYFUNCTION("""COMPUTED_VALUE"""),"米色")</f>
        <v>米色</v>
      </c>
      <c r="P1017" s="12" t="str">
        <f ca="1">IFERROR(__xludf.DUMMYFUNCTION("""COMPUTED_VALUE"""),"容量3L、產品重量1.3KG")</f>
        <v>容量3L、產品重量1.3KG</v>
      </c>
      <c r="Q1017" s="12" t="str">
        <f ca="1">IFERROR(__xludf.DUMMYFUNCTION("""COMPUTED_VALUE"""),"產品尺寸262x128x330高寬長mm
")</f>
        <v xml:space="preserve">產品尺寸262x128x330高寬長mm
</v>
      </c>
      <c r="R1017" s="12" t="str">
        <f ca="1">IFERROR(__xludf.DUMMYFUNCTION("""COMPUTED_VALUE"""),"中國")</f>
        <v>中國</v>
      </c>
      <c r="S1017" s="12"/>
      <c r="T1017" s="12"/>
      <c r="U1017" s="12" t="str">
        <f ca="1">IFERROR(__xludf.DUMMYFUNCTION("""COMPUTED_VALUE"""),"1年")</f>
        <v>1年</v>
      </c>
      <c r="V1017" s="12"/>
      <c r="W1017" s="12"/>
      <c r="X1017" s="12"/>
      <c r="Y1017" s="12"/>
      <c r="Z1017" s="14"/>
      <c r="AA1017" s="15" t="str">
        <f ca="1">IFERROR(__xludf.DUMMYFUNCTION("""COMPUTED_VALUE"""),"*料理多功能，煎、炒、燉、煮
*兩檔火力可調，火力自由調整
*啟動指示燈，開啟、關閉好分辨
*不沾塗層，烹調不黏鍋好清潔
*具防乾燒功能，使用更安全
*操作簡單，輕易上手
*木質提把，時尚美觀
*容量：3L
*通過SGS無毒檢測
")</f>
        <v xml:space="preserve">*料理多功能，煎、炒、燉、煮
*兩檔火力可調，火力自由調整
*啟動指示燈，開啟、關閉好分辨
*不沾塗層，烹調不黏鍋好清潔
*具防乾燒功能，使用更安全
*操作簡單，輕易上手
*木質提把，時尚美觀
*容量：3L
*通過SGS無毒檢測
</v>
      </c>
    </row>
    <row r="1018" spans="1:27" ht="19.5" customHeight="1">
      <c r="A1018" s="12" t="str">
        <f ca="1">IFERROR(__xludf.DUMMYFUNCTION("""COMPUTED_VALUE"""),"廚房家電")</f>
        <v>廚房家電</v>
      </c>
      <c r="B1018" s="12" t="str">
        <f ca="1">IFERROR(__xludf.DUMMYFUNCTION("""COMPUTED_VALUE"""),"昶宏")</f>
        <v>昶宏</v>
      </c>
      <c r="C1018" s="12" t="str">
        <f ca="1">IFERROR(__xludf.DUMMYFUNCTION("""COMPUTED_VALUE"""),"聲寶")</f>
        <v>聲寶</v>
      </c>
      <c r="D1018" s="12" t="str">
        <f ca="1">IFERROR(__xludf.DUMMYFUNCTION("""COMPUTED_VALUE"""),"聲寶三公升日式多功能料理鍋(粉紅色)TQ-B19301CL")</f>
        <v>聲寶三公升日式多功能料理鍋(粉紅色)TQ-B19301CL</v>
      </c>
      <c r="E1018" s="12" t="str">
        <f ca="1">IFERROR(__xludf.DUMMYFUNCTION("""COMPUTED_VALUE"""),"TQ-B19301CL(粉紅)")</f>
        <v>TQ-B19301CL(粉紅)</v>
      </c>
      <c r="F1018" s="12">
        <f ca="1">IFERROR(__xludf.DUMMYFUNCTION("""COMPUTED_VALUE"""),51078013)</f>
        <v>51078013</v>
      </c>
      <c r="G1018" s="12" t="str">
        <f ca="1">IFERROR(__xludf.DUMMYFUNCTION("""COMPUTED_VALUE"""),"IGEM01X8")</f>
        <v>IGEM01X8</v>
      </c>
      <c r="H1018" s="12">
        <f ca="1">IFERROR(__xludf.DUMMYFUNCTION("""COMPUTED_VALUE"""),1280)</f>
        <v>1280</v>
      </c>
      <c r="I1018" s="14">
        <f ca="1">IFERROR(__xludf.DUMMYFUNCTION("""COMPUTED_VALUE"""),880)</f>
        <v>880</v>
      </c>
      <c r="J1018" s="12"/>
      <c r="K1018" s="12"/>
      <c r="L1018" s="12" t="str">
        <f ca="1">IFERROR(__xludf.DUMMYFUNCTION("""COMPUTED_VALUE"""),"上架中")</f>
        <v>上架中</v>
      </c>
      <c r="M1018" s="12" t="str">
        <f ca="1">IFERROR(__xludf.DUMMYFUNCTION("""COMPUTED_VALUE"""),"1/16到貨2022/12/16缺貨、2022/3/16到貨、2021/12/30缺貨、2021/12/07少量到貨售完為主、2021/11/3缺貨、2/19到貨、1/25缺貨、2020/12/16到貨、11/16缺貨、8/25新機")</f>
        <v>1/16到貨2022/12/16缺貨、2022/3/16到貨、2021/12/30缺貨、2021/12/07少量到貨售完為主、2021/11/3缺貨、2/19到貨、1/25缺貨、2020/12/16到貨、11/16缺貨、8/25新機</v>
      </c>
      <c r="N1018" s="12" t="str">
        <f ca="1">IFERROR(__xludf.DUMMYFUNCTION("""COMPUTED_VALUE"""),"多功能調理鍋/蒸氣烘烤爐")</f>
        <v>多功能調理鍋/蒸氣烘烤爐</v>
      </c>
      <c r="O1018" s="12" t="str">
        <f ca="1">IFERROR(__xludf.DUMMYFUNCTION("""COMPUTED_VALUE"""),"粉紅色")</f>
        <v>粉紅色</v>
      </c>
      <c r="P1018" s="12" t="str">
        <f ca="1">IFERROR(__xludf.DUMMYFUNCTION("""COMPUTED_VALUE"""),"容量3L、產品重量1.3KG")</f>
        <v>容量3L、產品重量1.3KG</v>
      </c>
      <c r="Q1018" s="12" t="str">
        <f ca="1">IFERROR(__xludf.DUMMYFUNCTION("""COMPUTED_VALUE"""),"產品尺寸262x128x330高寬長mm
")</f>
        <v xml:space="preserve">產品尺寸262x128x330高寬長mm
</v>
      </c>
      <c r="R1018" s="12" t="str">
        <f ca="1">IFERROR(__xludf.DUMMYFUNCTION("""COMPUTED_VALUE"""),"中國")</f>
        <v>中國</v>
      </c>
      <c r="S1018" s="12"/>
      <c r="T1018" s="12"/>
      <c r="U1018" s="12" t="str">
        <f ca="1">IFERROR(__xludf.DUMMYFUNCTION("""COMPUTED_VALUE"""),"1年")</f>
        <v>1年</v>
      </c>
      <c r="V1018" s="12"/>
      <c r="W1018" s="12"/>
      <c r="X1018" s="12"/>
      <c r="Y1018" s="12"/>
      <c r="Z1018" s="14"/>
      <c r="AA1018" s="15" t="str">
        <f ca="1">IFERROR(__xludf.DUMMYFUNCTION("""COMPUTED_VALUE"""),"*料理多功能，煎、炒、燉、煮
*兩檔火力可調，火力自由調整
*啟動指示燈，開啟、關閉好分辨
*不沾塗層，烹調不黏鍋好清潔
*具防乾燒功能，使用更安全
*操作簡單，輕易上手
*木質提把，時尚美觀
*容量：3L
*通過SGS無毒檢測
")</f>
        <v xml:space="preserve">*料理多功能，煎、炒、燉、煮
*兩檔火力可調，火力自由調整
*啟動指示燈，開啟、關閉好分辨
*不沾塗層，烹調不黏鍋好清潔
*具防乾燒功能，使用更安全
*操作簡單，輕易上手
*木質提把，時尚美觀
*容量：3L
*通過SGS無毒檢測
</v>
      </c>
    </row>
    <row r="1019" spans="1:27" ht="19.5" customHeight="1">
      <c r="A1019" s="12" t="str">
        <f ca="1">IFERROR(__xludf.DUMMYFUNCTION("""COMPUTED_VALUE"""),"廚房家電")</f>
        <v>廚房家電</v>
      </c>
      <c r="B1019" s="12" t="str">
        <f ca="1">IFERROR(__xludf.DUMMYFUNCTION("""COMPUTED_VALUE"""),"順發")</f>
        <v>順發</v>
      </c>
      <c r="C1019" s="12" t="str">
        <f ca="1">IFERROR(__xludf.DUMMYFUNCTION("""COMPUTED_VALUE"""),"BRITA")</f>
        <v>BRITA</v>
      </c>
      <c r="D1019" s="12" t="str">
        <f ca="1">IFERROR(__xludf.DUMMYFUNCTION("""COMPUTED_VALUE"""),"BRITA 智能瞬熱 UVC 滅菌開飲機 Model ONE (共七芯)_769890")</f>
        <v>BRITA 智能瞬熱 UVC 滅菌開飲機 Model ONE (共七芯)_769890</v>
      </c>
      <c r="E1019" s="12" t="str">
        <f ca="1">IFERROR(__xludf.DUMMYFUNCTION("""COMPUTED_VALUE"""),"Model ONE")</f>
        <v>Model ONE</v>
      </c>
      <c r="F1019" s="12">
        <f ca="1">IFERROR(__xludf.DUMMYFUNCTION("""COMPUTED_VALUE"""),51095764)</f>
        <v>51095764</v>
      </c>
      <c r="G1019" s="12" t="str">
        <f ca="1">IFERROR(__xludf.DUMMYFUNCTION("""COMPUTED_VALUE"""),"IGEM096T")</f>
        <v>IGEM096T</v>
      </c>
      <c r="H1019" s="13">
        <f ca="1">IFERROR(__xludf.DUMMYFUNCTION("""COMPUTED_VALUE"""),21300)</f>
        <v>21300</v>
      </c>
      <c r="I1019" s="18">
        <f ca="1">IFERROR(__xludf.DUMMYFUNCTION("""COMPUTED_VALUE"""),12000)</f>
        <v>12000</v>
      </c>
      <c r="J1019" s="16">
        <f ca="1">IFERROR(__xludf.DUMMYFUNCTION("""COMPUTED_VALUE"""),45717)</f>
        <v>45717</v>
      </c>
      <c r="K1019" s="12" t="str">
        <f ca="1">IFERROR(__xludf.DUMMYFUNCTION("""COMPUTED_VALUE"""),"短促")</f>
        <v>短促</v>
      </c>
      <c r="L1019" s="12" t="str">
        <f ca="1">IFERROR(__xludf.DUMMYFUNCTION("""COMPUTED_VALUE"""),"上架中")</f>
        <v>上架中</v>
      </c>
      <c r="M1019" s="12" t="str">
        <f ca="1">IFERROR(__xludf.DUMMYFUNCTION("""COMPUTED_VALUE"""),"2024/5/16短促，2024/2/1上架")</f>
        <v>2024/5/16短促，2024/2/1上架</v>
      </c>
      <c r="N1019" s="12" t="str">
        <f ca="1">IFERROR(__xludf.DUMMYFUNCTION("""COMPUTED_VALUE"""),"開飲機")</f>
        <v>開飲機</v>
      </c>
      <c r="O1019" s="12" t="str">
        <f ca="1">IFERROR(__xludf.DUMMYFUNCTION("""COMPUTED_VALUE"""),"白")</f>
        <v>白</v>
      </c>
      <c r="P1019" s="12" t="str">
        <f ca="1">IFERROR(__xludf.DUMMYFUNCTION("""COMPUTED_VALUE"""),"【重量】8.1kg  【電壓】110V 【消耗功率】1500W")</f>
        <v>【重量】8.1kg  【電壓】110V 【消耗功率】1500W</v>
      </c>
      <c r="Q1019" s="12" t="str">
        <f ca="1">IFERROR(__xludf.DUMMYFUNCTION("""COMPUTED_VALUE"""),"H285*W240*D395mm")</f>
        <v>H285*W240*D395mm</v>
      </c>
      <c r="R1019" s="12" t="str">
        <f ca="1">IFERROR(__xludf.DUMMYFUNCTION("""COMPUTED_VALUE"""),"中國")</f>
        <v>中國</v>
      </c>
      <c r="S1019" s="12"/>
      <c r="T1019" s="12"/>
      <c r="U1019" s="12" t="str">
        <f ca="1">IFERROR(__xludf.DUMMYFUNCTION("""COMPUTED_VALUE"""),"1+1年
 (全機保固1年，上網登記註冊會員，再享一年保固)")</f>
        <v>1+1年
 (全機保固1年，上網登記註冊會員，再享一年保固)</v>
      </c>
      <c r="V1019" s="12"/>
      <c r="W1019" s="12"/>
      <c r="X1019" s="12"/>
      <c r="Y1019" s="12"/>
      <c r="Z1019" s="14"/>
      <c r="AA1019" s="15" t="str">
        <f ca="1">IFERROR(__xludf.DUMMYFUNCTION("""COMPUTED_VALUE"""),"*醫護級 UVC 光觸，滅菌率 99.999% 與殺病毒 99.9% *國家級標準可生飲等級 *3. 5 秒瞬熱，1 鍵即飲； 4 段智能溫控 / 定量出水 *4 公升大水箱。免安裝迷你機身，使用不受限 *智能清潔與濾芯更換提醒,兒童安全鎖保護")</f>
        <v>*醫護級 UVC 光觸，滅菌率 99.999% 與殺病毒 99.9% *國家級標準可生飲等級 *3. 5 秒瞬熱，1 鍵即飲； 4 段智能溫控 / 定量出水 *4 公升大水箱。免安裝迷你機身，使用不受限 *智能清潔與濾芯更換提醒,兒童安全鎖保護</v>
      </c>
    </row>
    <row r="1020" spans="1:27" ht="19.5" customHeight="1">
      <c r="A1020" s="12" t="str">
        <f ca="1">IFERROR(__xludf.DUMMYFUNCTION("""COMPUTED_VALUE"""),"廚房家電")</f>
        <v>廚房家電</v>
      </c>
      <c r="B1020" s="12" t="str">
        <f ca="1">IFERROR(__xludf.DUMMYFUNCTION("""COMPUTED_VALUE"""),"順發")</f>
        <v>順發</v>
      </c>
      <c r="C1020" s="12" t="str">
        <f ca="1">IFERROR(__xludf.DUMMYFUNCTION("""COMPUTED_VALUE"""),"BRAUN")</f>
        <v>BRAUN</v>
      </c>
      <c r="D1020" s="12" t="str">
        <f ca="1">IFERROR(__xludf.DUMMYFUNCTION("""COMPUTED_VALUE"""),"Braun 德國百靈 手持式攪拌棒 MQ7087_774651")</f>
        <v>Braun 德國百靈 手持式攪拌棒 MQ7087_774651</v>
      </c>
      <c r="E1020" s="12" t="str">
        <f ca="1">IFERROR(__xludf.DUMMYFUNCTION("""COMPUTED_VALUE"""),"MQ7087")</f>
        <v>MQ7087</v>
      </c>
      <c r="F1020" s="12">
        <f ca="1">IFERROR(__xludf.DUMMYFUNCTION("""COMPUTED_VALUE"""),51095873)</f>
        <v>51095873</v>
      </c>
      <c r="G1020" s="12" t="str">
        <f ca="1">IFERROR(__xludf.DUMMYFUNCTION("""COMPUTED_VALUE"""),"IGEM112O")</f>
        <v>IGEM112O</v>
      </c>
      <c r="H1020" s="13">
        <f ca="1">IFERROR(__xludf.DUMMYFUNCTION("""COMPUTED_VALUE"""),6980)</f>
        <v>6980</v>
      </c>
      <c r="I1020" s="14">
        <f ca="1">IFERROR(__xludf.DUMMYFUNCTION("""COMPUTED_VALUE"""),5680)</f>
        <v>5680</v>
      </c>
      <c r="J1020" s="16">
        <f ca="1">IFERROR(__xludf.DUMMYFUNCTION("""COMPUTED_VALUE"""),45658)</f>
        <v>45658</v>
      </c>
      <c r="K1020" s="12" t="str">
        <f ca="1">IFERROR(__xludf.DUMMYFUNCTION("""COMPUTED_VALUE"""),"短促")</f>
        <v>短促</v>
      </c>
      <c r="L1020" s="12" t="str">
        <f ca="1">IFERROR(__xludf.DUMMYFUNCTION("""COMPUTED_VALUE"""),"上架中")</f>
        <v>上架中</v>
      </c>
      <c r="M1020" s="12" t="str">
        <f ca="1">IFERROR(__xludf.DUMMYFUNCTION("""COMPUTED_VALUE"""),"2025/1/1短促，2024/11/1新機上架")</f>
        <v>2025/1/1短促，2024/11/1新機上架</v>
      </c>
      <c r="N1020" s="12" t="str">
        <f ca="1">IFERROR(__xludf.DUMMYFUNCTION("""COMPUTED_VALUE"""),"攪拌/研磨機")</f>
        <v>攪拌/研磨機</v>
      </c>
      <c r="O1020" s="12" t="str">
        <f ca="1">IFERROR(__xludf.DUMMYFUNCTION("""COMPUTED_VALUE"""),"黑色")</f>
        <v>黑色</v>
      </c>
      <c r="P1020" s="12" t="str">
        <f ca="1">IFERROR(__xludf.DUMMYFUNCTION("""COMPUTED_VALUE"""),"主機+14大配件")</f>
        <v>主機+14大配件</v>
      </c>
      <c r="Q1020" s="12" t="str">
        <f ca="1">IFERROR(__xludf.DUMMYFUNCTION("""COMPUTED_VALUE"""),"高390 x 寬68 x 深68 (mm) 
 (機身+攪拌軸)")</f>
        <v>高390 x 寬68 x 深68 (mm) 
 (機身+攪拌軸)</v>
      </c>
      <c r="R1020" s="12" t="str">
        <f ca="1">IFERROR(__xludf.DUMMYFUNCTION("""COMPUTED_VALUE"""),"歐洲")</f>
        <v>歐洲</v>
      </c>
      <c r="S1020" s="12"/>
      <c r="T1020" s="12"/>
      <c r="U1020" s="12" t="str">
        <f ca="1">IFERROR(__xludf.DUMMYFUNCTION("""COMPUTED_VALUE"""),"2年
 配件除外")</f>
        <v>2年
 配件除外</v>
      </c>
      <c r="V1020" s="12" t="str">
        <f ca="1">IFERROR(__xludf.DUMMYFUNCTION("""COMPUTED_VALUE"""),"2年")</f>
        <v>2年</v>
      </c>
      <c r="W1020" s="12"/>
      <c r="X1020" s="12"/>
      <c r="Y1020" s="12"/>
      <c r="Z1020" s="14"/>
      <c r="AA1020" s="15" t="str">
        <f ca="1">IFERROR(__xludf.DUMMYFUNCTION("""COMPUTED_VALUE"""),"*全球首創推進式伸縮刀頭+智能調速按鈕*專利輔助刀刃+專利金鐘罩防飛濺*高達14項配件，一機多用*歐洲製造_13,800轉高效靜音馬達")</f>
        <v>*全球首創推進式伸縮刀頭+智能調速按鈕*專利輔助刀刃+專利金鐘罩防飛濺*高達14項配件，一機多用*歐洲製造_13,800轉高效靜音馬達</v>
      </c>
    </row>
    <row r="1021" spans="1:27" ht="19.5" customHeight="1">
      <c r="A1021" s="12" t="str">
        <f ca="1">IFERROR(__xludf.DUMMYFUNCTION("""COMPUTED_VALUE"""),"廚房家電")</f>
        <v>廚房家電</v>
      </c>
      <c r="B1021" s="12" t="str">
        <f ca="1">IFERROR(__xludf.DUMMYFUNCTION("""COMPUTED_VALUE"""),"順發")</f>
        <v>順發</v>
      </c>
      <c r="C1021" s="12" t="str">
        <f ca="1">IFERROR(__xludf.DUMMYFUNCTION("""COMPUTED_VALUE"""),"TIGER")</f>
        <v>TIGER</v>
      </c>
      <c r="D1021" s="12" t="str">
        <f ca="1">IFERROR(__xludf.DUMMYFUNCTION("""COMPUTED_VALUE"""),"Tiger 虎牌 10人份IH微電腦炊飯電子鍋 JKT-D18R_786615")</f>
        <v>Tiger 虎牌 10人份IH微電腦炊飯電子鍋 JKT-D18R_786615</v>
      </c>
      <c r="E1021" s="12" t="str">
        <f ca="1">IFERROR(__xludf.DUMMYFUNCTION("""COMPUTED_VALUE"""),"JKT-D18R")</f>
        <v>JKT-D18R</v>
      </c>
      <c r="F1021" s="12">
        <f ca="1">IFERROR(__xludf.DUMMYFUNCTION("""COMPUTED_VALUE"""),51095770)</f>
        <v>51095770</v>
      </c>
      <c r="G1021" s="12" t="str">
        <f ca="1">IFERROR(__xludf.DUMMYFUNCTION("""COMPUTED_VALUE"""),"IGEM097X")</f>
        <v>IGEM097X</v>
      </c>
      <c r="H1021" s="13">
        <f ca="1">IFERROR(__xludf.DUMMYFUNCTION("""COMPUTED_VALUE"""),12900)</f>
        <v>12900</v>
      </c>
      <c r="I1021" s="14">
        <f ca="1">IFERROR(__xludf.DUMMYFUNCTION("""COMPUTED_VALUE"""),7690)</f>
        <v>7690</v>
      </c>
      <c r="J1021" s="16">
        <f ca="1">IFERROR(__xludf.DUMMYFUNCTION("""COMPUTED_VALUE"""),45363)</f>
        <v>45363</v>
      </c>
      <c r="K1021" s="12" t="str">
        <f ca="1">IFERROR(__xludf.DUMMYFUNCTION("""COMPUTED_VALUE"""),"新機上架")</f>
        <v>新機上架</v>
      </c>
      <c r="L1021" s="12" t="str">
        <f ca="1">IFERROR(__xludf.DUMMYFUNCTION("""COMPUTED_VALUE"""),"上架中")</f>
        <v>上架中</v>
      </c>
      <c r="M1021" s="12" t="str">
        <f ca="1">IFERROR(__xludf.DUMMYFUNCTION("""COMPUTED_VALUE"""),"2024/3/12上架")</f>
        <v>2024/3/12上架</v>
      </c>
      <c r="N1021" s="12" t="str">
        <f ca="1">IFERROR(__xludf.DUMMYFUNCTION("""COMPUTED_VALUE"""),"電子鍋")</f>
        <v>電子鍋</v>
      </c>
      <c r="O1021" s="12" t="str">
        <f ca="1">IFERROR(__xludf.DUMMYFUNCTION("""COMPUTED_VALUE"""),"銀黑色")</f>
        <v>銀黑色</v>
      </c>
      <c r="P1021" s="12" t="str">
        <f ca="1">IFERROR(__xludf.DUMMYFUNCTION("""COMPUTED_VALUE"""),"【重量】5.0kg
 【保固】台灣1年保固期
 正常使用下，非人為因素(消耗性零件除外)")</f>
        <v>【重量】5.0kg
 【保固】台灣1年保固期
 正常使用下，非人為因素(消耗性零件除外)</v>
      </c>
      <c r="Q1021" s="12" t="str">
        <f ca="1">IFERROR(__xludf.DUMMYFUNCTION("""COMPUTED_VALUE"""),"288 x386 x 250mm")</f>
        <v>288 x386 x 250mm</v>
      </c>
      <c r="R1021" s="12" t="str">
        <f ca="1">IFERROR(__xludf.DUMMYFUNCTION("""COMPUTED_VALUE"""),"日本")</f>
        <v>日本</v>
      </c>
      <c r="S1021" s="12" t="str">
        <f ca="1">IFERROR(__xludf.DUMMYFUNCTION("""COMPUTED_VALUE"""),"能效標章:ERC-109-0271")</f>
        <v>能效標章:ERC-109-0271</v>
      </c>
      <c r="T1021" s="12"/>
      <c r="U1021" s="12" t="str">
        <f ca="1">IFERROR(__xludf.DUMMYFUNCTION("""COMPUTED_VALUE"""),"台灣1年保固期
 正常使用下，非人為因素(消耗性零件除外)")</f>
        <v>台灣1年保固期
 正常使用下，非人為因素(消耗性零件除外)</v>
      </c>
      <c r="V1021" s="12"/>
      <c r="W1021" s="12"/>
      <c r="X1021" s="12"/>
      <c r="Y1021" s="12"/>
      <c r="Z1021" s="14"/>
      <c r="AA1021" s="15" t="str">
        <f ca="1">IFERROR(__xludf.DUMMYFUNCTION("""COMPUTED_VALUE"""),"*獨創土鍋塗層設計可煮出粒粒飽滿香軟彈牙米飯*高火力IH加熱設計促進米粒a化激發原有甘甜味*內蓋蜂巢式加工將熱對流達到最高")</f>
        <v>*獨創土鍋塗層設計可煮出粒粒飽滿香軟彈牙米飯*高火力IH加熱設計促進米粒a化激發原有甘甜味*內蓋蜂巢式加工將熱對流達到最高</v>
      </c>
    </row>
    <row r="1022" spans="1:27" ht="19.5" customHeight="1">
      <c r="A1022" s="12" t="str">
        <f ca="1">IFERROR(__xludf.DUMMYFUNCTION("""COMPUTED_VALUE"""),"廚房家電")</f>
        <v>廚房家電</v>
      </c>
      <c r="B1022" s="12" t="str">
        <f ca="1">IFERROR(__xludf.DUMMYFUNCTION("""COMPUTED_VALUE"""),"順發")</f>
        <v>順發</v>
      </c>
      <c r="C1022" s="12" t="str">
        <f ca="1">IFERROR(__xludf.DUMMYFUNCTION("""COMPUTED_VALUE"""),"SAMSUNG")</f>
        <v>SAMSUNG</v>
      </c>
      <c r="D1022" s="12" t="str">
        <f ca="1">IFERROR(__xludf.DUMMYFUNCTION("""COMPUTED_VALUE"""),"三星_23L美型微波爐MS23T5018GPTW(珊瑚粉)_783398")</f>
        <v>三星_23L美型微波爐MS23T5018GPTW(珊瑚粉)_783398</v>
      </c>
      <c r="E1022" s="12" t="str">
        <f ca="1">IFERROR(__xludf.DUMMYFUNCTION("""COMPUTED_VALUE"""),"MS23T5018GP/TW")</f>
        <v>MS23T5018GP/TW</v>
      </c>
      <c r="F1022" s="12">
        <f ca="1">IFERROR(__xludf.DUMMYFUNCTION("""COMPUTED_VALUE"""),51095786)</f>
        <v>51095786</v>
      </c>
      <c r="G1022" s="12" t="str">
        <f ca="1">IFERROR(__xludf.DUMMYFUNCTION("""COMPUTED_VALUE"""),"IGEM100J")</f>
        <v>IGEM100J</v>
      </c>
      <c r="H1022" s="13">
        <f ca="1">IFERROR(__xludf.DUMMYFUNCTION("""COMPUTED_VALUE"""),5990)</f>
        <v>5990</v>
      </c>
      <c r="I1022" s="14">
        <f ca="1">IFERROR(__xludf.DUMMYFUNCTION("""COMPUTED_VALUE"""),4600)</f>
        <v>4600</v>
      </c>
      <c r="J1022" s="16">
        <f ca="1">IFERROR(__xludf.DUMMYFUNCTION("""COMPUTED_VALUE"""),45658)</f>
        <v>45658</v>
      </c>
      <c r="K1022" s="12" t="str">
        <f ca="1">IFERROR(__xludf.DUMMYFUNCTION("""COMPUTED_VALUE"""),"缺貨")</f>
        <v>缺貨</v>
      </c>
      <c r="L1022" s="12" t="str">
        <f ca="1">IFERROR(__xludf.DUMMYFUNCTION("""COMPUTED_VALUE"""),"缺貨")</f>
        <v>缺貨</v>
      </c>
      <c r="M1022" s="12" t="str">
        <f ca="1">IFERROR(__xludf.DUMMYFUNCTION("""COMPUTED_VALUE"""),"2025/1/1缺貨，2024/10/8短促，2024/4/24新機上架")</f>
        <v>2025/1/1缺貨，2024/10/8短促，2024/4/24新機上架</v>
      </c>
      <c r="N1022" s="12" t="str">
        <f ca="1">IFERROR(__xludf.DUMMYFUNCTION("""COMPUTED_VALUE"""),"微波爐")</f>
        <v>微波爐</v>
      </c>
      <c r="O1022" s="12" t="str">
        <f ca="1">IFERROR(__xludf.DUMMYFUNCTION("""COMPUTED_VALUE"""),"珊瑚粉")</f>
        <v>珊瑚粉</v>
      </c>
      <c r="P1022" s="12" t="str">
        <f ca="1">IFERROR(__xludf.DUMMYFUNCTION("""COMPUTED_VALUE"""),"產品名稱：SAMSUNG 三星 BESPOKE 設計品味系列 23L美型微波爐
 額定電壓/頻率：110V / 60Hz
 輸出功率:750 W
 耗電量:1100 W
 總容量/淨重：23L;13公斤
 使用方法：請參閱產品使用手冊
 製造商資訊:台灣三星電子股份有限公司
 電話:02 66035168")</f>
        <v>產品名稱：SAMSUNG 三星 BESPOKE 設計品味系列 23L美型微波爐
 額定電壓/頻率：110V / 60Hz
 輸出功率:750 W
 耗電量:1100 W
 總容量/淨重：23L;13公斤
 使用方法：請參閱產品使用手冊
 製造商資訊:台灣三星電子股份有限公司
 電話:02 66035168</v>
      </c>
      <c r="Q1022" s="12" t="str">
        <f ca="1">IFERROR(__xludf.DUMMYFUNCTION("""COMPUTED_VALUE"""),"H275xW489xD363mm")</f>
        <v>H275xW489xD363mm</v>
      </c>
      <c r="R1022" s="12" t="str">
        <f ca="1">IFERROR(__xludf.DUMMYFUNCTION("""COMPUTED_VALUE"""),"馬來西亞")</f>
        <v>馬來西亞</v>
      </c>
      <c r="S1022" s="12"/>
      <c r="T1022" s="12"/>
      <c r="U1022" s="12" t="str">
        <f ca="1">IFERROR(__xludf.DUMMYFUNCTION("""COMPUTED_VALUE"""),"1年")</f>
        <v>1年</v>
      </c>
      <c r="V1022" s="12"/>
      <c r="W1022" s="12"/>
      <c r="X1022" s="12"/>
      <c r="Y1022" s="12"/>
      <c r="Z1022" s="14"/>
      <c r="AA1022" s="15" t="str">
        <f ca="1">IFERROR(__xludf.DUMMYFUNCTION("""COMPUTED_VALUE"""),"*BESPOKE 美型設計：現代且具質感的美型微波爐*直覺式操控面板：玻璃觸控 &amp; Simple UX*快速解凍：可快速解凍多種常見食材，包含各種肉類*三重加熱系統：有效多方加熱，確保均勻受熱* CERAMIC INSIDE™ 三星獨特內壁搪瓷塗層：內壁採搪瓷塗層，不須刷洗即可保持乾淨不掉色*自動料理提供各種簡易食譜，只需選擇想要的料理與食材重量即可自動料理，料理零基礎也能輕鬆上菜，滿足家人的味蕾")</f>
        <v>*BESPOKE 美型設計：現代且具質感的美型微波爐*直覺式操控面板：玻璃觸控 &amp; Simple UX*快速解凍：可快速解凍多種常見食材，包含各種肉類*三重加熱系統：有效多方加熱，確保均勻受熱* CERAMIC INSIDE™ 三星獨特內壁搪瓷塗層：內壁採搪瓷塗層，不須刷洗即可保持乾淨不掉色*自動料理提供各種簡易食譜，只需選擇想要的料理與食材重量即可自動料理，料理零基礎也能輕鬆上菜，滿足家人的味蕾</v>
      </c>
    </row>
    <row r="1023" spans="1:27" ht="19.5" customHeight="1">
      <c r="A1023" s="12" t="str">
        <f ca="1">IFERROR(__xludf.DUMMYFUNCTION("""COMPUTED_VALUE"""),"廚房家電")</f>
        <v>廚房家電</v>
      </c>
      <c r="B1023" s="12" t="str">
        <f ca="1">IFERROR(__xludf.DUMMYFUNCTION("""COMPUTED_VALUE"""),"順發")</f>
        <v>順發</v>
      </c>
      <c r="C1023" s="12" t="str">
        <f ca="1">IFERROR(__xludf.DUMMYFUNCTION("""COMPUTED_VALUE"""),"SAMSUNG")</f>
        <v>SAMSUNG</v>
      </c>
      <c r="D1023" s="12" t="str">
        <f ca="1">IFERROR(__xludf.DUMMYFUNCTION("""COMPUTED_VALUE"""),"三星_23L美型微波爐MS23T5018GETW(珍珠白)_783399")</f>
        <v>三星_23L美型微波爐MS23T5018GETW(珍珠白)_783399</v>
      </c>
      <c r="E1023" s="12" t="str">
        <f ca="1">IFERROR(__xludf.DUMMYFUNCTION("""COMPUTED_VALUE"""),"MS23T5018GE/TW")</f>
        <v>MS23T5018GE/TW</v>
      </c>
      <c r="F1023" s="12">
        <f ca="1">IFERROR(__xludf.DUMMYFUNCTION("""COMPUTED_VALUE"""),51095787)</f>
        <v>51095787</v>
      </c>
      <c r="G1023" s="12" t="str">
        <f ca="1">IFERROR(__xludf.DUMMYFUNCTION("""COMPUTED_VALUE"""),"IGEM100K")</f>
        <v>IGEM100K</v>
      </c>
      <c r="H1023" s="13">
        <f ca="1">IFERROR(__xludf.DUMMYFUNCTION("""COMPUTED_VALUE"""),5990)</f>
        <v>5990</v>
      </c>
      <c r="I1023" s="14">
        <f ca="1">IFERROR(__xludf.DUMMYFUNCTION("""COMPUTED_VALUE"""),4600)</f>
        <v>4600</v>
      </c>
      <c r="J1023" s="16">
        <f ca="1">IFERROR(__xludf.DUMMYFUNCTION("""COMPUTED_VALUE"""),45658)</f>
        <v>45658</v>
      </c>
      <c r="K1023" s="12" t="str">
        <f ca="1">IFERROR(__xludf.DUMMYFUNCTION("""COMPUTED_VALUE"""),"缺貨")</f>
        <v>缺貨</v>
      </c>
      <c r="L1023" s="12" t="str">
        <f ca="1">IFERROR(__xludf.DUMMYFUNCTION("""COMPUTED_VALUE"""),"缺貨")</f>
        <v>缺貨</v>
      </c>
      <c r="M1023" s="12" t="str">
        <f ca="1">IFERROR(__xludf.DUMMYFUNCTION("""COMPUTED_VALUE"""),"2025/1/1缺貨，2024/10/8短促")</f>
        <v>2025/1/1缺貨，2024/10/8短促</v>
      </c>
      <c r="N1023" s="12" t="str">
        <f ca="1">IFERROR(__xludf.DUMMYFUNCTION("""COMPUTED_VALUE"""),"微波爐")</f>
        <v>微波爐</v>
      </c>
      <c r="O1023" s="12" t="str">
        <f ca="1">IFERROR(__xludf.DUMMYFUNCTION("""COMPUTED_VALUE"""),"珍珠白")</f>
        <v>珍珠白</v>
      </c>
      <c r="P1023" s="12" t="str">
        <f ca="1">IFERROR(__xludf.DUMMYFUNCTION("""COMPUTED_VALUE"""),"產品名稱：SAMSUNG 三星 BESPOKE 設計品味系列 23L美型微波爐
 額定電壓/頻率：110V / 60Hz
 輸出功率:750 W
 耗電量:1100 W
 總容量/淨重：23L;13公斤
 使用方法：請參閱產品使用手冊
 製造商資訊:台灣三星電子股份有限公司
 電話:02 66035168")</f>
        <v>產品名稱：SAMSUNG 三星 BESPOKE 設計品味系列 23L美型微波爐
 額定電壓/頻率：110V / 60Hz
 輸出功率:750 W
 耗電量:1100 W
 總容量/淨重：23L;13公斤
 使用方法：請參閱產品使用手冊
 製造商資訊:台灣三星電子股份有限公司
 電話:02 66035168</v>
      </c>
      <c r="Q1023" s="12" t="str">
        <f ca="1">IFERROR(__xludf.DUMMYFUNCTION("""COMPUTED_VALUE"""),"H275xW489xD363mm")</f>
        <v>H275xW489xD363mm</v>
      </c>
      <c r="R1023" s="12" t="str">
        <f ca="1">IFERROR(__xludf.DUMMYFUNCTION("""COMPUTED_VALUE"""),"馬來西亞")</f>
        <v>馬來西亞</v>
      </c>
      <c r="S1023" s="12"/>
      <c r="T1023" s="12"/>
      <c r="U1023" s="12" t="str">
        <f ca="1">IFERROR(__xludf.DUMMYFUNCTION("""COMPUTED_VALUE"""),"1年")</f>
        <v>1年</v>
      </c>
      <c r="V1023" s="12"/>
      <c r="W1023" s="12"/>
      <c r="X1023" s="12"/>
      <c r="Y1023" s="12"/>
      <c r="Z1023" s="14"/>
      <c r="AA1023" s="15" t="str">
        <f ca="1">IFERROR(__xludf.DUMMYFUNCTION("""COMPUTED_VALUE"""),"*BESPOKE 美型設計：現代且具質感的美型微波爐*直覺式操控面板：玻璃觸控 &amp; Simple UX*快速解凍：可快速解凍多種常見食材，包含各種肉類*三重加熱系統：有效多方加熱，確保均勻受熱* CERAMIC INSIDE™ 三星獨特內壁搪瓷塗層：內壁採搪瓷塗層，不須刷洗即可保持乾淨不掉色*自動料理提供各種簡易食譜，只需選擇想要的料理與食材重量即可自動料理，料理零基礎也能輕鬆上菜，滿足家人的味蕾")</f>
        <v>*BESPOKE 美型設計：現代且具質感的美型微波爐*直覺式操控面板：玻璃觸控 &amp; Simple UX*快速解凍：可快速解凍多種常見食材，包含各種肉類*三重加熱系統：有效多方加熱，確保均勻受熱* CERAMIC INSIDE™ 三星獨特內壁搪瓷塗層：內壁採搪瓷塗層，不須刷洗即可保持乾淨不掉色*自動料理提供各種簡易食譜，只需選擇想要的料理與食材重量即可自動料理，料理零基礎也能輕鬆上菜，滿足家人的味蕾</v>
      </c>
    </row>
    <row r="1024" spans="1:27" ht="19.5" customHeight="1">
      <c r="A1024" s="12" t="str">
        <f ca="1">IFERROR(__xludf.DUMMYFUNCTION("""COMPUTED_VALUE"""),"廚房家電")</f>
        <v>廚房家電</v>
      </c>
      <c r="B1024" s="12" t="str">
        <f ca="1">IFERROR(__xludf.DUMMYFUNCTION("""COMPUTED_VALUE"""),"順發")</f>
        <v>順發</v>
      </c>
      <c r="C1024" s="12" t="str">
        <f ca="1">IFERROR(__xludf.DUMMYFUNCTION("""COMPUTED_VALUE"""),"正負零")</f>
        <v>正負零</v>
      </c>
      <c r="D1024" s="12" t="str">
        <f ca="1">IFERROR(__xludf.DUMMYFUNCTION("""COMPUTED_VALUE"""),"正負零 多功能電烤鍋 XKH-E010 白色_784367")</f>
        <v>正負零 多功能電烤鍋 XKH-E010 白色_784367</v>
      </c>
      <c r="E1024" s="12" t="str">
        <f ca="1">IFERROR(__xludf.DUMMYFUNCTION("""COMPUTED_VALUE"""),"XKH-E010")</f>
        <v>XKH-E010</v>
      </c>
      <c r="F1024" s="12">
        <f ca="1">IFERROR(__xludf.DUMMYFUNCTION("""COMPUTED_VALUE"""),51095810)</f>
        <v>51095810</v>
      </c>
      <c r="G1024" s="12" t="str">
        <f ca="1">IFERROR(__xludf.DUMMYFUNCTION("""COMPUTED_VALUE"""),"IGEM104X")</f>
        <v>IGEM104X</v>
      </c>
      <c r="H1024" s="12">
        <f ca="1">IFERROR(__xludf.DUMMYFUNCTION("""COMPUTED_VALUE"""),5490)</f>
        <v>5490</v>
      </c>
      <c r="I1024" s="14">
        <f ca="1">IFERROR(__xludf.DUMMYFUNCTION("""COMPUTED_VALUE"""),3600)</f>
        <v>3600</v>
      </c>
      <c r="J1024" s="16">
        <f ca="1">IFERROR(__xludf.DUMMYFUNCTION("""COMPUTED_VALUE"""),45505)</f>
        <v>45505</v>
      </c>
      <c r="K1024" s="12" t="str">
        <f ca="1">IFERROR(__xludf.DUMMYFUNCTION("""COMPUTED_VALUE"""),"新機上架")</f>
        <v>新機上架</v>
      </c>
      <c r="L1024" s="12" t="str">
        <f ca="1">IFERROR(__xludf.DUMMYFUNCTION("""COMPUTED_VALUE"""),"上架中")</f>
        <v>上架中</v>
      </c>
      <c r="M1024" s="12" t="str">
        <f ca="1">IFERROR(__xludf.DUMMYFUNCTION("""COMPUTED_VALUE"""),"2024/9/25限量庫存售完為止，2024/8/1新機上架")</f>
        <v>2024/9/25限量庫存售完為止，2024/8/1新機上架</v>
      </c>
      <c r="N1024" s="12" t="str">
        <f ca="1">IFERROR(__xludf.DUMMYFUNCTION("""COMPUTED_VALUE"""),"電烤盤/爐")</f>
        <v>電烤盤/爐</v>
      </c>
      <c r="O1024" s="12" t="str">
        <f ca="1">IFERROR(__xludf.DUMMYFUNCTION("""COMPUTED_VALUE"""),"白")</f>
        <v>白</v>
      </c>
      <c r="P1024" s="12" t="str">
        <f ca="1">IFERROR(__xludf.DUMMYFUNCTION("""COMPUTED_VALUE"""),"型號:XKH-E010
 電壓:110V
 功率:1200W
 重量:3.65KG
 線長:1.9m")</f>
        <v>型號:XKH-E010
 電壓:110V
 功率:1200W
 重量:3.65KG
 線長:1.9m</v>
      </c>
      <c r="Q1024" s="12" t="str">
        <f ca="1">IFERROR(__xludf.DUMMYFUNCTION("""COMPUTED_VALUE"""),"160*460*262 mm")</f>
        <v>160*460*262 mm</v>
      </c>
      <c r="R1024" s="12" t="str">
        <f ca="1">IFERROR(__xludf.DUMMYFUNCTION("""COMPUTED_VALUE"""),"中國")</f>
        <v>中國</v>
      </c>
      <c r="S1024" s="12"/>
      <c r="T1024" s="12"/>
      <c r="U1024" s="12" t="str">
        <f ca="1">IFERROR(__xludf.DUMMYFUNCTION("""COMPUTED_VALUE"""),"1年")</f>
        <v>1年</v>
      </c>
      <c r="V1024" s="12"/>
      <c r="W1024" s="12"/>
      <c r="X1024" s="12"/>
      <c r="Y1024" s="12"/>
      <c r="Z1024" s="14"/>
      <c r="AA1024" s="15" t="str">
        <f ca="1">IFERROR(__xludf.DUMMYFUNCTION("""COMPUTED_VALUE"""),"*鬆餅、火鍋、炒麵、煎牛排皆可輕鬆料理*內附深烤盤及鴛鴦鍋*適合4-6個人份*獨立溫度控制器*1200W大火力,加熱更快速*高溫高壓鑄造鍋體,搭配不沾塗層*U型導熱管,受熱更均勻*可分離三層結構,加強防燙及散熱*線長1.9m,使用距離不受限")</f>
        <v>*鬆餅、火鍋、炒麵、煎牛排皆可輕鬆料理*內附深烤盤及鴛鴦鍋*適合4-6個人份*獨立溫度控制器*1200W大火力,加熱更快速*高溫高壓鑄造鍋體,搭配不沾塗層*U型導熱管,受熱更均勻*可分離三層結構,加強防燙及散熱*線長1.9m,使用距離不受限</v>
      </c>
    </row>
    <row r="1025" spans="1:27" ht="19.5" customHeight="1">
      <c r="A1025" s="12" t="str">
        <f ca="1">IFERROR(__xludf.DUMMYFUNCTION("""COMPUTED_VALUE"""),"廚房家電")</f>
        <v>廚房家電</v>
      </c>
      <c r="B1025" s="12" t="str">
        <f ca="1">IFERROR(__xludf.DUMMYFUNCTION("""COMPUTED_VALUE"""),"順發")</f>
        <v>順發</v>
      </c>
      <c r="C1025" s="12" t="str">
        <f ca="1">IFERROR(__xludf.DUMMYFUNCTION("""COMPUTED_VALUE"""),"Siroca")</f>
        <v>Siroca</v>
      </c>
      <c r="D1025" s="12" t="str">
        <f ca="1">IFERROR(__xludf.DUMMYFUNCTION("""COMPUTED_VALUE"""),"Siroca 微電腦旋風溫控烤箱 ST-2D4510 白色_785950")</f>
        <v>Siroca 微電腦旋風溫控烤箱 ST-2D4510 白色_785950</v>
      </c>
      <c r="E1025" s="12" t="str">
        <f ca="1">IFERROR(__xludf.DUMMYFUNCTION("""COMPUTED_VALUE"""),"ST-2D4510")</f>
        <v>ST-2D4510</v>
      </c>
      <c r="F1025" s="12">
        <f ca="1">IFERROR(__xludf.DUMMYFUNCTION("""COMPUTED_VALUE"""),51095811)</f>
        <v>51095811</v>
      </c>
      <c r="G1025" s="12" t="str">
        <f ca="1">IFERROR(__xludf.DUMMYFUNCTION("""COMPUTED_VALUE"""),"IGEM104Z")</f>
        <v>IGEM104Z</v>
      </c>
      <c r="H1025" s="12">
        <f ca="1">IFERROR(__xludf.DUMMYFUNCTION("""COMPUTED_VALUE"""),5990)</f>
        <v>5990</v>
      </c>
      <c r="I1025" s="14">
        <f ca="1">IFERROR(__xludf.DUMMYFUNCTION("""COMPUTED_VALUE"""),4280)</f>
        <v>4280</v>
      </c>
      <c r="J1025" s="16">
        <f ca="1">IFERROR(__xludf.DUMMYFUNCTION("""COMPUTED_VALUE"""),45505)</f>
        <v>45505</v>
      </c>
      <c r="K1025" s="12" t="str">
        <f ca="1">IFERROR(__xludf.DUMMYFUNCTION("""COMPUTED_VALUE"""),"新機上架")</f>
        <v>新機上架</v>
      </c>
      <c r="L1025" s="12" t="str">
        <f ca="1">IFERROR(__xludf.DUMMYFUNCTION("""COMPUTED_VALUE"""),"上架中")</f>
        <v>上架中</v>
      </c>
      <c r="M1025" s="12" t="str">
        <f ca="1">IFERROR(__xludf.DUMMYFUNCTION("""COMPUTED_VALUE"""),"2024/8/1新機上架")</f>
        <v>2024/8/1新機上架</v>
      </c>
      <c r="N1025" s="12" t="str">
        <f ca="1">IFERROR(__xludf.DUMMYFUNCTION("""COMPUTED_VALUE"""),"烤箱")</f>
        <v>烤箱</v>
      </c>
      <c r="O1025" s="12" t="str">
        <f ca="1">IFERROR(__xludf.DUMMYFUNCTION("""COMPUTED_VALUE"""),"白")</f>
        <v>白</v>
      </c>
      <c r="P1025" s="12" t="str">
        <f ca="1">IFERROR(__xludf.DUMMYFUNCTION("""COMPUTED_VALUE"""),"額定電壓/頻率：110V / 60Hz
 輸出功率:1400 W
 耗電量:1400 W
 總容量/淨重：12L;4.8公斤
 使用方法：請參閱產品使用手冊
 代理商資訊:群光電子股份有限公司
 電話:02 66266788")</f>
        <v>額定電壓/頻率：110V / 60Hz
 輸出功率:1400 W
 耗電量:1400 W
 總容量/淨重：12L;4.8公斤
 使用方法：請參閱產品使用手冊
 代理商資訊:群光電子股份有限公司
 電話:02 66266788</v>
      </c>
      <c r="Q1025" s="12" t="str">
        <f ca="1">IFERROR(__xludf.DUMMYFUNCTION("""COMPUTED_VALUE"""),"H230xW350xD320 mm")</f>
        <v>H230xW350xD320 mm</v>
      </c>
      <c r="R1025" s="12" t="str">
        <f ca="1">IFERROR(__xludf.DUMMYFUNCTION("""COMPUTED_VALUE"""),"中國")</f>
        <v>中國</v>
      </c>
      <c r="S1025" s="12"/>
      <c r="T1025" s="12"/>
      <c r="U1025" s="12" t="str">
        <f ca="1">IFERROR(__xludf.DUMMYFUNCTION("""COMPUTED_VALUE"""),"1年")</f>
        <v>1年</v>
      </c>
      <c r="V1025" s="12"/>
      <c r="W1025" s="12"/>
      <c r="X1025" s="12"/>
      <c r="Y1025" s="12"/>
      <c r="Z1025" s="14"/>
      <c r="AA1025" s="15" t="str">
        <f ca="1">IFERROR(__xludf.DUMMYFUNCTION("""COMPUTED_VALUE"""),"*獨家熱旋風技術(3D鑽石反射板+高密度加熱圈)*多種自動菜單設定*美味口感自訂*40-280度手動調溫*10cm深度大容量內箱*直覺性操作介面")</f>
        <v>*獨家熱旋風技術(3D鑽石反射板+高密度加熱圈)*多種自動菜單設定*美味口感自訂*40-280度手動調溫*10cm深度大容量內箱*直覺性操作介面</v>
      </c>
    </row>
    <row r="1026" spans="1:27" ht="19.5" customHeight="1">
      <c r="A1026" s="12" t="str">
        <f ca="1">IFERROR(__xludf.DUMMYFUNCTION("""COMPUTED_VALUE"""),"廚房家電")</f>
        <v>廚房家電</v>
      </c>
      <c r="B1026" s="12" t="str">
        <f ca="1">IFERROR(__xludf.DUMMYFUNCTION("""COMPUTED_VALUE"""),"順發")</f>
        <v>順發</v>
      </c>
      <c r="C1026" s="12" t="str">
        <f ca="1">IFERROR(__xludf.DUMMYFUNCTION("""COMPUTED_VALUE"""),"SmartCara")</f>
        <v>SmartCara</v>
      </c>
      <c r="D1026" s="12" t="str">
        <f ca="1">IFERROR(__xludf.DUMMYFUNCTION("""COMPUTED_VALUE"""),"韓國 SmartCara 極智美型廚餘機 PCS-400A (霧白)_774253")</f>
        <v>韓國 SmartCara 極智美型廚餘機 PCS-400A (霧白)_774253</v>
      </c>
      <c r="E1026" s="12" t="str">
        <f ca="1">IFERROR(__xludf.DUMMYFUNCTION("""COMPUTED_VALUE"""),"PCS-400A")</f>
        <v>PCS-400A</v>
      </c>
      <c r="F1026" s="12">
        <f ca="1">IFERROR(__xludf.DUMMYFUNCTION("""COMPUTED_VALUE"""),51095822)</f>
        <v>51095822</v>
      </c>
      <c r="G1026" s="12" t="str">
        <f ca="1">IFERROR(__xludf.DUMMYFUNCTION("""COMPUTED_VALUE"""),"IGEM1076")</f>
        <v>IGEM1076</v>
      </c>
      <c r="H1026" s="13">
        <f ca="1">IFERROR(__xludf.DUMMYFUNCTION("""COMPUTED_VALUE"""),21800)</f>
        <v>21800</v>
      </c>
      <c r="I1026" s="14">
        <f ca="1">IFERROR(__xludf.DUMMYFUNCTION("""COMPUTED_VALUE"""),19800)</f>
        <v>19800</v>
      </c>
      <c r="J1026" s="16">
        <f ca="1">IFERROR(__xludf.DUMMYFUNCTION("""COMPUTED_VALUE"""),45505)</f>
        <v>45505</v>
      </c>
      <c r="K1026" s="12" t="str">
        <f ca="1">IFERROR(__xludf.DUMMYFUNCTION("""COMPUTED_VALUE"""),"新機上架")</f>
        <v>新機上架</v>
      </c>
      <c r="L1026" s="12" t="str">
        <f ca="1">IFERROR(__xludf.DUMMYFUNCTION("""COMPUTED_VALUE"""),"上架中")</f>
        <v>上架中</v>
      </c>
      <c r="M1026" s="12" t="str">
        <f ca="1">IFERROR(__xludf.DUMMYFUNCTION("""COMPUTED_VALUE"""),"2024/8/1新機上架")</f>
        <v>2024/8/1新機上架</v>
      </c>
      <c r="N1026" s="12" t="str">
        <f ca="1">IFERROR(__xludf.DUMMYFUNCTION("""COMPUTED_VALUE"""),"廚餘機")</f>
        <v>廚餘機</v>
      </c>
      <c r="O1026" s="12" t="str">
        <f ca="1">IFERROR(__xludf.DUMMYFUNCTION("""COMPUTED_VALUE"""),"霧白")</f>
        <v>霧白</v>
      </c>
      <c r="P1026" s="12" t="str">
        <f ca="1">IFERROR(__xludf.DUMMYFUNCTION("""COMPUTED_VALUE"""),"◎內容物：內鍋*1、濾芯匣*1
 ◎電源：110V / 60Hz
 ◎消耗功率：500W 
 ◎處理容量:2L (1kg)
 ◎廚餘減少率：約90% 
 ◎材質：主機材質:ABS
  濾芯匣:PP+複合式活性碳
  內鍋:陶瓷塗層+鋁合金
  可拆卸主機蓋:304不銹鋼")</f>
        <v>◎內容物：內鍋*1、濾芯匣*1
 ◎電源：110V / 60Hz
 ◎消耗功率：500W 
 ◎處理容量:2L (1kg)
 ◎廚餘減少率：約90% 
 ◎材質：主機材質:ABS
  濾芯匣:PP+複合式活性碳
  內鍋:陶瓷塗層+鋁合金
  可拆卸主機蓋:304不銹鋼</v>
      </c>
      <c r="Q1026" s="12" t="str">
        <f ca="1">IFERROR(__xludf.DUMMYFUNCTION("""COMPUTED_VALUE"""),"商品尺寸(H*W*D) 360*260*460mm
 彩盒尺寸(H*W*D) 405*345*520mm
 商品淨重(約) 13kg
 商品毛重(約) 16kg")</f>
        <v>商品尺寸(H*W*D) 360*260*460mm
 彩盒尺寸(H*W*D) 405*345*520mm
 商品淨重(約) 13kg
 商品毛重(約) 16kg</v>
      </c>
      <c r="R1026" s="12" t="str">
        <f ca="1">IFERROR(__xludf.DUMMYFUNCTION("""COMPUTED_VALUE"""),"韓國")</f>
        <v>韓國</v>
      </c>
      <c r="S1026" s="12"/>
      <c r="T1026" s="12"/>
      <c r="U1026" s="12" t="str">
        <f ca="1">IFERROR(__xludf.DUMMYFUNCTION("""COMPUTED_VALUE"""),"主機兩年，馬達五年/")</f>
        <v>主機兩年，馬達五年/</v>
      </c>
      <c r="V1026" s="12" t="str">
        <f ca="1">IFERROR(__xludf.DUMMYFUNCTION("""COMPUTED_VALUE"""),"主機兩年，馬達五年/")</f>
        <v>主機兩年，馬達五年/</v>
      </c>
      <c r="W1026" s="12"/>
      <c r="X1026" s="12"/>
      <c r="Y1026" s="12"/>
      <c r="Z1026" s="14"/>
      <c r="AA1026" s="15" t="str">
        <f ca="1">IFERROR(__xludf.DUMMYFUNCTION("""COMPUTED_VALUE"""),"*業界最靜音 | 平均噪音僅26.5分貝 如微風輕拂般安靜*馬達保固5年 | 採用韓國第一大廠SPG馬達 強大耐用*獨家3合1除臭系統 | 複合式濾芯匣 高效去除各種廚餘臭味*高溫乾燥科技 | 偵測廚餘性質與量體達最佳乾燥效果 殺菌達99.9%*高效研磨技術 | 強力粉碎減少約90%廚餘量*密封存放功能 | 暫放廚餘不溢味*專利軸承設計 | 內鍋耐用不翻覆*旋鈕式安全鎖 | 多層保護安心使用*智能語音提醒 | 貼心告知使用狀態與異常判斷*自動清潔系統 | 一鍵按下乾淨如新")</f>
        <v>*業界最靜音 | 平均噪音僅26.5分貝 如微風輕拂般安靜*馬達保固5年 | 採用韓國第一大廠SPG馬達 強大耐用*獨家3合1除臭系統 | 複合式濾芯匣 高效去除各種廚餘臭味*高溫乾燥科技 | 偵測廚餘性質與量體達最佳乾燥效果 殺菌達99.9%*高效研磨技術 | 強力粉碎減少約90%廚餘量*密封存放功能 | 暫放廚餘不溢味*專利軸承設計 | 內鍋耐用不翻覆*旋鈕式安全鎖 | 多層保護安心使用*智能語音提醒 | 貼心告知使用狀態與異常判斷*自動清潔系統 | 一鍵按下乾淨如新</v>
      </c>
    </row>
    <row r="1027" spans="1:27" ht="19.5" customHeight="1">
      <c r="A1027" s="12" t="str">
        <f ca="1">IFERROR(__xludf.DUMMYFUNCTION("""COMPUTED_VALUE"""),"廚房家電")</f>
        <v>廚房家電</v>
      </c>
      <c r="B1027" s="12" t="str">
        <f ca="1">IFERROR(__xludf.DUMMYFUNCTION("""COMPUTED_VALUE"""),"順發")</f>
        <v>順發</v>
      </c>
      <c r="C1027" s="12" t="str">
        <f ca="1">IFERROR(__xludf.DUMMYFUNCTION("""COMPUTED_VALUE"""),"SodaStream")</f>
        <v>SodaStream</v>
      </c>
      <c r="D1027" s="12" t="str">
        <f ca="1">IFERROR(__xludf.DUMMYFUNCTION("""COMPUTED_VALUE"""),"Sodastream TERRA 自動扣瓶氣泡水機 迷霧藍_769806")</f>
        <v>Sodastream TERRA 自動扣瓶氣泡水機 迷霧藍_769806</v>
      </c>
      <c r="E1027" s="12" t="str">
        <f ca="1">IFERROR(__xludf.DUMMYFUNCTION("""COMPUTED_VALUE"""),"TERRA")</f>
        <v>TERRA</v>
      </c>
      <c r="F1027" s="12">
        <f ca="1">IFERROR(__xludf.DUMMYFUNCTION("""COMPUTED_VALUE"""),51095816)</f>
        <v>51095816</v>
      </c>
      <c r="G1027" s="12" t="str">
        <f ca="1">IFERROR(__xludf.DUMMYFUNCTION("""COMPUTED_VALUE"""),"IGEM106Z")</f>
        <v>IGEM106Z</v>
      </c>
      <c r="H1027" s="13">
        <f ca="1">IFERROR(__xludf.DUMMYFUNCTION("""COMPUTED_VALUE"""),6290)</f>
        <v>6290</v>
      </c>
      <c r="I1027" s="14">
        <f ca="1">IFERROR(__xludf.DUMMYFUNCTION("""COMPUTED_VALUE"""),3990)</f>
        <v>3990</v>
      </c>
      <c r="J1027" s="16">
        <f ca="1">IFERROR(__xludf.DUMMYFUNCTION("""COMPUTED_VALUE"""),45505)</f>
        <v>45505</v>
      </c>
      <c r="K1027" s="12" t="str">
        <f ca="1">IFERROR(__xludf.DUMMYFUNCTION("""COMPUTED_VALUE"""),"新機上架")</f>
        <v>新機上架</v>
      </c>
      <c r="L1027" s="12" t="str">
        <f ca="1">IFERROR(__xludf.DUMMYFUNCTION("""COMPUTED_VALUE"""),"上架中")</f>
        <v>上架中</v>
      </c>
      <c r="M1027" s="12" t="str">
        <f ca="1">IFERROR(__xludf.DUMMYFUNCTION("""COMPUTED_VALUE"""),"2024/8/1新機上架")</f>
        <v>2024/8/1新機上架</v>
      </c>
      <c r="N1027" s="12" t="str">
        <f ca="1">IFERROR(__xludf.DUMMYFUNCTION("""COMPUTED_VALUE"""),"氣泡水機")</f>
        <v>氣泡水機</v>
      </c>
      <c r="O1027" s="12" t="str">
        <f ca="1">IFERROR(__xludf.DUMMYFUNCTION("""COMPUTED_VALUE"""),"藍")</f>
        <v>藍</v>
      </c>
      <c r="P1027" s="12" t="str">
        <f ca="1">IFERROR(__xludf.DUMMYFUNCTION("""COMPUTED_VALUE"""),"內容物：
 1. TERRA氣泡水機 1入 
 2. 快扣二氧化碳補充鋼瓶425g1入 
 3. 水滴型專用水瓶改質PCT洗碗機適用 1L1入 
 4. 產品使用手冊與保證書
 ●本機型只能使用sodastream快扣鋼瓶")</f>
        <v>內容物：
 1. TERRA氣泡水機 1入 
 2. 快扣二氧化碳補充鋼瓶425g1入 
 3. 水滴型專用水瓶改質PCT洗碗機適用 1L1入 
 4. 產品使用手冊與保證書
 ●本機型只能使用sodastream快扣鋼瓶</v>
      </c>
      <c r="Q1027" s="12" t="str">
        <f ca="1">IFERROR(__xludf.DUMMYFUNCTION("""COMPUTED_VALUE"""),"商品尺寸： H425*W130*L195mm
 彩盒尺寸： H437*W198*L198 mm
 商品毛重：2.94kg")</f>
        <v>商品尺寸： H425*W130*L195mm
 彩盒尺寸： H437*W198*L198 mm
 商品毛重：2.94kg</v>
      </c>
      <c r="R1027" s="12" t="str">
        <f ca="1">IFERROR(__xludf.DUMMYFUNCTION("""COMPUTED_VALUE"""),"以色列")</f>
        <v>以色列</v>
      </c>
      <c r="S1027" s="12"/>
      <c r="T1027" s="12"/>
      <c r="U1027" s="12" t="str">
        <f ca="1">IFERROR(__xludf.DUMMYFUNCTION("""COMPUTED_VALUE"""),"2年")</f>
        <v>2年</v>
      </c>
      <c r="V1027" s="12"/>
      <c r="W1027" s="12"/>
      <c r="X1027" s="12"/>
      <c r="Y1027" s="12"/>
      <c r="Z1027" s="14"/>
      <c r="AA1027" s="15" t="str">
        <f ca="1">IFERROR(__xludf.DUMMYFUNCTION("""COMPUTED_VALUE"""),"* GOOD DESIGN設計獎肯定機型*全新快扣鋼瓶機型*加大打氣按鍵，更精準控制出氣量*免插電，即可享用完美比例氣泡水")</f>
        <v>* GOOD DESIGN設計獎肯定機型*全新快扣鋼瓶機型*加大打氣按鍵，更精準控制出氣量*免插電，即可享用完美比例氣泡水</v>
      </c>
    </row>
    <row r="1028" spans="1:27" ht="19.5" customHeight="1">
      <c r="A1028" s="12" t="str">
        <f ca="1">IFERROR(__xludf.DUMMYFUNCTION("""COMPUTED_VALUE"""),"廚房家電")</f>
        <v>廚房家電</v>
      </c>
      <c r="B1028" s="12" t="str">
        <f ca="1">IFERROR(__xludf.DUMMYFUNCTION("""COMPUTED_VALUE"""),"順發")</f>
        <v>順發</v>
      </c>
      <c r="C1028" s="12" t="str">
        <f ca="1">IFERROR(__xludf.DUMMYFUNCTION("""COMPUTED_VALUE"""),"Whirlpool")</f>
        <v>Whirlpool</v>
      </c>
      <c r="D1028" s="12" t="str">
        <f ca="1">IFERROR(__xludf.DUMMYFUNCTION("""COMPUTED_VALUE"""),"Whirlpool惠而浦 30L微電腦微波爐 MWG030EW_783159")</f>
        <v>Whirlpool惠而浦 30L微電腦微波爐 MWG030EW_783159</v>
      </c>
      <c r="E1028" s="12" t="str">
        <f ca="1">IFERROR(__xludf.DUMMYFUNCTION("""COMPUTED_VALUE"""),"MWG030EW")</f>
        <v>MWG030EW</v>
      </c>
      <c r="F1028" s="12">
        <f ca="1">IFERROR(__xludf.DUMMYFUNCTION("""COMPUTED_VALUE"""),51095914)</f>
        <v>51095914</v>
      </c>
      <c r="G1028" s="12" t="str">
        <f ca="1">IFERROR(__xludf.DUMMYFUNCTION("""COMPUTED_VALUE"""),"IGEM1187")</f>
        <v>IGEM1187</v>
      </c>
      <c r="H1028" s="13">
        <f ca="1">IFERROR(__xludf.DUMMYFUNCTION("""COMPUTED_VALUE"""),4990)</f>
        <v>4990</v>
      </c>
      <c r="I1028" s="14">
        <f ca="1">IFERROR(__xludf.DUMMYFUNCTION("""COMPUTED_VALUE"""),3090)</f>
        <v>3090</v>
      </c>
      <c r="J1028" s="16">
        <f ca="1">IFERROR(__xludf.DUMMYFUNCTION("""COMPUTED_VALUE"""),45658)</f>
        <v>45658</v>
      </c>
      <c r="K1028" s="12" t="str">
        <f ca="1">IFERROR(__xludf.DUMMYFUNCTION("""COMPUTED_VALUE"""),"新機上架")</f>
        <v>新機上架</v>
      </c>
      <c r="L1028" s="12" t="str">
        <f ca="1">IFERROR(__xludf.DUMMYFUNCTION("""COMPUTED_VALUE"""),"上架中")</f>
        <v>上架中</v>
      </c>
      <c r="M1028" s="12" t="str">
        <f ca="1">IFERROR(__xludf.DUMMYFUNCTION("""COMPUTED_VALUE"""),"2025/1/1上架")</f>
        <v>2025/1/1上架</v>
      </c>
      <c r="N1028" s="12" t="str">
        <f ca="1">IFERROR(__xludf.DUMMYFUNCTION("""COMPUTED_VALUE"""),"微波爐")</f>
        <v>微波爐</v>
      </c>
      <c r="O1028" s="12" t="str">
        <f ca="1">IFERROR(__xludf.DUMMYFUNCTION("""COMPUTED_VALUE"""),"白")</f>
        <v>白</v>
      </c>
      <c r="P1028" s="12" t="str">
        <f ca="1">IFERROR(__xludf.DUMMYFUNCTION("""COMPUTED_VALUE"""),"30L")</f>
        <v>30L</v>
      </c>
      <c r="Q1028" s="12" t="str">
        <f ca="1">IFERROR(__xludf.DUMMYFUNCTION("""COMPUTED_VALUE"""),"300 x539 x 398mm")</f>
        <v>300 x539 x 398mm</v>
      </c>
      <c r="R1028" s="12" t="str">
        <f ca="1">IFERROR(__xludf.DUMMYFUNCTION("""COMPUTED_VALUE"""),"中國")</f>
        <v>中國</v>
      </c>
      <c r="S1028" s="12"/>
      <c r="T1028" s="12"/>
      <c r="U1028" s="12" t="str">
        <f ca="1">IFERROR(__xludf.DUMMYFUNCTION("""COMPUTED_VALUE"""),"1年")</f>
        <v>1年</v>
      </c>
      <c r="V1028" s="12"/>
      <c r="W1028" s="12"/>
      <c r="X1028" s="12"/>
      <c r="Y1028" s="12"/>
      <c r="Z1028" s="14"/>
      <c r="AA1028" s="15" t="str">
        <f ca="1">IFERROR(__xludf.DUMMYFUNCTION("""COMPUTED_VALUE"""),"*容量:30L*功率:1400w*10道自動烹調料理*4段軟化+4段融化行程*7段微波功率*3種自動覆熱設定*自動清潔行程")</f>
        <v>*容量:30L*功率:1400w*10道自動烹調料理*4段軟化+4段融化行程*7段微波功率*3種自動覆熱設定*自動清潔行程</v>
      </c>
    </row>
    <row r="1029" spans="1:27" ht="19.5" customHeight="1">
      <c r="A1029" s="12" t="str">
        <f ca="1">IFERROR(__xludf.DUMMYFUNCTION("""COMPUTED_VALUE"""),"廚房家電")</f>
        <v>廚房家電</v>
      </c>
      <c r="B1029" s="12" t="str">
        <f ca="1">IFERROR(__xludf.DUMMYFUNCTION("""COMPUTED_VALUE"""),"飛樂")</f>
        <v>飛樂</v>
      </c>
      <c r="C1029" s="12" t="str">
        <f ca="1">IFERROR(__xludf.DUMMYFUNCTION("""COMPUTED_VALUE"""),"Arlink")</f>
        <v>Arlink</v>
      </c>
      <c r="D1029" s="12" t="str">
        <f ca="1">IFERROR(__xludf.DUMMYFUNCTION("""COMPUTED_VALUE"""),"Arlink自動翻攪熱流超導氣炸鍋EC-990")</f>
        <v>Arlink自動翻攪熱流超導氣炸鍋EC-990</v>
      </c>
      <c r="E1029" s="12" t="str">
        <f ca="1">IFERROR(__xludf.DUMMYFUNCTION("""COMPUTED_VALUE"""),"EC-990")</f>
        <v>EC-990</v>
      </c>
      <c r="F1029" s="12">
        <f ca="1">IFERROR(__xludf.DUMMYFUNCTION("""COMPUTED_VALUE"""),51080012)</f>
        <v>51080012</v>
      </c>
      <c r="G1029" s="12" t="str">
        <f ca="1">IFERROR(__xludf.DUMMYFUNCTION("""COMPUTED_VALUE"""),"IGEM028I")</f>
        <v>IGEM028I</v>
      </c>
      <c r="H1029" s="12">
        <f ca="1">IFERROR(__xludf.DUMMYFUNCTION("""COMPUTED_VALUE"""),4980)</f>
        <v>4980</v>
      </c>
      <c r="I1029" s="14">
        <f ca="1">IFERROR(__xludf.DUMMYFUNCTION("""COMPUTED_VALUE"""),2780)</f>
        <v>2780</v>
      </c>
      <c r="J1029" s="16">
        <f ca="1">IFERROR(__xludf.DUMMYFUNCTION("""COMPUTED_VALUE"""),45597)</f>
        <v>45597</v>
      </c>
      <c r="K1029" s="12" t="str">
        <f ca="1">IFERROR(__xludf.DUMMYFUNCTION("""COMPUTED_VALUE"""),"短促")</f>
        <v>短促</v>
      </c>
      <c r="L1029" s="12" t="str">
        <f ca="1">IFERROR(__xludf.DUMMYFUNCTION("""COMPUTED_VALUE"""),"上架中")</f>
        <v>上架中</v>
      </c>
      <c r="M1029" s="12" t="str">
        <f ca="1">IFERROR(__xludf.DUMMYFUNCTION("""COMPUTED_VALUE"""),"2024/11/1短促，2024/2/1短促，3/23重新上架，2023/1/20停售，2021/9/1短促，3/8到貨，1/24缺貨、2021/1/1新機上架")</f>
        <v>2024/11/1短促，2024/2/1短促，3/23重新上架，2023/1/20停售，2021/9/1短促，3/8到貨，1/24缺貨、2021/1/1新機上架</v>
      </c>
      <c r="N1029" s="12" t="str">
        <f ca="1">IFERROR(__xludf.DUMMYFUNCTION("""COMPUTED_VALUE"""),"氣炸鍋")</f>
        <v>氣炸鍋</v>
      </c>
      <c r="O1029" s="12" t="str">
        <f ca="1">IFERROR(__xludf.DUMMYFUNCTION("""COMPUTED_VALUE"""),"黑(把手玫瑰金)")</f>
        <v>黑(把手玫瑰金)</v>
      </c>
      <c r="P1029" s="12" t="str">
        <f ca="1">IFERROR(__xludf.DUMMYFUNCTION("""COMPUTED_VALUE"""),"6.5L")</f>
        <v>6.5L</v>
      </c>
      <c r="Q1029" s="12"/>
      <c r="R1029" s="12" t="str">
        <f ca="1">IFERROR(__xludf.DUMMYFUNCTION("""COMPUTED_VALUE"""),"中國")</f>
        <v>中國</v>
      </c>
      <c r="S1029" s="12"/>
      <c r="T1029" s="12"/>
      <c r="U1029" s="12" t="str">
        <f ca="1">IFERROR(__xludf.DUMMYFUNCTION("""COMPUTED_VALUE"""),"主機3年")</f>
        <v>主機3年</v>
      </c>
      <c r="V1029" s="12" t="str">
        <f ca="1">IFERROR(__xludf.DUMMYFUNCTION("""COMPUTED_VALUE"""),"3年")</f>
        <v>3年</v>
      </c>
      <c r="W1029" s="12"/>
      <c r="X1029" s="12" t="str">
        <f ca="1">IFERROR(__xludf.DUMMYFUNCTION("""COMPUTED_VALUE"""),"(114/1/1-2/28)隨貨送S01烘烤鍋+S03-2雙層串燒架(5籤)+AG09炒菜盤")</f>
        <v>(114/1/1-2/28)隨貨送S01烘烤鍋+S03-2雙層串燒架(5籤)+AG09炒菜盤</v>
      </c>
      <c r="Y1029" s="12"/>
      <c r="Z1029" s="14"/>
      <c r="AA1029" s="15" t="str">
        <f ca="1">IFERROR(__xludf.DUMMYFUNCTION("""COMPUTED_VALUE"""),"•輕巧不佔空間頂•級玻璃液晶手濕也能觸控•全機皆通過BSMI國家檢驗x​SGS無毒檢驗•工業4.0全自動式手臂組裝")</f>
        <v>•輕巧不佔空間頂•級玻璃液晶手濕也能觸控•全機皆通過BSMI國家檢驗x​SGS無毒檢驗•工業4.0全自動式手臂組裝</v>
      </c>
    </row>
    <row r="1030" spans="1:27" ht="19.5" customHeight="1">
      <c r="A1030" s="12" t="str">
        <f ca="1">IFERROR(__xludf.DUMMYFUNCTION("""COMPUTED_VALUE"""),"廚房家電")</f>
        <v>廚房家電</v>
      </c>
      <c r="B1030" s="12" t="str">
        <f ca="1">IFERROR(__xludf.DUMMYFUNCTION("""COMPUTED_VALUE"""),"飛樂")</f>
        <v>飛樂</v>
      </c>
      <c r="C1030" s="12" t="str">
        <f ca="1">IFERROR(__xludf.DUMMYFUNCTION("""COMPUTED_VALUE"""),"Arlink")</f>
        <v>Arlink</v>
      </c>
      <c r="D1030" s="12" t="str">
        <f ca="1">IFERROR(__xludf.DUMMYFUNCTION("""COMPUTED_VALUE"""),"Arlink小白同學氣炸鍋EB-2505")</f>
        <v>Arlink小白同學氣炸鍋EB-2505</v>
      </c>
      <c r="E1030" s="12" t="str">
        <f ca="1">IFERROR(__xludf.DUMMYFUNCTION("""COMPUTED_VALUE"""),"EB-2505")</f>
        <v>EB-2505</v>
      </c>
      <c r="F1030" s="12">
        <f ca="1">IFERROR(__xludf.DUMMYFUNCTION("""COMPUTED_VALUE"""),51080013)</f>
        <v>51080013</v>
      </c>
      <c r="G1030" s="12" t="str">
        <f ca="1">IFERROR(__xludf.DUMMYFUNCTION("""COMPUTED_VALUE"""),"IGEM028J")</f>
        <v>IGEM028J</v>
      </c>
      <c r="H1030" s="12">
        <f ca="1">IFERROR(__xludf.DUMMYFUNCTION("""COMPUTED_VALUE"""),3980)</f>
        <v>3980</v>
      </c>
      <c r="I1030" s="14">
        <f ca="1">IFERROR(__xludf.DUMMYFUNCTION("""COMPUTED_VALUE"""),1990)</f>
        <v>1990</v>
      </c>
      <c r="J1030" s="16">
        <f ca="1">IFERROR(__xludf.DUMMYFUNCTION("""COMPUTED_VALUE"""),45597)</f>
        <v>45597</v>
      </c>
      <c r="K1030" s="12" t="str">
        <f ca="1">IFERROR(__xludf.DUMMYFUNCTION("""COMPUTED_VALUE"""),"短促")</f>
        <v>短促</v>
      </c>
      <c r="L1030" s="12" t="str">
        <f ca="1">IFERROR(__xludf.DUMMYFUNCTION("""COMPUTED_VALUE"""),"上架中")</f>
        <v>上架中</v>
      </c>
      <c r="M1030" s="12" t="str">
        <f ca="1">IFERROR(__xludf.DUMMYFUNCTION("""COMPUTED_VALUE"""),"2024/11/1短促，2024/2/1短促，12/1短促，7/1短促")</f>
        <v>2024/11/1短促，2024/2/1短促，12/1短促，7/1短促</v>
      </c>
      <c r="N1030" s="12" t="str">
        <f ca="1">IFERROR(__xludf.DUMMYFUNCTION("""COMPUTED_VALUE"""),"氣炸鍋")</f>
        <v>氣炸鍋</v>
      </c>
      <c r="O1030" s="12" t="str">
        <f ca="1">IFERROR(__xludf.DUMMYFUNCTION("""COMPUTED_VALUE"""),"霧白")</f>
        <v>霧白</v>
      </c>
      <c r="P1030" s="12" t="str">
        <f ca="1">IFERROR(__xludf.DUMMYFUNCTION("""COMPUTED_VALUE"""),"2.5L")</f>
        <v>2.5L</v>
      </c>
      <c r="Q1030" s="12"/>
      <c r="R1030" s="12" t="str">
        <f ca="1">IFERROR(__xludf.DUMMYFUNCTION("""COMPUTED_VALUE"""),"中國")</f>
        <v>中國</v>
      </c>
      <c r="S1030" s="12"/>
      <c r="T1030" s="12"/>
      <c r="U1030" s="12" t="str">
        <f ca="1">IFERROR(__xludf.DUMMYFUNCTION("""COMPUTED_VALUE"""),"主機3年")</f>
        <v>主機3年</v>
      </c>
      <c r="V1030" s="12" t="str">
        <f ca="1">IFERROR(__xludf.DUMMYFUNCTION("""COMPUTED_VALUE"""),"3年")</f>
        <v>3年</v>
      </c>
      <c r="W1030" s="12"/>
      <c r="X1030" s="12" t="str">
        <f ca="1">IFERROR(__xludf.DUMMYFUNCTION("""COMPUTED_VALUE"""),"(114/1/1-2/28)隨貨送4吋烘烤鍋+吐司架")</f>
        <v>(114/1/1-2/28)隨貨送4吋烘烤鍋+吐司架</v>
      </c>
      <c r="Y1030" s="12"/>
      <c r="Z1030" s="14"/>
      <c r="AA1030" s="15" t="str">
        <f ca="1">IFERROR(__xludf.DUMMYFUNCTION("""COMPUTED_VALUE"""),"•全自動攪拌型氣炸鍋•透明視窗一目了然•360度均勻攪拌")</f>
        <v>•全自動攪拌型氣炸鍋•透明視窗一目了然•360度均勻攪拌</v>
      </c>
    </row>
    <row r="1031" spans="1:27" ht="19.5" customHeight="1">
      <c r="A1031" s="12" t="str">
        <f ca="1">IFERROR(__xludf.DUMMYFUNCTION("""COMPUTED_VALUE"""),"廚房家電")</f>
        <v>廚房家電</v>
      </c>
      <c r="B1031" s="12" t="str">
        <f ca="1">IFERROR(__xludf.DUMMYFUNCTION("""COMPUTED_VALUE"""),"飛樂")</f>
        <v>飛樂</v>
      </c>
      <c r="C1031" s="12" t="str">
        <f ca="1">IFERROR(__xludf.DUMMYFUNCTION("""COMPUTED_VALUE"""),"Arlink")</f>
        <v>Arlink</v>
      </c>
      <c r="D1031" s="12" t="str">
        <f ca="1">IFERROR(__xludf.DUMMYFUNCTION("""COMPUTED_VALUE"""),"Arlink蔬果肉類淨化機HC20")</f>
        <v>Arlink蔬果肉類淨化機HC20</v>
      </c>
      <c r="E1031" s="12" t="str">
        <f ca="1">IFERROR(__xludf.DUMMYFUNCTION("""COMPUTED_VALUE"""),"HC20")</f>
        <v>HC20</v>
      </c>
      <c r="F1031" s="12">
        <f ca="1">IFERROR(__xludf.DUMMYFUNCTION("""COMPUTED_VALUE"""),51080030)</f>
        <v>51080030</v>
      </c>
      <c r="G1031" s="12" t="str">
        <f ca="1">IFERROR(__xludf.DUMMYFUNCTION("""COMPUTED_VALUE"""),"IGEM049O")</f>
        <v>IGEM049O</v>
      </c>
      <c r="H1031" s="12">
        <f ca="1">IFERROR(__xludf.DUMMYFUNCTION("""COMPUTED_VALUE"""),2980)</f>
        <v>2980</v>
      </c>
      <c r="I1031" s="14">
        <f ca="1">IFERROR(__xludf.DUMMYFUNCTION("""COMPUTED_VALUE"""),1980)</f>
        <v>1980</v>
      </c>
      <c r="J1031" s="16">
        <f ca="1">IFERROR(__xludf.DUMMYFUNCTION("""COMPUTED_VALUE"""),45323)</f>
        <v>45323</v>
      </c>
      <c r="K1031" s="12" t="str">
        <f ca="1">IFERROR(__xludf.DUMMYFUNCTION("""COMPUTED_VALUE"""),"短促")</f>
        <v>短促</v>
      </c>
      <c r="L1031" s="12" t="str">
        <f ca="1">IFERROR(__xludf.DUMMYFUNCTION("""COMPUTED_VALUE"""),"上架中")</f>
        <v>上架中</v>
      </c>
      <c r="M1031" s="12" t="str">
        <f ca="1">IFERROR(__xludf.DUMMYFUNCTION("""COMPUTED_VALUE"""),"2021/11/1新品上架")</f>
        <v>2021/11/1新品上架</v>
      </c>
      <c r="N1031" s="12" t="str">
        <f ca="1">IFERROR(__xludf.DUMMYFUNCTION("""COMPUTED_VALUE"""),"蔬果清洗機")</f>
        <v>蔬果清洗機</v>
      </c>
      <c r="O1031" s="12" t="str">
        <f ca="1">IFERROR(__xludf.DUMMYFUNCTION("""COMPUTED_VALUE"""),"白")</f>
        <v>白</v>
      </c>
      <c r="P1031" s="12" t="str">
        <f ca="1">IFERROR(__xludf.DUMMYFUNCTION("""COMPUTED_VALUE"""),"電池容量：2600mAh
重量：500g
")</f>
        <v xml:space="preserve">電池容量：2600mAh
重量：500g
</v>
      </c>
      <c r="Q1031" s="12" t="str">
        <f ca="1">IFERROR(__xludf.DUMMYFUNCTION("""COMPUTED_VALUE"""),"72mm*112mm*112mm")</f>
        <v>72mm*112mm*112mm</v>
      </c>
      <c r="R1031" s="12" t="str">
        <f ca="1">IFERROR(__xludf.DUMMYFUNCTION("""COMPUTED_VALUE"""),"中國")</f>
        <v>中國</v>
      </c>
      <c r="S1031" s="12"/>
      <c r="T1031" s="12"/>
      <c r="U1031" s="12" t="str">
        <f ca="1">IFERROR(__xludf.DUMMYFUNCTION("""COMPUTED_VALUE"""),"1年(非人為因素)")</f>
        <v>1年(非人為因素)</v>
      </c>
      <c r="V1031" s="12"/>
      <c r="W1031" s="12"/>
      <c r="X1031" s="12"/>
      <c r="Y1031" s="12"/>
      <c r="Z1031" s="14"/>
      <c r="AA1031" s="15" t="str">
        <f ca="1">IFERROR(__xludf.DUMMYFUNCTION("""COMPUTED_VALUE"""),"*烴基水離子技術，分解有害物質(消除95%農藥殘留/消除99%細菌/分解75%的激素)*無線充電設計*輕巧方便好攜帶*全機防水環保磨砂材質*續航力好使用方便*負壓設計拿出水面無水漬殘留")</f>
        <v>*烴基水離子技術，分解有害物質(消除95%農藥殘留/消除99%細菌/分解75%的激素)*無線充電設計*輕巧方便好攜帶*全機防水環保磨砂材質*續航力好使用方便*負壓設計拿出水面無水漬殘留</v>
      </c>
    </row>
    <row r="1032" spans="1:27" ht="19.5" customHeight="1">
      <c r="A1032" s="12" t="str">
        <f ca="1">IFERROR(__xludf.DUMMYFUNCTION("""COMPUTED_VALUE"""),"廚房家電")</f>
        <v>廚房家電</v>
      </c>
      <c r="B1032" s="12" t="str">
        <f ca="1">IFERROR(__xludf.DUMMYFUNCTION("""COMPUTED_VALUE"""),"丞閈")</f>
        <v>丞閈</v>
      </c>
      <c r="C1032" s="12" t="str">
        <f ca="1">IFERROR(__xludf.DUMMYFUNCTION("""COMPUTED_VALUE"""),"recolte")</f>
        <v>recolte</v>
      </c>
      <c r="D1032" s="12" t="str">
        <f ca="1">IFERROR(__xludf.DUMMYFUNCTION("""COMPUTED_VALUE"""),"recolte麗克特 Air Oven Toaster 氣炸烤箱RFT-1(白)")</f>
        <v>recolte麗克特 Air Oven Toaster 氣炸烤箱RFT-1(白)</v>
      </c>
      <c r="E1032" s="12" t="str">
        <f ca="1">IFERROR(__xludf.DUMMYFUNCTION("""COMPUTED_VALUE"""),"RFT-1(W)")</f>
        <v>RFT-1(W)</v>
      </c>
      <c r="F1032" s="12">
        <f ca="1">IFERROR(__xludf.DUMMYFUNCTION("""COMPUTED_VALUE"""),51097071)</f>
        <v>51097071</v>
      </c>
      <c r="G1032" s="12" t="str">
        <f ca="1">IFERROR(__xludf.DUMMYFUNCTION("""COMPUTED_VALUE"""),"IGEM091M")</f>
        <v>IGEM091M</v>
      </c>
      <c r="H1032" s="12">
        <f ca="1">IFERROR(__xludf.DUMMYFUNCTION("""COMPUTED_VALUE"""),7990)</f>
        <v>7990</v>
      </c>
      <c r="I1032" s="14">
        <f ca="1">IFERROR(__xludf.DUMMYFUNCTION("""COMPUTED_VALUE"""),5680)</f>
        <v>5680</v>
      </c>
      <c r="J1032" s="16">
        <f ca="1">IFERROR(__xludf.DUMMYFUNCTION("""COMPUTED_VALUE"""),45219)</f>
        <v>45219</v>
      </c>
      <c r="K1032" s="12" t="str">
        <f ca="1">IFERROR(__xludf.DUMMYFUNCTION("""COMPUTED_VALUE"""),"新機上架")</f>
        <v>新機上架</v>
      </c>
      <c r="L1032" s="12" t="str">
        <f ca="1">IFERROR(__xludf.DUMMYFUNCTION("""COMPUTED_VALUE"""),"上架中")</f>
        <v>上架中</v>
      </c>
      <c r="M1032" s="12" t="str">
        <f ca="1">IFERROR(__xludf.DUMMYFUNCTION("""COMPUTED_VALUE"""),"10/20新機上架")</f>
        <v>10/20新機上架</v>
      </c>
      <c r="N1032" s="12" t="str">
        <f ca="1">IFERROR(__xludf.DUMMYFUNCTION("""COMPUTED_VALUE"""),"烤箱")</f>
        <v>烤箱</v>
      </c>
      <c r="O1032" s="12" t="str">
        <f ca="1">IFERROR(__xludf.DUMMYFUNCTION("""COMPUTED_VALUE"""),"白")</f>
        <v>白</v>
      </c>
      <c r="P1032" s="12" t="str">
        <f ca="1">IFERROR(__xludf.DUMMYFUNCTION("""COMPUTED_VALUE"""),"110V/60Hz/1300W")</f>
        <v>110V/60Hz/1300W</v>
      </c>
      <c r="Q1032" s="12" t="str">
        <f ca="1">IFERROR(__xludf.DUMMYFUNCTION("""COMPUTED_VALUE"""),"100x253x162mm")</f>
        <v>100x253x162mm</v>
      </c>
      <c r="R1032" s="12" t="str">
        <f ca="1">IFERROR(__xludf.DUMMYFUNCTION("""COMPUTED_VALUE"""),"中國")</f>
        <v>中國</v>
      </c>
      <c r="S1032" s="12"/>
      <c r="T1032" s="12"/>
      <c r="U1032" s="12" t="str">
        <f ca="1">IFERROR(__xludf.DUMMYFUNCTION("""COMPUTED_VALUE"""),"1年")</f>
        <v>1年</v>
      </c>
      <c r="V1032" s="12" t="str">
        <f ca="1">IFERROR(__xludf.DUMMYFUNCTION("""COMPUTED_VALUE"""),"1年")</f>
        <v>1年</v>
      </c>
      <c r="W1032" s="12"/>
      <c r="X1032" s="12"/>
      <c r="Y1032" s="12"/>
      <c r="Z1032" s="14"/>
      <c r="AA1032" s="15" t="str">
        <f ca="1">IFERROR(__xludf.DUMMYFUNCTION("""COMPUTED_VALUE"""),"*最高230°C高速氣旋循環烘烤，去除食材多餘油脂!*可輕鬆製作各種菜餚，包括炸、燒烤、烘烤和重新加熱食材*氣炸、炙烤、烤吐司、慢烤/解凍等四種料理模式*劃時代結構設計，烤箱背面可打開清潔!")</f>
        <v>*最高230°C高速氣旋循環烘烤，去除食材多餘油脂!*可輕鬆製作各種菜餚，包括炸、燒烤、烘烤和重新加熱食材*氣炸、炙烤、烤吐司、慢烤/解凍等四種料理模式*劃時代結構設計，烤箱背面可打開清潔!</v>
      </c>
    </row>
    <row r="1033" spans="1:27" ht="19.5" customHeight="1">
      <c r="A1033" s="12" t="str">
        <f ca="1">IFERROR(__xludf.DUMMYFUNCTION("""COMPUTED_VALUE"""),"廚房家電")</f>
        <v>廚房家電</v>
      </c>
      <c r="B1033" s="12" t="str">
        <f ca="1">IFERROR(__xludf.DUMMYFUNCTION("""COMPUTED_VALUE"""),"丞閈")</f>
        <v>丞閈</v>
      </c>
      <c r="C1033" s="12" t="str">
        <f ca="1">IFERROR(__xludf.DUMMYFUNCTION("""COMPUTED_VALUE"""),"recolte")</f>
        <v>recolte</v>
      </c>
      <c r="D1033" s="12" t="str">
        <f ca="1">IFERROR(__xludf.DUMMYFUNCTION("""COMPUTED_VALUE"""),"recolte麗克特 Air Oven Toaster 氣炸烤箱RFT-1(灰黑)")</f>
        <v>recolte麗克特 Air Oven Toaster 氣炸烤箱RFT-1(灰黑)</v>
      </c>
      <c r="E1033" s="12" t="str">
        <f ca="1">IFERROR(__xludf.DUMMYFUNCTION("""COMPUTED_VALUE"""),"RFT-1(GY)")</f>
        <v>RFT-1(GY)</v>
      </c>
      <c r="F1033" s="12">
        <f ca="1">IFERROR(__xludf.DUMMYFUNCTION("""COMPUTED_VALUE"""),51097072)</f>
        <v>51097072</v>
      </c>
      <c r="G1033" s="12" t="str">
        <f ca="1">IFERROR(__xludf.DUMMYFUNCTION("""COMPUTED_VALUE"""),"IGEM091N")</f>
        <v>IGEM091N</v>
      </c>
      <c r="H1033" s="12">
        <f ca="1">IFERROR(__xludf.DUMMYFUNCTION("""COMPUTED_VALUE"""),7990)</f>
        <v>7990</v>
      </c>
      <c r="I1033" s="14">
        <f ca="1">IFERROR(__xludf.DUMMYFUNCTION("""COMPUTED_VALUE"""),5680)</f>
        <v>5680</v>
      </c>
      <c r="J1033" s="16">
        <f ca="1">IFERROR(__xludf.DUMMYFUNCTION("""COMPUTED_VALUE"""),45219)</f>
        <v>45219</v>
      </c>
      <c r="K1033" s="12" t="str">
        <f ca="1">IFERROR(__xludf.DUMMYFUNCTION("""COMPUTED_VALUE"""),"新機上架")</f>
        <v>新機上架</v>
      </c>
      <c r="L1033" s="12" t="str">
        <f ca="1">IFERROR(__xludf.DUMMYFUNCTION("""COMPUTED_VALUE"""),"上架中")</f>
        <v>上架中</v>
      </c>
      <c r="M1033" s="12" t="str">
        <f ca="1">IFERROR(__xludf.DUMMYFUNCTION("""COMPUTED_VALUE"""),"10/20新機上架")</f>
        <v>10/20新機上架</v>
      </c>
      <c r="N1033" s="12" t="str">
        <f ca="1">IFERROR(__xludf.DUMMYFUNCTION("""COMPUTED_VALUE"""),"烤箱")</f>
        <v>烤箱</v>
      </c>
      <c r="O1033" s="12" t="str">
        <f ca="1">IFERROR(__xludf.DUMMYFUNCTION("""COMPUTED_VALUE"""),"灰黑")</f>
        <v>灰黑</v>
      </c>
      <c r="P1033" s="12" t="str">
        <f ca="1">IFERROR(__xludf.DUMMYFUNCTION("""COMPUTED_VALUE"""),"110V/60Hz/1300W")</f>
        <v>110V/60Hz/1300W</v>
      </c>
      <c r="Q1033" s="12" t="str">
        <f ca="1">IFERROR(__xludf.DUMMYFUNCTION("""COMPUTED_VALUE"""),"100x253x162mm")</f>
        <v>100x253x162mm</v>
      </c>
      <c r="R1033" s="12" t="str">
        <f ca="1">IFERROR(__xludf.DUMMYFUNCTION("""COMPUTED_VALUE"""),"中國")</f>
        <v>中國</v>
      </c>
      <c r="S1033" s="12"/>
      <c r="T1033" s="12"/>
      <c r="U1033" s="12" t="str">
        <f ca="1">IFERROR(__xludf.DUMMYFUNCTION("""COMPUTED_VALUE"""),"1年")</f>
        <v>1年</v>
      </c>
      <c r="V1033" s="12" t="str">
        <f ca="1">IFERROR(__xludf.DUMMYFUNCTION("""COMPUTED_VALUE"""),"1年")</f>
        <v>1年</v>
      </c>
      <c r="W1033" s="12"/>
      <c r="X1033" s="12"/>
      <c r="Y1033" s="12"/>
      <c r="Z1033" s="14"/>
      <c r="AA1033" s="15" t="str">
        <f ca="1">IFERROR(__xludf.DUMMYFUNCTION("""COMPUTED_VALUE"""),"*最高230°C高速氣旋循環烘烤，去除食材多餘油脂!*可輕鬆製作各種菜餚，包括炸、燒烤、烘烤和重新加熱食材*氣炸、炙烤、烤吐司、慢烤/解凍等四種料理模式*劃時代結構設計，烤箱背面可打開清潔!")</f>
        <v>*最高230°C高速氣旋循環烘烤，去除食材多餘油脂!*可輕鬆製作各種菜餚，包括炸、燒烤、烘烤和重新加熱食材*氣炸、炙烤、烤吐司、慢烤/解凍等四種料理模式*劃時代結構設計，烤箱背面可打開清潔!</v>
      </c>
    </row>
    <row r="1034" spans="1:27" ht="19.5" customHeight="1">
      <c r="A1034" s="12" t="str">
        <f ca="1">IFERROR(__xludf.DUMMYFUNCTION("""COMPUTED_VALUE"""),"廚房家電")</f>
        <v>廚房家電</v>
      </c>
      <c r="B1034" s="12" t="str">
        <f ca="1">IFERROR(__xludf.DUMMYFUNCTION("""COMPUTED_VALUE"""),"丞閈")</f>
        <v>丞閈</v>
      </c>
      <c r="C1034" s="12" t="str">
        <f ca="1">IFERROR(__xludf.DUMMYFUNCTION("""COMPUTED_VALUE"""),"recolte")</f>
        <v>recolte</v>
      </c>
      <c r="D1034" s="12" t="str">
        <f ca="1">IFERROR(__xludf.DUMMYFUNCTION("""COMPUTED_VALUE"""),"recolte麗克特 Compact Bakery 製麵包機RBK-1(白)")</f>
        <v>recolte麗克特 Compact Bakery 製麵包機RBK-1(白)</v>
      </c>
      <c r="E1034" s="12" t="str">
        <f ca="1">IFERROR(__xludf.DUMMYFUNCTION("""COMPUTED_VALUE"""),"RBK-1(W)")</f>
        <v>RBK-1(W)</v>
      </c>
      <c r="F1034" s="12">
        <f ca="1">IFERROR(__xludf.DUMMYFUNCTION("""COMPUTED_VALUE"""),51097073)</f>
        <v>51097073</v>
      </c>
      <c r="G1034" s="12" t="str">
        <f ca="1">IFERROR(__xludf.DUMMYFUNCTION("""COMPUTED_VALUE"""),"IGEM091O")</f>
        <v>IGEM091O</v>
      </c>
      <c r="H1034" s="12">
        <f ca="1">IFERROR(__xludf.DUMMYFUNCTION("""COMPUTED_VALUE"""),7990)</f>
        <v>7990</v>
      </c>
      <c r="I1034" s="14">
        <f ca="1">IFERROR(__xludf.DUMMYFUNCTION("""COMPUTED_VALUE"""),4480)</f>
        <v>4480</v>
      </c>
      <c r="J1034" s="16">
        <f ca="1">IFERROR(__xludf.DUMMYFUNCTION("""COMPUTED_VALUE"""),45637)</f>
        <v>45637</v>
      </c>
      <c r="K1034" s="12" t="str">
        <f ca="1">IFERROR(__xludf.DUMMYFUNCTION("""COMPUTED_VALUE"""),"短促")</f>
        <v>短促</v>
      </c>
      <c r="L1034" s="12" t="str">
        <f ca="1">IFERROR(__xludf.DUMMYFUNCTION("""COMPUTED_VALUE"""),"上架中")</f>
        <v>上架中</v>
      </c>
      <c r="M1034" s="12" t="str">
        <f ca="1">IFERROR(__xludf.DUMMYFUNCTION("""COMPUTED_VALUE"""),"2024/12/11短促，10/20新機上架")</f>
        <v>2024/12/11短促，10/20新機上架</v>
      </c>
      <c r="N1034" s="12" t="str">
        <f ca="1">IFERROR(__xludf.DUMMYFUNCTION("""COMPUTED_VALUE"""),"烤/製麵包機")</f>
        <v>烤/製麵包機</v>
      </c>
      <c r="O1034" s="12" t="str">
        <f ca="1">IFERROR(__xludf.DUMMYFUNCTION("""COMPUTED_VALUE"""),"白")</f>
        <v>白</v>
      </c>
      <c r="P1034" s="12" t="str">
        <f ca="1">IFERROR(__xludf.DUMMYFUNCTION("""COMPUTED_VALUE"""),"110V/60Hz/450W")</f>
        <v>110V/60Hz/450W</v>
      </c>
      <c r="Q1034" s="12" t="str">
        <f ca="1">IFERROR(__xludf.DUMMYFUNCTION("""COMPUTED_VALUE"""),"270x210x310mm")</f>
        <v>270x210x310mm</v>
      </c>
      <c r="R1034" s="12" t="str">
        <f ca="1">IFERROR(__xludf.DUMMYFUNCTION("""COMPUTED_VALUE"""),"中國")</f>
        <v>中國</v>
      </c>
      <c r="S1034" s="12"/>
      <c r="T1034" s="12"/>
      <c r="U1034" s="12" t="str">
        <f ca="1">IFERROR(__xludf.DUMMYFUNCTION("""COMPUTED_VALUE"""),"1年")</f>
        <v>1年</v>
      </c>
      <c r="V1034" s="12" t="str">
        <f ca="1">IFERROR(__xludf.DUMMYFUNCTION("""COMPUTED_VALUE"""),"1年")</f>
        <v>1年</v>
      </c>
      <c r="W1034" s="12"/>
      <c r="X1034" s="12"/>
      <c r="Y1034" s="12"/>
      <c r="Z1034" s="14"/>
      <c r="AA1034" s="15" t="str">
        <f ca="1">IFERROR(__xludf.DUMMYFUNCTION("""COMPUTED_VALUE"""),"*匠心設計厚釜2.5mm內鍋，熱能完美保存*搭載12種精心設計的菜單模式選擇，滿足各式日常生活料理*13小時預約功能*3種烤色選擇")</f>
        <v>*匠心設計厚釜2.5mm內鍋，熱能完美保存*搭載12種精心設計的菜單模式選擇，滿足各式日常生活料理*13小時預約功能*3種烤色選擇</v>
      </c>
    </row>
    <row r="1035" spans="1:27" ht="19.5" customHeight="1">
      <c r="A1035" s="12" t="str">
        <f ca="1">IFERROR(__xludf.DUMMYFUNCTION("""COMPUTED_VALUE"""),"廚房家電")</f>
        <v>廚房家電</v>
      </c>
      <c r="B1035" s="12" t="str">
        <f ca="1">IFERROR(__xludf.DUMMYFUNCTION("""COMPUTED_VALUE"""),"丞閈")</f>
        <v>丞閈</v>
      </c>
      <c r="C1035" s="12" t="str">
        <f ca="1">IFERROR(__xludf.DUMMYFUNCTION("""COMPUTED_VALUE"""),"recolte")</f>
        <v>recolte</v>
      </c>
      <c r="D1035" s="12" t="str">
        <f ca="1">IFERROR(__xludf.DUMMYFUNCTION("""COMPUTED_VALUE"""),"recolte麗克特 Compact Bakery 製麵包機RBK-1(灰黑)")</f>
        <v>recolte麗克特 Compact Bakery 製麵包機RBK-1(灰黑)</v>
      </c>
      <c r="E1035" s="12" t="str">
        <f ca="1">IFERROR(__xludf.DUMMYFUNCTION("""COMPUTED_VALUE"""),"RBK-1(GY)")</f>
        <v>RBK-1(GY)</v>
      </c>
      <c r="F1035" s="12">
        <f ca="1">IFERROR(__xludf.DUMMYFUNCTION("""COMPUTED_VALUE"""),51097074)</f>
        <v>51097074</v>
      </c>
      <c r="G1035" s="12" t="str">
        <f ca="1">IFERROR(__xludf.DUMMYFUNCTION("""COMPUTED_VALUE"""),"IGEM091P")</f>
        <v>IGEM091P</v>
      </c>
      <c r="H1035" s="12">
        <f ca="1">IFERROR(__xludf.DUMMYFUNCTION("""COMPUTED_VALUE"""),7990)</f>
        <v>7990</v>
      </c>
      <c r="I1035" s="14">
        <f ca="1">IFERROR(__xludf.DUMMYFUNCTION("""COMPUTED_VALUE"""),4480)</f>
        <v>4480</v>
      </c>
      <c r="J1035" s="16">
        <f ca="1">IFERROR(__xludf.DUMMYFUNCTION("""COMPUTED_VALUE"""),45637)</f>
        <v>45637</v>
      </c>
      <c r="K1035" s="12" t="str">
        <f ca="1">IFERROR(__xludf.DUMMYFUNCTION("""COMPUTED_VALUE"""),"短促")</f>
        <v>短促</v>
      </c>
      <c r="L1035" s="12" t="str">
        <f ca="1">IFERROR(__xludf.DUMMYFUNCTION("""COMPUTED_VALUE"""),"上架中")</f>
        <v>上架中</v>
      </c>
      <c r="M1035" s="12" t="str">
        <f ca="1">IFERROR(__xludf.DUMMYFUNCTION("""COMPUTED_VALUE"""),"2024/12/11短促，10/20新機上架")</f>
        <v>2024/12/11短促，10/20新機上架</v>
      </c>
      <c r="N1035" s="12" t="str">
        <f ca="1">IFERROR(__xludf.DUMMYFUNCTION("""COMPUTED_VALUE"""),"烤/製麵包機")</f>
        <v>烤/製麵包機</v>
      </c>
      <c r="O1035" s="12" t="str">
        <f ca="1">IFERROR(__xludf.DUMMYFUNCTION("""COMPUTED_VALUE"""),"灰黑")</f>
        <v>灰黑</v>
      </c>
      <c r="P1035" s="12" t="str">
        <f ca="1">IFERROR(__xludf.DUMMYFUNCTION("""COMPUTED_VALUE"""),"110V/60Hz/450W")</f>
        <v>110V/60Hz/450W</v>
      </c>
      <c r="Q1035" s="12" t="str">
        <f ca="1">IFERROR(__xludf.DUMMYFUNCTION("""COMPUTED_VALUE"""),"270x210x310mm")</f>
        <v>270x210x310mm</v>
      </c>
      <c r="R1035" s="12" t="str">
        <f ca="1">IFERROR(__xludf.DUMMYFUNCTION("""COMPUTED_VALUE"""),"中國")</f>
        <v>中國</v>
      </c>
      <c r="S1035" s="12"/>
      <c r="T1035" s="12"/>
      <c r="U1035" s="12" t="str">
        <f ca="1">IFERROR(__xludf.DUMMYFUNCTION("""COMPUTED_VALUE"""),"1年")</f>
        <v>1年</v>
      </c>
      <c r="V1035" s="12" t="str">
        <f ca="1">IFERROR(__xludf.DUMMYFUNCTION("""COMPUTED_VALUE"""),"1年")</f>
        <v>1年</v>
      </c>
      <c r="W1035" s="12"/>
      <c r="X1035" s="12"/>
      <c r="Y1035" s="12"/>
      <c r="Z1035" s="14"/>
      <c r="AA1035" s="15" t="str">
        <f ca="1">IFERROR(__xludf.DUMMYFUNCTION("""COMPUTED_VALUE"""),"*匠心設計厚釜2.5mm內鍋，熱能完美保存*搭載12種精心設計的菜單模式選擇，滿足各式日常生活料理*13小時預約功能*3種烤色選擇")</f>
        <v>*匠心設計厚釜2.5mm內鍋，熱能完美保存*搭載12種精心設計的菜單模式選擇，滿足各式日常生活料理*13小時預約功能*3種烤色選擇</v>
      </c>
    </row>
    <row r="1036" spans="1:27" ht="19.5" customHeight="1">
      <c r="A1036" s="12" t="str">
        <f ca="1">IFERROR(__xludf.DUMMYFUNCTION("""COMPUTED_VALUE"""),"廚房家電")</f>
        <v>廚房家電</v>
      </c>
      <c r="B1036" s="12" t="str">
        <f ca="1">IFERROR(__xludf.DUMMYFUNCTION("""COMPUTED_VALUE"""),"丞閈")</f>
        <v>丞閈</v>
      </c>
      <c r="C1036" s="12" t="str">
        <f ca="1">IFERROR(__xludf.DUMMYFUNCTION("""COMPUTED_VALUE"""),"recolte")</f>
        <v>recolte</v>
      </c>
      <c r="D1036" s="12" t="str">
        <f ca="1">IFERROR(__xludf.DUMMYFUNCTION("""COMPUTED_VALUE"""),"recolte麗克特 Hot Plate 電烤盤RHP-1(紅)")</f>
        <v>recolte麗克特 Hot Plate 電烤盤RHP-1(紅)</v>
      </c>
      <c r="E1036" s="12" t="str">
        <f ca="1">IFERROR(__xludf.DUMMYFUNCTION("""COMPUTED_VALUE"""),"RHP-1(R)")</f>
        <v>RHP-1(R)</v>
      </c>
      <c r="F1036" s="12">
        <f ca="1">IFERROR(__xludf.DUMMYFUNCTION("""COMPUTED_VALUE"""),51097076)</f>
        <v>51097076</v>
      </c>
      <c r="G1036" s="12" t="str">
        <f ca="1">IFERROR(__xludf.DUMMYFUNCTION("""COMPUTED_VALUE"""),"IGEM091R")</f>
        <v>IGEM091R</v>
      </c>
      <c r="H1036" s="12">
        <f ca="1">IFERROR(__xludf.DUMMYFUNCTION("""COMPUTED_VALUE"""),4990)</f>
        <v>4990</v>
      </c>
      <c r="I1036" s="14">
        <f ca="1">IFERROR(__xludf.DUMMYFUNCTION("""COMPUTED_VALUE"""),2980)</f>
        <v>2980</v>
      </c>
      <c r="J1036" s="16">
        <f ca="1">IFERROR(__xludf.DUMMYFUNCTION("""COMPUTED_VALUE"""),45474)</f>
        <v>45474</v>
      </c>
      <c r="K1036" s="12" t="str">
        <f ca="1">IFERROR(__xludf.DUMMYFUNCTION("""COMPUTED_VALUE"""),"短促")</f>
        <v>短促</v>
      </c>
      <c r="L1036" s="12" t="str">
        <f ca="1">IFERROR(__xludf.DUMMYFUNCTION("""COMPUTED_VALUE"""),"上架中")</f>
        <v>上架中</v>
      </c>
      <c r="M1036" s="12" t="str">
        <f ca="1">IFERROR(__xludf.DUMMYFUNCTION("""COMPUTED_VALUE"""),"2024/7/1短促，10/20新機上架")</f>
        <v>2024/7/1短促，10/20新機上架</v>
      </c>
      <c r="N1036" s="12" t="str">
        <f ca="1">IFERROR(__xludf.DUMMYFUNCTION("""COMPUTED_VALUE"""),"電烤盤/爐")</f>
        <v>電烤盤/爐</v>
      </c>
      <c r="O1036" s="12" t="str">
        <f ca="1">IFERROR(__xludf.DUMMYFUNCTION("""COMPUTED_VALUE"""),"紅")</f>
        <v>紅</v>
      </c>
      <c r="P1036" s="12" t="str">
        <f ca="1">IFERROR(__xludf.DUMMYFUNCTION("""COMPUTED_VALUE"""),"110V/60Hz/1300W")</f>
        <v>110V/60Hz/1300W</v>
      </c>
      <c r="Q1036" s="12" t="str">
        <f ca="1">IFERROR(__xludf.DUMMYFUNCTION("""COMPUTED_VALUE"""),"155x445x250mm")</f>
        <v>155x445x250mm</v>
      </c>
      <c r="R1036" s="12" t="str">
        <f ca="1">IFERROR(__xludf.DUMMYFUNCTION("""COMPUTED_VALUE"""),"中國")</f>
        <v>中國</v>
      </c>
      <c r="S1036" s="12"/>
      <c r="T1036" s="12"/>
      <c r="U1036" s="12" t="str">
        <f ca="1">IFERROR(__xludf.DUMMYFUNCTION("""COMPUTED_VALUE"""),"1年")</f>
        <v>1年</v>
      </c>
      <c r="V1036" s="12" t="str">
        <f ca="1">IFERROR(__xludf.DUMMYFUNCTION("""COMPUTED_VALUE"""),"1年")</f>
        <v>1年</v>
      </c>
      <c r="W1036" s="12"/>
      <c r="X1036" s="12"/>
      <c r="Y1036" s="12"/>
      <c r="Z1036" s="14"/>
      <c r="AA1036" s="15" t="str">
        <f ca="1">IFERROR(__xludf.DUMMYFUNCTION("""COMPUTED_VALUE"""),"*隨附燒烤盤、平煎盤，可以運用在各式不同料理*烤盤內嵌加熱器設計，實現和在爐火上相同效果的快速導熱*四段溫控選擇，可自由選擇喜好的溫度 (約80°C~250°C)*主機可拆卸清洗，清潔便利")</f>
        <v>*隨附燒烤盤、平煎盤，可以運用在各式不同料理*烤盤內嵌加熱器設計，實現和在爐火上相同效果的快速導熱*四段溫控選擇，可自由選擇喜好的溫度 (約80°C~250°C)*主機可拆卸清洗，清潔便利</v>
      </c>
    </row>
    <row r="1037" spans="1:27" ht="19.5" customHeight="1">
      <c r="A1037" s="12" t="str">
        <f ca="1">IFERROR(__xludf.DUMMYFUNCTION("""COMPUTED_VALUE"""),"廚房家電")</f>
        <v>廚房家電</v>
      </c>
      <c r="B1037" s="12" t="str">
        <f ca="1">IFERROR(__xludf.DUMMYFUNCTION("""COMPUTED_VALUE"""),"丞閈")</f>
        <v>丞閈</v>
      </c>
      <c r="C1037" s="12" t="str">
        <f ca="1">IFERROR(__xludf.DUMMYFUNCTION("""COMPUTED_VALUE"""),"recolte")</f>
        <v>recolte</v>
      </c>
      <c r="D1037" s="12" t="str">
        <f ca="1">IFERROR(__xludf.DUMMYFUNCTION("""COMPUTED_VALUE"""),"recolte麗克特 Milk Tea 奶茶機RMT-1(白)")</f>
        <v>recolte麗克特 Milk Tea 奶茶機RMT-1(白)</v>
      </c>
      <c r="E1037" s="12" t="str">
        <f ca="1">IFERROR(__xludf.DUMMYFUNCTION("""COMPUTED_VALUE"""),"RMT-1(W)")</f>
        <v>RMT-1(W)</v>
      </c>
      <c r="F1037" s="12">
        <f ca="1">IFERROR(__xludf.DUMMYFUNCTION("""COMPUTED_VALUE"""),51097078)</f>
        <v>51097078</v>
      </c>
      <c r="G1037" s="12" t="str">
        <f ca="1">IFERROR(__xludf.DUMMYFUNCTION("""COMPUTED_VALUE"""),"IGEM091T")</f>
        <v>IGEM091T</v>
      </c>
      <c r="H1037" s="12">
        <f ca="1">IFERROR(__xludf.DUMMYFUNCTION("""COMPUTED_VALUE"""),2690)</f>
        <v>2690</v>
      </c>
      <c r="I1037" s="14">
        <f ca="1">IFERROR(__xludf.DUMMYFUNCTION("""COMPUTED_VALUE"""),1880)</f>
        <v>1880</v>
      </c>
      <c r="J1037" s="16">
        <f ca="1">IFERROR(__xludf.DUMMYFUNCTION("""COMPUTED_VALUE"""),45275)</f>
        <v>45275</v>
      </c>
      <c r="K1037" s="12" t="str">
        <f ca="1">IFERROR(__xludf.DUMMYFUNCTION("""COMPUTED_VALUE"""),"短促")</f>
        <v>短促</v>
      </c>
      <c r="L1037" s="12" t="str">
        <f ca="1">IFERROR(__xludf.DUMMYFUNCTION("""COMPUTED_VALUE"""),"上架中")</f>
        <v>上架中</v>
      </c>
      <c r="M1037" s="12" t="str">
        <f ca="1">IFERROR(__xludf.DUMMYFUNCTION("""COMPUTED_VALUE"""),"12/15短促，10/20新機上架")</f>
        <v>12/15短促，10/20新機上架</v>
      </c>
      <c r="N1037" s="12" t="str">
        <f ca="1">IFERROR(__xludf.DUMMYFUNCTION("""COMPUTED_VALUE"""),"果汁機/調理機/豆漿機")</f>
        <v>果汁機/調理機/豆漿機</v>
      </c>
      <c r="O1037" s="12" t="str">
        <f ca="1">IFERROR(__xludf.DUMMYFUNCTION("""COMPUTED_VALUE"""),"白")</f>
        <v>白</v>
      </c>
      <c r="P1037" s="12" t="str">
        <f ca="1">IFERROR(__xludf.DUMMYFUNCTION("""COMPUTED_VALUE"""),"110V/60Hz/450W")</f>
        <v>110V/60Hz/450W</v>
      </c>
      <c r="Q1037" s="12" t="str">
        <f ca="1">IFERROR(__xludf.DUMMYFUNCTION("""COMPUTED_VALUE"""),"185x95x95mm")</f>
        <v>185x95x95mm</v>
      </c>
      <c r="R1037" s="12" t="str">
        <f ca="1">IFERROR(__xludf.DUMMYFUNCTION("""COMPUTED_VALUE"""),"中國")</f>
        <v>中國</v>
      </c>
      <c r="S1037" s="12"/>
      <c r="T1037" s="12"/>
      <c r="U1037" s="12" t="str">
        <f ca="1">IFERROR(__xludf.DUMMYFUNCTION("""COMPUTED_VALUE"""),"1年")</f>
        <v>1年</v>
      </c>
      <c r="V1037" s="12" t="str">
        <f ca="1">IFERROR(__xludf.DUMMYFUNCTION("""COMPUTED_VALUE"""),"1年")</f>
        <v>1年</v>
      </c>
      <c r="W1037" s="12"/>
      <c r="X1037" s="12"/>
      <c r="Y1037" s="12"/>
      <c r="Z1037" s="14"/>
      <c r="AA1037" s="15" t="str">
        <f ca="1">IFERROR(__xludf.DUMMYFUNCTION("""COMPUTED_VALUE"""),"*簡單又美味的正宗現煮鮮奶茶，一杯不到20元*奶茶/茶/奶泡/即溶咖啡/攪拌等五種模式選擇，輕鬆享用各種飲品*輕鬆做出蓬鬆細口感的奶泡*日式簡約，輕巧方便收納攜帶，隨時隨地可輕鬆使用!")</f>
        <v>*簡單又美味的正宗現煮鮮奶茶，一杯不到20元*奶茶/茶/奶泡/即溶咖啡/攪拌等五種模式選擇，輕鬆享用各種飲品*輕鬆做出蓬鬆細口感的奶泡*日式簡約，輕巧方便收納攜帶，隨時隨地可輕鬆使用!</v>
      </c>
    </row>
    <row r="1038" spans="1:27" ht="19.5" customHeight="1">
      <c r="A1038" s="12" t="str">
        <f ca="1">IFERROR(__xludf.DUMMYFUNCTION("""COMPUTED_VALUE"""),"廚房家電")</f>
        <v>廚房家電</v>
      </c>
      <c r="B1038" s="12" t="str">
        <f ca="1">IFERROR(__xludf.DUMMYFUNCTION("""COMPUTED_VALUE"""),"丞閈")</f>
        <v>丞閈</v>
      </c>
      <c r="C1038" s="12" t="str">
        <f ca="1">IFERROR(__xludf.DUMMYFUNCTION("""COMPUTED_VALUE"""),"recolte")</f>
        <v>recolte</v>
      </c>
      <c r="D1038" s="12" t="str">
        <f ca="1">IFERROR(__xludf.DUMMYFUNCTION("""COMPUTED_VALUE"""),"recolte麗克特 Bonne 萬用調理機RCP-3(白)")</f>
        <v>recolte麗克特 Bonne 萬用調理機RCP-3(白)</v>
      </c>
      <c r="E1038" s="12" t="str">
        <f ca="1">IFERROR(__xludf.DUMMYFUNCTION("""COMPUTED_VALUE"""),"RCP-3(W)")</f>
        <v>RCP-3(W)</v>
      </c>
      <c r="F1038" s="12">
        <f ca="1">IFERROR(__xludf.DUMMYFUNCTION("""COMPUTED_VALUE"""),51097079)</f>
        <v>51097079</v>
      </c>
      <c r="G1038" s="12" t="str">
        <f ca="1">IFERROR(__xludf.DUMMYFUNCTION("""COMPUTED_VALUE"""),"IGEM091U")</f>
        <v>IGEM091U</v>
      </c>
      <c r="H1038" s="12">
        <f ca="1">IFERROR(__xludf.DUMMYFUNCTION("""COMPUTED_VALUE"""),2690)</f>
        <v>2690</v>
      </c>
      <c r="I1038" s="14">
        <f ca="1">IFERROR(__xludf.DUMMYFUNCTION("""COMPUTED_VALUE"""),2180)</f>
        <v>2180</v>
      </c>
      <c r="J1038" s="16">
        <f ca="1">IFERROR(__xludf.DUMMYFUNCTION("""COMPUTED_VALUE"""),45240)</f>
        <v>45240</v>
      </c>
      <c r="K1038" s="12" t="str">
        <f ca="1">IFERROR(__xludf.DUMMYFUNCTION("""COMPUTED_VALUE"""),"新機上架")</f>
        <v>新機上架</v>
      </c>
      <c r="L1038" s="12" t="str">
        <f ca="1">IFERROR(__xludf.DUMMYFUNCTION("""COMPUTED_VALUE"""),"上架中")</f>
        <v>上架中</v>
      </c>
      <c r="M1038" s="12" t="str">
        <f ca="1">IFERROR(__xludf.DUMMYFUNCTION("""COMPUTED_VALUE"""),"11/10新機上架")</f>
        <v>11/10新機上架</v>
      </c>
      <c r="N1038" s="12" t="str">
        <f ca="1">IFERROR(__xludf.DUMMYFUNCTION("""COMPUTED_VALUE"""),"果汁機/調理機/豆漿機")</f>
        <v>果汁機/調理機/豆漿機</v>
      </c>
      <c r="O1038" s="12" t="str">
        <f ca="1">IFERROR(__xludf.DUMMYFUNCTION("""COMPUTED_VALUE"""),"白")</f>
        <v>白</v>
      </c>
      <c r="P1038" s="12" t="str">
        <f ca="1">IFERROR(__xludf.DUMMYFUNCTION("""COMPUTED_VALUE"""),"110V/60Hz/200W")</f>
        <v>110V/60Hz/200W</v>
      </c>
      <c r="Q1038" s="12" t="str">
        <f ca="1">IFERROR(__xludf.DUMMYFUNCTION("""COMPUTED_VALUE"""),"234x124x177mm")</f>
        <v>234x124x177mm</v>
      </c>
      <c r="R1038" s="12" t="str">
        <f ca="1">IFERROR(__xludf.DUMMYFUNCTION("""COMPUTED_VALUE"""),"中國")</f>
        <v>中國</v>
      </c>
      <c r="S1038" s="12"/>
      <c r="T1038" s="12"/>
      <c r="U1038" s="12" t="str">
        <f ca="1">IFERROR(__xludf.DUMMYFUNCTION("""COMPUTED_VALUE"""),"1年")</f>
        <v>1年</v>
      </c>
      <c r="V1038" s="12" t="str">
        <f ca="1">IFERROR(__xludf.DUMMYFUNCTION("""COMPUTED_VALUE"""),"1年")</f>
        <v>1年</v>
      </c>
      <c r="W1038" s="12"/>
      <c r="X1038" s="12"/>
      <c r="Y1038" s="12"/>
      <c r="Z1038" s="14"/>
      <c r="AA1038" s="15" t="str">
        <f ca="1">IFERROR(__xludf.DUMMYFUNCTION("""COMPUTED_VALUE"""),"*1機7役，切碎、攪拌、剁碎、研磨、磨泥、打發、碎冰等一機完成!*隨附四刃刀頭、磨泥盤、奶油攪拌盤三種配件*調理杯採用BPA FreeTritan材質，安全耐用無毒*輕鬆快速製作各式軟性食品、副食品、刨冰或冰沙")</f>
        <v>*1機7役，切碎、攪拌、剁碎、研磨、磨泥、打發、碎冰等一機完成!*隨附四刃刀頭、磨泥盤、奶油攪拌盤三種配件*調理杯採用BPA FreeTritan材質，安全耐用無毒*輕鬆快速製作各式軟性食品、副食品、刨冰或冰沙</v>
      </c>
    </row>
    <row r="1039" spans="1:27" ht="19.5" customHeight="1">
      <c r="A1039" s="12" t="str">
        <f ca="1">IFERROR(__xludf.DUMMYFUNCTION("""COMPUTED_VALUE"""),"廚房家電")</f>
        <v>廚房家電</v>
      </c>
      <c r="B1039" s="12" t="str">
        <f ca="1">IFERROR(__xludf.DUMMYFUNCTION("""COMPUTED_VALUE"""),"丞閈")</f>
        <v>丞閈</v>
      </c>
      <c r="C1039" s="12" t="str">
        <f ca="1">IFERROR(__xludf.DUMMYFUNCTION("""COMPUTED_VALUE"""),"recolte")</f>
        <v>recolte</v>
      </c>
      <c r="D1039" s="12" t="str">
        <f ca="1">IFERROR(__xludf.DUMMYFUNCTION("""COMPUTED_VALUE"""),"recolte麗克特 Ciel果汁機RSB-4(白)")</f>
        <v>recolte麗克特 Ciel果汁機RSB-4(白)</v>
      </c>
      <c r="E1039" s="12" t="str">
        <f ca="1">IFERROR(__xludf.DUMMYFUNCTION("""COMPUTED_VALUE"""),"RSB-4(W)")</f>
        <v>RSB-4(W)</v>
      </c>
      <c r="F1039" s="12">
        <f ca="1">IFERROR(__xludf.DUMMYFUNCTION("""COMPUTED_VALUE"""),51097080)</f>
        <v>51097080</v>
      </c>
      <c r="G1039" s="12" t="str">
        <f ca="1">IFERROR(__xludf.DUMMYFUNCTION("""COMPUTED_VALUE"""),"IGEM091V")</f>
        <v>IGEM091V</v>
      </c>
      <c r="H1039" s="12">
        <f ca="1">IFERROR(__xludf.DUMMYFUNCTION("""COMPUTED_VALUE"""),1990)</f>
        <v>1990</v>
      </c>
      <c r="I1039" s="14">
        <f ca="1">IFERROR(__xludf.DUMMYFUNCTION("""COMPUTED_VALUE"""),1480)</f>
        <v>1480</v>
      </c>
      <c r="J1039" s="16">
        <f ca="1">IFERROR(__xludf.DUMMYFUNCTION("""COMPUTED_VALUE"""),45601)</f>
        <v>45601</v>
      </c>
      <c r="K1039" s="12" t="str">
        <f ca="1">IFERROR(__xludf.DUMMYFUNCTION("""COMPUTED_VALUE"""),"缺貨")</f>
        <v>缺貨</v>
      </c>
      <c r="L1039" s="12" t="str">
        <f ca="1">IFERROR(__xludf.DUMMYFUNCTION("""COMPUTED_VALUE"""),"缺貨")</f>
        <v>缺貨</v>
      </c>
      <c r="M1039" s="12" t="str">
        <f ca="1">IFERROR(__xludf.DUMMYFUNCTION("""COMPUTED_VALUE"""),"2024/11/5缺貨，11/10新機上架")</f>
        <v>2024/11/5缺貨，11/10新機上架</v>
      </c>
      <c r="N1039" s="12" t="str">
        <f ca="1">IFERROR(__xludf.DUMMYFUNCTION("""COMPUTED_VALUE"""),"果汁機/調理機/豆漿機")</f>
        <v>果汁機/調理機/豆漿機</v>
      </c>
      <c r="O1039" s="12" t="str">
        <f ca="1">IFERROR(__xludf.DUMMYFUNCTION("""COMPUTED_VALUE"""),"白")</f>
        <v>白</v>
      </c>
      <c r="P1039" s="12" t="str">
        <f ca="1">IFERROR(__xludf.DUMMYFUNCTION("""COMPUTED_VALUE"""),"110V/60Hz/170W")</f>
        <v>110V/60Hz/170W</v>
      </c>
      <c r="Q1039" s="12" t="str">
        <f ca="1">IFERROR(__xludf.DUMMYFUNCTION("""COMPUTED_VALUE"""),"290x85x85mm")</f>
        <v>290x85x85mm</v>
      </c>
      <c r="R1039" s="12" t="str">
        <f ca="1">IFERROR(__xludf.DUMMYFUNCTION("""COMPUTED_VALUE"""),"中國")</f>
        <v>中國</v>
      </c>
      <c r="S1039" s="12"/>
      <c r="T1039" s="12"/>
      <c r="U1039" s="12" t="str">
        <f ca="1">IFERROR(__xludf.DUMMYFUNCTION("""COMPUTED_VALUE"""),"1年")</f>
        <v>1年</v>
      </c>
      <c r="V1039" s="12" t="str">
        <f ca="1">IFERROR(__xludf.DUMMYFUNCTION("""COMPUTED_VALUE"""),"1年")</f>
        <v>1年</v>
      </c>
      <c r="W1039" s="12"/>
      <c r="X1039" s="12"/>
      <c r="Y1039" s="12"/>
      <c r="Z1039" s="14"/>
      <c r="AA1039" s="15" t="str">
        <f ca="1">IFERROR(__xludf.DUMMYFUNCTION("""COMPUTED_VALUE"""),"*二層結構設計，防止結露強化保冷效果，清涼帶著走*四枚刃鋒利刀頭，可輕易調理各式食材，完美調和*打造獨一無二的專屬果汁杯*果汁杯內側錐柱設計，攪拌更均勻")</f>
        <v>*二層結構設計，防止結露強化保冷效果，清涼帶著走*四枚刃鋒利刀頭，可輕易調理各式食材，完美調和*打造獨一無二的專屬果汁杯*果汁杯內側錐柱設計，攪拌更均勻</v>
      </c>
    </row>
    <row r="1040" spans="1:27" ht="19.5" customHeight="1">
      <c r="A1040" s="12" t="str">
        <f ca="1">IFERROR(__xludf.DUMMYFUNCTION("""COMPUTED_VALUE"""),"廚房家電")</f>
        <v>廚房家電</v>
      </c>
      <c r="B1040" s="12" t="str">
        <f ca="1">IFERROR(__xludf.DUMMYFUNCTION("""COMPUTED_VALUE"""),"丞閈")</f>
        <v>丞閈</v>
      </c>
      <c r="C1040" s="12" t="str">
        <f ca="1">IFERROR(__xludf.DUMMYFUNCTION("""COMPUTED_VALUE"""),"recolte")</f>
        <v>recolte</v>
      </c>
      <c r="D1040" s="12" t="str">
        <f ca="1">IFERROR(__xludf.DUMMYFUNCTION("""COMPUTED_VALUE"""),"recolte麗克特 Air Oven 氣炸鍋RAO-1(紅)")</f>
        <v>recolte麗克特 Air Oven 氣炸鍋RAO-1(紅)</v>
      </c>
      <c r="E1040" s="12" t="str">
        <f ca="1">IFERROR(__xludf.DUMMYFUNCTION("""COMPUTED_VALUE"""),"RAO-1(R)")</f>
        <v>RAO-1(R)</v>
      </c>
      <c r="F1040" s="12">
        <f ca="1">IFERROR(__xludf.DUMMYFUNCTION("""COMPUTED_VALUE"""),51097081)</f>
        <v>51097081</v>
      </c>
      <c r="G1040" s="12" t="str">
        <f ca="1">IFERROR(__xludf.DUMMYFUNCTION("""COMPUTED_VALUE"""),"IGEM091W")</f>
        <v>IGEM091W</v>
      </c>
      <c r="H1040" s="12">
        <f ca="1">IFERROR(__xludf.DUMMYFUNCTION("""COMPUTED_VALUE"""),4990)</f>
        <v>4990</v>
      </c>
      <c r="I1040" s="14">
        <f ca="1">IFERROR(__xludf.DUMMYFUNCTION("""COMPUTED_VALUE"""),2180)</f>
        <v>2180</v>
      </c>
      <c r="J1040" s="16">
        <f ca="1">IFERROR(__xludf.DUMMYFUNCTION("""COMPUTED_VALUE"""),45566)</f>
        <v>45566</v>
      </c>
      <c r="K1040" s="12" t="str">
        <f ca="1">IFERROR(__xludf.DUMMYFUNCTION("""COMPUTED_VALUE"""),"短促")</f>
        <v>短促</v>
      </c>
      <c r="L1040" s="12" t="str">
        <f ca="1">IFERROR(__xludf.DUMMYFUNCTION("""COMPUTED_VALUE"""),"上架中")</f>
        <v>上架中</v>
      </c>
      <c r="M1040" s="12" t="str">
        <f ca="1">IFERROR(__xludf.DUMMYFUNCTION("""COMPUTED_VALUE"""),"2024/10/1短促，2024/7/1短促，2024/3/19到貨，2/5缺貨，11/10新機上架")</f>
        <v>2024/10/1短促，2024/7/1短促，2024/3/19到貨，2/5缺貨，11/10新機上架</v>
      </c>
      <c r="N1040" s="12" t="str">
        <f ca="1">IFERROR(__xludf.DUMMYFUNCTION("""COMPUTED_VALUE"""),"氣炸鍋")</f>
        <v>氣炸鍋</v>
      </c>
      <c r="O1040" s="12" t="str">
        <f ca="1">IFERROR(__xludf.DUMMYFUNCTION("""COMPUTED_VALUE"""),"紅")</f>
        <v>紅</v>
      </c>
      <c r="P1040" s="12" t="str">
        <f ca="1">IFERROR(__xludf.DUMMYFUNCTION("""COMPUTED_VALUE"""),"110V/60Hz/1200W")</f>
        <v>110V/60Hz/1200W</v>
      </c>
      <c r="Q1040" s="12" t="str">
        <f ca="1">IFERROR(__xludf.DUMMYFUNCTION("""COMPUTED_VALUE"""),"266x212x270mm")</f>
        <v>266x212x270mm</v>
      </c>
      <c r="R1040" s="12" t="str">
        <f ca="1">IFERROR(__xludf.DUMMYFUNCTION("""COMPUTED_VALUE"""),"中國")</f>
        <v>中國</v>
      </c>
      <c r="S1040" s="12"/>
      <c r="T1040" s="12"/>
      <c r="U1040" s="12" t="str">
        <f ca="1">IFERROR(__xludf.DUMMYFUNCTION("""COMPUTED_VALUE"""),"1年")</f>
        <v>1年</v>
      </c>
      <c r="V1040" s="12" t="str">
        <f ca="1">IFERROR(__xludf.DUMMYFUNCTION("""COMPUTED_VALUE"""),"1年")</f>
        <v>1年</v>
      </c>
      <c r="W1040" s="12"/>
      <c r="X1040" s="12"/>
      <c r="Y1040" s="12"/>
      <c r="Z1040" s="14"/>
      <c r="AA1040" s="15" t="str">
        <f ca="1">IFERROR(__xludf.DUMMYFUNCTION("""COMPUTED_VALUE"""),"*可輕鬆製作各種菜餚，包括炸、燒烤、烘烤和重新加熱食材*2.8公升大容量外鍋(MaxLine 2.4公升)*80℃至200℃多種溫度選擇*60分鐘定時功能")</f>
        <v>*可輕鬆製作各種菜餚，包括炸、燒烤、烘烤和重新加熱食材*2.8公升大容量外鍋(MaxLine 2.4公升)*80℃至200℃多種溫度選擇*60分鐘定時功能</v>
      </c>
    </row>
    <row r="1041" spans="1:27" ht="19.5" customHeight="1">
      <c r="A1041" s="12" t="str">
        <f ca="1">IFERROR(__xludf.DUMMYFUNCTION("""COMPUTED_VALUE"""),"廚房家電")</f>
        <v>廚房家電</v>
      </c>
      <c r="B1041" s="12" t="str">
        <f ca="1">IFERROR(__xludf.DUMMYFUNCTION("""COMPUTED_VALUE"""),"丞閈")</f>
        <v>丞閈</v>
      </c>
      <c r="C1041" s="12" t="str">
        <f ca="1">IFERROR(__xludf.DUMMYFUNCTION("""COMPUTED_VALUE"""),"recolte")</f>
        <v>recolte</v>
      </c>
      <c r="D1041" s="12" t="str">
        <f ca="1">IFERROR(__xludf.DUMMYFUNCTION("""COMPUTED_VALUE"""),"recolte麗克特 Combo 食物調理機RCP-6(白)")</f>
        <v>recolte麗克特 Combo 食物調理機RCP-6(白)</v>
      </c>
      <c r="E1041" s="12" t="str">
        <f ca="1">IFERROR(__xludf.DUMMYFUNCTION("""COMPUTED_VALUE"""),"RCP-6(W)")</f>
        <v>RCP-6(W)</v>
      </c>
      <c r="F1041" s="12">
        <f ca="1">IFERROR(__xludf.DUMMYFUNCTION("""COMPUTED_VALUE"""),51097084)</f>
        <v>51097084</v>
      </c>
      <c r="G1041" s="12" t="str">
        <f ca="1">IFERROR(__xludf.DUMMYFUNCTION("""COMPUTED_VALUE"""),"IGEM091Z")</f>
        <v>IGEM091Z</v>
      </c>
      <c r="H1041" s="12">
        <f ca="1">IFERROR(__xludf.DUMMYFUNCTION("""COMPUTED_VALUE"""),4990)</f>
        <v>4990</v>
      </c>
      <c r="I1041" s="14">
        <f ca="1">IFERROR(__xludf.DUMMYFUNCTION("""COMPUTED_VALUE"""),3180)</f>
        <v>3180</v>
      </c>
      <c r="J1041" s="16">
        <f ca="1">IFERROR(__xludf.DUMMYFUNCTION("""COMPUTED_VALUE"""),45474)</f>
        <v>45474</v>
      </c>
      <c r="K1041" s="12" t="str">
        <f ca="1">IFERROR(__xludf.DUMMYFUNCTION("""COMPUTED_VALUE"""),"短促")</f>
        <v>短促</v>
      </c>
      <c r="L1041" s="12" t="str">
        <f ca="1">IFERROR(__xludf.DUMMYFUNCTION("""COMPUTED_VALUE"""),"上架中")</f>
        <v>上架中</v>
      </c>
      <c r="M1041" s="12" t="str">
        <f ca="1">IFERROR(__xludf.DUMMYFUNCTION("""COMPUTED_VALUE"""),"2024/7/1短促，2024/3/19到貨，2/19缺貨，11/10新機上架")</f>
        <v>2024/7/1短促，2024/3/19到貨，2/19缺貨，11/10新機上架</v>
      </c>
      <c r="N1041" s="12" t="str">
        <f ca="1">IFERROR(__xludf.DUMMYFUNCTION("""COMPUTED_VALUE"""),"果汁機/調理機/豆漿機")</f>
        <v>果汁機/調理機/豆漿機</v>
      </c>
      <c r="O1041" s="12" t="str">
        <f ca="1">IFERROR(__xludf.DUMMYFUNCTION("""COMPUTED_VALUE"""),"白")</f>
        <v>白</v>
      </c>
      <c r="P1041" s="12" t="str">
        <f ca="1">IFERROR(__xludf.DUMMYFUNCTION("""COMPUTED_VALUE"""),"110V/60Hz/300W")</f>
        <v>110V/60Hz/300W</v>
      </c>
      <c r="Q1041" s="12" t="str">
        <f ca="1">IFERROR(__xludf.DUMMYFUNCTION("""COMPUTED_VALUE"""),"235x170x170mm")</f>
        <v>235x170x170mm</v>
      </c>
      <c r="R1041" s="12" t="str">
        <f ca="1">IFERROR(__xludf.DUMMYFUNCTION("""COMPUTED_VALUE"""),"中國")</f>
        <v>中國</v>
      </c>
      <c r="S1041" s="12"/>
      <c r="T1041" s="12"/>
      <c r="U1041" s="12" t="str">
        <f ca="1">IFERROR(__xludf.DUMMYFUNCTION("""COMPUTED_VALUE"""),"1年")</f>
        <v>1年</v>
      </c>
      <c r="V1041" s="12" t="str">
        <f ca="1">IFERROR(__xludf.DUMMYFUNCTION("""COMPUTED_VALUE"""),"1年")</f>
        <v>1年</v>
      </c>
      <c r="W1041" s="12"/>
      <c r="X1041" s="12"/>
      <c r="Y1041" s="12"/>
      <c r="Z1041" s="14"/>
      <c r="AA1041" s="15" t="str">
        <f ca="1">IFERROR(__xludf.DUMMYFUNCTION("""COMPUTED_VALUE"""),"*1機7役，細切、攪拌、碎冰、研磨、切碎、打發、揉捏等一機完成*隨附四刃刀頭配件、打發配件、揉捏配件三種配件*隨附Tritan調理壺及不鏽鋼調理壺*不鏽鋼調理壺，清潔便利不易染色染味")</f>
        <v>*1機7役，細切、攪拌、碎冰、研磨、切碎、打發、揉捏等一機完成*隨附四刃刀頭配件、打發配件、揉捏配件三種配件*隨附Tritan調理壺及不鏽鋼調理壺*不鏽鋼調理壺，清潔便利不易染色染味</v>
      </c>
    </row>
    <row r="1042" spans="1:27" ht="19.5" customHeight="1">
      <c r="A1042" s="12" t="str">
        <f ca="1">IFERROR(__xludf.DUMMYFUNCTION("""COMPUTED_VALUE"""),"廚房家電")</f>
        <v>廚房家電</v>
      </c>
      <c r="B1042" s="12" t="str">
        <f ca="1">IFERROR(__xludf.DUMMYFUNCTION("""COMPUTED_VALUE"""),"丞閈")</f>
        <v>丞閈</v>
      </c>
      <c r="C1042" s="12" t="str">
        <f ca="1">IFERROR(__xludf.DUMMYFUNCTION("""COMPUTED_VALUE"""),"recolte")</f>
        <v>recolte</v>
      </c>
      <c r="D1042" s="12" t="str">
        <f ca="1">IFERROR(__xludf.DUMMYFUNCTION("""COMPUTED_VALUE"""),"recolte麗克特 Auto Cooking Pot豆漿機RSY-2(白)")</f>
        <v>recolte麗克特 Auto Cooking Pot豆漿機RSY-2(白)</v>
      </c>
      <c r="E1042" s="12" t="str">
        <f ca="1">IFERROR(__xludf.DUMMYFUNCTION("""COMPUTED_VALUE"""),"RSY-2(W)")</f>
        <v>RSY-2(W)</v>
      </c>
      <c r="F1042" s="12">
        <f ca="1">IFERROR(__xludf.DUMMYFUNCTION("""COMPUTED_VALUE"""),51097085)</f>
        <v>51097085</v>
      </c>
      <c r="G1042" s="12" t="str">
        <f ca="1">IFERROR(__xludf.DUMMYFUNCTION("""COMPUTED_VALUE"""),"IGEM0921")</f>
        <v>IGEM0921</v>
      </c>
      <c r="H1042" s="12">
        <f ca="1">IFERROR(__xludf.DUMMYFUNCTION("""COMPUTED_VALUE"""),4990)</f>
        <v>4990</v>
      </c>
      <c r="I1042" s="14">
        <f ca="1">IFERROR(__xludf.DUMMYFUNCTION("""COMPUTED_VALUE"""),2980)</f>
        <v>2980</v>
      </c>
      <c r="J1042" s="16">
        <f ca="1">IFERROR(__xludf.DUMMYFUNCTION("""COMPUTED_VALUE"""),45474)</f>
        <v>45474</v>
      </c>
      <c r="K1042" s="12" t="str">
        <f ca="1">IFERROR(__xludf.DUMMYFUNCTION("""COMPUTED_VALUE"""),"短促")</f>
        <v>短促</v>
      </c>
      <c r="L1042" s="12" t="str">
        <f ca="1">IFERROR(__xludf.DUMMYFUNCTION("""COMPUTED_VALUE"""),"上架中")</f>
        <v>上架中</v>
      </c>
      <c r="M1042" s="12" t="str">
        <f ca="1">IFERROR(__xludf.DUMMYFUNCTION("""COMPUTED_VALUE"""),"2024/7/1短促，12/15短促，11/10新機上架")</f>
        <v>2024/7/1短促，12/15短促，11/10新機上架</v>
      </c>
      <c r="N1042" s="12" t="str">
        <f ca="1">IFERROR(__xludf.DUMMYFUNCTION("""COMPUTED_VALUE"""),"果汁機/調理機/豆漿機")</f>
        <v>果汁機/調理機/豆漿機</v>
      </c>
      <c r="O1042" s="12" t="str">
        <f ca="1">IFERROR(__xludf.DUMMYFUNCTION("""COMPUTED_VALUE"""),"白")</f>
        <v>白</v>
      </c>
      <c r="P1042" s="12" t="str">
        <f ca="1">IFERROR(__xludf.DUMMYFUNCTION("""COMPUTED_VALUE"""),"110V/60Hz/600W")</f>
        <v>110V/60Hz/600W</v>
      </c>
      <c r="Q1042" s="12" t="str">
        <f ca="1">IFERROR(__xludf.DUMMYFUNCTION("""COMPUTED_VALUE"""),"233x165x120mm")</f>
        <v>233x165x120mm</v>
      </c>
      <c r="R1042" s="12" t="str">
        <f ca="1">IFERROR(__xludf.DUMMYFUNCTION("""COMPUTED_VALUE"""),"中國")</f>
        <v>中國</v>
      </c>
      <c r="S1042" s="12"/>
      <c r="T1042" s="12"/>
      <c r="U1042" s="12" t="str">
        <f ca="1">IFERROR(__xludf.DUMMYFUNCTION("""COMPUTED_VALUE"""),"1年")</f>
        <v>1年</v>
      </c>
      <c r="V1042" s="12" t="str">
        <f ca="1">IFERROR(__xludf.DUMMYFUNCTION("""COMPUTED_VALUE"""),"1年")</f>
        <v>1年</v>
      </c>
      <c r="W1042" s="12"/>
      <c r="X1042" s="12"/>
      <c r="Y1042" s="12"/>
      <c r="Z1042" s="14"/>
      <c r="AA1042" s="15" t="str">
        <f ca="1">IFERROR(__xludf.DUMMYFUNCTION("""COMPUTED_VALUE"""),"*冷熱雙打，豆漿、濃湯、醬汁、湯品、粥、果汁、冰沙、副食品等，各種私房飲品一鍵完成*4枚刃精鋼立體刀頭，高速破壁全方位攪打*600W環狀均勻加熱，鮮喝鮮煮，滑順香濃*304不鏽鋼內膽，安全無異味")</f>
        <v>*冷熱雙打，豆漿、濃湯、醬汁、湯品、粥、果汁、冰沙、副食品等，各種私房飲品一鍵完成*4枚刃精鋼立體刀頭，高速破壁全方位攪打*600W環狀均勻加熱，鮮喝鮮煮，滑順香濃*304不鏽鋼內膽，安全無異味</v>
      </c>
    </row>
    <row r="1043" spans="1:27" ht="19.5" customHeight="1">
      <c r="A1043" s="12" t="str">
        <f ca="1">IFERROR(__xludf.DUMMYFUNCTION("""COMPUTED_VALUE"""),"廚房家電")</f>
        <v>廚房家電</v>
      </c>
      <c r="B1043" s="12" t="str">
        <f ca="1">IFERROR(__xludf.DUMMYFUNCTION("""COMPUTED_VALUE"""),"丞閈")</f>
        <v>丞閈</v>
      </c>
      <c r="C1043" s="12" t="str">
        <f ca="1">IFERROR(__xludf.DUMMYFUNCTION("""COMPUTED_VALUE"""),"recolte")</f>
        <v>recolte</v>
      </c>
      <c r="D1043" s="12" t="str">
        <f ca="1">IFERROR(__xludf.DUMMYFUNCTION("""COMPUTED_VALUE"""),"recolte麗克特 Auto Cooking Pot豆漿機RSY-2(紅)")</f>
        <v>recolte麗克特 Auto Cooking Pot豆漿機RSY-2(紅)</v>
      </c>
      <c r="E1043" s="12" t="str">
        <f ca="1">IFERROR(__xludf.DUMMYFUNCTION("""COMPUTED_VALUE"""),"RSY-2(R)")</f>
        <v>RSY-2(R)</v>
      </c>
      <c r="F1043" s="12">
        <f ca="1">IFERROR(__xludf.DUMMYFUNCTION("""COMPUTED_VALUE"""),51097086)</f>
        <v>51097086</v>
      </c>
      <c r="G1043" s="12" t="str">
        <f ca="1">IFERROR(__xludf.DUMMYFUNCTION("""COMPUTED_VALUE"""),"IGEM0922")</f>
        <v>IGEM0922</v>
      </c>
      <c r="H1043" s="12">
        <f ca="1">IFERROR(__xludf.DUMMYFUNCTION("""COMPUTED_VALUE"""),4990)</f>
        <v>4990</v>
      </c>
      <c r="I1043" s="14">
        <f ca="1">IFERROR(__xludf.DUMMYFUNCTION("""COMPUTED_VALUE"""),2980)</f>
        <v>2980</v>
      </c>
      <c r="J1043" s="16">
        <f ca="1">IFERROR(__xludf.DUMMYFUNCTION("""COMPUTED_VALUE"""),45474)</f>
        <v>45474</v>
      </c>
      <c r="K1043" s="12" t="str">
        <f ca="1">IFERROR(__xludf.DUMMYFUNCTION("""COMPUTED_VALUE"""),"短促")</f>
        <v>短促</v>
      </c>
      <c r="L1043" s="12" t="str">
        <f ca="1">IFERROR(__xludf.DUMMYFUNCTION("""COMPUTED_VALUE"""),"上架中")</f>
        <v>上架中</v>
      </c>
      <c r="M1043" s="12" t="str">
        <f ca="1">IFERROR(__xludf.DUMMYFUNCTION("""COMPUTED_VALUE"""),"2024/7/1短促，12/15短促，11/10新機上架")</f>
        <v>2024/7/1短促，12/15短促，11/10新機上架</v>
      </c>
      <c r="N1043" s="12" t="str">
        <f ca="1">IFERROR(__xludf.DUMMYFUNCTION("""COMPUTED_VALUE"""),"果汁機/調理機/豆漿機")</f>
        <v>果汁機/調理機/豆漿機</v>
      </c>
      <c r="O1043" s="12" t="str">
        <f ca="1">IFERROR(__xludf.DUMMYFUNCTION("""COMPUTED_VALUE"""),"紅")</f>
        <v>紅</v>
      </c>
      <c r="P1043" s="12" t="str">
        <f ca="1">IFERROR(__xludf.DUMMYFUNCTION("""COMPUTED_VALUE"""),"110V/60Hz/600W")</f>
        <v>110V/60Hz/600W</v>
      </c>
      <c r="Q1043" s="12" t="str">
        <f ca="1">IFERROR(__xludf.DUMMYFUNCTION("""COMPUTED_VALUE"""),"233x165x120mm")</f>
        <v>233x165x120mm</v>
      </c>
      <c r="R1043" s="12" t="str">
        <f ca="1">IFERROR(__xludf.DUMMYFUNCTION("""COMPUTED_VALUE"""),"中國")</f>
        <v>中國</v>
      </c>
      <c r="S1043" s="12"/>
      <c r="T1043" s="12"/>
      <c r="U1043" s="12" t="str">
        <f ca="1">IFERROR(__xludf.DUMMYFUNCTION("""COMPUTED_VALUE"""),"1年")</f>
        <v>1年</v>
      </c>
      <c r="V1043" s="12" t="str">
        <f ca="1">IFERROR(__xludf.DUMMYFUNCTION("""COMPUTED_VALUE"""),"1年")</f>
        <v>1年</v>
      </c>
      <c r="W1043" s="12"/>
      <c r="X1043" s="12"/>
      <c r="Y1043" s="12"/>
      <c r="Z1043" s="14"/>
      <c r="AA1043" s="15" t="str">
        <f ca="1">IFERROR(__xludf.DUMMYFUNCTION("""COMPUTED_VALUE"""),"*冷熱雙打，豆漿、濃湯、醬汁、湯品、粥、果汁、冰沙、副食品等，各種私房飲品一鍵完成*4枚刃精鋼立體刀頭，高速破壁全方位攪打*600W環狀均勻加熱，鮮喝鮮煮，滑順香濃*304不鏽鋼內膽，安全無異味")</f>
        <v>*冷熱雙打，豆漿、濃湯、醬汁、湯品、粥、果汁、冰沙、副食品等，各種私房飲品一鍵完成*4枚刃精鋼立體刀頭，高速破壁全方位攪打*600W環狀均勻加熱，鮮喝鮮煮，滑順香濃*304不鏽鋼內膽，安全無異味</v>
      </c>
    </row>
    <row r="1044" spans="1:27" ht="19.5" customHeight="1">
      <c r="A1044" s="12" t="str">
        <f ca="1">IFERROR(__xludf.DUMMYFUNCTION("""COMPUTED_VALUE"""),"廚房家電")</f>
        <v>廚房家電</v>
      </c>
      <c r="B1044" s="12" t="str">
        <f ca="1">IFERROR(__xludf.DUMMYFUNCTION("""COMPUTED_VALUE"""),"丞閈")</f>
        <v>丞閈</v>
      </c>
      <c r="C1044" s="12" t="str">
        <f ca="1">IFERROR(__xludf.DUMMYFUNCTION("""COMPUTED_VALUE"""),"recolte")</f>
        <v>recolte</v>
      </c>
      <c r="D1044" s="12" t="str">
        <f ca="1">IFERROR(__xludf.DUMMYFUNCTION("""COMPUTED_VALUE"""),"recolte麗克特 Coldpress 冷壓萃取慢磨機RCJ-1(白)")</f>
        <v>recolte麗克特 Coldpress 冷壓萃取慢磨機RCJ-1(白)</v>
      </c>
      <c r="E1044" s="12" t="str">
        <f ca="1">IFERROR(__xludf.DUMMYFUNCTION("""COMPUTED_VALUE"""),"RCJ-1(W)")</f>
        <v>RCJ-1(W)</v>
      </c>
      <c r="F1044" s="12">
        <f ca="1">IFERROR(__xludf.DUMMYFUNCTION("""COMPUTED_VALUE"""),51097087)</f>
        <v>51097087</v>
      </c>
      <c r="G1044" s="12" t="str">
        <f ca="1">IFERROR(__xludf.DUMMYFUNCTION("""COMPUTED_VALUE"""),"IGEM0923")</f>
        <v>IGEM0923</v>
      </c>
      <c r="H1044" s="12">
        <f ca="1">IFERROR(__xludf.DUMMYFUNCTION("""COMPUTED_VALUE"""),3990)</f>
        <v>3990</v>
      </c>
      <c r="I1044" s="14">
        <f ca="1">IFERROR(__xludf.DUMMYFUNCTION("""COMPUTED_VALUE"""),2480)</f>
        <v>2480</v>
      </c>
      <c r="J1044" s="16">
        <f ca="1">IFERROR(__xludf.DUMMYFUNCTION("""COMPUTED_VALUE"""),45474)</f>
        <v>45474</v>
      </c>
      <c r="K1044" s="12" t="str">
        <f ca="1">IFERROR(__xludf.DUMMYFUNCTION("""COMPUTED_VALUE"""),"短促")</f>
        <v>短促</v>
      </c>
      <c r="L1044" s="12" t="str">
        <f ca="1">IFERROR(__xludf.DUMMYFUNCTION("""COMPUTED_VALUE"""),"上架中")</f>
        <v>上架中</v>
      </c>
      <c r="M1044" s="12" t="str">
        <f ca="1">IFERROR(__xludf.DUMMYFUNCTION("""COMPUTED_VALUE"""),"2024/7/1短促，11/10新機上架")</f>
        <v>2024/7/1短促，11/10新機上架</v>
      </c>
      <c r="N1044" s="12" t="str">
        <f ca="1">IFERROR(__xludf.DUMMYFUNCTION("""COMPUTED_VALUE"""),"攪拌/研磨機")</f>
        <v>攪拌/研磨機</v>
      </c>
      <c r="O1044" s="12" t="str">
        <f ca="1">IFERROR(__xludf.DUMMYFUNCTION("""COMPUTED_VALUE"""),"白")</f>
        <v>白</v>
      </c>
      <c r="P1044" s="12" t="str">
        <f ca="1">IFERROR(__xludf.DUMMYFUNCTION("""COMPUTED_VALUE"""),"110V/60Hz/100W")</f>
        <v>110V/60Hz/100W</v>
      </c>
      <c r="Q1044" s="12" t="str">
        <f ca="1">IFERROR(__xludf.DUMMYFUNCTION("""COMPUTED_VALUE"""),"305x95x130mm")</f>
        <v>305x95x130mm</v>
      </c>
      <c r="R1044" s="12" t="str">
        <f ca="1">IFERROR(__xludf.DUMMYFUNCTION("""COMPUTED_VALUE"""),"中國")</f>
        <v>中國</v>
      </c>
      <c r="S1044" s="12"/>
      <c r="T1044" s="12"/>
      <c r="U1044" s="12" t="str">
        <f ca="1">IFERROR(__xludf.DUMMYFUNCTION("""COMPUTED_VALUE"""),"1年")</f>
        <v>1年</v>
      </c>
      <c r="V1044" s="12" t="str">
        <f ca="1">IFERROR(__xludf.DUMMYFUNCTION("""COMPUTED_VALUE"""),"1年")</f>
        <v>1年</v>
      </c>
      <c r="W1044" s="12"/>
      <c r="X1044" s="12"/>
      <c r="Y1044" s="12"/>
      <c r="Z1044" s="14"/>
      <c r="AA1044" s="15" t="str">
        <f ca="1">IFERROR(__xludf.DUMMYFUNCTION("""COMPUTED_VALUE"""),"*低速冷壓萃取，防止營養流失*果汁果渣自動分離，保留滑潤口感*萃取過程中不易與空氣接觸，抑制食材氧化*可製作美味的冷凍甜品")</f>
        <v>*低速冷壓萃取，防止營養流失*果汁果渣自動分離，保留滑潤口感*萃取過程中不易與空氣接觸，抑制食材氧化*可製作美味的冷凍甜品</v>
      </c>
    </row>
    <row r="1045" spans="1:27" ht="19.5" customHeight="1">
      <c r="A1045" s="12" t="str">
        <f ca="1">IFERROR(__xludf.DUMMYFUNCTION("""COMPUTED_VALUE"""),"廚房家電")</f>
        <v>廚房家電</v>
      </c>
      <c r="B1045" s="12" t="str">
        <f ca="1">IFERROR(__xludf.DUMMYFUNCTION("""COMPUTED_VALUE"""),"丞閈")</f>
        <v>丞閈</v>
      </c>
      <c r="C1045" s="12" t="str">
        <f ca="1">IFERROR(__xludf.DUMMYFUNCTION("""COMPUTED_VALUE"""),"recolte")</f>
        <v>recolte</v>
      </c>
      <c r="D1045" s="12" t="str">
        <f ca="1">IFERROR(__xludf.DUMMYFUNCTION("""COMPUTED_VALUE"""),"recolte麗克特 Carre調理鍋RPD-4(白)")</f>
        <v>recolte麗克特 Carre調理鍋RPD-4(白)</v>
      </c>
      <c r="E1045" s="12" t="str">
        <f ca="1">IFERROR(__xludf.DUMMYFUNCTION("""COMPUTED_VALUE"""),"RPD-4(W)")</f>
        <v>RPD-4(W)</v>
      </c>
      <c r="F1045" s="12">
        <f ca="1">IFERROR(__xludf.DUMMYFUNCTION("""COMPUTED_VALUE"""),51097104)</f>
        <v>51097104</v>
      </c>
      <c r="G1045" s="12" t="str">
        <f ca="1">IFERROR(__xludf.DUMMYFUNCTION("""COMPUTED_VALUE"""),"IGEM0992")</f>
        <v>IGEM0992</v>
      </c>
      <c r="H1045" s="13">
        <f ca="1">IFERROR(__xludf.DUMMYFUNCTION("""COMPUTED_VALUE"""),3990)</f>
        <v>3990</v>
      </c>
      <c r="I1045" s="14">
        <f ca="1">IFERROR(__xludf.DUMMYFUNCTION("""COMPUTED_VALUE"""),2480)</f>
        <v>2480</v>
      </c>
      <c r="J1045" s="16">
        <f ca="1">IFERROR(__xludf.DUMMYFUNCTION("""COMPUTED_VALUE"""),45652)</f>
        <v>45652</v>
      </c>
      <c r="K1045" s="12" t="str">
        <f ca="1">IFERROR(__xludf.DUMMYFUNCTION("""COMPUTED_VALUE"""),"到貨")</f>
        <v>到貨</v>
      </c>
      <c r="L1045" s="12" t="str">
        <f ca="1">IFERROR(__xludf.DUMMYFUNCTION("""COMPUTED_VALUE"""),"上架中")</f>
        <v>上架中</v>
      </c>
      <c r="M1045" s="12" t="str">
        <f ca="1">IFERROR(__xludf.DUMMYFUNCTION("""COMPUTED_VALUE"""),"2024/12/26到貨，2024/11/13缺貨，2024/7/1短促，2024/4/1新機上架")</f>
        <v>2024/12/26到貨，2024/11/13缺貨，2024/7/1短促，2024/4/1新機上架</v>
      </c>
      <c r="N1045" s="12" t="str">
        <f ca="1">IFERROR(__xludf.DUMMYFUNCTION("""COMPUTED_VALUE"""),"多功能調理鍋/蒸氣烘烤爐")</f>
        <v>多功能調理鍋/蒸氣烘烤爐</v>
      </c>
      <c r="O1045" s="12" t="str">
        <f ca="1">IFERROR(__xludf.DUMMYFUNCTION("""COMPUTED_VALUE"""),"白色")</f>
        <v>白色</v>
      </c>
      <c r="P1045" s="12" t="str">
        <f ca="1">IFERROR(__xludf.DUMMYFUNCTION("""COMPUTED_VALUE"""),"1.3L")</f>
        <v>1.3L</v>
      </c>
      <c r="Q1045" s="12" t="str">
        <f ca="1">IFERROR(__xludf.DUMMYFUNCTION("""COMPUTED_VALUE"""),"高175 x 寬200 x 深200 (mm)")</f>
        <v>高175 x 寬200 x 深200 (mm)</v>
      </c>
      <c r="R1045" s="12" t="str">
        <f ca="1">IFERROR(__xludf.DUMMYFUNCTION("""COMPUTED_VALUE"""),"中國")</f>
        <v>中國</v>
      </c>
      <c r="S1045" s="12"/>
      <c r="T1045" s="12"/>
      <c r="U1045" s="12" t="str">
        <f ca="1">IFERROR(__xludf.DUMMYFUNCTION("""COMPUTED_VALUE"""),"1年")</f>
        <v>1年</v>
      </c>
      <c r="V1045" s="12"/>
      <c r="W1045" s="12"/>
      <c r="X1045" s="12"/>
      <c r="Y1045" s="12"/>
      <c r="Z1045" s="14"/>
      <c r="AA1045" s="15" t="str">
        <f ca="1">IFERROR(__xludf.DUMMYFUNCTION("""COMPUTED_VALUE"""),"*煮、炊、蒸、炸、燒烤一鍋五役*三段溫度選擇、具加熱指示燈*1.3L陶瓷鍋，適合1~2人小家庭使用*隨附陶瓷鍋、燒烤盤、蒸架、控油架等多種配件*隨附原廠專用精緻食譜")</f>
        <v>*煮、炊、蒸、炸、燒烤一鍋五役*三段溫度選擇、具加熱指示燈*1.3L陶瓷鍋，適合1~2人小家庭使用*隨附陶瓷鍋、燒烤盤、蒸架、控油架等多種配件*隨附原廠專用精緻食譜</v>
      </c>
    </row>
    <row r="1046" spans="1:27" ht="19.5" customHeight="1">
      <c r="A1046" s="12" t="str">
        <f ca="1">IFERROR(__xludf.DUMMYFUNCTION("""COMPUTED_VALUE"""),"廚房家電")</f>
        <v>廚房家電</v>
      </c>
      <c r="B1046" s="12" t="str">
        <f ca="1">IFERROR(__xludf.DUMMYFUNCTION("""COMPUTED_VALUE"""),"丞閈")</f>
        <v>丞閈</v>
      </c>
      <c r="C1046" s="12" t="str">
        <f ca="1">IFERROR(__xludf.DUMMYFUNCTION("""COMPUTED_VALUE"""),"recolte")</f>
        <v>recolte</v>
      </c>
      <c r="D1046" s="12" t="str">
        <f ca="1">IFERROR(__xludf.DUMMYFUNCTION("""COMPUTED_VALUE"""),"recolte麗克特 Carre調理鍋RPD-4(紅)")</f>
        <v>recolte麗克特 Carre調理鍋RPD-4(紅)</v>
      </c>
      <c r="E1046" s="12" t="str">
        <f ca="1">IFERROR(__xludf.DUMMYFUNCTION("""COMPUTED_VALUE"""),"RPD-4(R)")</f>
        <v>RPD-4(R)</v>
      </c>
      <c r="F1046" s="12">
        <f ca="1">IFERROR(__xludf.DUMMYFUNCTION("""COMPUTED_VALUE"""),51097105)</f>
        <v>51097105</v>
      </c>
      <c r="G1046" s="12" t="str">
        <f ca="1">IFERROR(__xludf.DUMMYFUNCTION("""COMPUTED_VALUE"""),"IGEM0993")</f>
        <v>IGEM0993</v>
      </c>
      <c r="H1046" s="13">
        <f ca="1">IFERROR(__xludf.DUMMYFUNCTION("""COMPUTED_VALUE"""),3990)</f>
        <v>3990</v>
      </c>
      <c r="I1046" s="14">
        <f ca="1">IFERROR(__xludf.DUMMYFUNCTION("""COMPUTED_VALUE"""),2480)</f>
        <v>2480</v>
      </c>
      <c r="J1046" s="16">
        <f ca="1">IFERROR(__xludf.DUMMYFUNCTION("""COMPUTED_VALUE"""),45474)</f>
        <v>45474</v>
      </c>
      <c r="K1046" s="12" t="str">
        <f ca="1">IFERROR(__xludf.DUMMYFUNCTION("""COMPUTED_VALUE"""),"短促")</f>
        <v>短促</v>
      </c>
      <c r="L1046" s="12" t="str">
        <f ca="1">IFERROR(__xludf.DUMMYFUNCTION("""COMPUTED_VALUE"""),"上架中")</f>
        <v>上架中</v>
      </c>
      <c r="M1046" s="12" t="str">
        <f ca="1">IFERROR(__xludf.DUMMYFUNCTION("""COMPUTED_VALUE"""),"2024/7/1短促，2024/4/1新機上架")</f>
        <v>2024/7/1短促，2024/4/1新機上架</v>
      </c>
      <c r="N1046" s="12" t="str">
        <f ca="1">IFERROR(__xludf.DUMMYFUNCTION("""COMPUTED_VALUE"""),"多功能調理鍋/蒸氣烘烤爐")</f>
        <v>多功能調理鍋/蒸氣烘烤爐</v>
      </c>
      <c r="O1046" s="12" t="str">
        <f ca="1">IFERROR(__xludf.DUMMYFUNCTION("""COMPUTED_VALUE"""),"紅色")</f>
        <v>紅色</v>
      </c>
      <c r="P1046" s="12" t="str">
        <f ca="1">IFERROR(__xludf.DUMMYFUNCTION("""COMPUTED_VALUE"""),"1.3L")</f>
        <v>1.3L</v>
      </c>
      <c r="Q1046" s="12" t="str">
        <f ca="1">IFERROR(__xludf.DUMMYFUNCTION("""COMPUTED_VALUE"""),"高175 x 寬200 x 深200 (mm)")</f>
        <v>高175 x 寬200 x 深200 (mm)</v>
      </c>
      <c r="R1046" s="12" t="str">
        <f ca="1">IFERROR(__xludf.DUMMYFUNCTION("""COMPUTED_VALUE"""),"中國")</f>
        <v>中國</v>
      </c>
      <c r="S1046" s="12"/>
      <c r="T1046" s="12"/>
      <c r="U1046" s="12" t="str">
        <f ca="1">IFERROR(__xludf.DUMMYFUNCTION("""COMPUTED_VALUE"""),"1年")</f>
        <v>1年</v>
      </c>
      <c r="V1046" s="12"/>
      <c r="W1046" s="12"/>
      <c r="X1046" s="12"/>
      <c r="Y1046" s="12"/>
      <c r="Z1046" s="14"/>
      <c r="AA1046" s="15" t="str">
        <f ca="1">IFERROR(__xludf.DUMMYFUNCTION("""COMPUTED_VALUE"""),"*煮、炊、蒸、炸、燒烤一鍋五役*三段溫度選擇、具加熱指示燈*1.3L陶瓷鍋，適合1~2人小家庭使用*隨附陶瓷鍋、燒烤盤、蒸架、控油架等多種配件*隨附原廠專用精緻食譜")</f>
        <v>*煮、炊、蒸、炸、燒烤一鍋五役*三段溫度選擇、具加熱指示燈*1.3L陶瓷鍋，適合1~2人小家庭使用*隨附陶瓷鍋、燒烤盤、蒸架、控油架等多種配件*隨附原廠專用精緻食譜</v>
      </c>
    </row>
    <row r="1047" spans="1:27" ht="19.5" customHeight="1">
      <c r="A1047" s="12" t="str">
        <f ca="1">IFERROR(__xludf.DUMMYFUNCTION("""COMPUTED_VALUE"""),"廚房家電")</f>
        <v>廚房家電</v>
      </c>
      <c r="B1047" s="12" t="str">
        <f ca="1">IFERROR(__xludf.DUMMYFUNCTION("""COMPUTED_VALUE"""),"丞閈")</f>
        <v>丞閈</v>
      </c>
      <c r="C1047" s="12" t="str">
        <f ca="1">IFERROR(__xludf.DUMMYFUNCTION("""COMPUTED_VALUE"""),"recolte")</f>
        <v>recolte</v>
      </c>
      <c r="D1047" s="12" t="str">
        <f ca="1">IFERROR(__xludf.DUMMYFUNCTION("""COMPUTED_VALUE"""),"recolte麗克特 Air Oven 氣炸鍋RAO-1(粉)")</f>
        <v>recolte麗克特 Air Oven 氣炸鍋RAO-1(粉)</v>
      </c>
      <c r="E1047" s="12" t="str">
        <f ca="1">IFERROR(__xludf.DUMMYFUNCTION("""COMPUTED_VALUE"""),"RAO-1(PK)")</f>
        <v>RAO-1(PK)</v>
      </c>
      <c r="F1047" s="12">
        <f ca="1">IFERROR(__xludf.DUMMYFUNCTION("""COMPUTED_VALUE"""),51003039)</f>
        <v>51003039</v>
      </c>
      <c r="G1047" s="12" t="str">
        <f ca="1">IFERROR(__xludf.DUMMYFUNCTION("""COMPUTED_VALUE"""),"IGEM102D")</f>
        <v>IGEM102D</v>
      </c>
      <c r="H1047" s="13">
        <f ca="1">IFERROR(__xludf.DUMMYFUNCTION("""COMPUTED_VALUE"""),4990)</f>
        <v>4990</v>
      </c>
      <c r="I1047" s="18">
        <f ca="1">IFERROR(__xludf.DUMMYFUNCTION("""COMPUTED_VALUE"""),2180)</f>
        <v>2180</v>
      </c>
      <c r="J1047" s="16">
        <f ca="1">IFERROR(__xludf.DUMMYFUNCTION("""COMPUTED_VALUE"""),45652)</f>
        <v>45652</v>
      </c>
      <c r="K1047" s="12" t="str">
        <f ca="1">IFERROR(__xludf.DUMMYFUNCTION("""COMPUTED_VALUE"""),"到貨")</f>
        <v>到貨</v>
      </c>
      <c r="L1047" s="12" t="str">
        <f ca="1">IFERROR(__xludf.DUMMYFUNCTION("""COMPUTED_VALUE"""),"上架中")</f>
        <v>上架中</v>
      </c>
      <c r="M1047" s="12" t="str">
        <f ca="1">IFERROR(__xludf.DUMMYFUNCTION("""COMPUTED_VALUE"""),"2024/12/26到貨，2024/11/13缺貨，2024/10/1短促，2024/7/1短促，113/5/27新機上架")</f>
        <v>2024/12/26到貨，2024/11/13缺貨，2024/10/1短促，2024/7/1短促，113/5/27新機上架</v>
      </c>
      <c r="N1047" s="12" t="str">
        <f ca="1">IFERROR(__xludf.DUMMYFUNCTION("""COMPUTED_VALUE"""),"氣炸鍋")</f>
        <v>氣炸鍋</v>
      </c>
      <c r="O1047" s="12" t="str">
        <f ca="1">IFERROR(__xludf.DUMMYFUNCTION("""COMPUTED_VALUE"""),"粉色")</f>
        <v>粉色</v>
      </c>
      <c r="P1047" s="12" t="str">
        <f ca="1">IFERROR(__xludf.DUMMYFUNCTION("""COMPUTED_VALUE"""),"2.8L")</f>
        <v>2.8L</v>
      </c>
      <c r="Q1047" s="12" t="str">
        <f ca="1">IFERROR(__xludf.DUMMYFUNCTION("""COMPUTED_VALUE"""),"約高266*寬270*深212mm")</f>
        <v>約高266*寬270*深212mm</v>
      </c>
      <c r="R1047" s="12" t="str">
        <f ca="1">IFERROR(__xludf.DUMMYFUNCTION("""COMPUTED_VALUE"""),"中國")</f>
        <v>中國</v>
      </c>
      <c r="S1047" s="12"/>
      <c r="T1047" s="12"/>
      <c r="U1047" s="12" t="str">
        <f ca="1">IFERROR(__xludf.DUMMYFUNCTION("""COMPUTED_VALUE"""),"1年")</f>
        <v>1年</v>
      </c>
      <c r="V1047" s="12"/>
      <c r="W1047" s="12"/>
      <c r="X1047" s="12"/>
      <c r="Y1047" s="12"/>
      <c r="Z1047" s="14"/>
      <c r="AA1047" s="15" t="str">
        <f ca="1">IFERROR(__xludf.DUMMYFUNCTION("""COMPUTED_VALUE"""),"*可輕鬆製作各種菜餚，包括炸、燒烤、烘烤和重新加熱食材*A4尺寸大小，輕便收納不占空間*2.8公升大容量外鍋(Max Line 2.4公升)*80℃至200℃多種溫度選擇*60分鐘定時功能*隨附日本專業料理師監製28道精緻食譜")</f>
        <v>*可輕鬆製作各種菜餚，包括炸、燒烤、烘烤和重新加熱食材*A4尺寸大小，輕便收納不占空間*2.8公升大容量外鍋(Max Line 2.4公升)*80℃至200℃多種溫度選擇*60分鐘定時功能*隨附日本專業料理師監製28道精緻食譜</v>
      </c>
    </row>
    <row r="1048" spans="1:27" ht="19.5" customHeight="1">
      <c r="A1048" s="12" t="str">
        <f ca="1">IFERROR(__xludf.DUMMYFUNCTION("""COMPUTED_VALUE"""),"廚房家電")</f>
        <v>廚房家電</v>
      </c>
      <c r="B1048" s="12" t="str">
        <f ca="1">IFERROR(__xludf.DUMMYFUNCTION("""COMPUTED_VALUE"""),"丞閈")</f>
        <v>丞閈</v>
      </c>
      <c r="C1048" s="12" t="str">
        <f ca="1">IFERROR(__xludf.DUMMYFUNCTION("""COMPUTED_VALUE"""),"recolte")</f>
        <v>recolte</v>
      </c>
      <c r="D1048" s="12" t="str">
        <f ca="1">IFERROR(__xludf.DUMMYFUNCTION("""COMPUTED_VALUE"""),"recolte麗克特 Ciel果汁機RSB-4(藍)")</f>
        <v>recolte麗克特 Ciel果汁機RSB-4(藍)</v>
      </c>
      <c r="E1048" s="12" t="str">
        <f ca="1">IFERROR(__xludf.DUMMYFUNCTION("""COMPUTED_VALUE"""),"RSB-4(BL)")</f>
        <v>RSB-4(BL)</v>
      </c>
      <c r="F1048" s="12">
        <f ca="1">IFERROR(__xludf.DUMMYFUNCTION("""COMPUTED_VALUE"""),51097111)</f>
        <v>51097111</v>
      </c>
      <c r="G1048" s="12" t="str">
        <f ca="1">IFERROR(__xludf.DUMMYFUNCTION("""COMPUTED_VALUE"""),"IGEM104W")</f>
        <v>IGEM104W</v>
      </c>
      <c r="H1048" s="13">
        <f ca="1">IFERROR(__xludf.DUMMYFUNCTION("""COMPUTED_VALUE"""),1990)</f>
        <v>1990</v>
      </c>
      <c r="I1048" s="14">
        <f ca="1">IFERROR(__xludf.DUMMYFUNCTION("""COMPUTED_VALUE"""),1480)</f>
        <v>1480</v>
      </c>
      <c r="J1048" s="16">
        <f ca="1">IFERROR(__xludf.DUMMYFUNCTION("""COMPUTED_VALUE"""),45505)</f>
        <v>45505</v>
      </c>
      <c r="K1048" s="12" t="str">
        <f ca="1">IFERROR(__xludf.DUMMYFUNCTION("""COMPUTED_VALUE"""),"新機上架")</f>
        <v>新機上架</v>
      </c>
      <c r="L1048" s="12" t="str">
        <f ca="1">IFERROR(__xludf.DUMMYFUNCTION("""COMPUTED_VALUE"""),"上架中")</f>
        <v>上架中</v>
      </c>
      <c r="M1048" s="12" t="str">
        <f ca="1">IFERROR(__xludf.DUMMYFUNCTION("""COMPUTED_VALUE"""),"2024/8/1新機上架")</f>
        <v>2024/8/1新機上架</v>
      </c>
      <c r="N1048" s="12" t="str">
        <f ca="1">IFERROR(__xludf.DUMMYFUNCTION("""COMPUTED_VALUE"""),"果汁機/調理機/豆漿機")</f>
        <v>果汁機/調理機/豆漿機</v>
      </c>
      <c r="O1048" s="12" t="str">
        <f ca="1">IFERROR(__xludf.DUMMYFUNCTION("""COMPUTED_VALUE"""),"藍")</f>
        <v>藍</v>
      </c>
      <c r="P1048" s="12" t="str">
        <f ca="1">IFERROR(__xludf.DUMMYFUNCTION("""COMPUTED_VALUE"""),"300ml")</f>
        <v>300ml</v>
      </c>
      <c r="Q1048" s="12" t="str">
        <f ca="1">IFERROR(__xludf.DUMMYFUNCTION("""COMPUTED_VALUE"""),"約高290 x 寬85 x 深85mm")</f>
        <v>約高290 x 寬85 x 深85mm</v>
      </c>
      <c r="R1048" s="12" t="str">
        <f ca="1">IFERROR(__xludf.DUMMYFUNCTION("""COMPUTED_VALUE"""),"中國")</f>
        <v>中國</v>
      </c>
      <c r="S1048" s="12"/>
      <c r="T1048" s="12"/>
      <c r="U1048" s="12" t="str">
        <f ca="1">IFERROR(__xludf.DUMMYFUNCTION("""COMPUTED_VALUE"""),"主機一年保固")</f>
        <v>主機一年保固</v>
      </c>
      <c r="V1048" s="12"/>
      <c r="W1048" s="12"/>
      <c r="X1048" s="12"/>
      <c r="Y1048" s="12"/>
      <c r="Z1048" s="14"/>
      <c r="AA1048" s="15" t="str">
        <f ca="1">IFERROR(__xludf.DUMMYFUNCTION("""COMPUTED_VALUE"""),"*鮮榨鮮喝，可直接從杯中飲用*二層結構設計，防止結露強化保冷效果，清涼帶著走*四枚刃鋒利刀頭，可輕易調理各式食材，完美調和*不倒翁形狀果汁杯，方便攜帶*杯蓋凹槽設計，飲用便利*打造獨一無二的專屬果汁杯*小巧方便收納，不佔空間")</f>
        <v>*鮮榨鮮喝，可直接從杯中飲用*二層結構設計，防止結露強化保冷效果，清涼帶著走*四枚刃鋒利刀頭，可輕易調理各式食材，完美調和*不倒翁形狀果汁杯，方便攜帶*杯蓋凹槽設計，飲用便利*打造獨一無二的專屬果汁杯*小巧方便收納，不佔空間</v>
      </c>
    </row>
    <row r="1049" spans="1:27" ht="19.5" customHeight="1">
      <c r="A1049" s="12" t="str">
        <f ca="1">IFERROR(__xludf.DUMMYFUNCTION("""COMPUTED_VALUE"""),"廚房家電")</f>
        <v>廚房家電</v>
      </c>
      <c r="B1049" s="12" t="str">
        <f ca="1">IFERROR(__xludf.DUMMYFUNCTION("""COMPUTED_VALUE"""),"丞閈")</f>
        <v>丞閈</v>
      </c>
      <c r="C1049" s="12" t="str">
        <f ca="1">IFERROR(__xludf.DUMMYFUNCTION("""COMPUTED_VALUE"""),"recolte")</f>
        <v>recolte</v>
      </c>
      <c r="D1049" s="12" t="str">
        <f ca="1">IFERROR(__xludf.DUMMYFUNCTION("""COMPUTED_VALUE"""),"recolte麗克特 IH 料理電磁爐(含陶瓷鍋) 大全配組 RIH-1+1PT(白)")</f>
        <v>recolte麗克特 IH 料理電磁爐(含陶瓷鍋) 大全配組 RIH-1+1PT(白)</v>
      </c>
      <c r="E1049" s="12" t="str">
        <f ca="1">IFERROR(__xludf.DUMMYFUNCTION("""COMPUTED_VALUE"""),"RIH-1+1PT(W)")</f>
        <v>RIH-1+1PT(W)</v>
      </c>
      <c r="F1049" s="12">
        <f ca="1">IFERROR(__xludf.DUMMYFUNCTION("""COMPUTED_VALUE"""),51003044)</f>
        <v>51003044</v>
      </c>
      <c r="G1049" s="12" t="str">
        <f ca="1">IFERROR(__xludf.DUMMYFUNCTION("""COMPUTED_VALUE"""),"IGEM1077")</f>
        <v>IGEM1077</v>
      </c>
      <c r="H1049" s="13">
        <f ca="1">IFERROR(__xludf.DUMMYFUNCTION("""COMPUTED_VALUE"""),9960)</f>
        <v>9960</v>
      </c>
      <c r="I1049" s="14">
        <f ca="1">IFERROR(__xludf.DUMMYFUNCTION("""COMPUTED_VALUE"""),5980)</f>
        <v>5980</v>
      </c>
      <c r="J1049" s="16">
        <f ca="1">IFERROR(__xludf.DUMMYFUNCTION("""COMPUTED_VALUE"""),45505)</f>
        <v>45505</v>
      </c>
      <c r="K1049" s="12" t="str">
        <f ca="1">IFERROR(__xludf.DUMMYFUNCTION("""COMPUTED_VALUE"""),"新機上架")</f>
        <v>新機上架</v>
      </c>
      <c r="L1049" s="12" t="str">
        <f ca="1">IFERROR(__xludf.DUMMYFUNCTION("""COMPUTED_VALUE"""),"上架中")</f>
        <v>上架中</v>
      </c>
      <c r="M1049" s="12" t="str">
        <f ca="1">IFERROR(__xludf.DUMMYFUNCTION("""COMPUTED_VALUE"""),"2024/8/1新機上架")</f>
        <v>2024/8/1新機上架</v>
      </c>
      <c r="N1049" s="12" t="str">
        <f ca="1">IFERROR(__xludf.DUMMYFUNCTION("""COMPUTED_VALUE"""),"電磁爐/電陶爐")</f>
        <v>電磁爐/電陶爐</v>
      </c>
      <c r="O1049" s="12" t="str">
        <f ca="1">IFERROR(__xludf.DUMMYFUNCTION("""COMPUTED_VALUE"""),"白色")</f>
        <v>白色</v>
      </c>
      <c r="P1049" s="12"/>
      <c r="Q1049" s="12" t="str">
        <f ca="1">IFERROR(__xludf.DUMMYFUNCTION("""COMPUTED_VALUE"""),"高50 x 寬260 x 深260 mm")</f>
        <v>高50 x 寬260 x 深260 mm</v>
      </c>
      <c r="R1049" s="12" t="str">
        <f ca="1">IFERROR(__xludf.DUMMYFUNCTION("""COMPUTED_VALUE"""),"中國")</f>
        <v>中國</v>
      </c>
      <c r="S1049" s="12"/>
      <c r="T1049" s="12"/>
      <c r="U1049" s="12" t="str">
        <f ca="1">IFERROR(__xludf.DUMMYFUNCTION("""COMPUTED_VALUE"""),"1年")</f>
        <v>1年</v>
      </c>
      <c r="V1049" s="12"/>
      <c r="W1049" s="12"/>
      <c r="X1049" s="12"/>
      <c r="Y1049" s="12"/>
      <c r="Z1049" s="14"/>
      <c r="AA1049" s="15" t="str">
        <f ca="1">IFERROR(__xludf.DUMMYFUNCTION("""COMPUTED_VALUE"""),"*煎、煮、炒、炸、燒烤、慢燉、低溫調理等多樣化料理一機完成*IH遠紅外線快速導熱*7段火力選擇，1200W大功率*隨附33公分專用調理煎盤*隨附21公分IH專用陶瓷鍋*贈18道料理食譜")</f>
        <v>*煎、煮、炒、炸、燒烤、慢燉、低溫調理等多樣化料理一機完成*IH遠紅外線快速導熱*7段火力選擇，1200W大功率*隨附33公分專用調理煎盤*隨附21公分IH專用陶瓷鍋*贈18道料理食譜</v>
      </c>
    </row>
    <row r="1050" spans="1:27" ht="19.5" customHeight="1">
      <c r="A1050" s="12" t="str">
        <f ca="1">IFERROR(__xludf.DUMMYFUNCTION("""COMPUTED_VALUE"""),"廚房家電")</f>
        <v>廚房家電</v>
      </c>
      <c r="B1050" s="12" t="str">
        <f ca="1">IFERROR(__xludf.DUMMYFUNCTION("""COMPUTED_VALUE"""),"丞閈")</f>
        <v>丞閈</v>
      </c>
      <c r="C1050" s="12" t="str">
        <f ca="1">IFERROR(__xludf.DUMMYFUNCTION("""COMPUTED_VALUE"""),"recolte")</f>
        <v>recolte</v>
      </c>
      <c r="D1050" s="12" t="str">
        <f ca="1">IFERROR(__xludf.DUMMYFUNCTION("""COMPUTED_VALUE"""),"recolte麗克特 Slide Rack Toaster 經典烤箱 限定版 RSR-2LE(白)")</f>
        <v>recolte麗克特 Slide Rack Toaster 經典烤箱 限定版 RSR-2LE(白)</v>
      </c>
      <c r="E1050" s="12" t="str">
        <f ca="1">IFERROR(__xludf.DUMMYFUNCTION("""COMPUTED_VALUE"""),"RSR-2LE(W)")</f>
        <v>RSR-2LE(W)</v>
      </c>
      <c r="F1050" s="12">
        <f ca="1">IFERROR(__xludf.DUMMYFUNCTION("""COMPUTED_VALUE"""),51003045)</f>
        <v>51003045</v>
      </c>
      <c r="G1050" s="12" t="str">
        <f ca="1">IFERROR(__xludf.DUMMYFUNCTION("""COMPUTED_VALUE"""),"IGEM1078")</f>
        <v>IGEM1078</v>
      </c>
      <c r="H1050" s="13">
        <f ca="1">IFERROR(__xludf.DUMMYFUNCTION("""COMPUTED_VALUE"""),9980)</f>
        <v>9980</v>
      </c>
      <c r="I1050" s="14">
        <f ca="1">IFERROR(__xludf.DUMMYFUNCTION("""COMPUTED_VALUE"""),4980)</f>
        <v>4980</v>
      </c>
      <c r="J1050" s="16">
        <f ca="1">IFERROR(__xludf.DUMMYFUNCTION("""COMPUTED_VALUE"""),45554)</f>
        <v>45554</v>
      </c>
      <c r="K1050" s="12" t="str">
        <f ca="1">IFERROR(__xludf.DUMMYFUNCTION("""COMPUTED_VALUE"""),"新機上架")</f>
        <v>新機上架</v>
      </c>
      <c r="L1050" s="12" t="str">
        <f ca="1">IFERROR(__xludf.DUMMYFUNCTION("""COMPUTED_VALUE"""),"上架中")</f>
        <v>上架中</v>
      </c>
      <c r="M1050" s="12" t="str">
        <f ca="1">IFERROR(__xludf.DUMMYFUNCTION("""COMPUTED_VALUE"""),"2024/9/19短促，2024/8/1新機上架")</f>
        <v>2024/9/19短促，2024/8/1新機上架</v>
      </c>
      <c r="N1050" s="12" t="str">
        <f ca="1">IFERROR(__xludf.DUMMYFUNCTION("""COMPUTED_VALUE"""),"烤箱")</f>
        <v>烤箱</v>
      </c>
      <c r="O1050" s="12" t="str">
        <f ca="1">IFERROR(__xludf.DUMMYFUNCTION("""COMPUTED_VALUE"""),"白色")</f>
        <v>白色</v>
      </c>
      <c r="P1050" s="12"/>
      <c r="Q1050" s="12" t="str">
        <f ca="1">IFERROR(__xludf.DUMMYFUNCTION("""COMPUTED_VALUE"""),"高370 x 寬270 x 深350 (mm)")</f>
        <v>高370 x 寬270 x 深350 (mm)</v>
      </c>
      <c r="R1050" s="12" t="str">
        <f ca="1">IFERROR(__xludf.DUMMYFUNCTION("""COMPUTED_VALUE"""),"中國")</f>
        <v>中國</v>
      </c>
      <c r="S1050" s="12"/>
      <c r="T1050" s="12"/>
      <c r="U1050" s="12" t="str">
        <f ca="1">IFERROR(__xludf.DUMMYFUNCTION("""COMPUTED_VALUE"""),"1年")</f>
        <v>1年</v>
      </c>
      <c r="V1050" s="12"/>
      <c r="W1050" s="12"/>
      <c r="X1050" s="12"/>
      <c r="Y1050" s="12"/>
      <c r="Z1050" s="14"/>
      <c r="AA1050" s="15" t="str">
        <f ca="1">IFERROR(__xludf.DUMMYFUNCTION("""COMPUTED_VALUE"""),"*6種微電腦精控烘烤模式*精心研發設計烤吐司模式，輕鬆烤出外酥內軟的吐司*專利式滑架設計，料理好拿取，完成後絕不會燙傷*獨立立體金屬反射板搭配遠紅外線加熱管，加熱均勻快速*簡約深型設計，適合放置在空間有限的廚房*劃時代結構設計，烤箱背面可打開清潔*隨附可拆卸增高腳架，可依需求調整烤箱高度，增加收納空間")</f>
        <v>*6種微電腦精控烘烤模式*精心研發設計烤吐司模式，輕鬆烤出外酥內軟的吐司*專利式滑架設計，料理好拿取，完成後絕不會燙傷*獨立立體金屬反射板搭配遠紅外線加熱管，加熱均勻快速*簡約深型設計，適合放置在空間有限的廚房*劃時代結構設計，烤箱背面可打開清潔*隨附可拆卸增高腳架，可依需求調整烤箱高度，增加收納空間</v>
      </c>
    </row>
    <row r="1051" spans="1:27" ht="19.5" customHeight="1">
      <c r="A1051" s="12" t="str">
        <f ca="1">IFERROR(__xludf.DUMMYFUNCTION("""COMPUTED_VALUE"""),"廚房家電")</f>
        <v>廚房家電</v>
      </c>
      <c r="B1051" s="12" t="str">
        <f ca="1">IFERROR(__xludf.DUMMYFUNCTION("""COMPUTED_VALUE"""),"丞閈")</f>
        <v>丞閈</v>
      </c>
      <c r="C1051" s="12" t="str">
        <f ca="1">IFERROR(__xludf.DUMMYFUNCTION("""COMPUTED_VALUE"""),"recolte")</f>
        <v>recolte</v>
      </c>
      <c r="D1051" s="12" t="str">
        <f ca="1">IFERROR(__xludf.DUMMYFUNCTION("""COMPUTED_VALUE"""),"recolte麗克特 Slide Rack Toaster 經典烤箱 限定版 RSR-2LE(黑)")</f>
        <v>recolte麗克特 Slide Rack Toaster 經典烤箱 限定版 RSR-2LE(黑)</v>
      </c>
      <c r="E1051" s="12" t="str">
        <f ca="1">IFERROR(__xludf.DUMMYFUNCTION("""COMPUTED_VALUE"""),"RSR-2LE(BK)")</f>
        <v>RSR-2LE(BK)</v>
      </c>
      <c r="F1051" s="12">
        <f ca="1">IFERROR(__xludf.DUMMYFUNCTION("""COMPUTED_VALUE"""),51003046)</f>
        <v>51003046</v>
      </c>
      <c r="G1051" s="12" t="str">
        <f ca="1">IFERROR(__xludf.DUMMYFUNCTION("""COMPUTED_VALUE"""),"IGEM1079")</f>
        <v>IGEM1079</v>
      </c>
      <c r="H1051" s="13">
        <f ca="1">IFERROR(__xludf.DUMMYFUNCTION("""COMPUTED_VALUE"""),9980)</f>
        <v>9980</v>
      </c>
      <c r="I1051" s="14">
        <f ca="1">IFERROR(__xludf.DUMMYFUNCTION("""COMPUTED_VALUE"""),4980)</f>
        <v>4980</v>
      </c>
      <c r="J1051" s="16">
        <f ca="1">IFERROR(__xludf.DUMMYFUNCTION("""COMPUTED_VALUE"""),45554)</f>
        <v>45554</v>
      </c>
      <c r="K1051" s="12" t="str">
        <f ca="1">IFERROR(__xludf.DUMMYFUNCTION("""COMPUTED_VALUE"""),"新機上架")</f>
        <v>新機上架</v>
      </c>
      <c r="L1051" s="12" t="str">
        <f ca="1">IFERROR(__xludf.DUMMYFUNCTION("""COMPUTED_VALUE"""),"上架中")</f>
        <v>上架中</v>
      </c>
      <c r="M1051" s="12" t="str">
        <f ca="1">IFERROR(__xludf.DUMMYFUNCTION("""COMPUTED_VALUE"""),"2024/9/19短促，2024/8/1新機上架")</f>
        <v>2024/9/19短促，2024/8/1新機上架</v>
      </c>
      <c r="N1051" s="12" t="str">
        <f ca="1">IFERROR(__xludf.DUMMYFUNCTION("""COMPUTED_VALUE"""),"烤箱")</f>
        <v>烤箱</v>
      </c>
      <c r="O1051" s="12" t="str">
        <f ca="1">IFERROR(__xludf.DUMMYFUNCTION("""COMPUTED_VALUE"""),"黑色")</f>
        <v>黑色</v>
      </c>
      <c r="P1051" s="12"/>
      <c r="Q1051" s="12" t="str">
        <f ca="1">IFERROR(__xludf.DUMMYFUNCTION("""COMPUTED_VALUE"""),"高370 x 寬270 x 深350 (mm)")</f>
        <v>高370 x 寬270 x 深350 (mm)</v>
      </c>
      <c r="R1051" s="12" t="str">
        <f ca="1">IFERROR(__xludf.DUMMYFUNCTION("""COMPUTED_VALUE"""),"中國")</f>
        <v>中國</v>
      </c>
      <c r="S1051" s="12"/>
      <c r="T1051" s="12"/>
      <c r="U1051" s="12" t="str">
        <f ca="1">IFERROR(__xludf.DUMMYFUNCTION("""COMPUTED_VALUE"""),"1年")</f>
        <v>1年</v>
      </c>
      <c r="V1051" s="12"/>
      <c r="W1051" s="12"/>
      <c r="X1051" s="12"/>
      <c r="Y1051" s="12"/>
      <c r="Z1051" s="14"/>
      <c r="AA1051" s="15" t="str">
        <f ca="1">IFERROR(__xludf.DUMMYFUNCTION("""COMPUTED_VALUE"""),"*6種微電腦精控烘烤模式*精心研發設計烤吐司模式，輕鬆烤出外酥內軟的吐司*專利式滑架設計，料理好拿取，完成後絕不會燙傷*獨立立體金屬反射板搭配遠紅外線加熱管，加熱均勻快速*簡約深型設計，適合放置在空間有限的廚房*劃時代結構設計，烤箱背面可打開清潔*隨附可拆卸增高腳架，可依需求調整烤箱高度，增加收納空間")</f>
        <v>*6種微電腦精控烘烤模式*精心研發設計烤吐司模式，輕鬆烤出外酥內軟的吐司*專利式滑架設計，料理好拿取，完成後絕不會燙傷*獨立立體金屬反射板搭配遠紅外線加熱管，加熱均勻快速*簡約深型設計，適合放置在空間有限的廚房*劃時代結構設計，烤箱背面可打開清潔*隨附可拆卸增高腳架，可依需求調整烤箱高度，增加收納空間</v>
      </c>
    </row>
    <row r="1052" spans="1:27" ht="19.5" customHeight="1">
      <c r="A1052" s="12" t="str">
        <f ca="1">IFERROR(__xludf.DUMMYFUNCTION("""COMPUTED_VALUE"""),"廚房家電")</f>
        <v>廚房家電</v>
      </c>
      <c r="B1052" s="12" t="str">
        <f ca="1">IFERROR(__xludf.DUMMYFUNCTION("""COMPUTED_VALUE"""),"丞閈")</f>
        <v>丞閈</v>
      </c>
      <c r="C1052" s="12" t="str">
        <f ca="1">IFERROR(__xludf.DUMMYFUNCTION("""COMPUTED_VALUE"""),"recolte")</f>
        <v>recolte</v>
      </c>
      <c r="D1052" s="12" t="str">
        <f ca="1">IFERROR(__xludf.DUMMYFUNCTION("""COMPUTED_VALUE"""),"recolte麗克特 Hot Plate 電烤盤 大全配組 RHP-1-SET(紅)")</f>
        <v>recolte麗克特 Hot Plate 電烤盤 大全配組 RHP-1-SET(紅)</v>
      </c>
      <c r="E1052" s="12" t="str">
        <f ca="1">IFERROR(__xludf.DUMMYFUNCTION("""COMPUTED_VALUE"""),"RHP-1-SET(紅)")</f>
        <v>RHP-1-SET(紅)</v>
      </c>
      <c r="F1052" s="12">
        <f ca="1">IFERROR(__xludf.DUMMYFUNCTION("""COMPUTED_VALUE"""),51003047)</f>
        <v>51003047</v>
      </c>
      <c r="G1052" s="12" t="str">
        <f ca="1">IFERROR(__xludf.DUMMYFUNCTION("""COMPUTED_VALUE"""),"IGEM111G")</f>
        <v>IGEM111G</v>
      </c>
      <c r="H1052" s="13">
        <f ca="1">IFERROR(__xludf.DUMMYFUNCTION("""COMPUTED_VALUE"""),11160)</f>
        <v>11160</v>
      </c>
      <c r="I1052" s="14">
        <f ca="1">IFERROR(__xludf.DUMMYFUNCTION("""COMPUTED_VALUE"""),4980)</f>
        <v>4980</v>
      </c>
      <c r="J1052" s="16">
        <f ca="1">IFERROR(__xludf.DUMMYFUNCTION("""COMPUTED_VALUE"""),45566)</f>
        <v>45566</v>
      </c>
      <c r="K1052" s="12" t="str">
        <f ca="1">IFERROR(__xludf.DUMMYFUNCTION("""COMPUTED_VALUE"""),"新機上架")</f>
        <v>新機上架</v>
      </c>
      <c r="L1052" s="12" t="str">
        <f ca="1">IFERROR(__xludf.DUMMYFUNCTION("""COMPUTED_VALUE"""),"上架中")</f>
        <v>上架中</v>
      </c>
      <c r="M1052" s="12" t="str">
        <f ca="1">IFERROR(__xludf.DUMMYFUNCTION("""COMPUTED_VALUE"""),"2024/10/1新機上架")</f>
        <v>2024/10/1新機上架</v>
      </c>
      <c r="N1052" s="12" t="str">
        <f ca="1">IFERROR(__xludf.DUMMYFUNCTION("""COMPUTED_VALUE"""),"電烤盤/爐")</f>
        <v>電烤盤/爐</v>
      </c>
      <c r="O1052" s="12" t="str">
        <f ca="1">IFERROR(__xludf.DUMMYFUNCTION("""COMPUTED_VALUE"""),"紅色")</f>
        <v>紅色</v>
      </c>
      <c r="P1052" s="12"/>
      <c r="Q1052" s="12" t="str">
        <f ca="1">IFERROR(__xludf.DUMMYFUNCTION("""COMPUTED_VALUE"""),"高155 x 寬250 x 深445 mm")</f>
        <v>高155 x 寬250 x 深445 mm</v>
      </c>
      <c r="R1052" s="12" t="str">
        <f ca="1">IFERROR(__xludf.DUMMYFUNCTION("""COMPUTED_VALUE"""),"中國")</f>
        <v>中國</v>
      </c>
      <c r="S1052" s="12"/>
      <c r="T1052" s="12"/>
      <c r="U1052" s="12" t="str">
        <f ca="1">IFERROR(__xludf.DUMMYFUNCTION("""COMPUTED_VALUE"""),"1年")</f>
        <v>1年</v>
      </c>
      <c r="V1052" s="12"/>
      <c r="W1052" s="12"/>
      <c r="X1052" s="12"/>
      <c r="Y1052" s="12"/>
      <c r="Z1052" s="14"/>
      <c r="AA1052" s="15" t="str">
        <f ca="1">IFERROR(__xludf.DUMMYFUNCTION("""COMPUTED_VALUE"""),"*隨附燒烤盤、平煎盤、陶瓷深鍋+蒸盤、蒸籠、章魚燒烤盤*烤盤內嵌加熱器設計，實現和在爐火上相同效果的快速導熱*四段溫控選擇，可自由選擇喜好的溫度 *主機可拆卸清洗，清潔便利*簡約美型設計，適合搭配各式家具或餐具擺設*主機採中空結構設計*隨附13道精緻食譜")</f>
        <v>*隨附燒烤盤、平煎盤、陶瓷深鍋+蒸盤、蒸籠、章魚燒烤盤*烤盤內嵌加熱器設計，實現和在爐火上相同效果的快速導熱*四段溫控選擇，可自由選擇喜好的溫度 *主機可拆卸清洗，清潔便利*簡約美型設計，適合搭配各式家具或餐具擺設*主機採中空結構設計*隨附13道精緻食譜</v>
      </c>
    </row>
    <row r="1053" spans="1:27" ht="19.5" customHeight="1">
      <c r="A1053" s="12" t="str">
        <f ca="1">IFERROR(__xludf.DUMMYFUNCTION("""COMPUTED_VALUE"""),"廚房家電")</f>
        <v>廚房家電</v>
      </c>
      <c r="B1053" s="12" t="str">
        <f ca="1">IFERROR(__xludf.DUMMYFUNCTION("""COMPUTED_VALUE"""),"丞閈")</f>
        <v>丞閈</v>
      </c>
      <c r="C1053" s="12" t="str">
        <f ca="1">IFERROR(__xludf.DUMMYFUNCTION("""COMPUTED_VALUE"""),"recolte")</f>
        <v>recolte</v>
      </c>
      <c r="D1053" s="12" t="str">
        <f ca="1">IFERROR(__xludf.DUMMYFUNCTION("""COMPUTED_VALUE"""),"Toffy Premium全自動錐形研磨咖啡機 K-CM9(黑)")</f>
        <v>Toffy Premium全自動錐形研磨咖啡機 K-CM9(黑)</v>
      </c>
      <c r="E1053" s="12" t="str">
        <f ca="1">IFERROR(__xludf.DUMMYFUNCTION("""COMPUTED_VALUE"""),"K-CM9(黑)")</f>
        <v>K-CM9(黑)</v>
      </c>
      <c r="F1053" s="12">
        <f ca="1">IFERROR(__xludf.DUMMYFUNCTION("""COMPUTED_VALUE"""),51003048)</f>
        <v>51003048</v>
      </c>
      <c r="G1053" s="12" t="str">
        <f ca="1">IFERROR(__xludf.DUMMYFUNCTION("""COMPUTED_VALUE"""),"IGEM111H")</f>
        <v>IGEM111H</v>
      </c>
      <c r="H1053" s="13">
        <f ca="1">IFERROR(__xludf.DUMMYFUNCTION("""COMPUTED_VALUE"""),8990)</f>
        <v>8990</v>
      </c>
      <c r="I1053" s="14">
        <f ca="1">IFERROR(__xludf.DUMMYFUNCTION("""COMPUTED_VALUE"""),5980)</f>
        <v>5980</v>
      </c>
      <c r="J1053" s="16">
        <f ca="1">IFERROR(__xludf.DUMMYFUNCTION("""COMPUTED_VALUE"""),45597)</f>
        <v>45597</v>
      </c>
      <c r="K1053" s="12" t="str">
        <f ca="1">IFERROR(__xludf.DUMMYFUNCTION("""COMPUTED_VALUE"""),"新機上架")</f>
        <v>新機上架</v>
      </c>
      <c r="L1053" s="12" t="str">
        <f ca="1">IFERROR(__xludf.DUMMYFUNCTION("""COMPUTED_VALUE"""),"上架中")</f>
        <v>上架中</v>
      </c>
      <c r="M1053" s="12" t="str">
        <f ca="1">IFERROR(__xludf.DUMMYFUNCTION("""COMPUTED_VALUE"""),"2024/11/1新機上架")</f>
        <v>2024/11/1新機上架</v>
      </c>
      <c r="N1053" s="12" t="str">
        <f ca="1">IFERROR(__xludf.DUMMYFUNCTION("""COMPUTED_VALUE"""),"咖啡機/磨豆器")</f>
        <v>咖啡機/磨豆器</v>
      </c>
      <c r="O1053" s="12" t="str">
        <f ca="1">IFERROR(__xludf.DUMMYFUNCTION("""COMPUTED_VALUE"""),"黑色")</f>
        <v>黑色</v>
      </c>
      <c r="P1053" s="12"/>
      <c r="Q1053" s="12" t="str">
        <f ca="1">IFERROR(__xludf.DUMMYFUNCTION("""COMPUTED_VALUE"""),"高430 x 寬325 x 深170 mm")</f>
        <v>高430 x 寬325 x 深170 mm</v>
      </c>
      <c r="R1053" s="12" t="str">
        <f ca="1">IFERROR(__xludf.DUMMYFUNCTION("""COMPUTED_VALUE"""),"中國")</f>
        <v>中國</v>
      </c>
      <c r="S1053" s="12"/>
      <c r="T1053" s="12"/>
      <c r="U1053" s="12" t="str">
        <f ca="1">IFERROR(__xludf.DUMMYFUNCTION("""COMPUTED_VALUE"""),"1年")</f>
        <v>1年</v>
      </c>
      <c r="V1053" s="12"/>
      <c r="W1053" s="12"/>
      <c r="X1053" s="12"/>
      <c r="Y1053" s="12"/>
      <c r="Z1053" s="14"/>
      <c r="AA1053" s="15" t="str">
        <f ca="1">IFERROR(__xludf.DUMMYFUNCTION("""COMPUTED_VALUE"""),"*榮獲日本各大雜誌及職人推薦*咖啡豆、咖啡粉兩種咖啡模式*錐形研磨刀盤，2種水溫調整*120公克儲豆盒，可當磨豆機*650ml水箱設計*10種杯數設定、3種濃度、粗細*預約定時功能*3種清潔模式搭載*水箱可拆卸清洗")</f>
        <v>*榮獲日本各大雜誌及職人推薦*咖啡豆、咖啡粉兩種咖啡模式*錐形研磨刀盤，2種水溫調整*120公克儲豆盒，可當磨豆機*650ml水箱設計*10種杯數設定、3種濃度、粗細*預約定時功能*3種清潔模式搭載*水箱可拆卸清洗</v>
      </c>
    </row>
    <row r="1054" spans="1:27" ht="19.5" customHeight="1">
      <c r="A1054" s="12" t="str">
        <f ca="1">IFERROR(__xludf.DUMMYFUNCTION("""COMPUTED_VALUE"""),"廚房家電")</f>
        <v>廚房家電</v>
      </c>
      <c r="B1054" s="12" t="str">
        <f ca="1">IFERROR(__xludf.DUMMYFUNCTION("""COMPUTED_VALUE"""),"丞閈")</f>
        <v>丞閈</v>
      </c>
      <c r="C1054" s="12" t="str">
        <f ca="1">IFERROR(__xludf.DUMMYFUNCTION("""COMPUTED_VALUE"""),"recolte")</f>
        <v>recolte</v>
      </c>
      <c r="D1054" s="12" t="str">
        <f ca="1">IFERROR(__xludf.DUMMYFUNCTION("""COMPUTED_VALUE"""),"Toffy Premium全自動錐形研磨咖啡機 K-CM9(白)")</f>
        <v>Toffy Premium全自動錐形研磨咖啡機 K-CM9(白)</v>
      </c>
      <c r="E1054" s="12" t="str">
        <f ca="1">IFERROR(__xludf.DUMMYFUNCTION("""COMPUTED_VALUE"""),"K-CM9(白)")</f>
        <v>K-CM9(白)</v>
      </c>
      <c r="F1054" s="12">
        <f ca="1">IFERROR(__xludf.DUMMYFUNCTION("""COMPUTED_VALUE"""),51003049)</f>
        <v>51003049</v>
      </c>
      <c r="G1054" s="12" t="str">
        <f ca="1">IFERROR(__xludf.DUMMYFUNCTION("""COMPUTED_VALUE"""),"IGEM111I")</f>
        <v>IGEM111I</v>
      </c>
      <c r="H1054" s="13">
        <f ca="1">IFERROR(__xludf.DUMMYFUNCTION("""COMPUTED_VALUE"""),8990)</f>
        <v>8990</v>
      </c>
      <c r="I1054" s="14">
        <f ca="1">IFERROR(__xludf.DUMMYFUNCTION("""COMPUTED_VALUE"""),5980)</f>
        <v>5980</v>
      </c>
      <c r="J1054" s="16">
        <f ca="1">IFERROR(__xludf.DUMMYFUNCTION("""COMPUTED_VALUE"""),45597)</f>
        <v>45597</v>
      </c>
      <c r="K1054" s="12" t="str">
        <f ca="1">IFERROR(__xludf.DUMMYFUNCTION("""COMPUTED_VALUE"""),"新機上架")</f>
        <v>新機上架</v>
      </c>
      <c r="L1054" s="12" t="str">
        <f ca="1">IFERROR(__xludf.DUMMYFUNCTION("""COMPUTED_VALUE"""),"上架中")</f>
        <v>上架中</v>
      </c>
      <c r="M1054" s="12" t="str">
        <f ca="1">IFERROR(__xludf.DUMMYFUNCTION("""COMPUTED_VALUE"""),"2024/11/1新機上架")</f>
        <v>2024/11/1新機上架</v>
      </c>
      <c r="N1054" s="12" t="str">
        <f ca="1">IFERROR(__xludf.DUMMYFUNCTION("""COMPUTED_VALUE"""),"咖啡機/磨豆器")</f>
        <v>咖啡機/磨豆器</v>
      </c>
      <c r="O1054" s="12" t="str">
        <f ca="1">IFERROR(__xludf.DUMMYFUNCTION("""COMPUTED_VALUE"""),"白色")</f>
        <v>白色</v>
      </c>
      <c r="P1054" s="12"/>
      <c r="Q1054" s="12" t="str">
        <f ca="1">IFERROR(__xludf.DUMMYFUNCTION("""COMPUTED_VALUE"""),"高430 x 寬325 x 深170 mm")</f>
        <v>高430 x 寬325 x 深170 mm</v>
      </c>
      <c r="R1054" s="12" t="str">
        <f ca="1">IFERROR(__xludf.DUMMYFUNCTION("""COMPUTED_VALUE"""),"中國")</f>
        <v>中國</v>
      </c>
      <c r="S1054" s="12"/>
      <c r="T1054" s="12"/>
      <c r="U1054" s="12" t="str">
        <f ca="1">IFERROR(__xludf.DUMMYFUNCTION("""COMPUTED_VALUE"""),"1年")</f>
        <v>1年</v>
      </c>
      <c r="V1054" s="12"/>
      <c r="W1054" s="12"/>
      <c r="X1054" s="12"/>
      <c r="Y1054" s="12"/>
      <c r="Z1054" s="14"/>
      <c r="AA1054" s="15" t="str">
        <f ca="1">IFERROR(__xludf.DUMMYFUNCTION("""COMPUTED_VALUE"""),"*榮獲日本各大雜誌及職人推薦*咖啡豆、咖啡粉兩種咖啡模式*錐形研磨刀盤，2種水溫調整*120公克儲豆盒，可當磨豆機*650ml水箱設計*10種杯數設定、3種濃度、粗細*預約定時功能*3種清潔模式搭載*水箱可拆卸清洗")</f>
        <v>*榮獲日本各大雜誌及職人推薦*咖啡豆、咖啡粉兩種咖啡模式*錐形研磨刀盤，2種水溫調整*120公克儲豆盒，可當磨豆機*650ml水箱設計*10種杯數設定、3種濃度、粗細*預約定時功能*3種清潔模式搭載*水箱可拆卸清洗</v>
      </c>
    </row>
    <row r="1055" spans="1:27" ht="19.5" customHeight="1">
      <c r="A1055" s="12" t="str">
        <f ca="1">IFERROR(__xludf.DUMMYFUNCTION("""COMPUTED_VALUE"""),"廚房家電")</f>
        <v>廚房家電</v>
      </c>
      <c r="B1055" s="12" t="str">
        <f ca="1">IFERROR(__xludf.DUMMYFUNCTION("""COMPUTED_VALUE"""),"丞閈")</f>
        <v>丞閈</v>
      </c>
      <c r="C1055" s="12" t="str">
        <f ca="1">IFERROR(__xludf.DUMMYFUNCTION("""COMPUTED_VALUE"""),"recolte")</f>
        <v>recolte</v>
      </c>
      <c r="D1055" s="12" t="str">
        <f ca="1">IFERROR(__xludf.DUMMYFUNCTION("""COMPUTED_VALUE"""),"recolte麗克特 Carre調理鍋RPD-4(灰濛粉)")</f>
        <v>recolte麗克特 Carre調理鍋RPD-4(灰濛粉)</v>
      </c>
      <c r="E1055" s="12" t="str">
        <f ca="1">IFERROR(__xludf.DUMMYFUNCTION("""COMPUTED_VALUE"""),"RPD-4(PK)")</f>
        <v>RPD-4(PK)</v>
      </c>
      <c r="F1055" s="12">
        <f ca="1">IFERROR(__xludf.DUMMYFUNCTION("""COMPUTED_VALUE"""),51003050)</f>
        <v>51003050</v>
      </c>
      <c r="G1055" s="12" t="str">
        <f ca="1">IFERROR(__xludf.DUMMYFUNCTION("""COMPUTED_VALUE"""),"IGEM114A")</f>
        <v>IGEM114A</v>
      </c>
      <c r="H1055" s="13">
        <f ca="1">IFERROR(__xludf.DUMMYFUNCTION("""COMPUTED_VALUE"""),3990)</f>
        <v>3990</v>
      </c>
      <c r="I1055" s="14">
        <f ca="1">IFERROR(__xludf.DUMMYFUNCTION("""COMPUTED_VALUE"""),2480)</f>
        <v>2480</v>
      </c>
      <c r="J1055" s="16">
        <f ca="1">IFERROR(__xludf.DUMMYFUNCTION("""COMPUTED_VALUE"""),45627)</f>
        <v>45627</v>
      </c>
      <c r="K1055" s="12" t="str">
        <f ca="1">IFERROR(__xludf.DUMMYFUNCTION("""COMPUTED_VALUE"""),"新機上架")</f>
        <v>新機上架</v>
      </c>
      <c r="L1055" s="12" t="str">
        <f ca="1">IFERROR(__xludf.DUMMYFUNCTION("""COMPUTED_VALUE"""),"上架中")</f>
        <v>上架中</v>
      </c>
      <c r="M1055" s="12" t="str">
        <f ca="1">IFERROR(__xludf.DUMMYFUNCTION("""COMPUTED_VALUE"""),"2024/12/1新機上架")</f>
        <v>2024/12/1新機上架</v>
      </c>
      <c r="N1055" s="12" t="str">
        <f ca="1">IFERROR(__xludf.DUMMYFUNCTION("""COMPUTED_VALUE"""),"多功能調理鍋/蒸氣烘烤爐")</f>
        <v>多功能調理鍋/蒸氣烘烤爐</v>
      </c>
      <c r="O1055" s="12" t="str">
        <f ca="1">IFERROR(__xludf.DUMMYFUNCTION("""COMPUTED_VALUE"""),"粉色")</f>
        <v>粉色</v>
      </c>
      <c r="P1055" s="12" t="str">
        <f ca="1">IFERROR(__xludf.DUMMYFUNCTION("""COMPUTED_VALUE"""),"1.3L")</f>
        <v>1.3L</v>
      </c>
      <c r="Q1055" s="12" t="str">
        <f ca="1">IFERROR(__xludf.DUMMYFUNCTION("""COMPUTED_VALUE"""),"高175 x 寬200 x 深200 (mm)")</f>
        <v>高175 x 寬200 x 深200 (mm)</v>
      </c>
      <c r="R1055" s="12" t="str">
        <f ca="1">IFERROR(__xludf.DUMMYFUNCTION("""COMPUTED_VALUE"""),"中國")</f>
        <v>中國</v>
      </c>
      <c r="S1055" s="12"/>
      <c r="T1055" s="12"/>
      <c r="U1055" s="12" t="str">
        <f ca="1">IFERROR(__xludf.DUMMYFUNCTION("""COMPUTED_VALUE"""),"1年")</f>
        <v>1年</v>
      </c>
      <c r="V1055" s="12"/>
      <c r="W1055" s="12"/>
      <c r="X1055" s="12"/>
      <c r="Y1055" s="12"/>
      <c r="Z1055" s="14"/>
      <c r="AA1055" s="15" t="str">
        <f ca="1">IFERROR(__xludf.DUMMYFUNCTION("""COMPUTED_VALUE"""),"*煮、炊、蒸、炸、燒烤一鍋五役*三段溫度選擇、具加熱指示燈*1.3L陶瓷鍋，適合1~2人小家庭使用*隨附陶瓷鍋、燒烤盤、蒸架、控油架等多種配件*隨附原廠專用精緻食譜")</f>
        <v>*煮、炊、蒸、炸、燒烤一鍋五役*三段溫度選擇、具加熱指示燈*1.3L陶瓷鍋，適合1~2人小家庭使用*隨附陶瓷鍋、燒烤盤、蒸架、控油架等多種配件*隨附原廠專用精緻食譜</v>
      </c>
    </row>
    <row r="1056" spans="1:27" ht="19.5" customHeight="1">
      <c r="A1056" s="12" t="str">
        <f ca="1">IFERROR(__xludf.DUMMYFUNCTION("""COMPUTED_VALUE"""),"廚房家電")</f>
        <v>廚房家電</v>
      </c>
      <c r="B1056" s="12" t="str">
        <f ca="1">IFERROR(__xludf.DUMMYFUNCTION("""COMPUTED_VALUE"""),"可易")</f>
        <v>可易</v>
      </c>
      <c r="C1056" s="12" t="str">
        <f ca="1">IFERROR(__xludf.DUMMYFUNCTION("""COMPUTED_VALUE"""),"千石阿拉丁")</f>
        <v>千石阿拉丁</v>
      </c>
      <c r="D1056" s="12" t="str">
        <f ca="1">IFERROR(__xludf.DUMMYFUNCTION("""COMPUTED_VALUE"""),"日本 Sengoku Aladdin 千石阿拉丁 2枚燒復古多用途烤箱 AET-GS13T-G (綠色)")</f>
        <v>日本 Sengoku Aladdin 千石阿拉丁 2枚燒復古多用途烤箱 AET-GS13T-G (綠色)</v>
      </c>
      <c r="E1056" s="12" t="str">
        <f ca="1">IFERROR(__xludf.DUMMYFUNCTION("""COMPUTED_VALUE"""),"AET-GS13T-G")</f>
        <v>AET-GS13T-G</v>
      </c>
      <c r="F1056" s="12">
        <f ca="1">IFERROR(__xludf.DUMMYFUNCTION("""COMPUTED_VALUE"""),51075096)</f>
        <v>51075096</v>
      </c>
      <c r="G1056" s="12" t="str">
        <f ca="1">IFERROR(__xludf.DUMMYFUNCTION("""COMPUTED_VALUE"""),"IGEM107K")</f>
        <v>IGEM107K</v>
      </c>
      <c r="H1056" s="13">
        <f ca="1">IFERROR(__xludf.DUMMYFUNCTION("""COMPUTED_VALUE"""),8190)</f>
        <v>8190</v>
      </c>
      <c r="I1056" s="14">
        <f ca="1">IFERROR(__xludf.DUMMYFUNCTION("""COMPUTED_VALUE"""),3590)</f>
        <v>3590</v>
      </c>
      <c r="J1056" s="16">
        <f ca="1">IFERROR(__xludf.DUMMYFUNCTION("""COMPUTED_VALUE"""),45566)</f>
        <v>45566</v>
      </c>
      <c r="K1056" s="12" t="str">
        <f ca="1">IFERROR(__xludf.DUMMYFUNCTION("""COMPUTED_VALUE"""),"短促")</f>
        <v>短促</v>
      </c>
      <c r="L1056" s="12" t="str">
        <f ca="1">IFERROR(__xludf.DUMMYFUNCTION("""COMPUTED_VALUE"""),"上架中")</f>
        <v>上架中</v>
      </c>
      <c r="M1056" s="12" t="str">
        <f ca="1">IFERROR(__xludf.DUMMYFUNCTION("""COMPUTED_VALUE"""),"2024/10/1短促，2024/8/1新機上架")</f>
        <v>2024/10/1短促，2024/8/1新機上架</v>
      </c>
      <c r="N1056" s="12" t="str">
        <f ca="1">IFERROR(__xludf.DUMMYFUNCTION("""COMPUTED_VALUE"""),"烤箱")</f>
        <v>烤箱</v>
      </c>
      <c r="O1056" s="12" t="str">
        <f ca="1">IFERROR(__xludf.DUMMYFUNCTION("""COMPUTED_VALUE"""),"綠色")</f>
        <v>綠色</v>
      </c>
      <c r="P1056" s="12" t="str">
        <f ca="1">IFERROR(__xludf.DUMMYFUNCTION("""COMPUTED_VALUE"""),"設計/產地：日本設計/中國製造
 尺寸(cm)：
 外型尺寸/長36、寬26、高23(CM)
 重量(kg)：5.2
 電壓：110V
 額定消耗功率：1350W
 電線長度：1.2M
 型號：AET-GS13T
 BSMI: R3B770
 其它說明：溫度設定100度-280度，時間設定(單次) :0分-15分
 售後服務: 正常使用下全機保固一年(不包含主機的配件)")</f>
        <v>設計/產地：日本設計/中國製造
 尺寸(cm)：
 外型尺寸/長36、寬26、高23(CM)
 重量(kg)：5.2
 電壓：110V
 額定消耗功率：1350W
 電線長度：1.2M
 型號：AET-GS13T
 BSMI: R3B770
 其它說明：溫度設定100度-280度，時間設定(單次) :0分-15分
 售後服務: 正常使用下全機保固一年(不包含主機的配件)</v>
      </c>
      <c r="Q1056" s="12" t="str">
        <f ca="1">IFERROR(__xludf.DUMMYFUNCTION("""COMPUTED_VALUE"""),"350*265*235mm")</f>
        <v>350*265*235mm</v>
      </c>
      <c r="R1056" s="12" t="str">
        <f ca="1">IFERROR(__xludf.DUMMYFUNCTION("""COMPUTED_VALUE"""),"中國")</f>
        <v>中國</v>
      </c>
      <c r="S1056" s="12"/>
      <c r="T1056" s="12"/>
      <c r="U1056" s="12" t="str">
        <f ca="1">IFERROR(__xludf.DUMMYFUNCTION("""COMPUTED_VALUE"""),"正常使用下全機保固一年(不包含主機的配件)")</f>
        <v>正常使用下全機保固一年(不包含主機的配件)</v>
      </c>
      <c r="V1056" s="12"/>
      <c r="W1056" s="12"/>
      <c r="X1056" s="12"/>
      <c r="Y1056" s="12"/>
      <c r="Z1056" s="14"/>
      <c r="AA1056" s="15" t="str">
        <f ca="1">IFERROR(__xludf.DUMMYFUNCTION("""COMPUTED_VALUE"""),"*人氣熱銷突破300萬台*日本獨家專利0.2秒瞬熱*主婦好幫手！蒸、烤、煮、加熱一台搞定（附贈專用烤盤）*採世界首創遠紅外石墨燈管，可達280度超高溫*台灣總代理，5大保證保固維修好安心")</f>
        <v>*人氣熱銷突破300萬台*日本獨家專利0.2秒瞬熱*主婦好幫手！蒸、烤、煮、加熱一台搞定（附贈專用烤盤）*採世界首創遠紅外石墨燈管，可達280度超高溫*台灣總代理，5大保證保固維修好安心</v>
      </c>
    </row>
    <row r="1057" spans="1:27" ht="19.5" customHeight="1">
      <c r="A1057" s="12" t="str">
        <f ca="1">IFERROR(__xludf.DUMMYFUNCTION("""COMPUTED_VALUE"""),"廚房家電")</f>
        <v>廚房家電</v>
      </c>
      <c r="B1057" s="12" t="str">
        <f ca="1">IFERROR(__xludf.DUMMYFUNCTION("""COMPUTED_VALUE"""),"可易")</f>
        <v>可易</v>
      </c>
      <c r="C1057" s="12" t="str">
        <f ca="1">IFERROR(__xludf.DUMMYFUNCTION("""COMPUTED_VALUE"""),"千石阿拉丁")</f>
        <v>千石阿拉丁</v>
      </c>
      <c r="D1057" s="12" t="str">
        <f ca="1">IFERROR(__xludf.DUMMYFUNCTION("""COMPUTED_VALUE"""),"日本 Sengoku Aladdin 千石阿拉丁 2枚燒復古多用途烤箱 AET-GS13T-W (白色)")</f>
        <v>日本 Sengoku Aladdin 千石阿拉丁 2枚燒復古多用途烤箱 AET-GS13T-W (白色)</v>
      </c>
      <c r="E1057" s="12" t="str">
        <f ca="1">IFERROR(__xludf.DUMMYFUNCTION("""COMPUTED_VALUE"""),"AET-GS13T-W")</f>
        <v>AET-GS13T-W</v>
      </c>
      <c r="F1057" s="12">
        <f ca="1">IFERROR(__xludf.DUMMYFUNCTION("""COMPUTED_VALUE"""),51075097)</f>
        <v>51075097</v>
      </c>
      <c r="G1057" s="12" t="str">
        <f ca="1">IFERROR(__xludf.DUMMYFUNCTION("""COMPUTED_VALUE"""),"IGEM107L")</f>
        <v>IGEM107L</v>
      </c>
      <c r="H1057" s="13">
        <f ca="1">IFERROR(__xludf.DUMMYFUNCTION("""COMPUTED_VALUE"""),8190)</f>
        <v>8190</v>
      </c>
      <c r="I1057" s="14">
        <f ca="1">IFERROR(__xludf.DUMMYFUNCTION("""COMPUTED_VALUE"""),3590)</f>
        <v>3590</v>
      </c>
      <c r="J1057" s="16">
        <f ca="1">IFERROR(__xludf.DUMMYFUNCTION("""COMPUTED_VALUE"""),45566)</f>
        <v>45566</v>
      </c>
      <c r="K1057" s="12" t="str">
        <f ca="1">IFERROR(__xludf.DUMMYFUNCTION("""COMPUTED_VALUE"""),"短促")</f>
        <v>短促</v>
      </c>
      <c r="L1057" s="12" t="str">
        <f ca="1">IFERROR(__xludf.DUMMYFUNCTION("""COMPUTED_VALUE"""),"上架中")</f>
        <v>上架中</v>
      </c>
      <c r="M1057" s="12" t="str">
        <f ca="1">IFERROR(__xludf.DUMMYFUNCTION("""COMPUTED_VALUE"""),"2024/10/1短促，2024/8/1新機上架")</f>
        <v>2024/10/1短促，2024/8/1新機上架</v>
      </c>
      <c r="N1057" s="12" t="str">
        <f ca="1">IFERROR(__xludf.DUMMYFUNCTION("""COMPUTED_VALUE"""),"烤箱")</f>
        <v>烤箱</v>
      </c>
      <c r="O1057" s="12" t="str">
        <f ca="1">IFERROR(__xludf.DUMMYFUNCTION("""COMPUTED_VALUE"""),"白色")</f>
        <v>白色</v>
      </c>
      <c r="P1057" s="12" t="str">
        <f ca="1">IFERROR(__xludf.DUMMYFUNCTION("""COMPUTED_VALUE"""),"設計/產地：日本設計/中國製造
 尺寸(cm)：
 外型尺寸/長36、寬26、高23(CM)
 重量(kg)：5.2
 電壓：110V
 額定消耗功率：1350W
 電線長度：1.2M
 型號：AET-GS13T
 BSMI: R3B770
 其它說明：溫度設定100度-280度，時間設定(單次) :0分-15分
 售後服務: 正常使用下全機保固一年(不包含主機的配件)")</f>
        <v>設計/產地：日本設計/中國製造
 尺寸(cm)：
 外型尺寸/長36、寬26、高23(CM)
 重量(kg)：5.2
 電壓：110V
 額定消耗功率：1350W
 電線長度：1.2M
 型號：AET-GS13T
 BSMI: R3B770
 其它說明：溫度設定100度-280度，時間設定(單次) :0分-15分
 售後服務: 正常使用下全機保固一年(不包含主機的配件)</v>
      </c>
      <c r="Q1057" s="12" t="str">
        <f ca="1">IFERROR(__xludf.DUMMYFUNCTION("""COMPUTED_VALUE"""),"350*265*235mm")</f>
        <v>350*265*235mm</v>
      </c>
      <c r="R1057" s="12" t="str">
        <f ca="1">IFERROR(__xludf.DUMMYFUNCTION("""COMPUTED_VALUE"""),"中國")</f>
        <v>中國</v>
      </c>
      <c r="S1057" s="12"/>
      <c r="T1057" s="12"/>
      <c r="U1057" s="12" t="str">
        <f ca="1">IFERROR(__xludf.DUMMYFUNCTION("""COMPUTED_VALUE"""),"正常使用下全機保固一年(不包含主機的配件)")</f>
        <v>正常使用下全機保固一年(不包含主機的配件)</v>
      </c>
      <c r="V1057" s="12"/>
      <c r="W1057" s="12"/>
      <c r="X1057" s="12"/>
      <c r="Y1057" s="12"/>
      <c r="Z1057" s="14"/>
      <c r="AA1057" s="15" t="str">
        <f ca="1">IFERROR(__xludf.DUMMYFUNCTION("""COMPUTED_VALUE"""),"*人氣熱銷突破300萬台*日本獨家專利0.2秒瞬熱*主婦好幫手！蒸、烤、煮、加熱一台搞定（附贈專用烤盤）*採世界首創遠紅外石墨燈管，可達280度超高溫*台灣總代理，5大保證保固維修好安心")</f>
        <v>*人氣熱銷突破300萬台*日本獨家專利0.2秒瞬熱*主婦好幫手！蒸、烤、煮、加熱一台搞定（附贈專用烤盤）*採世界首創遠紅外石墨燈管，可達280度超高溫*台灣總代理，5大保證保固維修好安心</v>
      </c>
    </row>
    <row r="1058" spans="1:27" ht="19.5" customHeight="1">
      <c r="A1058" s="12" t="str">
        <f ca="1">IFERROR(__xludf.DUMMYFUNCTION("""COMPUTED_VALUE"""),"廚房家電")</f>
        <v>廚房家電</v>
      </c>
      <c r="B1058" s="12" t="str">
        <f ca="1">IFERROR(__xludf.DUMMYFUNCTION("""COMPUTED_VALUE"""),"神腦")</f>
        <v>神腦</v>
      </c>
      <c r="C1058" s="12" t="str">
        <f ca="1">IFERROR(__xludf.DUMMYFUNCTION("""COMPUTED_VALUE"""),"LG")</f>
        <v>LG</v>
      </c>
      <c r="D1058" s="12" t="str">
        <f ca="1">IFERROR(__xludf.DUMMYFUNCTION("""COMPUTED_VALUE"""),"LG 39L NeoChef 智慧變頻蒸烘烤微波爐 MJ3965ACR")</f>
        <v>LG 39L NeoChef 智慧變頻蒸烘烤微波爐 MJ3965ACR</v>
      </c>
      <c r="E1058" s="12" t="str">
        <f ca="1">IFERROR(__xludf.DUMMYFUNCTION("""COMPUTED_VALUE"""),"MJ3965ACR")</f>
        <v>MJ3965ACR</v>
      </c>
      <c r="F1058" s="12">
        <f ca="1">IFERROR(__xludf.DUMMYFUNCTION("""COMPUTED_VALUE"""),51016618)</f>
        <v>51016618</v>
      </c>
      <c r="G1058" s="12" t="str">
        <f ca="1">IFERROR(__xludf.DUMMYFUNCTION("""COMPUTED_VALUE"""),"IGEM117U")</f>
        <v>IGEM117U</v>
      </c>
      <c r="H1058" s="13">
        <f ca="1">IFERROR(__xludf.DUMMYFUNCTION("""COMPUTED_VALUE"""),20900)</f>
        <v>20900</v>
      </c>
      <c r="I1058" s="14">
        <f ca="1">IFERROR(__xludf.DUMMYFUNCTION("""COMPUTED_VALUE"""),19900)</f>
        <v>19900</v>
      </c>
      <c r="J1058" s="16">
        <f ca="1">IFERROR(__xludf.DUMMYFUNCTION("""COMPUTED_VALUE"""),45674)</f>
        <v>45674</v>
      </c>
      <c r="K1058" s="12" t="str">
        <f ca="1">IFERROR(__xludf.DUMMYFUNCTION("""COMPUTED_VALUE"""),"新機上架")</f>
        <v>新機上架</v>
      </c>
      <c r="L1058" s="12" t="str">
        <f ca="1">IFERROR(__xludf.DUMMYFUNCTION("""COMPUTED_VALUE"""),"上架中")</f>
        <v>上架中</v>
      </c>
      <c r="M1058" s="12" t="str">
        <f ca="1">IFERROR(__xludf.DUMMYFUNCTION("""COMPUTED_VALUE"""),"2025/1/17上架，少量到貨")</f>
        <v>2025/1/17上架，少量到貨</v>
      </c>
      <c r="N1058" s="12" t="str">
        <f ca="1">IFERROR(__xludf.DUMMYFUNCTION("""COMPUTED_VALUE"""),"微波爐")</f>
        <v>微波爐</v>
      </c>
      <c r="O1058" s="12" t="str">
        <f ca="1">IFERROR(__xludf.DUMMYFUNCTION("""COMPUTED_VALUE"""),"典雅銀")</f>
        <v>典雅銀</v>
      </c>
      <c r="P1058" s="12" t="str">
        <f ca="1">IFERROR(__xludf.DUMMYFUNCTION("""COMPUTED_VALUE"""),"39L")</f>
        <v>39L</v>
      </c>
      <c r="Q1058" s="12" t="str">
        <f ca="1">IFERROR(__xludf.DUMMYFUNCTION("""COMPUTED_VALUE"""),"327 x 544 x 525 mm")</f>
        <v>327 x 544 x 525 mm</v>
      </c>
      <c r="R1058" s="12" t="str">
        <f ca="1">IFERROR(__xludf.DUMMYFUNCTION("""COMPUTED_VALUE"""),"中國")</f>
        <v>中國</v>
      </c>
      <c r="S1058" s="12"/>
      <c r="T1058" s="12"/>
      <c r="U1058" s="12" t="str">
        <f ca="1">IFERROR(__xludf.DUMMYFUNCTION("""COMPUTED_VALUE"""),"1年")</f>
        <v>1年</v>
      </c>
      <c r="V1058" s="12"/>
      <c r="W1058" s="12"/>
      <c r="X1058" s="12"/>
      <c r="Y1058" s="12"/>
      <c r="Z1058" s="14"/>
      <c r="AA1058" s="15" t="str">
        <f ca="1">IFERROR(__xludf.DUMMYFUNCTION("""COMPUTED_VALUE"""),"*LGNeoChef™智慧變頻科技*高效率均溫烹調技術*蒸氣燒烤氣炸一機多用*99.99%抗菌易清潔塗層™*奢華鏡面觸控面板*極窄機體質感設計")</f>
        <v>*LGNeoChef™智慧變頻科技*高效率均溫烹調技術*蒸氣燒烤氣炸一機多用*99.99%抗菌易清潔塗層™*奢華鏡面觸控面板*極窄機體質感設計</v>
      </c>
    </row>
    <row r="1059" spans="1:27" ht="19.5" customHeight="1">
      <c r="A1059" s="12" t="str">
        <f ca="1">IFERROR(__xludf.DUMMYFUNCTION("""COMPUTED_VALUE"""),"廚房家電")</f>
        <v>廚房家電</v>
      </c>
      <c r="B1059" s="12" t="str">
        <f ca="1">IFERROR(__xludf.DUMMYFUNCTION("""COMPUTED_VALUE"""),"神腦")</f>
        <v>神腦</v>
      </c>
      <c r="C1059" s="12" t="str">
        <f ca="1">IFERROR(__xludf.DUMMYFUNCTION("""COMPUTED_VALUE"""),"LG")</f>
        <v>LG</v>
      </c>
      <c r="D1059" s="12" t="str">
        <f ca="1">IFERROR(__xludf.DUMMYFUNCTION("""COMPUTED_VALUE"""),"LG 25L NeoChef 智慧變頻微波爐 MS2535GIS")</f>
        <v>LG 25L NeoChef 智慧變頻微波爐 MS2535GIS</v>
      </c>
      <c r="E1059" s="12" t="str">
        <f ca="1">IFERROR(__xludf.DUMMYFUNCTION("""COMPUTED_VALUE"""),"MS2535GIS")</f>
        <v>MS2535GIS</v>
      </c>
      <c r="F1059" s="12">
        <f ca="1">IFERROR(__xludf.DUMMYFUNCTION("""COMPUTED_VALUE"""),51016619)</f>
        <v>51016619</v>
      </c>
      <c r="G1059" s="12" t="str">
        <f ca="1">IFERROR(__xludf.DUMMYFUNCTION("""COMPUTED_VALUE"""),"IGEM117V")</f>
        <v>IGEM117V</v>
      </c>
      <c r="H1059" s="13">
        <f ca="1">IFERROR(__xludf.DUMMYFUNCTION("""COMPUTED_VALUE"""),5290)</f>
        <v>5290</v>
      </c>
      <c r="I1059" s="14">
        <f ca="1">IFERROR(__xludf.DUMMYFUNCTION("""COMPUTED_VALUE"""),4190)</f>
        <v>4190</v>
      </c>
      <c r="J1059" s="16">
        <f ca="1">IFERROR(__xludf.DUMMYFUNCTION("""COMPUTED_VALUE"""),45658)</f>
        <v>45658</v>
      </c>
      <c r="K1059" s="12" t="str">
        <f ca="1">IFERROR(__xludf.DUMMYFUNCTION("""COMPUTED_VALUE"""),"新機上架")</f>
        <v>新機上架</v>
      </c>
      <c r="L1059" s="12" t="str">
        <f ca="1">IFERROR(__xludf.DUMMYFUNCTION("""COMPUTED_VALUE"""),"上架中")</f>
        <v>上架中</v>
      </c>
      <c r="M1059" s="12" t="str">
        <f ca="1">IFERROR(__xludf.DUMMYFUNCTION("""COMPUTED_VALUE"""),"2025/1/1上架")</f>
        <v>2025/1/1上架</v>
      </c>
      <c r="N1059" s="12" t="str">
        <f ca="1">IFERROR(__xludf.DUMMYFUNCTION("""COMPUTED_VALUE"""),"微波爐")</f>
        <v>微波爐</v>
      </c>
      <c r="O1059" s="12" t="str">
        <f ca="1">IFERROR(__xludf.DUMMYFUNCTION("""COMPUTED_VALUE"""),"尊爵黑")</f>
        <v>尊爵黑</v>
      </c>
      <c r="P1059" s="12" t="str">
        <f ca="1">IFERROR(__xludf.DUMMYFUNCTION("""COMPUTED_VALUE"""),"25L")</f>
        <v>25L</v>
      </c>
      <c r="Q1059" s="12" t="str">
        <f ca="1">IFERROR(__xludf.DUMMYFUNCTION("""COMPUTED_VALUE"""),"高272*寬476*深369(mm)")</f>
        <v>高272*寬476*深369(mm)</v>
      </c>
      <c r="R1059" s="12" t="str">
        <f ca="1">IFERROR(__xludf.DUMMYFUNCTION("""COMPUTED_VALUE"""),"中國")</f>
        <v>中國</v>
      </c>
      <c r="S1059" s="12"/>
      <c r="T1059" s="12"/>
      <c r="U1059" s="12" t="str">
        <f ca="1">IFERROR(__xludf.DUMMYFUNCTION("""COMPUTED_VALUE"""),"1年")</f>
        <v>1年</v>
      </c>
      <c r="V1059" s="12"/>
      <c r="W1059" s="12"/>
      <c r="X1059" s="12"/>
      <c r="Y1059" s="12"/>
      <c r="Z1059" s="14"/>
      <c r="AA1059" s="15" t="str">
        <f ca="1">IFERROR(__xludf.DUMMYFUNCTION("""COMPUTED_VALUE"""),"*LGNeoChef™智慧變頻科技*高效率均溫烹調技術*99.99%抗菌易清潔塗層™*奢華鏡面觸控面板*極窄機體質感設計")</f>
        <v>*LGNeoChef™智慧變頻科技*高效率均溫烹調技術*99.99%抗菌易清潔塗層™*奢華鏡面觸控面板*極窄機體質感設計</v>
      </c>
    </row>
    <row r="1060" spans="1:27" ht="19.5" customHeight="1">
      <c r="A1060" s="12" t="str">
        <f ca="1">IFERROR(__xludf.DUMMYFUNCTION("""COMPUTED_VALUE"""),"廚房家電")</f>
        <v>廚房家電</v>
      </c>
      <c r="B1060" s="12" t="str">
        <f ca="1">IFERROR(__xludf.DUMMYFUNCTION("""COMPUTED_VALUE"""),"神腦")</f>
        <v>神腦</v>
      </c>
      <c r="C1060" s="12" t="str">
        <f ca="1">IFERROR(__xludf.DUMMYFUNCTION("""COMPUTED_VALUE"""),"LG")</f>
        <v>LG</v>
      </c>
      <c r="D1060" s="12" t="str">
        <f ca="1">IFERROR(__xludf.DUMMYFUNCTION("""COMPUTED_VALUE"""),"LG 42L NeoChef 智慧變頻微波爐 MS4295DIS")</f>
        <v>LG 42L NeoChef 智慧變頻微波爐 MS4295DIS</v>
      </c>
      <c r="E1060" s="12" t="str">
        <f ca="1">IFERROR(__xludf.DUMMYFUNCTION("""COMPUTED_VALUE"""),"MS4295DIS")</f>
        <v>MS4295DIS</v>
      </c>
      <c r="F1060" s="12">
        <f ca="1">IFERROR(__xludf.DUMMYFUNCTION("""COMPUTED_VALUE"""),51016620)</f>
        <v>51016620</v>
      </c>
      <c r="G1060" s="12" t="str">
        <f ca="1">IFERROR(__xludf.DUMMYFUNCTION("""COMPUTED_VALUE"""),"IGEM117W")</f>
        <v>IGEM117W</v>
      </c>
      <c r="H1060" s="13">
        <f ca="1">IFERROR(__xludf.DUMMYFUNCTION("""COMPUTED_VALUE"""),6990)</f>
        <v>6990</v>
      </c>
      <c r="I1060" s="14">
        <f ca="1">IFERROR(__xludf.DUMMYFUNCTION("""COMPUTED_VALUE"""),5990)</f>
        <v>5990</v>
      </c>
      <c r="J1060" s="16">
        <f ca="1">IFERROR(__xludf.DUMMYFUNCTION("""COMPUTED_VALUE"""),45706)</f>
        <v>45706</v>
      </c>
      <c r="K1060" s="12" t="str">
        <f ca="1">IFERROR(__xludf.DUMMYFUNCTION("""COMPUTED_VALUE"""),"短促")</f>
        <v>短促</v>
      </c>
      <c r="L1060" s="12" t="str">
        <f ca="1">IFERROR(__xludf.DUMMYFUNCTION("""COMPUTED_VALUE"""),"上架中")</f>
        <v>上架中</v>
      </c>
      <c r="M1060" s="12" t="str">
        <f ca="1">IFERROR(__xludf.DUMMYFUNCTION("""COMPUTED_VALUE"""),"2025/2/18短促，2025/1/17上架，少量到貨")</f>
        <v>2025/2/18短促，2025/1/17上架，少量到貨</v>
      </c>
      <c r="N1060" s="12" t="str">
        <f ca="1">IFERROR(__xludf.DUMMYFUNCTION("""COMPUTED_VALUE"""),"微波爐")</f>
        <v>微波爐</v>
      </c>
      <c r="O1060" s="12" t="str">
        <f ca="1">IFERROR(__xludf.DUMMYFUNCTION("""COMPUTED_VALUE"""),"尊爵黑")</f>
        <v>尊爵黑</v>
      </c>
      <c r="P1060" s="12" t="str">
        <f ca="1">IFERROR(__xludf.DUMMYFUNCTION("""COMPUTED_VALUE"""),"42L")</f>
        <v>42L</v>
      </c>
      <c r="Q1060" s="12" t="str">
        <f ca="1">IFERROR(__xludf.DUMMYFUNCTION("""COMPUTED_VALUE"""),"高308*寬544*深432(mm)")</f>
        <v>高308*寬544*深432(mm)</v>
      </c>
      <c r="R1060" s="12" t="str">
        <f ca="1">IFERROR(__xludf.DUMMYFUNCTION("""COMPUTED_VALUE"""),"中國")</f>
        <v>中國</v>
      </c>
      <c r="S1060" s="12"/>
      <c r="T1060" s="12"/>
      <c r="U1060" s="12" t="str">
        <f ca="1">IFERROR(__xludf.DUMMYFUNCTION("""COMPUTED_VALUE"""),"1年")</f>
        <v>1年</v>
      </c>
      <c r="V1060" s="12"/>
      <c r="W1060" s="12"/>
      <c r="X1060" s="12"/>
      <c r="Y1060" s="12"/>
      <c r="Z1060" s="14"/>
      <c r="AA1060" s="15" t="str">
        <f ca="1">IFERROR(__xludf.DUMMYFUNCTION("""COMPUTED_VALUE"""),"*LGNeoChef™智慧變頻科技*高效率均溫烹調技術*99.99%抗菌易清潔塗層™*奢華鏡面觸控面板*極窄機體質感設計")</f>
        <v>*LGNeoChef™智慧變頻科技*高效率均溫烹調技術*99.99%抗菌易清潔塗層™*奢華鏡面觸控面板*極窄機體質感設計</v>
      </c>
    </row>
    <row r="1061" spans="1:27" ht="19.5" customHeight="1">
      <c r="A1061" s="12" t="str">
        <f ca="1">IFERROR(__xludf.DUMMYFUNCTION("""COMPUTED_VALUE"""),"除濕機")</f>
        <v>除濕機</v>
      </c>
      <c r="B1061" s="12" t="str">
        <f ca="1">IFERROR(__xludf.DUMMYFUNCTION("""COMPUTED_VALUE"""),"順發")</f>
        <v>順發</v>
      </c>
      <c r="C1061" s="12" t="str">
        <f ca="1">IFERROR(__xludf.DUMMYFUNCTION("""COMPUTED_VALUE"""),"Mitsubishi")</f>
        <v>Mitsubishi</v>
      </c>
      <c r="D1061" s="12" t="str">
        <f ca="1">IFERROR(__xludf.DUMMYFUNCTION("""COMPUTED_VALUE"""),"三菱 Mitsubishi MJ-E120AT-TW 12L日製清淨除濕機_767414")</f>
        <v>三菱 Mitsubishi MJ-E120AT-TW 12L日製清淨除濕機_767414</v>
      </c>
      <c r="E1061" s="12" t="str">
        <f ca="1">IFERROR(__xludf.DUMMYFUNCTION("""COMPUTED_VALUE"""),"MJ-E120AT-TW")</f>
        <v>MJ-E120AT-TW</v>
      </c>
      <c r="F1061" s="12">
        <f ca="1">IFERROR(__xludf.DUMMYFUNCTION("""COMPUTED_VALUE"""),51095619)</f>
        <v>51095619</v>
      </c>
      <c r="G1061" s="12" t="str">
        <f ca="1">IFERROR(__xludf.DUMMYFUNCTION("""COMPUTED_VALUE"""),"IGEM075S")</f>
        <v>IGEM075S</v>
      </c>
      <c r="H1061" s="13">
        <f ca="1">IFERROR(__xludf.DUMMYFUNCTION("""COMPUTED_VALUE"""),17900)</f>
        <v>17900</v>
      </c>
      <c r="I1061" s="14">
        <f ca="1">IFERROR(__xludf.DUMMYFUNCTION("""COMPUTED_VALUE"""),15700)</f>
        <v>15700</v>
      </c>
      <c r="J1061" s="16">
        <f ca="1">IFERROR(__xludf.DUMMYFUNCTION("""COMPUTED_VALUE"""),45717)</f>
        <v>45717</v>
      </c>
      <c r="K1061" s="12" t="str">
        <f ca="1">IFERROR(__xludf.DUMMYFUNCTION("""COMPUTED_VALUE"""),"回價")</f>
        <v>回價</v>
      </c>
      <c r="L1061" s="12" t="str">
        <f ca="1">IFERROR(__xludf.DUMMYFUNCTION("""COMPUTED_VALUE"""),"上架中")</f>
        <v>上架中</v>
      </c>
      <c r="M1061" s="12" t="str">
        <f ca="1">IFERROR(__xludf.DUMMYFUNCTION("""COMPUTED_VALUE"""),"2024/12/1回價，2024/10/1短促，2024/9/1回價，2024/02/07短促，5/2短促，4/1回價，3/1新機上架(少量到貨)")</f>
        <v>2024/12/1回價，2024/10/1短促，2024/9/1回價，2024/02/07短促，5/2短促，4/1回價，3/1新機上架(少量到貨)</v>
      </c>
      <c r="N1061" s="12" t="str">
        <f ca="1">IFERROR(__xludf.DUMMYFUNCTION("""COMPUTED_VALUE"""),"除濕機")</f>
        <v>除濕機</v>
      </c>
      <c r="O1061" s="12" t="str">
        <f ca="1">IFERROR(__xludf.DUMMYFUNCTION("""COMPUTED_VALUE"""),"白")</f>
        <v>白</v>
      </c>
      <c r="P1061" s="12" t="str">
        <f ca="1">IFERROR(__xludf.DUMMYFUNCTION("""COMPUTED_VALUE"""),"12L
適用坪數：8~15坪")</f>
        <v>12L
適用坪數：8~15坪</v>
      </c>
      <c r="Q1061" s="12" t="str">
        <f ca="1">IFERROR(__xludf.DUMMYFUNCTION("""COMPUTED_VALUE"""),"594*372*281mm
 ")</f>
        <v xml:space="preserve">594*372*281mm
 </v>
      </c>
      <c r="R1061" s="12" t="str">
        <f ca="1">IFERROR(__xludf.DUMMYFUNCTION("""COMPUTED_VALUE"""),"日本")</f>
        <v>日本</v>
      </c>
      <c r="S1061" s="12"/>
      <c r="T1061" s="13" t="str">
        <f ca="1">IFERROR(__xludf.DUMMYFUNCTION("""COMPUTED_VALUE"""),"1級能效")</f>
        <v>1級能效</v>
      </c>
      <c r="U1061" s="12" t="str">
        <f ca="1">IFERROR(__xludf.DUMMYFUNCTION("""COMPUTED_VALUE"""),"3年")</f>
        <v>3年</v>
      </c>
      <c r="V1061" s="12" t="str">
        <f ca="1">IFERROR(__xludf.DUMMYFUNCTION("""COMPUTED_VALUE"""),"3年")</f>
        <v>3年</v>
      </c>
      <c r="W1061" s="12"/>
      <c r="X1061" s="12" t="str">
        <f ca="1">IFERROR(__xludf.DUMMYFUNCTION("""COMPUTED_VALUE"""),"(114/1/1~2/28)隨貨送雙扣乾濕雙用盒3件組 (805T27)")</f>
        <v>(114/1/1~2/28)隨貨送雙扣乾濕雙用盒3件組 (805T27)</v>
      </c>
      <c r="Y1061" s="12">
        <f ca="1">IFERROR(__xludf.DUMMYFUNCTION("""COMPUTED_VALUE"""),12)</f>
        <v>12</v>
      </c>
      <c r="Z1061" s="14" t="str">
        <f ca="1">IFERROR(__xludf.DUMMYFUNCTION("""COMPUTED_VALUE"""),"1200")</f>
        <v>1200</v>
      </c>
      <c r="AA1061" s="15" t="str">
        <f ca="1">IFERROR(__xludf.DUMMYFUNCTION("""COMPUTED_VALUE"""),"*除濕能力:12L/日 水箱:4.7L* 除溼能效:1級，空氣清淨能效:5級* 自動濕控*創新三重除濕*適用坪數約8~15坪*PM2.5 抗菌消臭濾網 *夜間乾衣模式 *90°廣角自動擺葉*三段可變式下吹出風口 *日本製造")</f>
        <v>*除濕能力:12L/日 水箱:4.7L* 除溼能效:1級，空氣清淨能效:5級* 自動濕控*創新三重除濕*適用坪數約8~15坪*PM2.5 抗菌消臭濾網 *夜間乾衣模式 *90°廣角自動擺葉*三段可變式下吹出風口 *日本製造</v>
      </c>
    </row>
    <row r="1062" spans="1:27" ht="19.5" customHeight="1">
      <c r="A1062" s="12" t="str">
        <f ca="1">IFERROR(__xludf.DUMMYFUNCTION("""COMPUTED_VALUE"""),"除濕機")</f>
        <v>除濕機</v>
      </c>
      <c r="B1062" s="12" t="str">
        <f ca="1">IFERROR(__xludf.DUMMYFUNCTION("""COMPUTED_VALUE"""),"順發")</f>
        <v>順發</v>
      </c>
      <c r="C1062" s="12" t="str">
        <f ca="1">IFERROR(__xludf.DUMMYFUNCTION("""COMPUTED_VALUE"""),"Mitsubishi")</f>
        <v>Mitsubishi</v>
      </c>
      <c r="D1062" s="12" t="str">
        <f ca="1">IFERROR(__xludf.DUMMYFUNCTION("""COMPUTED_VALUE"""),"三菱 Mitsubishi MJ-E155HT-TW 15.5L日製清淨除濕機_767413")</f>
        <v>三菱 Mitsubishi MJ-E155HT-TW 15.5L日製清淨除濕機_767413</v>
      </c>
      <c r="E1062" s="12" t="str">
        <f ca="1">IFERROR(__xludf.DUMMYFUNCTION("""COMPUTED_VALUE"""),"MJ-E155HT-TW")</f>
        <v>MJ-E155HT-TW</v>
      </c>
      <c r="F1062" s="12">
        <f ca="1">IFERROR(__xludf.DUMMYFUNCTION("""COMPUTED_VALUE"""),51095620)</f>
        <v>51095620</v>
      </c>
      <c r="G1062" s="12" t="str">
        <f ca="1">IFERROR(__xludf.DUMMYFUNCTION("""COMPUTED_VALUE"""),"IGEM075T")</f>
        <v>IGEM075T</v>
      </c>
      <c r="H1062" s="13">
        <f ca="1">IFERROR(__xludf.DUMMYFUNCTION("""COMPUTED_VALUE"""),20900)</f>
        <v>20900</v>
      </c>
      <c r="I1062" s="14">
        <f ca="1">IFERROR(__xludf.DUMMYFUNCTION("""COMPUTED_VALUE"""),20100)</f>
        <v>20100</v>
      </c>
      <c r="J1062" s="16">
        <f ca="1">IFERROR(__xludf.DUMMYFUNCTION("""COMPUTED_VALUE"""),45691)</f>
        <v>45691</v>
      </c>
      <c r="K1062" s="12" t="str">
        <f ca="1">IFERROR(__xludf.DUMMYFUNCTION("""COMPUTED_VALUE"""),"缺貨")</f>
        <v>缺貨</v>
      </c>
      <c r="L1062" s="12" t="str">
        <f ca="1">IFERROR(__xludf.DUMMYFUNCTION("""COMPUTED_VALUE"""),"缺貨")</f>
        <v>缺貨</v>
      </c>
      <c r="M1062" s="12" t="str">
        <f ca="1">IFERROR(__xludf.DUMMYFUNCTION("""COMPUTED_VALUE"""),"2025/2/3缺貨，2024/12/1短促，2024/11/14到貨，2024/9/1回價，2024/07/09缺貨，2024/02/07短促，5/2短促，4/1回價，3/1新機上架(少量到貨)")</f>
        <v>2025/2/3缺貨，2024/12/1短促，2024/11/14到貨，2024/9/1回價，2024/07/09缺貨，2024/02/07短促，5/2短促，4/1回價，3/1新機上架(少量到貨)</v>
      </c>
      <c r="N1062" s="12" t="str">
        <f ca="1">IFERROR(__xludf.DUMMYFUNCTION("""COMPUTED_VALUE"""),"除濕機")</f>
        <v>除濕機</v>
      </c>
      <c r="O1062" s="12" t="str">
        <f ca="1">IFERROR(__xludf.DUMMYFUNCTION("""COMPUTED_VALUE"""),"白")</f>
        <v>白</v>
      </c>
      <c r="P1062" s="12" t="str">
        <f ca="1">IFERROR(__xludf.DUMMYFUNCTION("""COMPUTED_VALUE"""),"15.5L
適用坪數10~20坪")</f>
        <v>15.5L
適用坪數10~20坪</v>
      </c>
      <c r="Q1062" s="12" t="str">
        <f ca="1">IFERROR(__xludf.DUMMYFUNCTION("""COMPUTED_VALUE"""),"630*410*299mm
 ")</f>
        <v xml:space="preserve">630*410*299mm
 </v>
      </c>
      <c r="R1062" s="12" t="str">
        <f ca="1">IFERROR(__xludf.DUMMYFUNCTION("""COMPUTED_VALUE"""),"日本")</f>
        <v>日本</v>
      </c>
      <c r="S1062" s="12"/>
      <c r="T1062" s="13" t="str">
        <f ca="1">IFERROR(__xludf.DUMMYFUNCTION("""COMPUTED_VALUE"""),"1級能效")</f>
        <v>1級能效</v>
      </c>
      <c r="U1062" s="12" t="str">
        <f ca="1">IFERROR(__xludf.DUMMYFUNCTION("""COMPUTED_VALUE"""),"3年")</f>
        <v>3年</v>
      </c>
      <c r="V1062" s="12" t="str">
        <f ca="1">IFERROR(__xludf.DUMMYFUNCTION("""COMPUTED_VALUE"""),"3年")</f>
        <v>3年</v>
      </c>
      <c r="W1062" s="12"/>
      <c r="X1062" s="12" t="str">
        <f ca="1">IFERROR(__xludf.DUMMYFUNCTION("""COMPUTED_VALUE"""),"(114/1/1~2/28)隨貨送雙扣乾濕雙用盒3件組 (805T27)")</f>
        <v>(114/1/1~2/28)隨貨送雙扣乾濕雙用盒3件組 (805T27)</v>
      </c>
      <c r="Y1062" s="12">
        <f ca="1">IFERROR(__xludf.DUMMYFUNCTION("""COMPUTED_VALUE"""),15.5)</f>
        <v>15.5</v>
      </c>
      <c r="Z1062" s="14" t="str">
        <f ca="1">IFERROR(__xludf.DUMMYFUNCTION("""COMPUTED_VALUE"""),"1200")</f>
        <v>1200</v>
      </c>
      <c r="AA1062" s="15" t="str">
        <f ca="1">IFERROR(__xludf.DUMMYFUNCTION("""COMPUTED_VALUE"""),"*除濕能力:15.5L/日 水箱:5.5L*除溼能效:1級，空氣清淨能效:5級*適用坪數約10~20坪*創新三重除濕*PM2.5 抗菌消臭濾網 /夜間乾衣模式*90°廣角自動擺葉*三段可變式下吹出風口 *定時開關機(1~12)小時*日本製造")</f>
        <v>*除濕能力:15.5L/日 水箱:5.5L*除溼能效:1級，空氣清淨能效:5級*適用坪數約10~20坪*創新三重除濕*PM2.5 抗菌消臭濾網 /夜間乾衣模式*90°廣角自動擺葉*三段可變式下吹出風口 *定時開關機(1~12)小時*日本製造</v>
      </c>
    </row>
    <row r="1063" spans="1:27" ht="19.5" customHeight="1">
      <c r="A1063" s="12" t="str">
        <f ca="1">IFERROR(__xludf.DUMMYFUNCTION("""COMPUTED_VALUE"""),"除濕機")</f>
        <v>除濕機</v>
      </c>
      <c r="B1063" s="12" t="str">
        <f ca="1">IFERROR(__xludf.DUMMYFUNCTION("""COMPUTED_VALUE"""),"順發")</f>
        <v>順發</v>
      </c>
      <c r="C1063" s="12" t="str">
        <f ca="1">IFERROR(__xludf.DUMMYFUNCTION("""COMPUTED_VALUE"""),"Mitsubishi")</f>
        <v>Mitsubishi</v>
      </c>
      <c r="D1063" s="12" t="str">
        <f ca="1">IFERROR(__xludf.DUMMYFUNCTION("""COMPUTED_VALUE"""),"三菱 Mitsubishi MJ-E190HT-TW 19L日製清淨除濕機_767412")</f>
        <v>三菱 Mitsubishi MJ-E190HT-TW 19L日製清淨除濕機_767412</v>
      </c>
      <c r="E1063" s="12" t="str">
        <f ca="1">IFERROR(__xludf.DUMMYFUNCTION("""COMPUTED_VALUE"""),"MJ-E190HT-TW")</f>
        <v>MJ-E190HT-TW</v>
      </c>
      <c r="F1063" s="12">
        <f ca="1">IFERROR(__xludf.DUMMYFUNCTION("""COMPUTED_VALUE"""),51095621)</f>
        <v>51095621</v>
      </c>
      <c r="G1063" s="12" t="str">
        <f ca="1">IFERROR(__xludf.DUMMYFUNCTION("""COMPUTED_VALUE"""),"IGEM075U")</f>
        <v>IGEM075U</v>
      </c>
      <c r="H1063" s="13">
        <f ca="1">IFERROR(__xludf.DUMMYFUNCTION("""COMPUTED_VALUE"""),23900)</f>
        <v>23900</v>
      </c>
      <c r="I1063" s="14">
        <f ca="1">IFERROR(__xludf.DUMMYFUNCTION("""COMPUTED_VALUE"""),22800)</f>
        <v>22800</v>
      </c>
      <c r="J1063" s="16">
        <f ca="1">IFERROR(__xludf.DUMMYFUNCTION("""COMPUTED_VALUE"""),45658)</f>
        <v>45658</v>
      </c>
      <c r="K1063" s="12" t="str">
        <f ca="1">IFERROR(__xludf.DUMMYFUNCTION("""COMPUTED_VALUE"""),"短促")</f>
        <v>短促</v>
      </c>
      <c r="L1063" s="12" t="str">
        <f ca="1">IFERROR(__xludf.DUMMYFUNCTION("""COMPUTED_VALUE"""),"上架中")</f>
        <v>上架中</v>
      </c>
      <c r="M1063" s="12" t="str">
        <f ca="1">IFERROR(__xludf.DUMMYFUNCTION("""COMPUTED_VALUE"""),"2024/12/1短促，2024/9/1回價，2024/02/07短促，5/2短促，4/1回價，3/1新機上架(少量到貨)")</f>
        <v>2024/12/1短促，2024/9/1回價，2024/02/07短促，5/2短促，4/1回價，3/1新機上架(少量到貨)</v>
      </c>
      <c r="N1063" s="12" t="str">
        <f ca="1">IFERROR(__xludf.DUMMYFUNCTION("""COMPUTED_VALUE"""),"除濕機")</f>
        <v>除濕機</v>
      </c>
      <c r="O1063" s="12" t="str">
        <f ca="1">IFERROR(__xludf.DUMMYFUNCTION("""COMPUTED_VALUE"""),"白")</f>
        <v>白</v>
      </c>
      <c r="P1063" s="12" t="str">
        <f ca="1">IFERROR(__xludf.DUMMYFUNCTION("""COMPUTED_VALUE"""),"19L
適用坪數12~24坪")</f>
        <v>19L
適用坪數12~24坪</v>
      </c>
      <c r="Q1063" s="12" t="str">
        <f ca="1">IFERROR(__xludf.DUMMYFUNCTION("""COMPUTED_VALUE"""),"630*410*299mm
 ")</f>
        <v xml:space="preserve">630*410*299mm
 </v>
      </c>
      <c r="R1063" s="12" t="str">
        <f ca="1">IFERROR(__xludf.DUMMYFUNCTION("""COMPUTED_VALUE"""),"日本")</f>
        <v>日本</v>
      </c>
      <c r="S1063" s="12"/>
      <c r="T1063" s="13" t="str">
        <f ca="1">IFERROR(__xludf.DUMMYFUNCTION("""COMPUTED_VALUE"""),"1級能效")</f>
        <v>1級能效</v>
      </c>
      <c r="U1063" s="12" t="str">
        <f ca="1">IFERROR(__xludf.DUMMYFUNCTION("""COMPUTED_VALUE"""),"3年")</f>
        <v>3年</v>
      </c>
      <c r="V1063" s="12" t="str">
        <f ca="1">IFERROR(__xludf.DUMMYFUNCTION("""COMPUTED_VALUE"""),"3年")</f>
        <v>3年</v>
      </c>
      <c r="W1063" s="12"/>
      <c r="X1063" s="12" t="str">
        <f ca="1">IFERROR(__xludf.DUMMYFUNCTION("""COMPUTED_VALUE"""),"(114/1/1~2/28)隨貨送雙扣乾濕雙用盒3件組 (805T27)")</f>
        <v>(114/1/1~2/28)隨貨送雙扣乾濕雙用盒3件組 (805T27)</v>
      </c>
      <c r="Y1063" s="12">
        <f ca="1">IFERROR(__xludf.DUMMYFUNCTION("""COMPUTED_VALUE"""),19)</f>
        <v>19</v>
      </c>
      <c r="Z1063" s="14" t="str">
        <f ca="1">IFERROR(__xludf.DUMMYFUNCTION("""COMPUTED_VALUE"""),"1200")</f>
        <v>1200</v>
      </c>
      <c r="AA1063" s="15" t="str">
        <f ca="1">IFERROR(__xludf.DUMMYFUNCTION("""COMPUTED_VALUE"""),"*除濕能力:19L/日 水箱:5.5L*除溼能效:1級，空氣清淨能效:5級*適用坪數約12-24坪*創新三重除濕*PM2.5 抗菌消臭濾網 /夜間乾衣模式 *90°廣角自動擺葉*三段可變式下吹出風口 *定時開關機(1~12)小時*日本製造")</f>
        <v>*除濕能力:19L/日 水箱:5.5L*除溼能效:1級，空氣清淨能效:5級*適用坪數約12-24坪*創新三重除濕*PM2.5 抗菌消臭濾網 /夜間乾衣模式 *90°廣角自動擺葉*三段可變式下吹出風口 *定時開關機(1~12)小時*日本製造</v>
      </c>
    </row>
    <row r="1064" spans="1:27" ht="19.5" customHeight="1">
      <c r="A1064" s="12" t="str">
        <f ca="1">IFERROR(__xludf.DUMMYFUNCTION("""COMPUTED_VALUE"""),"除濕機")</f>
        <v>除濕機</v>
      </c>
      <c r="B1064" s="12" t="str">
        <f ca="1">IFERROR(__xludf.DUMMYFUNCTION("""COMPUTED_VALUE"""),"順發")</f>
        <v>順發</v>
      </c>
      <c r="C1064" s="12" t="str">
        <f ca="1">IFERROR(__xludf.DUMMYFUNCTION("""COMPUTED_VALUE"""),"Mitsubishi")</f>
        <v>Mitsubishi</v>
      </c>
      <c r="D1064" s="12" t="str">
        <f ca="1">IFERROR(__xludf.DUMMYFUNCTION("""COMPUTED_VALUE"""),"三菱 Mitsubishi MJ-EV240HT-TW 24L 日製變頻清淨除濕_767411")</f>
        <v>三菱 Mitsubishi MJ-EV240HT-TW 24L 日製變頻清淨除濕_767411</v>
      </c>
      <c r="E1064" s="12" t="str">
        <f ca="1">IFERROR(__xludf.DUMMYFUNCTION("""COMPUTED_VALUE"""),"MJ-EV240HT-TW")</f>
        <v>MJ-EV240HT-TW</v>
      </c>
      <c r="F1064" s="12">
        <f ca="1">IFERROR(__xludf.DUMMYFUNCTION("""COMPUTED_VALUE"""),51095622)</f>
        <v>51095622</v>
      </c>
      <c r="G1064" s="12" t="str">
        <f ca="1">IFERROR(__xludf.DUMMYFUNCTION("""COMPUTED_VALUE"""),"IGEM075V")</f>
        <v>IGEM075V</v>
      </c>
      <c r="H1064" s="13">
        <f ca="1">IFERROR(__xludf.DUMMYFUNCTION("""COMPUTED_VALUE"""),27900)</f>
        <v>27900</v>
      </c>
      <c r="I1064" s="14">
        <f ca="1">IFERROR(__xludf.DUMMYFUNCTION("""COMPUTED_VALUE"""),24600)</f>
        <v>24600</v>
      </c>
      <c r="J1064" s="16">
        <f ca="1">IFERROR(__xludf.DUMMYFUNCTION("""COMPUTED_VALUE"""),45717)</f>
        <v>45717</v>
      </c>
      <c r="K1064" s="12" t="str">
        <f ca="1">IFERROR(__xludf.DUMMYFUNCTION("""COMPUTED_VALUE"""),"回價")</f>
        <v>回價</v>
      </c>
      <c r="L1064" s="12" t="str">
        <f ca="1">IFERROR(__xludf.DUMMYFUNCTION("""COMPUTED_VALUE"""),"上架中")</f>
        <v>上架中</v>
      </c>
      <c r="M1064" s="12" t="str">
        <f ca="1">IFERROR(__xludf.DUMMYFUNCTION("""COMPUTED_VALUE"""),"2024/10/1短促，2024/9/1回價，2024/02/07短促，5/2短促，4/12新機上架")</f>
        <v>2024/10/1短促，2024/9/1回價，2024/02/07短促，5/2短促，4/12新機上架</v>
      </c>
      <c r="N1064" s="12" t="str">
        <f ca="1">IFERROR(__xludf.DUMMYFUNCTION("""COMPUTED_VALUE"""),"除濕機")</f>
        <v>除濕機</v>
      </c>
      <c r="O1064" s="12" t="str">
        <f ca="1">IFERROR(__xludf.DUMMYFUNCTION("""COMPUTED_VALUE"""),"白")</f>
        <v>白</v>
      </c>
      <c r="P1064" s="12" t="str">
        <f ca="1">IFERROR(__xludf.DUMMYFUNCTION("""COMPUTED_VALUE"""),"24L
適用坪數15~30坪")</f>
        <v>24L
適用坪數15~30坪</v>
      </c>
      <c r="Q1064" s="12" t="str">
        <f ca="1">IFERROR(__xludf.DUMMYFUNCTION("""COMPUTED_VALUE"""),"630*410*299mm
 ")</f>
        <v xml:space="preserve">630*410*299mm
 </v>
      </c>
      <c r="R1064" s="12" t="str">
        <f ca="1">IFERROR(__xludf.DUMMYFUNCTION("""COMPUTED_VALUE"""),"日本")</f>
        <v>日本</v>
      </c>
      <c r="S1064" s="12"/>
      <c r="T1064" s="13" t="str">
        <f ca="1">IFERROR(__xludf.DUMMYFUNCTION("""COMPUTED_VALUE"""),"1級能效")</f>
        <v>1級能效</v>
      </c>
      <c r="U1064" s="12" t="str">
        <f ca="1">IFERROR(__xludf.DUMMYFUNCTION("""COMPUTED_VALUE"""),"3年")</f>
        <v>3年</v>
      </c>
      <c r="V1064" s="12" t="str">
        <f ca="1">IFERROR(__xludf.DUMMYFUNCTION("""COMPUTED_VALUE"""),"3年")</f>
        <v>3年</v>
      </c>
      <c r="W1064" s="12"/>
      <c r="X1064" s="12" t="str">
        <f ca="1">IFERROR(__xludf.DUMMYFUNCTION("""COMPUTED_VALUE"""),"(114/1/1~2/28)隨貨送雙扣乾濕雙用盒3件組 (805T27)")</f>
        <v>(114/1/1~2/28)隨貨送雙扣乾濕雙用盒3件組 (805T27)</v>
      </c>
      <c r="Y1064" s="12">
        <f ca="1">IFERROR(__xludf.DUMMYFUNCTION("""COMPUTED_VALUE"""),24)</f>
        <v>24</v>
      </c>
      <c r="Z1064" s="14" t="str">
        <f ca="1">IFERROR(__xludf.DUMMYFUNCTION("""COMPUTED_VALUE"""),"1200")</f>
        <v>1200</v>
      </c>
      <c r="AA1064" s="15" t="str">
        <f ca="1">IFERROR(__xludf.DUMMYFUNCTION("""COMPUTED_VALUE"""),"*除濕能力:24L/日 水箱:5.5L*除溼能效:1級，空氣清淨能效:5級*變頻壓縮機*背光液晶*適用坪數約15-30坪*創新三重除濕*PM2.5 抗菌消臭濾網 /夜間乾衣模式 *90°廣角自動擺葉
 ◆三段可變式下吹出風口 
 ◆定時開關機(1~12)小時
 ◆日本製造")</f>
        <v>*除濕能力:24L/日 水箱:5.5L*除溼能效:1級，空氣清淨能效:5級*變頻壓縮機*背光液晶*適用坪數約15-30坪*創新三重除濕*PM2.5 抗菌消臭濾網 /夜間乾衣模式 *90°廣角自動擺葉
 ◆三段可變式下吹出風口 
 ◆定時開關機(1~12)小時
 ◆日本製造</v>
      </c>
    </row>
    <row r="1065" spans="1:27" ht="19.5" customHeight="1">
      <c r="A1065" s="12" t="str">
        <f ca="1">IFERROR(__xludf.DUMMYFUNCTION("""COMPUTED_VALUE"""),"除濕機")</f>
        <v>除濕機</v>
      </c>
      <c r="B1065" s="12" t="str">
        <f ca="1">IFERROR(__xludf.DUMMYFUNCTION("""COMPUTED_VALUE"""),"順發")</f>
        <v>順發</v>
      </c>
      <c r="C1065" s="12" t="str">
        <f ca="1">IFERROR(__xludf.DUMMYFUNCTION("""COMPUTED_VALUE"""),"Whirlpool")</f>
        <v>Whirlpool</v>
      </c>
      <c r="D1065" s="12" t="str">
        <f ca="1">IFERROR(__xludf.DUMMYFUNCTION("""COMPUTED_VALUE"""),"Whirlpool惠而浦 10L高效除濕型第六感智能除濕機 WDEE10TW_767345")</f>
        <v>Whirlpool惠而浦 10L高效除濕型第六感智能除濕機 WDEE10TW_767345</v>
      </c>
      <c r="E1065" s="12" t="str">
        <f ca="1">IFERROR(__xludf.DUMMYFUNCTION("""COMPUTED_VALUE"""),"WDEE10TW")</f>
        <v>WDEE10TW</v>
      </c>
      <c r="F1065" s="12">
        <f ca="1">IFERROR(__xludf.DUMMYFUNCTION("""COMPUTED_VALUE"""),51095915)</f>
        <v>51095915</v>
      </c>
      <c r="G1065" s="12" t="str">
        <f ca="1">IFERROR(__xludf.DUMMYFUNCTION("""COMPUTED_VALUE"""),"IGEM1188")</f>
        <v>IGEM1188</v>
      </c>
      <c r="H1065" s="13">
        <f ca="1">IFERROR(__xludf.DUMMYFUNCTION("""COMPUTED_VALUE"""),9000)</f>
        <v>9000</v>
      </c>
      <c r="I1065" s="14">
        <f ca="1">IFERROR(__xludf.DUMMYFUNCTION("""COMPUTED_VALUE"""),6840)</f>
        <v>6840</v>
      </c>
      <c r="J1065" s="16">
        <f ca="1">IFERROR(__xludf.DUMMYFUNCTION("""COMPUTED_VALUE"""),45677)</f>
        <v>45677</v>
      </c>
      <c r="K1065" s="12" t="str">
        <f ca="1">IFERROR(__xludf.DUMMYFUNCTION("""COMPUTED_VALUE"""),"缺貨")</f>
        <v>缺貨</v>
      </c>
      <c r="L1065" s="12" t="str">
        <f ca="1">IFERROR(__xludf.DUMMYFUNCTION("""COMPUTED_VALUE"""),"缺貨")</f>
        <v>缺貨</v>
      </c>
      <c r="M1065" s="12" t="str">
        <f ca="1">IFERROR(__xludf.DUMMYFUNCTION("""COMPUTED_VALUE"""),"2025/1/20缺貨，預計4月到貨")</f>
        <v>2025/1/20缺貨，預計4月到貨</v>
      </c>
      <c r="N1065" s="12" t="str">
        <f ca="1">IFERROR(__xludf.DUMMYFUNCTION("""COMPUTED_VALUE"""),"除濕機")</f>
        <v>除濕機</v>
      </c>
      <c r="O1065" s="12" t="str">
        <f ca="1">IFERROR(__xludf.DUMMYFUNCTION("""COMPUTED_VALUE"""),"白")</f>
        <v>白</v>
      </c>
      <c r="P1065" s="12" t="str">
        <f ca="1">IFERROR(__xludf.DUMMYFUNCTION("""COMPUTED_VALUE"""),"13.2kg")</f>
        <v>13.2kg</v>
      </c>
      <c r="Q1065" s="12" t="str">
        <f ca="1">IFERROR(__xludf.DUMMYFUNCTION("""COMPUTED_VALUE"""),"500*350*240mm")</f>
        <v>500*350*240mm</v>
      </c>
      <c r="R1065" s="12" t="str">
        <f ca="1">IFERROR(__xludf.DUMMYFUNCTION("""COMPUTED_VALUE"""),"中國")</f>
        <v>中國</v>
      </c>
      <c r="S1065" s="12"/>
      <c r="T1065" s="13" t="str">
        <f ca="1">IFERROR(__xludf.DUMMYFUNCTION("""COMPUTED_VALUE"""),"1級能效")</f>
        <v>1級能效</v>
      </c>
      <c r="U1065" s="12" t="str">
        <f ca="1">IFERROR(__xludf.DUMMYFUNCTION("""COMPUTED_VALUE"""),"1年")</f>
        <v>1年</v>
      </c>
      <c r="V1065" s="12" t="str">
        <f ca="1">IFERROR(__xludf.DUMMYFUNCTION("""COMPUTED_VALUE"""),"5年")</f>
        <v>5年</v>
      </c>
      <c r="W1065" s="12"/>
      <c r="X1065" s="12"/>
      <c r="Y1065" s="12">
        <f ca="1">IFERROR(__xludf.DUMMYFUNCTION("""COMPUTED_VALUE"""),10)</f>
        <v>10</v>
      </c>
      <c r="Z1065" s="14" t="str">
        <f ca="1">IFERROR(__xludf.DUMMYFUNCTION("""COMPUTED_VALUE"""),"900")</f>
        <v>900</v>
      </c>
      <c r="AA1065" s="15" t="str">
        <f ca="1">IFERROR(__xludf.DUMMYFUNCTION("""COMPUTED_VALUE"""),"*除濕能力10L/日 適用坪數:13坪*一級能源效率(除濕)*6th Sense 自動除濕、連續除濕、手動設定*360度萬向底部滑輪*3段風速設定 (自動/強/弱)*5.35公升大容量水箱/4.2公升水滿停止*30%-80%除濕濕度設定(面板可顯示30%-90%)")</f>
        <v>*除濕能力10L/日 適用坪數:13坪*一級能源效率(除濕)*6th Sense 自動除濕、連續除濕、手動設定*360度萬向底部滑輪*3段風速設定 (自動/強/弱)*5.35公升大容量水箱/4.2公升水滿停止*30%-80%除濕濕度設定(面板可顯示30%-90%)</v>
      </c>
    </row>
    <row r="1066" spans="1:27" ht="19.5" customHeight="1">
      <c r="A1066" s="12" t="str">
        <f ca="1">IFERROR(__xludf.DUMMYFUNCTION("""COMPUTED_VALUE"""),"除濕機")</f>
        <v>除濕機</v>
      </c>
      <c r="B1066" s="12" t="str">
        <f ca="1">IFERROR(__xludf.DUMMYFUNCTION("""COMPUTED_VALUE"""),"順發")</f>
        <v>順發</v>
      </c>
      <c r="C1066" s="12" t="str">
        <f ca="1">IFERROR(__xludf.DUMMYFUNCTION("""COMPUTED_VALUE"""),"Whirlpool")</f>
        <v>Whirlpool</v>
      </c>
      <c r="D1066" s="12" t="str">
        <f ca="1">IFERROR(__xludf.DUMMYFUNCTION("""COMPUTED_VALUE"""),"Whirlpool惠而浦 30L高效除濕型第六感智能除濕機 WDEE30TW_767346")</f>
        <v>Whirlpool惠而浦 30L高效除濕型第六感智能除濕機 WDEE30TW_767346</v>
      </c>
      <c r="E1066" s="12" t="str">
        <f ca="1">IFERROR(__xludf.DUMMYFUNCTION("""COMPUTED_VALUE"""),"WDEE30TW")</f>
        <v>WDEE30TW</v>
      </c>
      <c r="F1066" s="12">
        <f ca="1">IFERROR(__xludf.DUMMYFUNCTION("""COMPUTED_VALUE"""),51095916)</f>
        <v>51095916</v>
      </c>
      <c r="G1066" s="12" t="str">
        <f ca="1">IFERROR(__xludf.DUMMYFUNCTION("""COMPUTED_VALUE"""),"IGEM1189")</f>
        <v>IGEM1189</v>
      </c>
      <c r="H1066" s="13">
        <f ca="1">IFERROR(__xludf.DUMMYFUNCTION("""COMPUTED_VALUE"""),19400)</f>
        <v>19400</v>
      </c>
      <c r="I1066" s="14">
        <f ca="1">IFERROR(__xludf.DUMMYFUNCTION("""COMPUTED_VALUE"""),15500)</f>
        <v>15500</v>
      </c>
      <c r="J1066" s="16">
        <f ca="1">IFERROR(__xludf.DUMMYFUNCTION("""COMPUTED_VALUE"""),45658)</f>
        <v>45658</v>
      </c>
      <c r="K1066" s="12" t="str">
        <f ca="1">IFERROR(__xludf.DUMMYFUNCTION("""COMPUTED_VALUE"""),"新機上架")</f>
        <v>新機上架</v>
      </c>
      <c r="L1066" s="12" t="str">
        <f ca="1">IFERROR(__xludf.DUMMYFUNCTION("""COMPUTED_VALUE"""),"上架中")</f>
        <v>上架中</v>
      </c>
      <c r="M1066" s="12" t="str">
        <f ca="1">IFERROR(__xludf.DUMMYFUNCTION("""COMPUTED_VALUE"""),"2025/1/1上架")</f>
        <v>2025/1/1上架</v>
      </c>
      <c r="N1066" s="12" t="str">
        <f ca="1">IFERROR(__xludf.DUMMYFUNCTION("""COMPUTED_VALUE"""),"除濕機")</f>
        <v>除濕機</v>
      </c>
      <c r="O1066" s="12" t="str">
        <f ca="1">IFERROR(__xludf.DUMMYFUNCTION("""COMPUTED_VALUE"""),"白")</f>
        <v>白</v>
      </c>
      <c r="P1066" s="12" t="str">
        <f ca="1">IFERROR(__xludf.DUMMYFUNCTION("""COMPUTED_VALUE"""),"17.7kg")</f>
        <v>17.7kg</v>
      </c>
      <c r="Q1066" s="12" t="str">
        <f ca="1">IFERROR(__xludf.DUMMYFUNCTION("""COMPUTED_VALUE"""),"629 x384 x 272mm")</f>
        <v>629 x384 x 272mm</v>
      </c>
      <c r="R1066" s="12" t="str">
        <f ca="1">IFERROR(__xludf.DUMMYFUNCTION("""COMPUTED_VALUE"""),"中國")</f>
        <v>中國</v>
      </c>
      <c r="S1066" s="12"/>
      <c r="T1066" s="13" t="str">
        <f ca="1">IFERROR(__xludf.DUMMYFUNCTION("""COMPUTED_VALUE"""),"1級能效")</f>
        <v>1級能效</v>
      </c>
      <c r="U1066" s="12" t="str">
        <f ca="1">IFERROR(__xludf.DUMMYFUNCTION("""COMPUTED_VALUE"""),"1年")</f>
        <v>1年</v>
      </c>
      <c r="V1066" s="12" t="str">
        <f ca="1">IFERROR(__xludf.DUMMYFUNCTION("""COMPUTED_VALUE"""),"5年")</f>
        <v>5年</v>
      </c>
      <c r="W1066" s="12"/>
      <c r="X1066" s="12"/>
      <c r="Y1066" s="12">
        <f ca="1">IFERROR(__xludf.DUMMYFUNCTION("""COMPUTED_VALUE"""),30)</f>
        <v>30</v>
      </c>
      <c r="Z1066" s="14" t="str">
        <f ca="1">IFERROR(__xludf.DUMMYFUNCTION("""COMPUTED_VALUE"""),"1200")</f>
        <v>1200</v>
      </c>
      <c r="AA1066" s="15" t="str">
        <f ca="1">IFERROR(__xludf.DUMMYFUNCTION("""COMPUTED_VALUE"""),"*每日除濕能30L/日 適用坪數:38坪*一級能源效率(除濕)*6th Sense 自動除濕、連續除濕、手動設定*360度萬向底部滑輪*3段風速設定 (自動/強/弱)*8.8公升大容量水箱*30%-80%除濕濕度設定(面板可顯示30%-90%)")</f>
        <v>*每日除濕能30L/日 適用坪數:38坪*一級能源效率(除濕)*6th Sense 自動除濕、連續除濕、手動設定*360度萬向底部滑輪*3段風速設定 (自動/強/弱)*8.8公升大容量水箱*30%-80%除濕濕度設定(面板可顯示30%-90%)</v>
      </c>
    </row>
    <row r="1067" spans="1:27" ht="19.5" customHeight="1">
      <c r="A1067" s="12" t="str">
        <f ca="1">IFERROR(__xludf.DUMMYFUNCTION("""COMPUTED_VALUE"""),"除濕機")</f>
        <v>除濕機</v>
      </c>
      <c r="B1067" s="12" t="str">
        <f ca="1">IFERROR(__xludf.DUMMYFUNCTION("""COMPUTED_VALUE"""),"神腦")</f>
        <v>神腦</v>
      </c>
      <c r="C1067" s="12" t="str">
        <f ca="1">IFERROR(__xludf.DUMMYFUNCTION("""COMPUTED_VALUE"""),"Sharp")</f>
        <v>Sharp</v>
      </c>
      <c r="D1067" s="12" t="str">
        <f ca="1">IFERROR(__xludf.DUMMYFUNCTION("""COMPUTED_VALUE"""),"SHARP 8L自動除菌離子除濕機 DW-L8HT-W(senao)")</f>
        <v>SHARP 8L自動除菌離子除濕機 DW-L8HT-W(senao)</v>
      </c>
      <c r="E1067" s="12" t="str">
        <f ca="1">IFERROR(__xludf.DUMMYFUNCTION("""COMPUTED_VALUE"""),"DW-L8HT-W(senao)")</f>
        <v>DW-L8HT-W(senao)</v>
      </c>
      <c r="F1067" s="12">
        <f ca="1">IFERROR(__xludf.DUMMYFUNCTION("""COMPUTED_VALUE"""),51016393)</f>
        <v>51016393</v>
      </c>
      <c r="G1067" s="12" t="str">
        <f ca="1">IFERROR(__xludf.DUMMYFUNCTION("""COMPUTED_VALUE"""),"IGEM094Q")</f>
        <v>IGEM094Q</v>
      </c>
      <c r="H1067" s="13">
        <f ca="1">IFERROR(__xludf.DUMMYFUNCTION("""COMPUTED_VALUE"""),8990)</f>
        <v>8990</v>
      </c>
      <c r="I1067" s="18">
        <f ca="1">IFERROR(__xludf.DUMMYFUNCTION("""COMPUTED_VALUE"""),6490)</f>
        <v>6490</v>
      </c>
      <c r="J1067" s="16">
        <f ca="1">IFERROR(__xludf.DUMMYFUNCTION("""COMPUTED_VALUE"""),45689)</f>
        <v>45689</v>
      </c>
      <c r="K1067" s="12" t="str">
        <f ca="1">IFERROR(__xludf.DUMMYFUNCTION("""COMPUTED_VALUE"""),"短促")</f>
        <v>短促</v>
      </c>
      <c r="L1067" s="12" t="str">
        <f ca="1">IFERROR(__xludf.DUMMYFUNCTION("""COMPUTED_VALUE"""),"上架中")</f>
        <v>上架中</v>
      </c>
      <c r="M1067" s="12" t="str">
        <f ca="1">IFERROR(__xludf.DUMMYFUNCTION("""COMPUTED_VALUE"""),"2025/2/1短促，12/9新機上架")</f>
        <v>2025/2/1短促，12/9新機上架</v>
      </c>
      <c r="N1067" s="12" t="str">
        <f ca="1">IFERROR(__xludf.DUMMYFUNCTION("""COMPUTED_VALUE"""),"除濕機")</f>
        <v>除濕機</v>
      </c>
      <c r="O1067" s="12" t="str">
        <f ca="1">IFERROR(__xludf.DUMMYFUNCTION("""COMPUTED_VALUE"""),"白")</f>
        <v>白</v>
      </c>
      <c r="P1067" s="24" t="str">
        <f ca="1">IFERROR(__xludf.DUMMYFUNCTION("""COMPUTED_VALUE"""),"額定電壓/額定頻率：AC110V/60Hz
定額除濕能力(27°C/60%RH)：8.0公升/日
機體尺寸：寬314×深225×高527mm
機體重量：約10.6kg")</f>
        <v>額定電壓/額定頻率：AC110V/60Hz
定額除濕能力(27°C/60%RH)：8.0公升/日
機體尺寸：寬314×深225×高527mm
機體重量：約10.6kg</v>
      </c>
      <c r="Q1067" s="12" t="str">
        <f ca="1">IFERROR(__xludf.DUMMYFUNCTION("""COMPUTED_VALUE"""),"527*314*225mm")</f>
        <v>527*314*225mm</v>
      </c>
      <c r="R1067" s="12" t="str">
        <f ca="1">IFERROR(__xludf.DUMMYFUNCTION("""COMPUTED_VALUE"""),"台灣")</f>
        <v>台灣</v>
      </c>
      <c r="S1067" s="12"/>
      <c r="T1067" s="13" t="str">
        <f ca="1">IFERROR(__xludf.DUMMYFUNCTION("""COMPUTED_VALUE"""),"1級能效")</f>
        <v>1級能效</v>
      </c>
      <c r="U1067" s="12" t="str">
        <f ca="1">IFERROR(__xludf.DUMMYFUNCTION("""COMPUTED_VALUE"""),"3年")</f>
        <v>3年</v>
      </c>
      <c r="V1067" s="12" t="str">
        <f ca="1">IFERROR(__xludf.DUMMYFUNCTION("""COMPUTED_VALUE"""),"壓縮機5年")</f>
        <v>壓縮機5年</v>
      </c>
      <c r="W1067" s="12"/>
      <c r="X1067" s="12"/>
      <c r="Y1067" s="12">
        <f ca="1">IFERROR(__xludf.DUMMYFUNCTION("""COMPUTED_VALUE"""),8)</f>
        <v>8</v>
      </c>
      <c r="Z1067" s="14">
        <f ca="1">IFERROR(__xludf.DUMMYFUNCTION("""COMPUTED_VALUE"""),500)</f>
        <v>500</v>
      </c>
      <c r="AA1067" s="15" t="str">
        <f ca="1">IFERROR(__xludf.DUMMYFUNCTION("""COMPUTED_VALUE"""),"*除濕能力8.5L/日(B式/室溫27℃/相對濕度60%)*Plasmacluster自動除菌離子除菌脫臭/定點脫臭*濕度感知燈號(5段濕度情境顯示)*TouchPanel觸控面板操作*搭載溫濕度感應器自動偵測除濕*衣物乾燥/舒適除濕/連續除濕/自動除濕四種模式*多段精準除濕環境濕度控制設定(貼近消費者使用需求)40%、45%...60%、65%...75%、80%RH(濕度5%調整)*連續排水/自動除霜/滿水自動保護功能*定時關(1-8hr)")</f>
        <v>*除濕能力8.5L/日(B式/室溫27℃/相對濕度60%)*Plasmacluster自動除菌離子除菌脫臭/定點脫臭*濕度感知燈號(5段濕度情境顯示)*TouchPanel觸控面板操作*搭載溫濕度感應器自動偵測除濕*衣物乾燥/舒適除濕/連續除濕/自動除濕四種模式*多段精準除濕環境濕度控制設定(貼近消費者使用需求)40%、45%...60%、65%...75%、80%RH(濕度5%調整)*連續排水/自動除霜/滿水自動保護功能*定時關(1-8hr)</v>
      </c>
    </row>
    <row r="1068" spans="1:27" ht="19.5" customHeight="1">
      <c r="A1068" s="12" t="str">
        <f ca="1">IFERROR(__xludf.DUMMYFUNCTION("""COMPUTED_VALUE"""),"除濕機")</f>
        <v>除濕機</v>
      </c>
      <c r="B1068" s="12" t="str">
        <f ca="1">IFERROR(__xludf.DUMMYFUNCTION("""COMPUTED_VALUE"""),"神腦")</f>
        <v>神腦</v>
      </c>
      <c r="C1068" s="12" t="str">
        <f ca="1">IFERROR(__xludf.DUMMYFUNCTION("""COMPUTED_VALUE"""),"Sharp")</f>
        <v>Sharp</v>
      </c>
      <c r="D1068" s="12" t="str">
        <f ca="1">IFERROR(__xludf.DUMMYFUNCTION("""COMPUTED_VALUE"""),"SHARP 12L自動除菌離子2合1空氣清淨除濕機 DW-P12FT-W")</f>
        <v>SHARP 12L自動除菌離子2合1空氣清淨除濕機 DW-P12FT-W</v>
      </c>
      <c r="E1068" s="12" t="str">
        <f ca="1">IFERROR(__xludf.DUMMYFUNCTION("""COMPUTED_VALUE"""),"DW-P12FT-W")</f>
        <v>DW-P12FT-W</v>
      </c>
      <c r="F1068" s="12">
        <f ca="1">IFERROR(__xludf.DUMMYFUNCTION("""COMPUTED_VALUE"""),51016632)</f>
        <v>51016632</v>
      </c>
      <c r="G1068" s="12" t="str">
        <f ca="1">IFERROR(__xludf.DUMMYFUNCTION("""COMPUTED_VALUE"""),"IGEM119K")</f>
        <v>IGEM119K</v>
      </c>
      <c r="H1068" s="13">
        <f ca="1">IFERROR(__xludf.DUMMYFUNCTION("""COMPUTED_VALUE"""),14900)</f>
        <v>14900</v>
      </c>
      <c r="I1068" s="14">
        <f ca="1">IFERROR(__xludf.DUMMYFUNCTION("""COMPUTED_VALUE"""),11688)</f>
        <v>11688</v>
      </c>
      <c r="J1068" s="16">
        <f ca="1">IFERROR(__xludf.DUMMYFUNCTION("""COMPUTED_VALUE"""),45689)</f>
        <v>45689</v>
      </c>
      <c r="K1068" s="12" t="str">
        <f ca="1">IFERROR(__xludf.DUMMYFUNCTION("""COMPUTED_VALUE"""),"新機上架")</f>
        <v>新機上架</v>
      </c>
      <c r="L1068" s="12" t="str">
        <f ca="1">IFERROR(__xludf.DUMMYFUNCTION("""COMPUTED_VALUE"""),"上架中")</f>
        <v>上架中</v>
      </c>
      <c r="M1068" s="12" t="str">
        <f ca="1">IFERROR(__xludf.DUMMYFUNCTION("""COMPUTED_VALUE"""),"2025/2/1新機上架")</f>
        <v>2025/2/1新機上架</v>
      </c>
      <c r="N1068" s="12" t="str">
        <f ca="1">IFERROR(__xludf.DUMMYFUNCTION("""COMPUTED_VALUE"""),"除濕機")</f>
        <v>除濕機</v>
      </c>
      <c r="O1068" s="12" t="str">
        <f ca="1">IFERROR(__xludf.DUMMYFUNCTION("""COMPUTED_VALUE"""),"白色")</f>
        <v>白色</v>
      </c>
      <c r="P1068" s="24" t="str">
        <f ca="1">IFERROR(__xludf.DUMMYFUNCTION("""COMPUTED_VALUE"""),"12L")</f>
        <v>12L</v>
      </c>
      <c r="Q1068" s="12" t="str">
        <f ca="1">IFERROR(__xludf.DUMMYFUNCTION("""COMPUTED_VALUE"""),"360 x 271 x 595（mm）")</f>
        <v>360 x 271 x 595（mm）</v>
      </c>
      <c r="R1068" s="12" t="str">
        <f ca="1">IFERROR(__xludf.DUMMYFUNCTION("""COMPUTED_VALUE"""),"台灣")</f>
        <v>台灣</v>
      </c>
      <c r="S1068" s="12"/>
      <c r="T1068" s="13" t="str">
        <f ca="1">IFERROR(__xludf.DUMMYFUNCTION("""COMPUTED_VALUE"""),"1級能效")</f>
        <v>1級能效</v>
      </c>
      <c r="U1068" s="12" t="str">
        <f ca="1">IFERROR(__xludf.DUMMYFUNCTION("""COMPUTED_VALUE"""),"全機3年
 壓縮機5年")</f>
        <v>全機3年
 壓縮機5年</v>
      </c>
      <c r="V1068" s="12"/>
      <c r="W1068" s="12"/>
      <c r="X1068" s="12"/>
      <c r="Y1068" s="12">
        <f ca="1">IFERROR(__xludf.DUMMYFUNCTION("""COMPUTED_VALUE"""),12)</f>
        <v>12</v>
      </c>
      <c r="Z1068" s="14" t="str">
        <f ca="1">IFERROR(__xludf.DUMMYFUNCTION("""COMPUTED_VALUE"""),"1200")</f>
        <v>1200</v>
      </c>
      <c r="AA1068" s="15" t="str">
        <f ca="1">IFERROR(__xludf.DUMMYFUNCTION("""COMPUTED_VALUE"""),"*除濕能力12L/日 (B式 /室溫27 ℃/相對濕度60%)*前方LED顯示面板(空氣品質/空氣清淨/濕度/滿水/定時/濾網保養)*空氣清淨三大模式(舒適/保濕/空清)：智慧切換空清與除濕使用狀態*Plasmacluster自動除菌離子除菌脫臭/定點脫臭*搭載PM2.5 、異味、 溫度&amp;濕度感知器，獨立空氣清淨模式自動調節風量淨化")</f>
        <v>*除濕能力12L/日 (B式 /室溫27 ℃/相對濕度60%)*前方LED顯示面板(空氣品質/空氣清淨/濕度/滿水/定時/濾網保養)*空氣清淨三大模式(舒適/保濕/空清)：智慧切換空清與除濕使用狀態*Plasmacluster自動除菌離子除菌脫臭/定點脫臭*搭載PM2.5 、異味、 溫度&amp;濕度感知器，獨立空氣清淨模式自動調節風量淨化</v>
      </c>
    </row>
    <row r="1069" spans="1:27" ht="19.5" customHeight="1">
      <c r="A1069" s="12" t="str">
        <f ca="1">IFERROR(__xludf.DUMMYFUNCTION("""COMPUTED_VALUE"""),"除濕機")</f>
        <v>除濕機</v>
      </c>
      <c r="B1069" s="12" t="str">
        <f ca="1">IFERROR(__xludf.DUMMYFUNCTION("""COMPUTED_VALUE"""),"神腦")</f>
        <v>神腦</v>
      </c>
      <c r="C1069" s="12" t="str">
        <f ca="1">IFERROR(__xludf.DUMMYFUNCTION("""COMPUTED_VALUE"""),"LG")</f>
        <v>LG</v>
      </c>
      <c r="D1069" s="12" t="str">
        <f ca="1">IFERROR(__xludf.DUMMYFUNCTION("""COMPUTED_VALUE"""),"LG PuriCare UV抑菌 WiFi雙變頻除濕機-17公升/晶鑽銀 MD171QSE0")</f>
        <v>LG PuriCare UV抑菌 WiFi雙變頻除濕機-17公升/晶鑽銀 MD171QSE0</v>
      </c>
      <c r="E1069" s="12" t="str">
        <f ca="1">IFERROR(__xludf.DUMMYFUNCTION("""COMPUTED_VALUE"""),"MD171QSE0")</f>
        <v>MD171QSE0</v>
      </c>
      <c r="F1069" s="12">
        <f ca="1">IFERROR(__xludf.DUMMYFUNCTION("""COMPUTED_VALUE"""),51016626)</f>
        <v>51016626</v>
      </c>
      <c r="G1069" s="12" t="str">
        <f ca="1">IFERROR(__xludf.DUMMYFUNCTION("""COMPUTED_VALUE"""),"IGEM1183")</f>
        <v>IGEM1183</v>
      </c>
      <c r="H1069" s="13">
        <f ca="1">IFERROR(__xludf.DUMMYFUNCTION("""COMPUTED_VALUE"""),21900)</f>
        <v>21900</v>
      </c>
      <c r="I1069" s="14">
        <f ca="1">IFERROR(__xludf.DUMMYFUNCTION("""COMPUTED_VALUE"""),18900)</f>
        <v>18900</v>
      </c>
      <c r="J1069" s="16">
        <f ca="1">IFERROR(__xludf.DUMMYFUNCTION("""COMPUTED_VALUE"""),45658)</f>
        <v>45658</v>
      </c>
      <c r="K1069" s="12" t="str">
        <f ca="1">IFERROR(__xludf.DUMMYFUNCTION("""COMPUTED_VALUE"""),"新機上架")</f>
        <v>新機上架</v>
      </c>
      <c r="L1069" s="12" t="str">
        <f ca="1">IFERROR(__xludf.DUMMYFUNCTION("""COMPUTED_VALUE"""),"上架中")</f>
        <v>上架中</v>
      </c>
      <c r="M1069" s="12" t="str">
        <f ca="1">IFERROR(__xludf.DUMMYFUNCTION("""COMPUTED_VALUE"""),"2025/1/1上架")</f>
        <v>2025/1/1上架</v>
      </c>
      <c r="N1069" s="12" t="str">
        <f ca="1">IFERROR(__xludf.DUMMYFUNCTION("""COMPUTED_VALUE"""),"除濕機")</f>
        <v>除濕機</v>
      </c>
      <c r="O1069" s="12" t="str">
        <f ca="1">IFERROR(__xludf.DUMMYFUNCTION("""COMPUTED_VALUE"""),"晶鑽銀")</f>
        <v>晶鑽銀</v>
      </c>
      <c r="P1069" s="24" t="str">
        <f ca="1">IFERROR(__xludf.DUMMYFUNCTION("""COMPUTED_VALUE"""),"17-20坪")</f>
        <v>17-20坪</v>
      </c>
      <c r="Q1069" s="12" t="str">
        <f ca="1">IFERROR(__xludf.DUMMYFUNCTION("""COMPUTED_VALUE""")," H685 x W415 xD296mm")</f>
        <v xml:space="preserve"> H685 x W415 xD296mm</v>
      </c>
      <c r="R1069" s="12" t="str">
        <f ca="1">IFERROR(__xludf.DUMMYFUNCTION("""COMPUTED_VALUE"""),"中國")</f>
        <v>中國</v>
      </c>
      <c r="S1069" s="12"/>
      <c r="T1069" s="13" t="str">
        <f ca="1">IFERROR(__xludf.DUMMYFUNCTION("""COMPUTED_VALUE"""),"1級能效")</f>
        <v>1級能效</v>
      </c>
      <c r="U1069" s="12" t="str">
        <f ca="1">IFERROR(__xludf.DUMMYFUNCTION("""COMPUTED_VALUE"""),"3年
")</f>
        <v xml:space="preserve">3年
</v>
      </c>
      <c r="V1069" s="12" t="str">
        <f ca="1">IFERROR(__xludf.DUMMYFUNCTION("""COMPUTED_VALUE"""),"""壓縮機10年保固
馬達10年保固""
")</f>
        <v xml:space="preserve">"壓縮機10年保固
馬達10年保固"
</v>
      </c>
      <c r="W1069" s="12"/>
      <c r="X1069" s="12"/>
      <c r="Y1069" s="12">
        <f ca="1">IFERROR(__xludf.DUMMYFUNCTION("""COMPUTED_VALUE"""),17)</f>
        <v>17</v>
      </c>
      <c r="Z1069" s="14" t="str">
        <f ca="1">IFERROR(__xludf.DUMMYFUNCTION("""COMPUTED_VALUE"""),"1200")</f>
        <v>1200</v>
      </c>
      <c r="AA1069" s="15" t="str">
        <f ca="1">IFERROR(__xludf.DUMMYFUNCTION("""COMPUTED_VALUE"""),"*UV nano™紫外線淨化*符合除濕機能效一級*特殊烘鞋/烘衣櫥專用配件*奈米離子抑制細菌病毒生長*30項安全裝置 | WiFi遠控功能 | 17公升/日除濕量*機體自動乾燥功能")</f>
        <v>*UV nano™紫外線淨化*符合除濕機能效一級*特殊烘鞋/烘衣櫥專用配件*奈米離子抑制細菌病毒生長*30項安全裝置 | WiFi遠控功能 | 17公升/日除濕量*機體自動乾燥功能</v>
      </c>
    </row>
    <row r="1070" spans="1:27" ht="19.5" customHeight="1">
      <c r="A1070" s="12" t="str">
        <f ca="1">IFERROR(__xludf.DUMMYFUNCTION("""COMPUTED_VALUE"""),"除濕機")</f>
        <v>除濕機</v>
      </c>
      <c r="B1070" s="12" t="str">
        <f ca="1">IFERROR(__xludf.DUMMYFUNCTION("""COMPUTED_VALUE"""),"神腦")</f>
        <v>神腦</v>
      </c>
      <c r="C1070" s="12" t="str">
        <f ca="1">IFERROR(__xludf.DUMMYFUNCTION("""COMPUTED_VALUE"""),"LG")</f>
        <v>LG</v>
      </c>
      <c r="D1070" s="12" t="str">
        <f ca="1">IFERROR(__xludf.DUMMYFUNCTION("""COMPUTED_VALUE"""),"LG PuriCare™ UV抑菌 WiFi雙變頻除濕機-18公升/白 MD181QWE0")</f>
        <v>LG PuriCare™ UV抑菌 WiFi雙變頻除濕機-18公升/白 MD181QWE0</v>
      </c>
      <c r="E1070" s="12" t="str">
        <f ca="1">IFERROR(__xludf.DUMMYFUNCTION("""COMPUTED_VALUE"""),"MD181QWE0")</f>
        <v>MD181QWE0</v>
      </c>
      <c r="F1070" s="12">
        <f ca="1">IFERROR(__xludf.DUMMYFUNCTION("""COMPUTED_VALUE"""),51016627)</f>
        <v>51016627</v>
      </c>
      <c r="G1070" s="12" t="str">
        <f ca="1">IFERROR(__xludf.DUMMYFUNCTION("""COMPUTED_VALUE"""),"IGEM1184")</f>
        <v>IGEM1184</v>
      </c>
      <c r="H1070" s="13">
        <f ca="1">IFERROR(__xludf.DUMMYFUNCTION("""COMPUTED_VALUE"""),22900)</f>
        <v>22900</v>
      </c>
      <c r="I1070" s="14">
        <f ca="1">IFERROR(__xludf.DUMMYFUNCTION("""COMPUTED_VALUE"""),19900)</f>
        <v>19900</v>
      </c>
      <c r="J1070" s="16">
        <f ca="1">IFERROR(__xludf.DUMMYFUNCTION("""COMPUTED_VALUE"""),45658)</f>
        <v>45658</v>
      </c>
      <c r="K1070" s="12" t="str">
        <f ca="1">IFERROR(__xludf.DUMMYFUNCTION("""COMPUTED_VALUE"""),"新機上架")</f>
        <v>新機上架</v>
      </c>
      <c r="L1070" s="12" t="str">
        <f ca="1">IFERROR(__xludf.DUMMYFUNCTION("""COMPUTED_VALUE"""),"上架中")</f>
        <v>上架中</v>
      </c>
      <c r="M1070" s="12" t="str">
        <f ca="1">IFERROR(__xludf.DUMMYFUNCTION("""COMPUTED_VALUE"""),"2025/1/1上架")</f>
        <v>2025/1/1上架</v>
      </c>
      <c r="N1070" s="12" t="str">
        <f ca="1">IFERROR(__xludf.DUMMYFUNCTION("""COMPUTED_VALUE"""),"除濕機")</f>
        <v>除濕機</v>
      </c>
      <c r="O1070" s="12" t="str">
        <f ca="1">IFERROR(__xludf.DUMMYFUNCTION("""COMPUTED_VALUE"""),"白")</f>
        <v>白</v>
      </c>
      <c r="P1070" s="24" t="str">
        <f ca="1">IFERROR(__xludf.DUMMYFUNCTION("""COMPUTED_VALUE"""),"18-21坪")</f>
        <v>18-21坪</v>
      </c>
      <c r="Q1070" s="12" t="str">
        <f ca="1">IFERROR(__xludf.DUMMYFUNCTION("""COMPUTED_VALUE"""),"1073x373 x373  mm")</f>
        <v>1073x373 x373  mm</v>
      </c>
      <c r="R1070" s="12" t="str">
        <f ca="1">IFERROR(__xludf.DUMMYFUNCTION("""COMPUTED_VALUE"""),"中國")</f>
        <v>中國</v>
      </c>
      <c r="S1070" s="12"/>
      <c r="T1070" s="13" t="str">
        <f ca="1">IFERROR(__xludf.DUMMYFUNCTION("""COMPUTED_VALUE"""),"1級能效")</f>
        <v>1級能效</v>
      </c>
      <c r="U1070" s="12" t="str">
        <f ca="1">IFERROR(__xludf.DUMMYFUNCTION("""COMPUTED_VALUE"""),"3年")</f>
        <v>3年</v>
      </c>
      <c r="V1070" s="12" t="str">
        <f ca="1">IFERROR(__xludf.DUMMYFUNCTION("""COMPUTED_VALUE"""),"壓縮機10年保固
 馬達10年保固")</f>
        <v>壓縮機10年保固
 馬達10年保固</v>
      </c>
      <c r="W1070" s="12"/>
      <c r="X1070" s="12"/>
      <c r="Y1070" s="12">
        <f ca="1">IFERROR(__xludf.DUMMYFUNCTION("""COMPUTED_VALUE"""),18)</f>
        <v>18</v>
      </c>
      <c r="Z1070" s="14" t="str">
        <f ca="1">IFERROR(__xludf.DUMMYFUNCTION("""COMPUTED_VALUE"""),"1200")</f>
        <v>1200</v>
      </c>
      <c r="AA1070" s="15" t="str">
        <f ca="1">IFERROR(__xludf.DUMMYFUNCTION("""COMPUTED_VALUE"""),"*UV nano™紫外線淨化*符合除濕機能效一級*特殊烘鞋/烘衣櫥專用配件*奈米離子抑制細菌病毒生長*30項安全裝置 | WiFi遠控功能 | 18公升/日除濕量*機體自動乾燥功能")</f>
        <v>*UV nano™紫外線淨化*符合除濕機能效一級*特殊烘鞋/烘衣櫥專用配件*奈米離子抑制細菌病毒生長*30項安全裝置 | WiFi遠控功能 | 18公升/日除濕量*機體自動乾燥功能</v>
      </c>
    </row>
    <row r="1071" spans="1:27" ht="19.5" customHeight="1">
      <c r="A1071" s="12" t="str">
        <f ca="1">IFERROR(__xludf.DUMMYFUNCTION("""COMPUTED_VALUE"""),"除濕機")</f>
        <v>除濕機</v>
      </c>
      <c r="B1071" s="12" t="str">
        <f ca="1">IFERROR(__xludf.DUMMYFUNCTION("""COMPUTED_VALUE"""),"神腦")</f>
        <v>神腦</v>
      </c>
      <c r="C1071" s="12" t="str">
        <f ca="1">IFERROR(__xludf.DUMMYFUNCTION("""COMPUTED_VALUE"""),"LG")</f>
        <v>LG</v>
      </c>
      <c r="D1071" s="12" t="str">
        <f ca="1">IFERROR(__xludf.DUMMYFUNCTION("""COMPUTED_VALUE"""),"(專案)LG PuriCare UV抑菌 WiFi雙變頻除濕機-19公升/奶茶棕 MD191QCE0 (senao)")</f>
        <v>(專案)LG PuriCare UV抑菌 WiFi雙變頻除濕機-19公升/奶茶棕 MD191QCE0 (senao)</v>
      </c>
      <c r="E1071" s="12" t="str">
        <f ca="1">IFERROR(__xludf.DUMMYFUNCTION("""COMPUTED_VALUE"""),"MD191QCE0")</f>
        <v>MD191QCE0</v>
      </c>
      <c r="F1071" s="12">
        <f ca="1">IFERROR(__xludf.DUMMYFUNCTION("""COMPUTED_VALUE"""),51016628)</f>
        <v>51016628</v>
      </c>
      <c r="G1071" s="12" t="str">
        <f ca="1">IFERROR(__xludf.DUMMYFUNCTION("""COMPUTED_VALUE"""),"IGEM1185")</f>
        <v>IGEM1185</v>
      </c>
      <c r="H1071" s="13">
        <f ca="1">IFERROR(__xludf.DUMMYFUNCTION("""COMPUTED_VALUE"""),24900)</f>
        <v>24900</v>
      </c>
      <c r="I1071" s="14">
        <f ca="1">IFERROR(__xludf.DUMMYFUNCTION("""COMPUTED_VALUE"""),23690)</f>
        <v>23690</v>
      </c>
      <c r="J1071" s="16">
        <f ca="1">IFERROR(__xludf.DUMMYFUNCTION("""COMPUTED_VALUE"""),45658)</f>
        <v>45658</v>
      </c>
      <c r="K1071" s="12" t="str">
        <f ca="1">IFERROR(__xludf.DUMMYFUNCTION("""COMPUTED_VALUE"""),"新機上架")</f>
        <v>新機上架</v>
      </c>
      <c r="L1071" s="12" t="str">
        <f ca="1">IFERROR(__xludf.DUMMYFUNCTION("""COMPUTED_VALUE"""),"上架中")</f>
        <v>上架中</v>
      </c>
      <c r="M1071" s="12" t="str">
        <f ca="1">IFERROR(__xludf.DUMMYFUNCTION("""COMPUTED_VALUE"""),"2025/1/1上架")</f>
        <v>2025/1/1上架</v>
      </c>
      <c r="N1071" s="12" t="str">
        <f ca="1">IFERROR(__xludf.DUMMYFUNCTION("""COMPUTED_VALUE"""),"除濕機")</f>
        <v>除濕機</v>
      </c>
      <c r="O1071" s="12" t="str">
        <f ca="1">IFERROR(__xludf.DUMMYFUNCTION("""COMPUTED_VALUE"""),"奶茶棕")</f>
        <v>奶茶棕</v>
      </c>
      <c r="P1071" s="24" t="str">
        <f ca="1">IFERROR(__xludf.DUMMYFUNCTION("""COMPUTED_VALUE"""),"19-22坪")</f>
        <v>19-22坪</v>
      </c>
      <c r="Q1071" s="12" t="str">
        <f ca="1">IFERROR(__xludf.DUMMYFUNCTION("""COMPUTED_VALUE"""),"高685x寬415x深296mm")</f>
        <v>高685x寬415x深296mm</v>
      </c>
      <c r="R1071" s="12" t="str">
        <f ca="1">IFERROR(__xludf.DUMMYFUNCTION("""COMPUTED_VALUE"""),"中國")</f>
        <v>中國</v>
      </c>
      <c r="S1071" s="12"/>
      <c r="T1071" s="13" t="str">
        <f ca="1">IFERROR(__xludf.DUMMYFUNCTION("""COMPUTED_VALUE"""),"1級能效")</f>
        <v>1級能效</v>
      </c>
      <c r="U1071" s="12" t="str">
        <f ca="1">IFERROR(__xludf.DUMMYFUNCTION("""COMPUTED_VALUE"""),"3年
")</f>
        <v xml:space="preserve">3年
</v>
      </c>
      <c r="V1071" s="12" t="str">
        <f ca="1">IFERROR(__xludf.DUMMYFUNCTION("""COMPUTED_VALUE"""),"壓縮機10年保固
 馬達10年保固")</f>
        <v>壓縮機10年保固
 馬達10年保固</v>
      </c>
      <c r="W1071" s="12"/>
      <c r="X1071" s="12"/>
      <c r="Y1071" s="12">
        <f ca="1">IFERROR(__xludf.DUMMYFUNCTION("""COMPUTED_VALUE"""),19)</f>
        <v>19</v>
      </c>
      <c r="Z1071" s="14" t="str">
        <f ca="1">IFERROR(__xludf.DUMMYFUNCTION("""COMPUTED_VALUE"""),"1200")</f>
        <v>1200</v>
      </c>
      <c r="AA1071" s="15" t="str">
        <f ca="1">IFERROR(__xludf.DUMMYFUNCTION("""COMPUTED_VALUE"""),"*UV nano™紫外線淨化*符合除濕機能效一級*360度滑順滾輪*30項安全裝置*WiFi遠控功能*19公升日除濕量*機體自動乾燥功能")</f>
        <v>*UV nano™紫外線淨化*符合除濕機能效一級*360度滑順滾輪*30項安全裝置*WiFi遠控功能*19公升日除濕量*機體自動乾燥功能</v>
      </c>
    </row>
    <row r="1072" spans="1:27" ht="19.5" customHeight="1">
      <c r="A1072" s="12" t="str">
        <f ca="1">IFERROR(__xludf.DUMMYFUNCTION("""COMPUTED_VALUE"""),"醫療產品")</f>
        <v>醫療產品</v>
      </c>
      <c r="B1072" s="12" t="str">
        <f ca="1">IFERROR(__xludf.DUMMYFUNCTION("""COMPUTED_VALUE"""),"泰博")</f>
        <v>泰博</v>
      </c>
      <c r="C1072" s="12" t="str">
        <f ca="1">IFERROR(__xludf.DUMMYFUNCTION("""COMPUTED_VALUE"""),"福爾")</f>
        <v>福爾</v>
      </c>
      <c r="D1072" s="12" t="str">
        <f ca="1">IFERROR(__xludf.DUMMYFUNCTION("""COMPUTED_VALUE"""),"福爾益康語音型2合1血糖血壓測試系統(D40G灰)TD-3261G(4G傳輸)")</f>
        <v>福爾益康語音型2合1血糖血壓測試系統(D40G灰)TD-3261G(4G傳輸)</v>
      </c>
      <c r="E1072" s="12" t="str">
        <f ca="1">IFERROR(__xludf.DUMMYFUNCTION("""COMPUTED_VALUE"""),"TD-3261G")</f>
        <v>TD-3261G</v>
      </c>
      <c r="F1072" s="12">
        <f ca="1">IFERROR(__xludf.DUMMYFUNCTION("""COMPUTED_VALUE"""),51080001)</f>
        <v>51080001</v>
      </c>
      <c r="G1072" s="12" t="str">
        <f ca="1">IFERROR(__xludf.DUMMYFUNCTION("""COMPUTED_VALUE"""),"IGEM0142")</f>
        <v>IGEM0142</v>
      </c>
      <c r="H1072" s="12">
        <f ca="1">IFERROR(__xludf.DUMMYFUNCTION("""COMPUTED_VALUE"""),6990)</f>
        <v>6990</v>
      </c>
      <c r="I1072" s="14">
        <f ca="1">IFERROR(__xludf.DUMMYFUNCTION("""COMPUTED_VALUE"""),5600)</f>
        <v>5600</v>
      </c>
      <c r="J1072" s="16">
        <f ca="1">IFERROR(__xludf.DUMMYFUNCTION("""COMPUTED_VALUE"""),44927)</f>
        <v>44927</v>
      </c>
      <c r="K1072" s="12" t="str">
        <f ca="1">IFERROR(__xludf.DUMMYFUNCTION("""COMPUTED_VALUE"""),"回價")</f>
        <v>回價</v>
      </c>
      <c r="L1072" s="12" t="str">
        <f ca="1">IFERROR(__xludf.DUMMYFUNCTION("""COMPUTED_VALUE"""),"上架中")</f>
        <v>上架中</v>
      </c>
      <c r="M1072" s="12" t="str">
        <f ca="1">IFERROR(__xludf.DUMMYFUNCTION("""COMPUTED_VALUE"""),"限持藥商許可證門市2023/1/1回價、2021/10/1降價、9/1回價/7/16-8/31短促.2020/8/1-9/30短促.限持藥商許可證門市(代碼CQ0O)")</f>
        <v>限持藥商許可證門市2023/1/1回價、2021/10/1降價、9/1回價/7/16-8/31短促.2020/8/1-9/30短促.限持藥商許可證門市(代碼CQ0O)</v>
      </c>
      <c r="N1072" s="12" t="str">
        <f ca="1">IFERROR(__xludf.DUMMYFUNCTION("""COMPUTED_VALUE"""),"血糖血壓計")</f>
        <v>血糖血壓計</v>
      </c>
      <c r="O1072" s="12" t="str">
        <f ca="1">IFERROR(__xludf.DUMMYFUNCTION("""COMPUTED_VALUE"""),"銀灰色")</f>
        <v>銀灰色</v>
      </c>
      <c r="P1072" s="12"/>
      <c r="Q1072" s="12" t="str">
        <f ca="1">IFERROR(__xludf.DUMMYFUNCTION("""COMPUTED_VALUE"""),"外包裝:202*113*155(mm)")</f>
        <v>外包裝:202*113*155(mm)</v>
      </c>
      <c r="R1072" s="12" t="str">
        <f ca="1">IFERROR(__xludf.DUMMYFUNCTION("""COMPUTED_VALUE"""),"台灣")</f>
        <v>台灣</v>
      </c>
      <c r="S1072" s="12" t="str">
        <f ca="1">IFERROR(__xludf.DUMMYFUNCTION("""COMPUTED_VALUE"""),"TFDA")</f>
        <v>TFDA</v>
      </c>
      <c r="T1072" s="12"/>
      <c r="U1072" s="12" t="str">
        <f ca="1">IFERROR(__xludf.DUMMYFUNCTION("""COMPUTED_VALUE"""),"2年")</f>
        <v>2年</v>
      </c>
      <c r="V1072" s="12"/>
      <c r="W1072" s="12"/>
      <c r="X1072" s="12"/>
      <c r="Y1072" s="12"/>
      <c r="Z1072" s="14"/>
      <c r="AA1072" s="15" t="str">
        <f ca="1">IFERROR(__xludf.DUMMYFUNCTION("""COMPUTED_VALUE"""),"*血糖+血壓二合一量測功能*4G雲端傳輸*國台語真人語音*多家醫院採用
衛署醫器製字第003110號北衛器廣字第10908035號")</f>
        <v>*血糖+血壓二合一量測功能*4G雲端傳輸*國台語真人語音*多家醫院採用
衛署醫器製字第003110號北衛器廣字第10908035號</v>
      </c>
    </row>
    <row r="1073" spans="1:27" ht="19.5" customHeight="1">
      <c r="A1073" s="12" t="str">
        <f ca="1">IFERROR(__xludf.DUMMYFUNCTION("""COMPUTED_VALUE"""),"醫療產品")</f>
        <v>醫療產品</v>
      </c>
      <c r="B1073" s="12" t="str">
        <f ca="1">IFERROR(__xludf.DUMMYFUNCTION("""COMPUTED_VALUE"""),"泰博")</f>
        <v>泰博</v>
      </c>
      <c r="C1073" s="12" t="str">
        <f ca="1">IFERROR(__xludf.DUMMYFUNCTION("""COMPUTED_VALUE"""),"福爾")</f>
        <v>福爾</v>
      </c>
      <c r="D1073" s="12" t="str">
        <f ca="1">IFERROR(__xludf.DUMMYFUNCTION("""COMPUTED_VALUE"""),"福爾益康語音型2合1血糖試紙(限福爾D40系列專用試紙)_試紙1盒裝(50片)")</f>
        <v>福爾益康語音型2合1血糖試紙(限福爾D40系列專用試紙)_試紙1盒裝(50片)</v>
      </c>
      <c r="E1073" s="12" t="str">
        <f ca="1">IFERROR(__xludf.DUMMYFUNCTION("""COMPUTED_VALUE"""),"D40/SS-3261")</f>
        <v>D40/SS-3261</v>
      </c>
      <c r="F1073" s="12">
        <f ca="1">IFERROR(__xludf.DUMMYFUNCTION("""COMPUTED_VALUE"""),51080002)</f>
        <v>51080002</v>
      </c>
      <c r="G1073" s="12" t="str">
        <f ca="1">IFERROR(__xludf.DUMMYFUNCTION("""COMPUTED_VALUE"""),"IGEM0143")</f>
        <v>IGEM0143</v>
      </c>
      <c r="H1073" s="12">
        <f ca="1">IFERROR(__xludf.DUMMYFUNCTION("""COMPUTED_VALUE"""),1000)</f>
        <v>1000</v>
      </c>
      <c r="I1073" s="14">
        <f ca="1">IFERROR(__xludf.DUMMYFUNCTION("""COMPUTED_VALUE"""),900)</f>
        <v>900</v>
      </c>
      <c r="J1073" s="16">
        <f ca="1">IFERROR(__xludf.DUMMYFUNCTION("""COMPUTED_VALUE"""),45161)</f>
        <v>45161</v>
      </c>
      <c r="K1073" s="12" t="str">
        <f ca="1">IFERROR(__xludf.DUMMYFUNCTION("""COMPUTED_VALUE"""),"回價")</f>
        <v>回價</v>
      </c>
      <c r="L1073" s="12" t="str">
        <f ca="1">IFERROR(__xludf.DUMMYFUNCTION("""COMPUTED_VALUE"""),"上架中")</f>
        <v>上架中</v>
      </c>
      <c r="M1073" s="12" t="str">
        <f ca="1">IFERROR(__xludf.DUMMYFUNCTION("""COMPUTED_VALUE"""),"限持藥商許可證門市2019/12/6到貨.11/27缺貨.持藥商許可證門市(代碼CQ0O)")</f>
        <v>限持藥商許可證門市2019/12/6到貨.11/27缺貨.持藥商許可證門市(代碼CQ0O)</v>
      </c>
      <c r="N1073" s="12" t="str">
        <f ca="1">IFERROR(__xludf.DUMMYFUNCTION("""COMPUTED_VALUE"""),"血糖試紙")</f>
        <v>血糖試紙</v>
      </c>
      <c r="O1073" s="12" t="str">
        <f ca="1">IFERROR(__xludf.DUMMYFUNCTION("""COMPUTED_VALUE"""),"白色")</f>
        <v>白色</v>
      </c>
      <c r="P1073" s="12"/>
      <c r="Q1073" s="12" t="str">
        <f ca="1">IFERROR(__xludf.DUMMYFUNCTION("""COMPUTED_VALUE"""),"外包裝:85*65*60(mm)")</f>
        <v>外包裝:85*65*60(mm)</v>
      </c>
      <c r="R1073" s="12" t="str">
        <f ca="1">IFERROR(__xludf.DUMMYFUNCTION("""COMPUTED_VALUE"""),"台灣")</f>
        <v>台灣</v>
      </c>
      <c r="S1073" s="12" t="str">
        <f ca="1">IFERROR(__xludf.DUMMYFUNCTION("""COMPUTED_VALUE"""),"TFDA")</f>
        <v>TFDA</v>
      </c>
      <c r="T1073" s="12"/>
      <c r="U1073" s="12" t="str">
        <f ca="1">IFERROR(__xludf.DUMMYFUNCTION("""COMPUTED_VALUE"""),"不保固
(耗材)")</f>
        <v>不保固
(耗材)</v>
      </c>
      <c r="V1073" s="12"/>
      <c r="W1073" s="12"/>
      <c r="X1073" s="12"/>
      <c r="Y1073" s="12"/>
      <c r="Z1073" s="14"/>
      <c r="AA1073" s="15" t="str">
        <f ca="1">IFERROR(__xludf.DUMMYFUNCTION("""COMPUTED_VALUE"""),"*專用血糖試片*多家醫院採用*血糖試片(50pcs/Box/含針)")</f>
        <v>*專用血糖試片*多家醫院採用*血糖試片(50pcs/Box/含針)</v>
      </c>
    </row>
    <row r="1074" spans="1:27" ht="19.5" customHeight="1">
      <c r="A1074" s="12" t="str">
        <f ca="1">IFERROR(__xludf.DUMMYFUNCTION("""COMPUTED_VALUE"""),"醫療產品")</f>
        <v>醫療產品</v>
      </c>
      <c r="B1074" s="12" t="str">
        <f ca="1">IFERROR(__xludf.DUMMYFUNCTION("""COMPUTED_VALUE"""),"泰博")</f>
        <v>泰博</v>
      </c>
      <c r="C1074" s="12" t="str">
        <f ca="1">IFERROR(__xludf.DUMMYFUNCTION("""COMPUTED_VALUE"""),"福爾")</f>
        <v>福爾</v>
      </c>
      <c r="D1074" s="12" t="str">
        <f ca="1">IFERROR(__xludf.DUMMYFUNCTION("""COMPUTED_VALUE"""),"福爾紅外線額溫槍IR42B_TD-1242B(藍牙傳輸)")</f>
        <v>福爾紅外線額溫槍IR42B_TD-1242B(藍牙傳輸)</v>
      </c>
      <c r="E1074" s="12" t="str">
        <f ca="1">IFERROR(__xludf.DUMMYFUNCTION("""COMPUTED_VALUE"""),"TD-1242B")</f>
        <v>TD-1242B</v>
      </c>
      <c r="F1074" s="12">
        <f ca="1">IFERROR(__xludf.DUMMYFUNCTION("""COMPUTED_VALUE"""),51080006)</f>
        <v>51080006</v>
      </c>
      <c r="G1074" s="12" t="str">
        <f ca="1">IFERROR(__xludf.DUMMYFUNCTION("""COMPUTED_VALUE"""),"IGEM01HV")</f>
        <v>IGEM01HV</v>
      </c>
      <c r="H1074" s="12">
        <f ca="1">IFERROR(__xludf.DUMMYFUNCTION("""COMPUTED_VALUE"""),4000)</f>
        <v>4000</v>
      </c>
      <c r="I1074" s="14">
        <f ca="1">IFERROR(__xludf.DUMMYFUNCTION("""COMPUTED_VALUE"""),1680)</f>
        <v>1680</v>
      </c>
      <c r="J1074" s="12"/>
      <c r="K1074" s="12"/>
      <c r="L1074" s="12" t="str">
        <f ca="1">IFERROR(__xludf.DUMMYFUNCTION("""COMPUTED_VALUE"""),"上架中")</f>
        <v>上架中</v>
      </c>
      <c r="M1074" s="12" t="str">
        <f ca="1">IFERROR(__xludf.DUMMYFUNCTION("""COMPUTED_VALUE"""),"110/1/30停售.持藥商許可證門市，廠商113/3/28改有貨可供，系統已開放受理")</f>
        <v>110/1/30停售.持藥商許可證門市，廠商113/3/28改有貨可供，系統已開放受理</v>
      </c>
      <c r="N1074" s="12" t="str">
        <f ca="1">IFERROR(__xludf.DUMMYFUNCTION("""COMPUTED_VALUE"""),"耳溫/額溫槍")</f>
        <v>耳溫/額溫槍</v>
      </c>
      <c r="O1074" s="12" t="str">
        <f ca="1">IFERROR(__xludf.DUMMYFUNCTION("""COMPUTED_VALUE"""),"白色")</f>
        <v>白色</v>
      </c>
      <c r="P1074" s="12"/>
      <c r="Q1074" s="12" t="str">
        <f ca="1">IFERROR(__xludf.DUMMYFUNCTION("""COMPUTED_VALUE"""),"包裝尺寸及重量：39.45mm(H)x40.14(W)x155.46(L) 61.8g(不含電池)
2顆1.5VAAA鹼性電池
")</f>
        <v xml:space="preserve">包裝尺寸及重量：39.45mm(H)x40.14(W)x155.46(L) 61.8g(不含電池)
2顆1.5VAAA鹼性電池
</v>
      </c>
      <c r="R1074" s="12" t="str">
        <f ca="1">IFERROR(__xludf.DUMMYFUNCTION("""COMPUTED_VALUE"""),"台灣")</f>
        <v>台灣</v>
      </c>
      <c r="S1074" s="12"/>
      <c r="T1074" s="12"/>
      <c r="U1074" s="12" t="str">
        <f ca="1">IFERROR(__xludf.DUMMYFUNCTION("""COMPUTED_VALUE"""),"2年")</f>
        <v>2年</v>
      </c>
      <c r="V1074" s="12"/>
      <c r="W1074" s="12"/>
      <c r="X1074" s="12"/>
      <c r="Y1074" s="12"/>
      <c r="Z1074" s="14"/>
      <c r="AA1074" s="15" t="str">
        <f ca="1">IFERROR(__xludf.DUMMYFUNCTION("""COMPUTED_VALUE"""),"●單鍵快速啟動量測●可儲存30筆量測記錄●紅外線免接觸測量●藍牙傳輸功能●衛部醫器製字第006076號北衛器廣字第10811025號
")</f>
        <v xml:space="preserve">●單鍵快速啟動量測●可儲存30筆量測記錄●紅外線免接觸測量●藍牙傳輸功能●衛部醫器製字第006076號北衛器廣字第10811025號
</v>
      </c>
    </row>
    <row r="1075" spans="1:27" ht="19.5" customHeight="1">
      <c r="A1075" s="12" t="str">
        <f ca="1">IFERROR(__xludf.DUMMYFUNCTION("""COMPUTED_VALUE"""),"醫療產品")</f>
        <v>醫療產品</v>
      </c>
      <c r="B1075" s="12" t="str">
        <f ca="1">IFERROR(__xludf.DUMMYFUNCTION("""COMPUTED_VALUE"""),"泰博")</f>
        <v>泰博</v>
      </c>
      <c r="C1075" s="12" t="str">
        <f ca="1">IFERROR(__xludf.DUMMYFUNCTION("""COMPUTED_VALUE"""),"福爾")</f>
        <v>福爾</v>
      </c>
      <c r="D1075" s="12" t="str">
        <f ca="1">IFERROR(__xludf.DUMMYFUNCTION("""COMPUTED_VALUE"""),"福爾紅外線額溫槍IR42_TD-1242")</f>
        <v>福爾紅外線額溫槍IR42_TD-1242</v>
      </c>
      <c r="E1075" s="12" t="str">
        <f ca="1">IFERROR(__xludf.DUMMYFUNCTION("""COMPUTED_VALUE"""),"TD-1242")</f>
        <v>TD-1242</v>
      </c>
      <c r="F1075" s="12">
        <f ca="1">IFERROR(__xludf.DUMMYFUNCTION("""COMPUTED_VALUE"""),51080007)</f>
        <v>51080007</v>
      </c>
      <c r="G1075" s="12" t="str">
        <f ca="1">IFERROR(__xludf.DUMMYFUNCTION("""COMPUTED_VALUE"""),"IGEM01NJ")</f>
        <v>IGEM01NJ</v>
      </c>
      <c r="H1075" s="12">
        <f ca="1">IFERROR(__xludf.DUMMYFUNCTION("""COMPUTED_VALUE"""),2500)</f>
        <v>2500</v>
      </c>
      <c r="I1075" s="14">
        <f ca="1">IFERROR(__xludf.DUMMYFUNCTION("""COMPUTED_VALUE"""),1360)</f>
        <v>1360</v>
      </c>
      <c r="J1075" s="12"/>
      <c r="K1075" s="12"/>
      <c r="L1075" s="12" t="str">
        <f ca="1">IFERROR(__xludf.DUMMYFUNCTION("""COMPUTED_VALUE"""),"上架中")</f>
        <v>上架中</v>
      </c>
      <c r="M1075" s="12" t="str">
        <f ca="1">IFERROR(__xludf.DUMMYFUNCTION("""COMPUTED_VALUE"""),"限持藥商許可證門市2021/11/1降價1500.2021/10/1回價~9/30短促/pos現貨銷售無宅配.5/20缺貨.5/13缺貨.1/14改POS現貨銷售.1/1回價.2020/11/23短促降價(現貨、宅配適用)代碼CQ0O持藥商許可證門市，113年10月短促價1360")</f>
        <v>限持藥商許可證門市2021/11/1降價1500.2021/10/1回價~9/30短促/pos現貨銷售無宅配.5/20缺貨.5/13缺貨.1/14改POS現貨銷售.1/1回價.2020/11/23短促降價(現貨、宅配適用)代碼CQ0O持藥商許可證門市，113年10月短促價1360</v>
      </c>
      <c r="N1075" s="12" t="str">
        <f ca="1">IFERROR(__xludf.DUMMYFUNCTION("""COMPUTED_VALUE"""),"耳溫/額溫槍")</f>
        <v>耳溫/額溫槍</v>
      </c>
      <c r="O1075" s="12" t="str">
        <f ca="1">IFERROR(__xludf.DUMMYFUNCTION("""COMPUTED_VALUE"""),"白色")</f>
        <v>白色</v>
      </c>
      <c r="P1075" s="12"/>
      <c r="Q1075" s="12" t="str">
        <f ca="1">IFERROR(__xludf.DUMMYFUNCTION("""COMPUTED_VALUE"""),"包裝尺寸及重量：39.45mm(H)x40.14(W)x155.46(L) 61.8g(不含電池)
2顆1.5VAAA鹼性電池
")</f>
        <v xml:space="preserve">包裝尺寸及重量：39.45mm(H)x40.14(W)x155.46(L) 61.8g(不含電池)
2顆1.5VAAA鹼性電池
</v>
      </c>
      <c r="R1075" s="12" t="str">
        <f ca="1">IFERROR(__xludf.DUMMYFUNCTION("""COMPUTED_VALUE"""),"台灣")</f>
        <v>台灣</v>
      </c>
      <c r="S1075" s="12"/>
      <c r="T1075" s="12"/>
      <c r="U1075" s="12" t="str">
        <f ca="1">IFERROR(__xludf.DUMMYFUNCTION("""COMPUTED_VALUE"""),"2年")</f>
        <v>2年</v>
      </c>
      <c r="V1075" s="12"/>
      <c r="W1075" s="12"/>
      <c r="X1075" s="12"/>
      <c r="Y1075" s="12"/>
      <c r="Z1075" s="14"/>
      <c r="AA1075" s="15" t="str">
        <f ca="1">IFERROR(__xludf.DUMMYFUNCTION("""COMPUTED_VALUE"""),"●單鍵快速啟動量測●可儲存30筆量測記錄●非接觸式紅外線量測模式●衛部醫器製字第006076號北衛器廣字第10811025號")</f>
        <v>●單鍵快速啟動量測●可儲存30筆量測記錄●非接觸式紅外線量測模式●衛部醫器製字第006076號北衛器廣字第10811025號</v>
      </c>
    </row>
    <row r="1076" spans="1:27" ht="19.5" customHeight="1">
      <c r="A1076" s="12" t="str">
        <f ca="1">IFERROR(__xludf.DUMMYFUNCTION("""COMPUTED_VALUE"""),"醫療產品")</f>
        <v>醫療產品</v>
      </c>
      <c r="B1076" s="12" t="str">
        <f ca="1">IFERROR(__xludf.DUMMYFUNCTION("""COMPUTED_VALUE"""),"泰博")</f>
        <v>泰博</v>
      </c>
      <c r="C1076" s="12" t="str">
        <f ca="1">IFERROR(__xludf.DUMMYFUNCTION("""COMPUTED_VALUE"""),"福爾")</f>
        <v>福爾</v>
      </c>
      <c r="D1076" s="12" t="str">
        <f ca="1">IFERROR(__xludf.DUMMYFUNCTION("""COMPUTED_VALUE"""),"福爾愛立測臂式血壓測量系統TD-3140(藍牙傳輸)")</f>
        <v>福爾愛立測臂式血壓測量系統TD-3140(藍牙傳輸)</v>
      </c>
      <c r="E1076" s="12" t="str">
        <f ca="1">IFERROR(__xludf.DUMMYFUNCTION("""COMPUTED_VALUE"""),"TD-3140")</f>
        <v>TD-3140</v>
      </c>
      <c r="F1076" s="12">
        <f ca="1">IFERROR(__xludf.DUMMYFUNCTION("""COMPUTED_VALUE"""),51080008)</f>
        <v>51080008</v>
      </c>
      <c r="G1076" s="12" t="str">
        <f ca="1">IFERROR(__xludf.DUMMYFUNCTION("""COMPUTED_VALUE"""),"IGEM01WS")</f>
        <v>IGEM01WS</v>
      </c>
      <c r="H1076" s="12">
        <f ca="1">IFERROR(__xludf.DUMMYFUNCTION("""COMPUTED_VALUE"""),3000)</f>
        <v>3000</v>
      </c>
      <c r="I1076" s="14">
        <f ca="1">IFERROR(__xludf.DUMMYFUNCTION("""COMPUTED_VALUE"""),1980)</f>
        <v>1980</v>
      </c>
      <c r="J1076" s="12"/>
      <c r="K1076" s="12"/>
      <c r="L1076" s="12" t="str">
        <f ca="1">IFERROR(__xludf.DUMMYFUNCTION("""COMPUTED_VALUE"""),"上架中")</f>
        <v>上架中</v>
      </c>
      <c r="M1076" s="12" t="str">
        <f ca="1">IFERROR(__xludf.DUMMYFUNCTION("""COMPUTED_VALUE"""),"限持藥商許可證門市2022/9/1回價/7/12-8/31短促.2020/10/22-11/31短促降價.7/22-9/30短促7/22新機上架.持藥商許可證門市(代碼CQ0O")</f>
        <v>限持藥商許可證門市2022/9/1回價/7/12-8/31短促.2020/10/22-11/31短促降價.7/22-9/30短促7/22新機上架.持藥商許可證門市(代碼CQ0O</v>
      </c>
      <c r="N1076" s="12" t="str">
        <f ca="1">IFERROR(__xludf.DUMMYFUNCTION("""COMPUTED_VALUE"""),"血壓計")</f>
        <v>血壓計</v>
      </c>
      <c r="O1076" s="12" t="str">
        <f ca="1">IFERROR(__xludf.DUMMYFUNCTION("""COMPUTED_VALUE"""),"白色")</f>
        <v>白色</v>
      </c>
      <c r="P1076" s="12"/>
      <c r="Q1076" s="12" t="str">
        <f ca="1">IFERROR(__xludf.DUMMYFUNCTION("""COMPUTED_VALUE"""),"電源:4顆1.5VAAA鹼性電池
尺寸(不含臂帶):29.6mm(H)x64.5mm(W)x145(L)
重量(不含臂帶及電池):240g")</f>
        <v>電源:4顆1.5VAAA鹼性電池
尺寸(不含臂帶):29.6mm(H)x64.5mm(W)x145(L)
重量(不含臂帶及電池):240g</v>
      </c>
      <c r="R1076" s="12" t="str">
        <f ca="1">IFERROR(__xludf.DUMMYFUNCTION("""COMPUTED_VALUE"""),"台灣")</f>
        <v>台灣</v>
      </c>
      <c r="S1076" s="12" t="str">
        <f ca="1">IFERROR(__xludf.DUMMYFUNCTION("""COMPUTED_VALUE"""),"TFDA")</f>
        <v>TFDA</v>
      </c>
      <c r="T1076" s="12"/>
      <c r="U1076" s="12" t="str">
        <f ca="1">IFERROR(__xludf.DUMMYFUNCTION("""COMPUTED_VALUE"""),"1年")</f>
        <v>1年</v>
      </c>
      <c r="V1076" s="12"/>
      <c r="W1076" s="12"/>
      <c r="X1076" s="12"/>
      <c r="Y1076" s="12"/>
      <c r="Z1076" s="14"/>
      <c r="AA1076" s="15" t="str">
        <f ca="1">IFERROR(__xludf.DUMMYFUNCTION("""COMPUTED_VALUE"""),"●200組量測資料記憶空間●心跳不規則警示功能●藍牙傳輸結果同步雲端●輕巧易攜帶●衛部醫器製字第005005號、北衛器廣字第10810053號")</f>
        <v>●200組量測資料記憶空間●心跳不規則警示功能●藍牙傳輸結果同步雲端●輕巧易攜帶●衛部醫器製字第005005號、北衛器廣字第10810053號</v>
      </c>
    </row>
    <row r="1077" spans="1:27" ht="19.5" customHeight="1">
      <c r="A1077" s="12" t="str">
        <f ca="1">IFERROR(__xludf.DUMMYFUNCTION("""COMPUTED_VALUE"""),"醫療產品")</f>
        <v>醫療產品</v>
      </c>
      <c r="B1077" s="12" t="str">
        <f ca="1">IFERROR(__xludf.DUMMYFUNCTION("""COMPUTED_VALUE"""),"泰博")</f>
        <v>泰博</v>
      </c>
      <c r="C1077" s="12" t="str">
        <f ca="1">IFERROR(__xludf.DUMMYFUNCTION("""COMPUTED_VALUE"""),"福爾")</f>
        <v>福爾</v>
      </c>
      <c r="D1077" s="12" t="str">
        <f ca="1">IFERROR(__xludf.DUMMYFUNCTION("""COMPUTED_VALUE"""),"福爾十合一體組成計TD-2560(藍牙傳輸)(蜜桃紅)")</f>
        <v>福爾十合一體組成計TD-2560(藍牙傳輸)(蜜桃紅)</v>
      </c>
      <c r="E1077" s="12" t="str">
        <f ca="1">IFERROR(__xludf.DUMMYFUNCTION("""COMPUTED_VALUE"""),"TD-2560(蜜桃紅)")</f>
        <v>TD-2560(蜜桃紅)</v>
      </c>
      <c r="F1077" s="12">
        <f ca="1">IFERROR(__xludf.DUMMYFUNCTION("""COMPUTED_VALUE"""),51080018)</f>
        <v>51080018</v>
      </c>
      <c r="G1077" s="12" t="str">
        <f ca="1">IFERROR(__xludf.DUMMYFUNCTION("""COMPUTED_VALUE"""),"IGEM0322")</f>
        <v>IGEM0322</v>
      </c>
      <c r="H1077" s="12">
        <f ca="1">IFERROR(__xludf.DUMMYFUNCTION("""COMPUTED_VALUE"""),2780)</f>
        <v>2780</v>
      </c>
      <c r="I1077" s="14">
        <f ca="1">IFERROR(__xludf.DUMMYFUNCTION("""COMPUTED_VALUE"""),2180)</f>
        <v>2180</v>
      </c>
      <c r="J1077" s="16">
        <f ca="1">IFERROR(__xludf.DUMMYFUNCTION("""COMPUTED_VALUE"""),45083)</f>
        <v>45083</v>
      </c>
      <c r="K1077" s="12" t="str">
        <f ca="1">IFERROR(__xludf.DUMMYFUNCTION("""COMPUTED_VALUE"""),"回價")</f>
        <v>回價</v>
      </c>
      <c r="L1077" s="12" t="str">
        <f ca="1">IFERROR(__xludf.DUMMYFUNCTION("""COMPUTED_VALUE"""),"上架中")</f>
        <v>上架中</v>
      </c>
      <c r="M1077" s="12" t="str">
        <f ca="1">IFERROR(__xludf.DUMMYFUNCTION("""COMPUTED_VALUE"""),"6/6回價.限持藥商許可證門市2022/6/27到貨、2021/11/25缺貨、2021/10/1-11/30短促、2021/7/12-9/30短促")</f>
        <v>6/6回價.限持藥商許可證門市2022/6/27到貨、2021/11/25缺貨、2021/10/1-11/30短促、2021/7/12-9/30短促</v>
      </c>
      <c r="N1077" s="12" t="str">
        <f ca="1">IFERROR(__xludf.DUMMYFUNCTION("""COMPUTED_VALUE"""),"體重計/體脂計")</f>
        <v>體重計/體脂計</v>
      </c>
      <c r="O1077" s="12" t="str">
        <f ca="1">IFERROR(__xludf.DUMMYFUNCTION("""COMPUTED_VALUE"""),"蜜桃紅")</f>
        <v>蜜桃紅</v>
      </c>
      <c r="P1077" s="12"/>
      <c r="Q1077" s="12" t="str">
        <f ca="1">IFERROR(__xludf.DUMMYFUNCTION("""COMPUTED_VALUE"""),"25Hx300Wx300L(mm)
1.8Kg(不含電池)")</f>
        <v>25Hx300Wx300L(mm)
1.8Kg(不含電池)</v>
      </c>
      <c r="R1077" s="12" t="str">
        <f ca="1">IFERROR(__xludf.DUMMYFUNCTION("""COMPUTED_VALUE"""),"台灣")</f>
        <v>台灣</v>
      </c>
      <c r="S1077" s="12" t="str">
        <f ca="1">IFERROR(__xludf.DUMMYFUNCTION("""COMPUTED_VALUE"""),"TFDA")</f>
        <v>TFDA</v>
      </c>
      <c r="T1077" s="12"/>
      <c r="U1077" s="12" t="str">
        <f ca="1">IFERROR(__xludf.DUMMYFUNCTION("""COMPUTED_VALUE"""),"1年")</f>
        <v>1年</v>
      </c>
      <c r="V1077" s="12"/>
      <c r="W1077" s="12"/>
      <c r="X1077" s="12"/>
      <c r="Y1077" s="12"/>
      <c r="Z1077" s="14"/>
      <c r="AA1077" s="15" t="str">
        <f ca="1">IFERROR(__xludf.DUMMYFUNCTION("""COMPUTED_VALUE"""),"*十合一身體組成量測*全中文顯示*藍牙傳輸*可量體重、體脂肪率、內臟脂肪等級、BMI、肌肉量、骨量、體水份率、體年齡、基礎代謝率及活動代謝率等10項參數。*5人資料登錄*藍牙傳輸APP管理*最大秤重180公斤*全中文顯示*衛部醫器製字第006403號*北衛器廣字號第11003044號")</f>
        <v>*十合一身體組成量測*全中文顯示*藍牙傳輸*可量體重、體脂肪率、內臟脂肪等級、BMI、肌肉量、骨量、體水份率、體年齡、基礎代謝率及活動代謝率等10項參數。*5人資料登錄*藍牙傳輸APP管理*最大秤重180公斤*全中文顯示*衛部醫器製字第006403號*北衛器廣字號第11003044號</v>
      </c>
    </row>
    <row r="1078" spans="1:27" ht="19.5" customHeight="1">
      <c r="A1078" s="12" t="str">
        <f ca="1">IFERROR(__xludf.DUMMYFUNCTION("""COMPUTED_VALUE"""),"醫療產品")</f>
        <v>醫療產品</v>
      </c>
      <c r="B1078" s="12" t="str">
        <f ca="1">IFERROR(__xludf.DUMMYFUNCTION("""COMPUTED_VALUE"""),"泰博")</f>
        <v>泰博</v>
      </c>
      <c r="C1078" s="12" t="str">
        <f ca="1">IFERROR(__xludf.DUMMYFUNCTION("""COMPUTED_VALUE"""),"福爾")</f>
        <v>福爾</v>
      </c>
      <c r="D1078" s="12" t="str">
        <f ca="1">IFERROR(__xludf.DUMMYFUNCTION("""COMPUTED_VALUE"""),"福爾十合一體組成計TD-2560(藍牙傳輸)(優雅白)")</f>
        <v>福爾十合一體組成計TD-2560(藍牙傳輸)(優雅白)</v>
      </c>
      <c r="E1078" s="12" t="str">
        <f ca="1">IFERROR(__xludf.DUMMYFUNCTION("""COMPUTED_VALUE"""),"TD-2560(優雅白)")</f>
        <v>TD-2560(優雅白)</v>
      </c>
      <c r="F1078" s="12">
        <f ca="1">IFERROR(__xludf.DUMMYFUNCTION("""COMPUTED_VALUE"""),51080020)</f>
        <v>51080020</v>
      </c>
      <c r="G1078" s="12" t="str">
        <f ca="1">IFERROR(__xludf.DUMMYFUNCTION("""COMPUTED_VALUE"""),"IGEM035F")</f>
        <v>IGEM035F</v>
      </c>
      <c r="H1078" s="12">
        <f ca="1">IFERROR(__xludf.DUMMYFUNCTION("""COMPUTED_VALUE"""),2780)</f>
        <v>2780</v>
      </c>
      <c r="I1078" s="14">
        <f ca="1">IFERROR(__xludf.DUMMYFUNCTION("""COMPUTED_VALUE"""),2180)</f>
        <v>2180</v>
      </c>
      <c r="J1078" s="16">
        <f ca="1">IFERROR(__xludf.DUMMYFUNCTION("""COMPUTED_VALUE"""),45083)</f>
        <v>45083</v>
      </c>
      <c r="K1078" s="12" t="str">
        <f ca="1">IFERROR(__xludf.DUMMYFUNCTION("""COMPUTED_VALUE"""),"回價")</f>
        <v>回價</v>
      </c>
      <c r="L1078" s="12" t="str">
        <f ca="1">IFERROR(__xludf.DUMMYFUNCTION("""COMPUTED_VALUE"""),"上架中")</f>
        <v>上架中</v>
      </c>
      <c r="M1078" s="12" t="str">
        <f ca="1">IFERROR(__xludf.DUMMYFUNCTION("""COMPUTED_VALUE"""),"6/6回價.5/4到貨.限持藥商許可證門市2022/3/9到貨、2022/11/25缺貨、2021/10/1-11/30短促、2021/7/12-9/30短促、2021/4/1新機上架POS現貨銷售.持藥商許可證門市")</f>
        <v>6/6回價.5/4到貨.限持藥商許可證門市2022/3/9到貨、2022/11/25缺貨、2021/10/1-11/30短促、2021/7/12-9/30短促、2021/4/1新機上架POS現貨銷售.持藥商許可證門市</v>
      </c>
      <c r="N1078" s="12" t="str">
        <f ca="1">IFERROR(__xludf.DUMMYFUNCTION("""COMPUTED_VALUE"""),"體重計/體脂計")</f>
        <v>體重計/體脂計</v>
      </c>
      <c r="O1078" s="12" t="str">
        <f ca="1">IFERROR(__xludf.DUMMYFUNCTION("""COMPUTED_VALUE"""),"優雅白")</f>
        <v>優雅白</v>
      </c>
      <c r="P1078" s="12"/>
      <c r="Q1078" s="12" t="str">
        <f ca="1">IFERROR(__xludf.DUMMYFUNCTION("""COMPUTED_VALUE"""),"25Hx300Wx300L(mm)
1.8Kg(不含電池)")</f>
        <v>25Hx300Wx300L(mm)
1.8Kg(不含電池)</v>
      </c>
      <c r="R1078" s="12" t="str">
        <f ca="1">IFERROR(__xludf.DUMMYFUNCTION("""COMPUTED_VALUE"""),"台灣")</f>
        <v>台灣</v>
      </c>
      <c r="S1078" s="12" t="str">
        <f ca="1">IFERROR(__xludf.DUMMYFUNCTION("""COMPUTED_VALUE"""),"TFDA")</f>
        <v>TFDA</v>
      </c>
      <c r="T1078" s="12"/>
      <c r="U1078" s="12" t="str">
        <f ca="1">IFERROR(__xludf.DUMMYFUNCTION("""COMPUTED_VALUE"""),"1年")</f>
        <v>1年</v>
      </c>
      <c r="V1078" s="12"/>
      <c r="W1078" s="12"/>
      <c r="X1078" s="12"/>
      <c r="Y1078" s="12"/>
      <c r="Z1078" s="14"/>
      <c r="AA1078" s="15" t="str">
        <f ca="1">IFERROR(__xludf.DUMMYFUNCTION("""COMPUTED_VALUE"""),"*十合一身體組成量測*全中文顯示*藍牙傳輸*可量體重、體脂肪率、內臟脂肪等級、BMI、肌肉量、骨量、體水份率、體年齡、基礎代謝率及活動代謝率等10項參數。*5人資料登錄*藍牙傳輸APP管理*最大秤重180公斤*全中文顯示*衛部醫器製字第006403號*北衛器廣字號第11003044號")</f>
        <v>*十合一身體組成量測*全中文顯示*藍牙傳輸*可量體重、體脂肪率、內臟脂肪等級、BMI、肌肉量、骨量、體水份率、體年齡、基礎代謝率及活動代謝率等10項參數。*5人資料登錄*藍牙傳輸APP管理*最大秤重180公斤*全中文顯示*衛部醫器製字第006403號*北衛器廣字號第11003044號</v>
      </c>
    </row>
    <row r="1079" spans="1:27" ht="19.5" customHeight="1">
      <c r="A1079" s="12" t="str">
        <f ca="1">IFERROR(__xludf.DUMMYFUNCTION("""COMPUTED_VALUE"""),"醫療產品")</f>
        <v>醫療產品</v>
      </c>
      <c r="B1079" s="12" t="str">
        <f ca="1">IFERROR(__xludf.DUMMYFUNCTION("""COMPUTED_VALUE"""),"泰博")</f>
        <v>泰博</v>
      </c>
      <c r="C1079" s="12" t="str">
        <f ca="1">IFERROR(__xludf.DUMMYFUNCTION("""COMPUTED_VALUE"""),"福爾")</f>
        <v>福爾</v>
      </c>
      <c r="D1079" s="12" t="str">
        <f ca="1">IFERROR(__xludf.DUMMYFUNCTION("""COMPUTED_VALUE"""),"福爾十合一體組成計TD-2560(藍牙傳輸)(幻影黑)")</f>
        <v>福爾十合一體組成計TD-2560(藍牙傳輸)(幻影黑)</v>
      </c>
      <c r="E1079" s="12" t="str">
        <f ca="1">IFERROR(__xludf.DUMMYFUNCTION("""COMPUTED_VALUE"""),"TD-2560(幻影黑)")</f>
        <v>TD-2560(幻影黑)</v>
      </c>
      <c r="F1079" s="12">
        <f ca="1">IFERROR(__xludf.DUMMYFUNCTION("""COMPUTED_VALUE"""),51080021)</f>
        <v>51080021</v>
      </c>
      <c r="G1079" s="12" t="str">
        <f ca="1">IFERROR(__xludf.DUMMYFUNCTION("""COMPUTED_VALUE"""),"IGEM035G")</f>
        <v>IGEM035G</v>
      </c>
      <c r="H1079" s="12">
        <f ca="1">IFERROR(__xludf.DUMMYFUNCTION("""COMPUTED_VALUE"""),2780)</f>
        <v>2780</v>
      </c>
      <c r="I1079" s="14">
        <f ca="1">IFERROR(__xludf.DUMMYFUNCTION("""COMPUTED_VALUE"""),2180)</f>
        <v>2180</v>
      </c>
      <c r="J1079" s="16">
        <f ca="1">IFERROR(__xludf.DUMMYFUNCTION("""COMPUTED_VALUE"""),45083)</f>
        <v>45083</v>
      </c>
      <c r="K1079" s="12" t="str">
        <f ca="1">IFERROR(__xludf.DUMMYFUNCTION("""COMPUTED_VALUE"""),"回價")</f>
        <v>回價</v>
      </c>
      <c r="L1079" s="12" t="str">
        <f ca="1">IFERROR(__xludf.DUMMYFUNCTION("""COMPUTED_VALUE"""),"上架中")</f>
        <v>上架中</v>
      </c>
      <c r="M1079" s="12" t="str">
        <f ca="1">IFERROR(__xludf.DUMMYFUNCTION("""COMPUTED_VALUE"""),"6/6回價.限持藥商許可證門市2022/6/27到貨、2021/11/25缺貨、2021/10/1-11/30短促、2021/7/12-9/30短促")</f>
        <v>6/6回價.限持藥商許可證門市2022/6/27到貨、2021/11/25缺貨、2021/10/1-11/30短促、2021/7/12-9/30短促</v>
      </c>
      <c r="N1079" s="12" t="str">
        <f ca="1">IFERROR(__xludf.DUMMYFUNCTION("""COMPUTED_VALUE"""),"體重計/體脂計")</f>
        <v>體重計/體脂計</v>
      </c>
      <c r="O1079" s="12" t="str">
        <f ca="1">IFERROR(__xludf.DUMMYFUNCTION("""COMPUTED_VALUE"""),"幻影黑")</f>
        <v>幻影黑</v>
      </c>
      <c r="P1079" s="12"/>
      <c r="Q1079" s="12" t="str">
        <f ca="1">IFERROR(__xludf.DUMMYFUNCTION("""COMPUTED_VALUE"""),"25Hx300Wx300L(mm)
1.8Kg(不含電池)")</f>
        <v>25Hx300Wx300L(mm)
1.8Kg(不含電池)</v>
      </c>
      <c r="R1079" s="12" t="str">
        <f ca="1">IFERROR(__xludf.DUMMYFUNCTION("""COMPUTED_VALUE"""),"台灣")</f>
        <v>台灣</v>
      </c>
      <c r="S1079" s="12" t="str">
        <f ca="1">IFERROR(__xludf.DUMMYFUNCTION("""COMPUTED_VALUE"""),"TFDA")</f>
        <v>TFDA</v>
      </c>
      <c r="T1079" s="12"/>
      <c r="U1079" s="12" t="str">
        <f ca="1">IFERROR(__xludf.DUMMYFUNCTION("""COMPUTED_VALUE"""),"1年")</f>
        <v>1年</v>
      </c>
      <c r="V1079" s="12"/>
      <c r="W1079" s="12"/>
      <c r="X1079" s="12"/>
      <c r="Y1079" s="12"/>
      <c r="Z1079" s="14"/>
      <c r="AA1079" s="15" t="str">
        <f ca="1">IFERROR(__xludf.DUMMYFUNCTION("""COMPUTED_VALUE"""),"*十合一身體組成量測*全中文顯示*藍牙傳輸*可量體重、體脂肪率、內臟脂肪等級、BMI、肌肉量、骨量、體水份率、體年齡、基礎代謝率及活動代謝率等10項參數。*5人資料登錄*藍牙傳輸APP管理*最大秤重180公斤*全中文顯示*衛部醫器製字第006403號*北衛器廣字號第11003044號")</f>
        <v>*十合一身體組成量測*全中文顯示*藍牙傳輸*可量體重、體脂肪率、內臟脂肪等級、BMI、肌肉量、骨量、體水份率、體年齡、基礎代謝率及活動代謝率等10項參數。*5人資料登錄*藍牙傳輸APP管理*最大秤重180公斤*全中文顯示*衛部醫器製字第006403號*北衛器廣字號第11003044號</v>
      </c>
    </row>
    <row r="1080" spans="1:27" ht="19.5" customHeight="1">
      <c r="A1080" s="12" t="str">
        <f ca="1">IFERROR(__xludf.DUMMYFUNCTION("""COMPUTED_VALUE"""),"醫療產品")</f>
        <v>醫療產品</v>
      </c>
      <c r="B1080" s="12" t="str">
        <f ca="1">IFERROR(__xludf.DUMMYFUNCTION("""COMPUTED_VALUE"""),"泰博")</f>
        <v>泰博</v>
      </c>
      <c r="C1080" s="12" t="str">
        <f ca="1">IFERROR(__xludf.DUMMYFUNCTION("""COMPUTED_VALUE"""),"福爾")</f>
        <v>福爾</v>
      </c>
      <c r="D1080" s="12" t="str">
        <f ca="1">IFERROR(__xludf.DUMMYFUNCTION("""COMPUTED_VALUE"""),"福爾紅外線耳溫槍TD-1118(粉紅)附耳套:20個/盒")</f>
        <v>福爾紅外線耳溫槍TD-1118(粉紅)附耳套:20個/盒</v>
      </c>
      <c r="E1080" s="12" t="str">
        <f ca="1">IFERROR(__xludf.DUMMYFUNCTION("""COMPUTED_VALUE"""),"TD-1118(粉紅)")</f>
        <v>TD-1118(粉紅)</v>
      </c>
      <c r="F1080" s="12">
        <f ca="1">IFERROR(__xludf.DUMMYFUNCTION("""COMPUTED_VALUE"""),51080019)</f>
        <v>51080019</v>
      </c>
      <c r="G1080" s="12" t="str">
        <f ca="1">IFERROR(__xludf.DUMMYFUNCTION("""COMPUTED_VALUE"""),"IGEM035E")</f>
        <v>IGEM035E</v>
      </c>
      <c r="H1080" s="12">
        <f ca="1">IFERROR(__xludf.DUMMYFUNCTION("""COMPUTED_VALUE"""),1700)</f>
        <v>1700</v>
      </c>
      <c r="I1080" s="14">
        <f ca="1">IFERROR(__xludf.DUMMYFUNCTION("""COMPUTED_VALUE"""),1150)</f>
        <v>1150</v>
      </c>
      <c r="J1080" s="12"/>
      <c r="K1080" s="12"/>
      <c r="L1080" s="12" t="str">
        <f ca="1">IFERROR(__xludf.DUMMYFUNCTION("""COMPUTED_VALUE"""),"上架中")</f>
        <v>上架中</v>
      </c>
      <c r="M1080" s="12" t="str">
        <f ca="1">IFERROR(__xludf.DUMMYFUNCTION("""COMPUTED_VALUE"""),"限持藥商許可證門市2022/7/7短促、2021/7/12降價、2021/3/26新機上架.持藥商許可證門市(代碼CQ0O)")</f>
        <v>限持藥商許可證門市2022/7/7短促、2021/7/12降價、2021/3/26新機上架.持藥商許可證門市(代碼CQ0O)</v>
      </c>
      <c r="N1080" s="12" t="str">
        <f ca="1">IFERROR(__xludf.DUMMYFUNCTION("""COMPUTED_VALUE"""),"耳溫/額溫槍")</f>
        <v>耳溫/額溫槍</v>
      </c>
      <c r="O1080" s="12" t="str">
        <f ca="1">IFERROR(__xludf.DUMMYFUNCTION("""COMPUTED_VALUE"""),"粉紅色")</f>
        <v>粉紅色</v>
      </c>
      <c r="P1080" s="12"/>
      <c r="Q1080" s="12" t="str">
        <f ca="1">IFERROR(__xludf.DUMMYFUNCTION("""COMPUTED_VALUE"""),"H150*W64*L91mm")</f>
        <v>H150*W64*L91mm</v>
      </c>
      <c r="R1080" s="12" t="str">
        <f ca="1">IFERROR(__xludf.DUMMYFUNCTION("""COMPUTED_VALUE"""),"台灣")</f>
        <v>台灣</v>
      </c>
      <c r="S1080" s="12" t="str">
        <f ca="1">IFERROR(__xludf.DUMMYFUNCTION("""COMPUTED_VALUE"""),"TFDA")</f>
        <v>TFDA</v>
      </c>
      <c r="T1080" s="12"/>
      <c r="U1080" s="12" t="str">
        <f ca="1">IFERROR(__xludf.DUMMYFUNCTION("""COMPUTED_VALUE"""),"2年")</f>
        <v>2年</v>
      </c>
      <c r="V1080" s="12"/>
      <c r="W1080" s="12"/>
      <c r="X1080" s="12"/>
      <c r="Y1080" s="12"/>
      <c r="Z1080" s="14"/>
      <c r="AA1080" s="15" t="str">
        <f ca="1">IFERROR(__xludf.DUMMYFUNCTION("""COMPUTED_VALUE"""),"*快速量測*螢幕背光*高溫警示*耳套:20個/盒*衛署醫器製字第003084號北衛器廣字第10904016號")</f>
        <v>*快速量測*螢幕背光*高溫警示*耳套:20個/盒*衛署醫器製字第003084號北衛器廣字第10904016號</v>
      </c>
    </row>
    <row r="1081" spans="1:27" ht="19.5" customHeight="1">
      <c r="A1081" s="12" t="str">
        <f ca="1">IFERROR(__xludf.DUMMYFUNCTION("""COMPUTED_VALUE"""),"醫療產品")</f>
        <v>醫療產品</v>
      </c>
      <c r="B1081" s="12" t="str">
        <f ca="1">IFERROR(__xludf.DUMMYFUNCTION("""COMPUTED_VALUE"""),"泰博")</f>
        <v>泰博</v>
      </c>
      <c r="C1081" s="12" t="str">
        <f ca="1">IFERROR(__xludf.DUMMYFUNCTION("""COMPUTED_VALUE"""),"福爾")</f>
        <v>福爾</v>
      </c>
      <c r="D1081" s="12" t="str">
        <f ca="1">IFERROR(__xludf.DUMMYFUNCTION("""COMPUTED_VALUE"""),"福爾血氧濃度計_TD8255(藍牙傳輸)(白色)")</f>
        <v>福爾血氧濃度計_TD8255(藍牙傳輸)(白色)</v>
      </c>
      <c r="E1081" s="12" t="str">
        <f ca="1">IFERROR(__xludf.DUMMYFUNCTION("""COMPUTED_VALUE"""),"TD-8255")</f>
        <v>TD-8255</v>
      </c>
      <c r="F1081" s="12">
        <f ca="1">IFERROR(__xludf.DUMMYFUNCTION("""COMPUTED_VALUE"""),51080023)</f>
        <v>51080023</v>
      </c>
      <c r="G1081" s="12" t="str">
        <f ca="1">IFERROR(__xludf.DUMMYFUNCTION("""COMPUTED_VALUE"""),"IGEM0395")</f>
        <v>IGEM0395</v>
      </c>
      <c r="H1081" s="12">
        <f ca="1">IFERROR(__xludf.DUMMYFUNCTION("""COMPUTED_VALUE"""),6990)</f>
        <v>6990</v>
      </c>
      <c r="I1081" s="14">
        <f ca="1">IFERROR(__xludf.DUMMYFUNCTION("""COMPUTED_VALUE"""),3480)</f>
        <v>3480</v>
      </c>
      <c r="J1081" s="16">
        <f ca="1">IFERROR(__xludf.DUMMYFUNCTION("""COMPUTED_VALUE"""),45666)</f>
        <v>45666</v>
      </c>
      <c r="K1081" s="12" t="str">
        <f ca="1">IFERROR(__xludf.DUMMYFUNCTION("""COMPUTED_VALUE"""),"到貨")</f>
        <v>到貨</v>
      </c>
      <c r="L1081" s="12" t="str">
        <f ca="1">IFERROR(__xludf.DUMMYFUNCTION("""COMPUTED_VALUE"""),"上架中")</f>
        <v>上架中</v>
      </c>
      <c r="M1081" s="13" t="str">
        <f ca="1">IFERROR(__xludf.DUMMYFUNCTION("""COMPUTED_VALUE"""),"1/9到貨，2025/1/1缺貨，限持藥商許可證門市2022/6/27到貨6/6缺貨中2022/3/1起全面由pos現貨受理。2021/10/1-11/30短促、7/12-9/30短促、5/31少量現貨到門市(入pos)")</f>
        <v>1/9到貨，2025/1/1缺貨，限持藥商許可證門市2022/6/27到貨6/6缺貨中2022/3/1起全面由pos現貨受理。2021/10/1-11/30短促、7/12-9/30短促、5/31少量現貨到門市(入pos)</v>
      </c>
      <c r="N1081" s="12" t="str">
        <f ca="1">IFERROR(__xludf.DUMMYFUNCTION("""COMPUTED_VALUE"""),"血氧機")</f>
        <v>血氧機</v>
      </c>
      <c r="O1081" s="12" t="str">
        <f ca="1">IFERROR(__xludf.DUMMYFUNCTION("""COMPUTED_VALUE"""),"白色")</f>
        <v>白色</v>
      </c>
      <c r="P1081" s="12"/>
      <c r="Q1081" s="12" t="str">
        <f ca="1">IFERROR(__xludf.DUMMYFUNCTION("""COMPUTED_VALUE"""),"37mm(H)x37mm(W)x63mm(L)
2顆1.5VAAA鹼性電池")</f>
        <v>37mm(H)x37mm(W)x63mm(L)
2顆1.5VAAA鹼性電池</v>
      </c>
      <c r="R1081" s="12" t="str">
        <f ca="1">IFERROR(__xludf.DUMMYFUNCTION("""COMPUTED_VALUE"""),"台灣")</f>
        <v>台灣</v>
      </c>
      <c r="S1081" s="12" t="str">
        <f ca="1">IFERROR(__xludf.DUMMYFUNCTION("""COMPUTED_VALUE"""),"TFDA")</f>
        <v>TFDA</v>
      </c>
      <c r="T1081" s="12"/>
      <c r="U1081" s="12" t="str">
        <f ca="1">IFERROR(__xludf.DUMMYFUNCTION("""COMPUTED_VALUE"""),"1年")</f>
        <v>1年</v>
      </c>
      <c r="V1081" s="12"/>
      <c r="W1081" s="12"/>
      <c r="X1081" s="12"/>
      <c r="Y1081" s="12"/>
      <c r="Z1081" s="14"/>
      <c r="AA1081" s="15" t="str">
        <f ca="1">IFERROR(__xludf.DUMMYFUNCTION("""COMPUTED_VALUE"""),"*脈博偵測*LED背光*螢幕翻轉*矽膠感測器*藍芽版
衛部醫器製字第006410號、北衛器廣字第10810030號")</f>
        <v>*脈博偵測*LED背光*螢幕翻轉*矽膠感測器*藍芽版
衛部醫器製字第006410號、北衛器廣字第10810030號</v>
      </c>
    </row>
    <row r="1082" spans="1:27" ht="19.5" customHeight="1">
      <c r="A1082" s="12" t="str">
        <f ca="1">IFERROR(__xludf.DUMMYFUNCTION("""COMPUTED_VALUE"""),"醫療產品")</f>
        <v>醫療產品</v>
      </c>
      <c r="B1082" s="12" t="str">
        <f ca="1">IFERROR(__xludf.DUMMYFUNCTION("""COMPUTED_VALUE"""),"泰博")</f>
        <v>泰博</v>
      </c>
      <c r="C1082" s="12" t="str">
        <f ca="1">IFERROR(__xludf.DUMMYFUNCTION("""COMPUTED_VALUE"""),"福爾")</f>
        <v>福爾</v>
      </c>
      <c r="D1082" s="12" t="str">
        <f ca="1">IFERROR(__xludf.DUMMYFUNCTION("""COMPUTED_VALUE"""),"福爾數位臂式血壓機TD-3129(藍牙傳輸)")</f>
        <v>福爾數位臂式血壓機TD-3129(藍牙傳輸)</v>
      </c>
      <c r="E1082" s="12" t="str">
        <f ca="1">IFERROR(__xludf.DUMMYFUNCTION("""COMPUTED_VALUE"""),"TD-3129")</f>
        <v>TD-3129</v>
      </c>
      <c r="F1082" s="12">
        <f ca="1">IFERROR(__xludf.DUMMYFUNCTION("""COMPUTED_VALUE"""),51080028)</f>
        <v>51080028</v>
      </c>
      <c r="G1082" s="12" t="str">
        <f ca="1">IFERROR(__xludf.DUMMYFUNCTION("""COMPUTED_VALUE"""),"IGEM044J")</f>
        <v>IGEM044J</v>
      </c>
      <c r="H1082" s="12">
        <f ca="1">IFERROR(__xludf.DUMMYFUNCTION("""COMPUTED_VALUE"""),2780)</f>
        <v>2780</v>
      </c>
      <c r="I1082" s="14">
        <f ca="1">IFERROR(__xludf.DUMMYFUNCTION("""COMPUTED_VALUE"""),2280)</f>
        <v>2280</v>
      </c>
      <c r="J1082" s="16">
        <f ca="1">IFERROR(__xludf.DUMMYFUNCTION("""COMPUTED_VALUE"""),45170)</f>
        <v>45170</v>
      </c>
      <c r="K1082" s="12" t="str">
        <f ca="1">IFERROR(__xludf.DUMMYFUNCTION("""COMPUTED_VALUE"""),"回價")</f>
        <v>回價</v>
      </c>
      <c r="L1082" s="12" t="str">
        <f ca="1">IFERROR(__xludf.DUMMYFUNCTION("""COMPUTED_VALUE"""),"上架中")</f>
        <v>上架中</v>
      </c>
      <c r="M1082" s="12" t="str">
        <f ca="1">IFERROR(__xludf.DUMMYFUNCTION("""COMPUTED_VALUE"""),"2024/5/1母親節短促1個月，支持成本1100，促銷價1980。9/1回價8/1-8/31短促6/1回價「預購2023/5/15陸續出貨」少量貨售完為止，下批到貨5/15。2023/5/1-5/31短促限持藥商許可證門市2022/4/1降價、2021/11/1回價、2021/7/26新機上架，限藥商許可證門市受理，")</f>
        <v>2024/5/1母親節短促1個月，支持成本1100，促銷價1980。9/1回價8/1-8/31短促6/1回價「預購2023/5/15陸續出貨」少量貨售完為止，下批到貨5/15。2023/5/1-5/31短促限持藥商許可證門市2022/4/1降價、2021/11/1回價、2021/7/26新機上架，限藥商許可證門市受理，</v>
      </c>
      <c r="N1082" s="12" t="str">
        <f ca="1">IFERROR(__xludf.DUMMYFUNCTION("""COMPUTED_VALUE"""),"血壓計")</f>
        <v>血壓計</v>
      </c>
      <c r="O1082" s="12"/>
      <c r="P1082" s="12"/>
      <c r="Q1082" s="12" t="str">
        <f ca="1">IFERROR(__xludf.DUMMYFUNCTION("""COMPUTED_VALUE"""),"血壓機大小 66.5mm(H)x95mm(W)x160mm(L)")</f>
        <v>血壓機大小 66.5mm(H)x95mm(W)x160mm(L)</v>
      </c>
      <c r="R1082" s="12" t="str">
        <f ca="1">IFERROR(__xludf.DUMMYFUNCTION("""COMPUTED_VALUE"""),"台灣")</f>
        <v>台灣</v>
      </c>
      <c r="S1082" s="12" t="str">
        <f ca="1">IFERROR(__xludf.DUMMYFUNCTION("""COMPUTED_VALUE"""),"TFDA")</f>
        <v>TFDA</v>
      </c>
      <c r="T1082" s="12"/>
      <c r="U1082" s="12" t="str">
        <f ca="1">IFERROR(__xludf.DUMMYFUNCTION("""COMPUTED_VALUE"""),"2年")</f>
        <v>2年</v>
      </c>
      <c r="V1082" s="12"/>
      <c r="W1082" s="12"/>
      <c r="X1082" s="12"/>
      <c r="Y1082" s="12"/>
      <c r="Z1082" s="14"/>
      <c r="AA1082" s="15" t="str">
        <f ca="1">IFERROR(__xludf.DUMMYFUNCTION("""COMPUTED_VALUE"""),"*智慧型量測技術*脈膊不穩偵測*60筆記憶功能*支援血壓平均值量測模式(AVG)*支援心跳不規則警示(IHB)*可顯示白天及夜晚血壓平均值*藍牙傳輸*衛署醫器製字第003362號、北衛器廣字第10908035號")</f>
        <v>*智慧型量測技術*脈膊不穩偵測*60筆記憶功能*支援血壓平均值量測模式(AVG)*支援心跳不規則警示(IHB)*可顯示白天及夜晚血壓平均值*藍牙傳輸*衛署醫器製字第003362號、北衛器廣字第10908035號</v>
      </c>
    </row>
    <row r="1083" spans="1:27" ht="19.5" customHeight="1">
      <c r="A1083" s="12" t="str">
        <f ca="1">IFERROR(__xludf.DUMMYFUNCTION("""COMPUTED_VALUE"""),"醫療產品")</f>
        <v>醫療產品</v>
      </c>
      <c r="B1083" s="12" t="str">
        <f ca="1">IFERROR(__xludf.DUMMYFUNCTION("""COMPUTED_VALUE"""),"泰博")</f>
        <v>泰博</v>
      </c>
      <c r="C1083" s="12" t="str">
        <f ca="1">IFERROR(__xludf.DUMMYFUNCTION("""COMPUTED_VALUE"""),"福爾")</f>
        <v>福爾</v>
      </c>
      <c r="D1083" s="12" t="str">
        <f ca="1">IFERROR(__xludf.DUMMYFUNCTION("""COMPUTED_VALUE"""),"福爾倍康血糖測試系統(GD40B藍)TD-4272B(血糖機)(藍牙傳輸)")</f>
        <v>福爾倍康血糖測試系統(GD40B藍)TD-4272B(血糖機)(藍牙傳輸)</v>
      </c>
      <c r="E1083" s="12" t="str">
        <f ca="1">IFERROR(__xludf.DUMMYFUNCTION("""COMPUTED_VALUE"""),"TD-4272B")</f>
        <v>TD-4272B</v>
      </c>
      <c r="F1083" s="12">
        <f ca="1">IFERROR(__xludf.DUMMYFUNCTION("""COMPUTED_VALUE"""),51080031)</f>
        <v>51080031</v>
      </c>
      <c r="G1083" s="12" t="str">
        <f ca="1">IFERROR(__xludf.DUMMYFUNCTION("""COMPUTED_VALUE"""),"IGEM052R")</f>
        <v>IGEM052R</v>
      </c>
      <c r="H1083" s="12">
        <f ca="1">IFERROR(__xludf.DUMMYFUNCTION("""COMPUTED_VALUE"""),2500)</f>
        <v>2500</v>
      </c>
      <c r="I1083" s="14">
        <f ca="1">IFERROR(__xludf.DUMMYFUNCTION("""COMPUTED_VALUE"""),1980)</f>
        <v>1980</v>
      </c>
      <c r="J1083" s="12"/>
      <c r="K1083" s="12"/>
      <c r="L1083" s="12" t="str">
        <f ca="1">IFERROR(__xludf.DUMMYFUNCTION("""COMPUTED_VALUE"""),"上架中")</f>
        <v>上架中</v>
      </c>
      <c r="M1083" s="12" t="str">
        <f ca="1">IFERROR(__xludf.DUMMYFUNCTION("""COMPUTED_VALUE"""),"限持藥商許可證門市2021/4/1降價、2021/1/1新品上架")</f>
        <v>限持藥商許可證門市2021/4/1降價、2021/1/1新品上架</v>
      </c>
      <c r="N1083" s="12" t="str">
        <f ca="1">IFERROR(__xludf.DUMMYFUNCTION("""COMPUTED_VALUE"""),"血糖血壓計")</f>
        <v>血糖血壓計</v>
      </c>
      <c r="O1083" s="12" t="str">
        <f ca="1">IFERROR(__xludf.DUMMYFUNCTION("""COMPUTED_VALUE"""),"藍色")</f>
        <v>藍色</v>
      </c>
      <c r="P1083" s="12"/>
      <c r="Q1083" s="12" t="str">
        <f ca="1">IFERROR(__xludf.DUMMYFUNCTION("""COMPUTED_VALUE"""),"25mm(H)x57mm(W)x110mm(L)")</f>
        <v>25mm(H)x57mm(W)x110mm(L)</v>
      </c>
      <c r="R1083" s="12" t="str">
        <f ca="1">IFERROR(__xludf.DUMMYFUNCTION("""COMPUTED_VALUE"""),"台灣")</f>
        <v>台灣</v>
      </c>
      <c r="S1083" s="12" t="str">
        <f ca="1">IFERROR(__xludf.DUMMYFUNCTION("""COMPUTED_VALUE"""),"TFDA")</f>
        <v>TFDA</v>
      </c>
      <c r="T1083" s="12"/>
      <c r="U1083" s="12" t="str">
        <f ca="1">IFERROR(__xludf.DUMMYFUNCTION("""COMPUTED_VALUE"""),"2年")</f>
        <v>2年</v>
      </c>
      <c r="V1083" s="12"/>
      <c r="W1083" s="12"/>
      <c r="X1083" s="12"/>
      <c r="Y1083" s="12"/>
      <c r="Z1083" s="14"/>
      <c r="AA1083" s="15" t="str">
        <f ca="1">IFERROR(__xludf.DUMMYFUNCTION("""COMPUTED_VALUE"""),"真人語音引導量測
1000筆超大容量血糖紀錄
可標記飯前/飯後血糖值
高低血糖警示貼心提醒
藍牙傳輸上傳APP/雲端
通過TÜV國際認證，精準度符合ISO15197:2013規範
衛部醫器製字第004176號|北衛器廣字第11005011號")</f>
        <v>真人語音引導量測
1000筆超大容量血糖紀錄
可標記飯前/飯後血糖值
高低血糖警示貼心提醒
藍牙傳輸上傳APP/雲端
通過TÜV國際認證，精準度符合ISO15197:2013規範
衛部醫器製字第004176號|北衛器廣字第11005011號</v>
      </c>
    </row>
    <row r="1084" spans="1:27" ht="19.5" customHeight="1">
      <c r="A1084" s="12" t="str">
        <f ca="1">IFERROR(__xludf.DUMMYFUNCTION("""COMPUTED_VALUE"""),"醫療產品")</f>
        <v>醫療產品</v>
      </c>
      <c r="B1084" s="12" t="str">
        <f ca="1">IFERROR(__xludf.DUMMYFUNCTION("""COMPUTED_VALUE"""),"泰博")</f>
        <v>泰博</v>
      </c>
      <c r="C1084" s="12" t="str">
        <f ca="1">IFERROR(__xludf.DUMMYFUNCTION("""COMPUTED_VALUE"""),"福爾")</f>
        <v>福爾</v>
      </c>
      <c r="D1084" s="12" t="str">
        <f ca="1">IFERROR(__xludf.DUMMYFUNCTION("""COMPUTED_VALUE"""),"福爾倍康血糖試紙(限福爾GD40系列專用試紙)_試紙1盒裝(50片)")</f>
        <v>福爾倍康血糖試紙(限福爾GD40系列專用試紙)_試紙1盒裝(50片)</v>
      </c>
      <c r="E1084" s="12" t="str">
        <f ca="1">IFERROR(__xludf.DUMMYFUNCTION("""COMPUTED_VALUE"""),"TD-4272B試片")</f>
        <v>TD-4272B試片</v>
      </c>
      <c r="F1084" s="12">
        <f ca="1">IFERROR(__xludf.DUMMYFUNCTION("""COMPUTED_VALUE"""),51080032)</f>
        <v>51080032</v>
      </c>
      <c r="G1084" s="12" t="str">
        <f ca="1">IFERROR(__xludf.DUMMYFUNCTION("""COMPUTED_VALUE"""),"IGEM052S")</f>
        <v>IGEM052S</v>
      </c>
      <c r="H1084" s="12">
        <f ca="1">IFERROR(__xludf.DUMMYFUNCTION("""COMPUTED_VALUE"""),1000)</f>
        <v>1000</v>
      </c>
      <c r="I1084" s="14">
        <f ca="1">IFERROR(__xludf.DUMMYFUNCTION("""COMPUTED_VALUE"""),900)</f>
        <v>900</v>
      </c>
      <c r="J1084" s="16">
        <f ca="1">IFERROR(__xludf.DUMMYFUNCTION("""COMPUTED_VALUE"""),45161)</f>
        <v>45161</v>
      </c>
      <c r="K1084" s="12" t="str">
        <f ca="1">IFERROR(__xludf.DUMMYFUNCTION("""COMPUTED_VALUE"""),"回價")</f>
        <v>回價</v>
      </c>
      <c r="L1084" s="12" t="str">
        <f ca="1">IFERROR(__xludf.DUMMYFUNCTION("""COMPUTED_VALUE"""),"上架中")</f>
        <v>上架中</v>
      </c>
      <c r="M1084" s="12" t="str">
        <f ca="1">IFERROR(__xludf.DUMMYFUNCTION("""COMPUTED_VALUE"""),"限持藥商許可證門市2021/6/27降價2021/1/1新品上架")</f>
        <v>限持藥商許可證門市2021/6/27降價2021/1/1新品上架</v>
      </c>
      <c r="N1084" s="12" t="str">
        <f ca="1">IFERROR(__xludf.DUMMYFUNCTION("""COMPUTED_VALUE"""),"血糖試紙")</f>
        <v>血糖試紙</v>
      </c>
      <c r="O1084" s="12"/>
      <c r="P1084" s="12"/>
      <c r="Q1084" s="12"/>
      <c r="R1084" s="12" t="str">
        <f ca="1">IFERROR(__xludf.DUMMYFUNCTION("""COMPUTED_VALUE"""),"台灣")</f>
        <v>台灣</v>
      </c>
      <c r="S1084" s="12" t="str">
        <f ca="1">IFERROR(__xludf.DUMMYFUNCTION("""COMPUTED_VALUE"""),"TFDA")</f>
        <v>TFDA</v>
      </c>
      <c r="T1084" s="12"/>
      <c r="U1084" s="12" t="str">
        <f ca="1">IFERROR(__xludf.DUMMYFUNCTION("""COMPUTED_VALUE"""),"不保固
(耗材)")</f>
        <v>不保固
(耗材)</v>
      </c>
      <c r="V1084" s="12"/>
      <c r="W1084" s="12"/>
      <c r="X1084" s="12"/>
      <c r="Y1084" s="12"/>
      <c r="Z1084" s="14"/>
      <c r="AA1084" s="15" t="str">
        <f ca="1">IFERROR(__xludf.DUMMYFUNCTION("""COMPUTED_VALUE"""),"*專用血糖試片*多家醫院採用*血糖試片(50pcs/Box/含針)")</f>
        <v>*專用血糖試片*多家醫院採用*血糖試片(50pcs/Box/含針)</v>
      </c>
    </row>
    <row r="1085" spans="1:27" ht="19.5" customHeight="1">
      <c r="A1085" s="12" t="str">
        <f ca="1">IFERROR(__xludf.DUMMYFUNCTION("""COMPUTED_VALUE"""),"醫療產品")</f>
        <v>醫療產品</v>
      </c>
      <c r="B1085" s="12" t="str">
        <f ca="1">IFERROR(__xludf.DUMMYFUNCTION("""COMPUTED_VALUE"""),"泰博")</f>
        <v>泰博</v>
      </c>
      <c r="C1085" s="12" t="str">
        <f ca="1">IFERROR(__xludf.DUMMYFUNCTION("""COMPUTED_VALUE"""),"福爾")</f>
        <v>福爾</v>
      </c>
      <c r="D1085" s="12" t="str">
        <f ca="1">IFERROR(__xludf.DUMMYFUNCTION("""COMPUTED_VALUE"""),"福爾倍康血糖試紙(限福爾GD40系列專用試紙)_試紙3盒裝(150片)")</f>
        <v>福爾倍康血糖試紙(限福爾GD40系列專用試紙)_試紙3盒裝(150片)</v>
      </c>
      <c r="E1085" s="12" t="str">
        <f ca="1">IFERROR(__xludf.DUMMYFUNCTION("""COMPUTED_VALUE"""),"GD40系列試紙3盒裝")</f>
        <v>GD40系列試紙3盒裝</v>
      </c>
      <c r="F1085" s="12">
        <f ca="1">IFERROR(__xludf.DUMMYFUNCTION("""COMPUTED_VALUE"""),51080036)</f>
        <v>51080036</v>
      </c>
      <c r="G1085" s="12" t="str">
        <f ca="1">IFERROR(__xludf.DUMMYFUNCTION("""COMPUTED_VALUE"""),"IGEM087W")</f>
        <v>IGEM087W</v>
      </c>
      <c r="H1085" s="12">
        <f ca="1">IFERROR(__xludf.DUMMYFUNCTION("""COMPUTED_VALUE"""),3000)</f>
        <v>3000</v>
      </c>
      <c r="I1085" s="14">
        <f ca="1">IFERROR(__xludf.DUMMYFUNCTION("""COMPUTED_VALUE"""),2380)</f>
        <v>2380</v>
      </c>
      <c r="J1085" s="16">
        <f ca="1">IFERROR(__xludf.DUMMYFUNCTION("""COMPUTED_VALUE"""),45161)</f>
        <v>45161</v>
      </c>
      <c r="K1085" s="12" t="str">
        <f ca="1">IFERROR(__xludf.DUMMYFUNCTION("""COMPUTED_VALUE"""),"新機上架")</f>
        <v>新機上架</v>
      </c>
      <c r="L1085" s="12" t="str">
        <f ca="1">IFERROR(__xludf.DUMMYFUNCTION("""COMPUTED_VALUE"""),"上架中")</f>
        <v>上架中</v>
      </c>
      <c r="M1085" s="12" t="str">
        <f ca="1">IFERROR(__xludf.DUMMYFUNCTION("""COMPUTED_VALUE"""),"8/23新機上架/限持藥商許可證門市")</f>
        <v>8/23新機上架/限持藥商許可證門市</v>
      </c>
      <c r="N1085" s="12" t="str">
        <f ca="1">IFERROR(__xludf.DUMMYFUNCTION("""COMPUTED_VALUE"""),"血糖試紙")</f>
        <v>血糖試紙</v>
      </c>
      <c r="O1085" s="12"/>
      <c r="P1085" s="12"/>
      <c r="Q1085" s="12"/>
      <c r="R1085" s="12" t="str">
        <f ca="1">IFERROR(__xludf.DUMMYFUNCTION("""COMPUTED_VALUE"""),"台灣")</f>
        <v>台灣</v>
      </c>
      <c r="S1085" s="12" t="str">
        <f ca="1">IFERROR(__xludf.DUMMYFUNCTION("""COMPUTED_VALUE"""),"衛署醫器製字第004176號 北衛器廣字第11007013號")</f>
        <v>衛署醫器製字第004176號 北衛器廣字第11007013號</v>
      </c>
      <c r="T1085" s="12"/>
      <c r="U1085" s="12" t="str">
        <f ca="1">IFERROR(__xludf.DUMMYFUNCTION("""COMPUTED_VALUE"""),"不保固
(耗材)")</f>
        <v>不保固
(耗材)</v>
      </c>
      <c r="V1085" s="12"/>
      <c r="W1085" s="12"/>
      <c r="X1085" s="12"/>
      <c r="Y1085" s="12"/>
      <c r="Z1085" s="14"/>
      <c r="AA1085" s="15" t="str">
        <f ca="1">IFERROR(__xludf.DUMMYFUNCTION("""COMPUTED_VALUE"""),"*福爾倍康血糖測試系統 血糖試片3盒組合*適用FORA GD40系列*本包裝內容物含有: 試片150片+採血針150支*衛署醫器製字第004176號 北衛器廣字第11007013號")</f>
        <v>*福爾倍康血糖測試系統 血糖試片3盒組合*適用FORA GD40系列*本包裝內容物含有: 試片150片+採血針150支*衛署醫器製字第004176號 北衛器廣字第11007013號</v>
      </c>
    </row>
    <row r="1086" spans="1:27" ht="19.5" customHeight="1">
      <c r="A1086" s="12" t="str">
        <f ca="1">IFERROR(__xludf.DUMMYFUNCTION("""COMPUTED_VALUE"""),"醫療產品")</f>
        <v>醫療產品</v>
      </c>
      <c r="B1086" s="12" t="str">
        <f ca="1">IFERROR(__xludf.DUMMYFUNCTION("""COMPUTED_VALUE"""),"泰博")</f>
        <v>泰博</v>
      </c>
      <c r="C1086" s="12" t="str">
        <f ca="1">IFERROR(__xludf.DUMMYFUNCTION("""COMPUTED_VALUE"""),"福爾")</f>
        <v>福爾</v>
      </c>
      <c r="D1086" s="12" t="str">
        <f ca="1">IFERROR(__xludf.DUMMYFUNCTION("""COMPUTED_VALUE"""),"福爾益康語音型2合1血糖試紙(限福爾D40系列專用試紙)_試紙3盒裝(150片)")</f>
        <v>福爾益康語音型2合1血糖試紙(限福爾D40系列專用試紙)_試紙3盒裝(150片)</v>
      </c>
      <c r="E1086" s="12" t="str">
        <f ca="1">IFERROR(__xludf.DUMMYFUNCTION("""COMPUTED_VALUE"""),"D40系列試紙3盒裝")</f>
        <v>D40系列試紙3盒裝</v>
      </c>
      <c r="F1086" s="12">
        <f ca="1">IFERROR(__xludf.DUMMYFUNCTION("""COMPUTED_VALUE"""),51080037)</f>
        <v>51080037</v>
      </c>
      <c r="G1086" s="12" t="str">
        <f ca="1">IFERROR(__xludf.DUMMYFUNCTION("""COMPUTED_VALUE"""),"IGEM087X")</f>
        <v>IGEM087X</v>
      </c>
      <c r="H1086" s="12">
        <f ca="1">IFERROR(__xludf.DUMMYFUNCTION("""COMPUTED_VALUE"""),3000)</f>
        <v>3000</v>
      </c>
      <c r="I1086" s="14">
        <f ca="1">IFERROR(__xludf.DUMMYFUNCTION("""COMPUTED_VALUE"""),2380)</f>
        <v>2380</v>
      </c>
      <c r="J1086" s="16">
        <f ca="1">IFERROR(__xludf.DUMMYFUNCTION("""COMPUTED_VALUE"""),45161)</f>
        <v>45161</v>
      </c>
      <c r="K1086" s="12" t="str">
        <f ca="1">IFERROR(__xludf.DUMMYFUNCTION("""COMPUTED_VALUE"""),"新機上架")</f>
        <v>新機上架</v>
      </c>
      <c r="L1086" s="12" t="str">
        <f ca="1">IFERROR(__xludf.DUMMYFUNCTION("""COMPUTED_VALUE"""),"上架中")</f>
        <v>上架中</v>
      </c>
      <c r="M1086" s="12" t="str">
        <f ca="1">IFERROR(__xludf.DUMMYFUNCTION("""COMPUTED_VALUE"""),"8/23新機上架/限持藥商許可證門市")</f>
        <v>8/23新機上架/限持藥商許可證門市</v>
      </c>
      <c r="N1086" s="12" t="str">
        <f ca="1">IFERROR(__xludf.DUMMYFUNCTION("""COMPUTED_VALUE"""),"血糖試紙")</f>
        <v>血糖試紙</v>
      </c>
      <c r="O1086" s="12"/>
      <c r="P1086" s="12"/>
      <c r="Q1086" s="12"/>
      <c r="R1086" s="12" t="str">
        <f ca="1">IFERROR(__xludf.DUMMYFUNCTION("""COMPUTED_VALUE"""),"台灣")</f>
        <v>台灣</v>
      </c>
      <c r="S1086" s="12" t="str">
        <f ca="1">IFERROR(__xludf.DUMMYFUNCTION("""COMPUTED_VALUE"""),"衛署醫器製字第003110號 北衛器廣字第10908035號")</f>
        <v>衛署醫器製字第003110號 北衛器廣字第10908035號</v>
      </c>
      <c r="T1086" s="12"/>
      <c r="U1086" s="12" t="str">
        <f ca="1">IFERROR(__xludf.DUMMYFUNCTION("""COMPUTED_VALUE"""),"不保固
(耗材)")</f>
        <v>不保固
(耗材)</v>
      </c>
      <c r="V1086" s="12"/>
      <c r="W1086" s="12"/>
      <c r="X1086" s="12"/>
      <c r="Y1086" s="12"/>
      <c r="Z1086" s="14"/>
      <c r="AA1086" s="15" t="str">
        <f ca="1">IFERROR(__xludf.DUMMYFUNCTION("""COMPUTED_VALUE"""),"*福爾益康語音型2合1血糖血壓測試系統 速測試片3盒組合*適用FORA D40系列*本包裝內容物含有: 試片150片+採血針150支*衛署醫器製字第003110號 北衛器廣字第10908035號")</f>
        <v>*福爾益康語音型2合1血糖血壓測試系統 速測試片3盒組合*適用FORA D40系列*本包裝內容物含有: 試片150片+採血針150支*衛署醫器製字第003110號 北衛器廣字第10908035號</v>
      </c>
    </row>
    <row r="1087" spans="1:27" ht="19.5" customHeight="1">
      <c r="A1087" s="12" t="str">
        <f ca="1">IFERROR(__xludf.DUMMYFUNCTION("""COMPUTED_VALUE"""),"醫療產品")</f>
        <v>醫療產品</v>
      </c>
      <c r="B1087" s="12" t="str">
        <f ca="1">IFERROR(__xludf.DUMMYFUNCTION("""COMPUTED_VALUE"""),"凱創")</f>
        <v>凱創</v>
      </c>
      <c r="C1087" s="12" t="str">
        <f ca="1">IFERROR(__xludf.DUMMYFUNCTION("""COMPUTED_VALUE"""),"OMRON")</f>
        <v>OMRON</v>
      </c>
      <c r="D1087" s="12" t="str">
        <f ca="1">IFERROR(__xludf.DUMMYFUNCTION("""COMPUTED_VALUE"""),"Omron歐姆龍藍牙血壓計JPN710T")</f>
        <v>Omron歐姆龍藍牙血壓計JPN710T</v>
      </c>
      <c r="E1087" s="12" t="str">
        <f ca="1">IFERROR(__xludf.DUMMYFUNCTION("""COMPUTED_VALUE"""),"JPN710T")</f>
        <v>JPN710T</v>
      </c>
      <c r="F1087" s="12">
        <f ca="1">IFERROR(__xludf.DUMMYFUNCTION("""COMPUTED_VALUE"""),51084306)</f>
        <v>51084306</v>
      </c>
      <c r="G1087" s="12" t="str">
        <f ca="1">IFERROR(__xludf.DUMMYFUNCTION("""COMPUTED_VALUE"""),"IGEM0879")</f>
        <v>IGEM0879</v>
      </c>
      <c r="H1087" s="13">
        <f ca="1">IFERROR(__xludf.DUMMYFUNCTION("""COMPUTED_VALUE"""),5280)</f>
        <v>5280</v>
      </c>
      <c r="I1087" s="14">
        <f ca="1">IFERROR(__xludf.DUMMYFUNCTION("""COMPUTED_VALUE"""),4580)</f>
        <v>4580</v>
      </c>
      <c r="J1087" s="12"/>
      <c r="K1087" s="12"/>
      <c r="L1087" s="13" t="str">
        <f ca="1">IFERROR(__xludf.DUMMYFUNCTION("""COMPUTED_VALUE"""),"上架中")</f>
        <v>上架中</v>
      </c>
      <c r="M1087" s="12" t="str">
        <f ca="1">IFERROR(__xludf.DUMMYFUNCTION("""COMPUTED_VALUE"""),"2023/8/8新機上架")</f>
        <v>2023/8/8新機上架</v>
      </c>
      <c r="N1087" s="12" t="str">
        <f ca="1">IFERROR(__xludf.DUMMYFUNCTION("""COMPUTED_VALUE"""),"血壓計")</f>
        <v>血壓計</v>
      </c>
      <c r="O1087" s="12" t="str">
        <f ca="1">IFERROR(__xludf.DUMMYFUNCTION("""COMPUTED_VALUE"""),"白色")</f>
        <v>白色</v>
      </c>
      <c r="P1087" s="12"/>
      <c r="Q1087" s="12" t="str">
        <f ca="1">IFERROR(__xludf.DUMMYFUNCTION("""COMPUTED_VALUE"""),"【商品尺寸】191×85×120mm
 【重量不含電池】約460克")</f>
        <v>【商品尺寸】191×85×120mm
 【重量不含電池】約460克</v>
      </c>
      <c r="R1087" s="12" t="str">
        <f ca="1">IFERROR(__xludf.DUMMYFUNCTION("""COMPUTED_VALUE"""),"日本")</f>
        <v>日本</v>
      </c>
      <c r="S1087" s="12"/>
      <c r="T1087" s="12"/>
      <c r="U1087" s="12" t="str">
        <f ca="1">IFERROR(__xludf.DUMMYFUNCTION("""COMPUTED_VALUE"""),"原廠保固3年
 (若於購買一個月內上網產品註冊，再贈2年延長保固)
 共3+2年")</f>
        <v>原廠保固3年
 (若於購買一個月內上網產品註冊，再贈2年延長保固)
 共3+2年</v>
      </c>
      <c r="V1087" s="12"/>
      <c r="W1087" s="12"/>
      <c r="X1087" s="12"/>
      <c r="Y1087" s="12"/>
      <c r="Z1087" s="14"/>
      <c r="AA1087" s="15" t="str">
        <f ca="1">IFERROR(__xludf.DUMMYFUNCTION("""COMPUTED_VALUE"""),"*雙人使用 分別管理好輕鬆*加寬螢幕 方便比較前次記錄*藍牙傳輸 APP管理*血壓記錄比較顯示*早晨高血壓偵測*晨間/夜間週平均值顯示*血壓偏高提醒*不規則脈波檢測*十分鐘內三次平均值*100組記憶×2人*衛部醫器輸字第033941號/北市衛器廣字第109100150號
")</f>
        <v xml:space="preserve">*雙人使用 分別管理好輕鬆*加寬螢幕 方便比較前次記錄*藍牙傳輸 APP管理*血壓記錄比較顯示*早晨高血壓偵測*晨間/夜間週平均值顯示*血壓偏高提醒*不規則脈波檢測*十分鐘內三次平均值*100組記憶×2人*衛部醫器輸字第033941號/北市衛器廣字第109100150號
</v>
      </c>
    </row>
    <row r="1088" spans="1:27" ht="19.5" customHeight="1">
      <c r="A1088" s="12" t="str">
        <f ca="1">IFERROR(__xludf.DUMMYFUNCTION("""COMPUTED_VALUE"""),"醫療產品")</f>
        <v>醫療產品</v>
      </c>
      <c r="B1088" s="12" t="str">
        <f ca="1">IFERROR(__xludf.DUMMYFUNCTION("""COMPUTED_VALUE"""),"凱創")</f>
        <v>凱創</v>
      </c>
      <c r="C1088" s="12" t="str">
        <f ca="1">IFERROR(__xludf.DUMMYFUNCTION("""COMPUTED_VALUE"""),"OMRON")</f>
        <v>OMRON</v>
      </c>
      <c r="D1088" s="12" t="str">
        <f ca="1">IFERROR(__xludf.DUMMYFUNCTION("""COMPUTED_VALUE"""),"Omron歐姆龍低週波治療器HV-F021(白色)")</f>
        <v>Omron歐姆龍低週波治療器HV-F021(白色)</v>
      </c>
      <c r="E1088" s="12" t="str">
        <f ca="1">IFERROR(__xludf.DUMMYFUNCTION("""COMPUTED_VALUE"""),"HV-F021-W")</f>
        <v>HV-F021-W</v>
      </c>
      <c r="F1088" s="12">
        <f ca="1">IFERROR(__xludf.DUMMYFUNCTION("""COMPUTED_VALUE"""),51084307)</f>
        <v>51084307</v>
      </c>
      <c r="G1088" s="12" t="str">
        <f ca="1">IFERROR(__xludf.DUMMYFUNCTION("""COMPUTED_VALUE"""),"IGEM087A")</f>
        <v>IGEM087A</v>
      </c>
      <c r="H1088" s="13">
        <f ca="1">IFERROR(__xludf.DUMMYFUNCTION("""COMPUTED_VALUE"""),3180)</f>
        <v>3180</v>
      </c>
      <c r="I1088" s="14">
        <f ca="1">IFERROR(__xludf.DUMMYFUNCTION("""COMPUTED_VALUE"""),2480)</f>
        <v>2480</v>
      </c>
      <c r="J1088" s="12"/>
      <c r="K1088" s="12"/>
      <c r="L1088" s="13" t="str">
        <f ca="1">IFERROR(__xludf.DUMMYFUNCTION("""COMPUTED_VALUE"""),"上架中")</f>
        <v>上架中</v>
      </c>
      <c r="M1088" s="12" t="str">
        <f ca="1">IFERROR(__xludf.DUMMYFUNCTION("""COMPUTED_VALUE"""),"2023/8/8新機上架")</f>
        <v>2023/8/8新機上架</v>
      </c>
      <c r="N1088" s="12" t="str">
        <f ca="1">IFERROR(__xludf.DUMMYFUNCTION("""COMPUTED_VALUE"""),"低週波治療器")</f>
        <v>低週波治療器</v>
      </c>
      <c r="O1088" s="12" t="str">
        <f ca="1">IFERROR(__xludf.DUMMYFUNCTION("""COMPUTED_VALUE"""),"白色")</f>
        <v>白色</v>
      </c>
      <c r="P1088" s="12"/>
      <c r="Q1088" s="12" t="str">
        <f ca="1">IFERROR(__xludf.DUMMYFUNCTION("""COMPUTED_VALUE"""),"【商品尺寸】112 x 52 x 25mm 
 【重量不含電池】約100克")</f>
        <v>【商品尺寸】112 x 52 x 25mm 
 【重量不含電池】約100克</v>
      </c>
      <c r="R1088" s="12" t="str">
        <f ca="1">IFERROR(__xludf.DUMMYFUNCTION("""COMPUTED_VALUE"""),"日本")</f>
        <v>日本</v>
      </c>
      <c r="S1088" s="12"/>
      <c r="T1088" s="12"/>
      <c r="U1088" s="12" t="str">
        <f ca="1">IFERROR(__xludf.DUMMYFUNCTION("""COMPUTED_VALUE"""),"原廠保固一年")</f>
        <v>原廠保固一年</v>
      </c>
      <c r="V1088" s="12"/>
      <c r="W1088" s="12"/>
      <c r="X1088" s="12"/>
      <c r="Y1088" s="12"/>
      <c r="Z1088" s="14"/>
      <c r="AA1088" s="15" t="str">
        <f ca="1">IFERROR(__xludf.DUMMYFUNCTION("""COMPUTED_VALUE"""),"*日本製造*週波數1~238Hz*深層舒緩 減輕痠痛*15段強弱力道自由調整*3種按摩模式 模擬真人手法*可水洗、壽命長 長效貼片(附屬)*衛部醫器輸字第029341號、北市衛器廣字第108030027號")</f>
        <v>*日本製造*週波數1~238Hz*深層舒緩 減輕痠痛*15段強弱力道自由調整*3種按摩模式 模擬真人手法*可水洗、壽命長 長效貼片(附屬)*衛部醫器輸字第029341號、北市衛器廣字第108030027號</v>
      </c>
    </row>
    <row r="1089" spans="1:27" ht="19.5" customHeight="1">
      <c r="A1089" s="12" t="str">
        <f ca="1">IFERROR(__xludf.DUMMYFUNCTION("""COMPUTED_VALUE"""),"醫療產品")</f>
        <v>醫療產品</v>
      </c>
      <c r="B1089" s="12" t="str">
        <f ca="1">IFERROR(__xludf.DUMMYFUNCTION("""COMPUTED_VALUE"""),"凱創")</f>
        <v>凱創</v>
      </c>
      <c r="C1089" s="12" t="str">
        <f ca="1">IFERROR(__xludf.DUMMYFUNCTION("""COMPUTED_VALUE"""),"OMRON")</f>
        <v>OMRON</v>
      </c>
      <c r="D1089" s="12" t="str">
        <f ca="1">IFERROR(__xludf.DUMMYFUNCTION("""COMPUTED_VALUE"""),"Omron歐姆龍體脂計HBF-214-TWPK(粉色)")</f>
        <v>Omron歐姆龍體脂計HBF-214-TWPK(粉色)</v>
      </c>
      <c r="E1089" s="12" t="str">
        <f ca="1">IFERROR(__xludf.DUMMYFUNCTION("""COMPUTED_VALUE"""),"HBF-214-TWPK")</f>
        <v>HBF-214-TWPK</v>
      </c>
      <c r="F1089" s="12">
        <f ca="1">IFERROR(__xludf.DUMMYFUNCTION("""COMPUTED_VALUE"""),51084308)</f>
        <v>51084308</v>
      </c>
      <c r="G1089" s="12" t="str">
        <f ca="1">IFERROR(__xludf.DUMMYFUNCTION("""COMPUTED_VALUE"""),"IGEM087B")</f>
        <v>IGEM087B</v>
      </c>
      <c r="H1089" s="13">
        <f ca="1">IFERROR(__xludf.DUMMYFUNCTION("""COMPUTED_VALUE"""),2580)</f>
        <v>2580</v>
      </c>
      <c r="I1089" s="14">
        <f ca="1">IFERROR(__xludf.DUMMYFUNCTION("""COMPUTED_VALUE"""),1880)</f>
        <v>1880</v>
      </c>
      <c r="J1089" s="12"/>
      <c r="K1089" s="12"/>
      <c r="L1089" s="13" t="str">
        <f ca="1">IFERROR(__xludf.DUMMYFUNCTION("""COMPUTED_VALUE"""),"上架中")</f>
        <v>上架中</v>
      </c>
      <c r="M1089" s="12" t="str">
        <f ca="1">IFERROR(__xludf.DUMMYFUNCTION("""COMPUTED_VALUE"""),"2023/8/8新機上架")</f>
        <v>2023/8/8新機上架</v>
      </c>
      <c r="N1089" s="12" t="str">
        <f ca="1">IFERROR(__xludf.DUMMYFUNCTION("""COMPUTED_VALUE"""),"體重計/體脂計")</f>
        <v>體重計/體脂計</v>
      </c>
      <c r="O1089" s="12" t="str">
        <f ca="1">IFERROR(__xludf.DUMMYFUNCTION("""COMPUTED_VALUE"""),"粉色")</f>
        <v>粉色</v>
      </c>
      <c r="P1089" s="12"/>
      <c r="Q1089" s="12" t="str">
        <f ca="1">IFERROR(__xludf.DUMMYFUNCTION("""COMPUTED_VALUE"""),"【商品尺寸】285×280×28mm
 【重量不含電池】約1.6KG")</f>
        <v>【商品尺寸】285×280×28mm
 【重量不含電池】約1.6KG</v>
      </c>
      <c r="R1089" s="12" t="str">
        <f ca="1">IFERROR(__xludf.DUMMYFUNCTION("""COMPUTED_VALUE"""),"中國")</f>
        <v>中國</v>
      </c>
      <c r="S1089" s="12"/>
      <c r="T1089" s="12"/>
      <c r="U1089" s="12" t="str">
        <f ca="1">IFERROR(__xludf.DUMMYFUNCTION("""COMPUTED_VALUE"""),"原廠保固一年")</f>
        <v>原廠保固一年</v>
      </c>
      <c r="V1089" s="12"/>
      <c r="W1089" s="12"/>
      <c r="X1089" s="12"/>
      <c r="Y1089" s="12"/>
      <c r="Z1089" s="14"/>
      <c r="AA1089" s="15" t="str">
        <f ca="1">IFERROR(__xludf.DUMMYFUNCTION("""COMPUTED_VALUE"""),"*方便收納的細身設計*功能充實&amp;高質感玻璃材質*測量身體年齡/體脂肪率*測量內臟脂肪程度*衛署醫器陸輸字第000430 號/北市衛器廣字第108090081號")</f>
        <v>*方便收納的細身設計*功能充實&amp;高質感玻璃材質*測量身體年齡/體脂肪率*測量內臟脂肪程度*衛署醫器陸輸字第000430 號/北市衛器廣字第108090081號</v>
      </c>
    </row>
    <row r="1090" spans="1:27" ht="19.5" customHeight="1">
      <c r="A1090" s="12" t="str">
        <f ca="1">IFERROR(__xludf.DUMMYFUNCTION("""COMPUTED_VALUE"""),"音樂週邊")</f>
        <v>音樂週邊</v>
      </c>
      <c r="B1090" s="12" t="str">
        <f ca="1">IFERROR(__xludf.DUMMYFUNCTION("""COMPUTED_VALUE"""),"燦坤")</f>
        <v>燦坤</v>
      </c>
      <c r="C1090" s="12" t="str">
        <f ca="1">IFERROR(__xludf.DUMMYFUNCTION("""COMPUTED_VALUE"""),"SONY")</f>
        <v>SONY</v>
      </c>
      <c r="D1090" s="12" t="str">
        <f ca="1">IFERROR(__xludf.DUMMYFUNCTION("""COMPUTED_VALUE"""),"SONY3.1聲道DolbyAtmos單件式喇叭HT-G700")</f>
        <v>SONY3.1聲道DolbyAtmos單件式喇叭HT-G700</v>
      </c>
      <c r="E1090" s="12" t="str">
        <f ca="1">IFERROR(__xludf.DUMMYFUNCTION("""COMPUTED_VALUE"""),"HT-G700")</f>
        <v>HT-G700</v>
      </c>
      <c r="F1090" s="12">
        <f ca="1">IFERROR(__xludf.DUMMYFUNCTION("""COMPUTED_VALUE"""),51004049)</f>
        <v>51004049</v>
      </c>
      <c r="G1090" s="12" t="str">
        <f ca="1">IFERROR(__xludf.DUMMYFUNCTION("""COMPUTED_VALUE"""),"NCPE0009")</f>
        <v>NCPE0009</v>
      </c>
      <c r="H1090" s="12">
        <f ca="1">IFERROR(__xludf.DUMMYFUNCTION("""COMPUTED_VALUE"""),17900)</f>
        <v>17900</v>
      </c>
      <c r="I1090" s="14">
        <f ca="1">IFERROR(__xludf.DUMMYFUNCTION("""COMPUTED_VALUE"""),15900)</f>
        <v>15900</v>
      </c>
      <c r="J1090" s="12"/>
      <c r="K1090" s="12"/>
      <c r="L1090" s="12" t="str">
        <f ca="1">IFERROR(__xludf.DUMMYFUNCTION("""COMPUTED_VALUE"""),"上架中")</f>
        <v>上架中</v>
      </c>
      <c r="M1090" s="12" t="str">
        <f ca="1">IFERROR(__xludf.DUMMYFUNCTION("""COMPUTED_VALUE"""),"2021/9/1到貨")</f>
        <v>2021/9/1到貨</v>
      </c>
      <c r="N1090" s="12" t="str">
        <f ca="1">IFERROR(__xludf.DUMMYFUNCTION("""COMPUTED_VALUE"""),"家庭劇院")</f>
        <v>家庭劇院</v>
      </c>
      <c r="O1090" s="12"/>
      <c r="P1090" s="12" t="str">
        <f ca="1">IFERROR(__xludf.DUMMYFUNCTION("""COMPUTED_VALUE"""),"ATMOS藍牙/3.1聲道")</f>
        <v>ATMOS藍牙/3.1聲道</v>
      </c>
      <c r="Q1090" s="12" t="str">
        <f ca="1">IFERROR(__xludf.DUMMYFUNCTION("""COMPUTED_VALUE"""),"1051*530*253mm")</f>
        <v>1051*530*253mm</v>
      </c>
      <c r="R1090" s="12" t="str">
        <f ca="1">IFERROR(__xludf.DUMMYFUNCTION("""COMPUTED_VALUE"""),"中國")</f>
        <v>中國</v>
      </c>
      <c r="S1090" s="12"/>
      <c r="T1090" s="12"/>
      <c r="U1090" s="12" t="str">
        <f ca="1">IFERROR(__xludf.DUMMYFUNCTION("""COMPUTED_VALUE"""),"1年")</f>
        <v>1年</v>
      </c>
      <c r="V1090" s="12"/>
      <c r="W1090" s="12"/>
      <c r="X1090" s="12"/>
      <c r="Y1090" s="12"/>
      <c r="Z1090" s="14"/>
      <c r="AA1090" s="15" t="str">
        <f ca="1">IFERROR(__xludf.DUMMYFUNCTION("""COMPUTED_VALUE"""),"●3.1聲道支援DolbyAtmos/DTS:X
●總輸出400W，具備強力的無線重低音喇叭
●具有HDMIeARC/ARC，連結電視方便快速
●可透過藍牙方式與電視無線連線
●水平環繞S-ForcePRO，能配合電視高度的影音合一體驗
●強化影片和音樂體驗的自選音效模式
●主機身大小–僅機身(寬X高X深)980x64x108mm／重低音喇叭尺寸(寬X高X深)192x387x406mm")</f>
        <v>●3.1聲道支援DolbyAtmos/DTS:X
●總輸出400W，具備強力的無線重低音喇叭
●具有HDMIeARC/ARC，連結電視方便快速
●可透過藍牙方式與電視無線連線
●水平環繞S-ForcePRO，能配合電視高度的影音合一體驗
●強化影片和音樂體驗的自選音效模式
●主機身大小–僅機身(寬X高X深)980x64x108mm／重低音喇叭尺寸(寬X高X深)192x387x406mm</v>
      </c>
    </row>
    <row r="1091" spans="1:27" ht="19.5" customHeight="1">
      <c r="A1091" s="12" t="str">
        <f ca="1">IFERROR(__xludf.DUMMYFUNCTION("""COMPUTED_VALUE"""),"音樂週邊")</f>
        <v>音樂週邊</v>
      </c>
      <c r="B1091" s="12" t="str">
        <f ca="1">IFERROR(__xludf.DUMMYFUNCTION("""COMPUTED_VALUE"""),"燦坤")</f>
        <v>燦坤</v>
      </c>
      <c r="C1091" s="12" t="str">
        <f ca="1">IFERROR(__xludf.DUMMYFUNCTION("""COMPUTED_VALUE"""),"SONY")</f>
        <v>SONY</v>
      </c>
      <c r="D1091" s="12" t="str">
        <f ca="1">IFERROR(__xludf.DUMMYFUNCTION("""COMPUTED_VALUE"""),"SONY 無線後環繞喇叭SA-RS5")</f>
        <v>SONY 無線後環繞喇叭SA-RS5</v>
      </c>
      <c r="E1091" s="12" t="str">
        <f ca="1">IFERROR(__xludf.DUMMYFUNCTION("""COMPUTED_VALUE"""),"SA-RS5")</f>
        <v>SA-RS5</v>
      </c>
      <c r="F1091" s="12">
        <f ca="1">IFERROR(__xludf.DUMMYFUNCTION("""COMPUTED_VALUE"""),51084325)</f>
        <v>51084325</v>
      </c>
      <c r="G1091" s="12" t="str">
        <f ca="1">IFERROR(__xludf.DUMMYFUNCTION("""COMPUTED_VALUE"""),"NCPE003S")</f>
        <v>NCPE003S</v>
      </c>
      <c r="H1091" s="13">
        <f ca="1">IFERROR(__xludf.DUMMYFUNCTION("""COMPUTED_VALUE"""),17990)</f>
        <v>17990</v>
      </c>
      <c r="I1091" s="14">
        <f ca="1">IFERROR(__xludf.DUMMYFUNCTION("""COMPUTED_VALUE"""),17990)</f>
        <v>17990</v>
      </c>
      <c r="J1091" s="12"/>
      <c r="K1091" s="12"/>
      <c r="L1091" s="12" t="str">
        <f ca="1">IFERROR(__xludf.DUMMYFUNCTION("""COMPUTED_VALUE"""),"上架中")</f>
        <v>上架中</v>
      </c>
      <c r="M1091" s="12"/>
      <c r="N1091" s="12" t="str">
        <f ca="1">IFERROR(__xludf.DUMMYFUNCTION("""COMPUTED_VALUE"""),"無線喇叭")</f>
        <v>無線喇叭</v>
      </c>
      <c r="O1091" s="12"/>
      <c r="P1091" s="12"/>
      <c r="Q1091" s="12"/>
      <c r="R1091" s="12" t="str">
        <f ca="1">IFERROR(__xludf.DUMMYFUNCTION("""COMPUTED_VALUE"""),"中國")</f>
        <v>中國</v>
      </c>
      <c r="S1091" s="12"/>
      <c r="T1091" s="12"/>
      <c r="U1091" s="12" t="str">
        <f ca="1">IFERROR(__xludf.DUMMYFUNCTION("""COMPUTED_VALUE"""),"1年")</f>
        <v>1年</v>
      </c>
      <c r="V1091" s="12"/>
      <c r="W1091" s="12"/>
      <c r="X1091" s="12"/>
      <c r="Y1091" s="12"/>
      <c r="Z1091" s="14"/>
      <c r="AA1091" s="15" t="str">
        <f ca="1">IFERROR(__xludf.DUMMYFUNCTION("""COMPUTED_VALUE"""),"*支援360空間音效定位
*總輸出180W 清晰磅礡音效(90w+90w)
*10小時長效續航
*快充10分鐘可用90分鐘
*一鍵啟動音場最佳化
*無需插電 可靈活擺放
*可壁掛/內建麥克風
*全方位方塊設計")</f>
        <v>*支援360空間音效定位
*總輸出180W 清晰磅礡音效(90w+90w)
*10小時長效續航
*快充10分鐘可用90分鐘
*一鍵啟動音場最佳化
*無需插電 可靈活擺放
*可壁掛/內建麥克風
*全方位方塊設計</v>
      </c>
    </row>
    <row r="1092" spans="1:27" ht="19.5" customHeight="1">
      <c r="A1092" s="12" t="str">
        <f ca="1">IFERROR(__xludf.DUMMYFUNCTION("""COMPUTED_VALUE"""),"音樂週邊")</f>
        <v>音樂週邊</v>
      </c>
      <c r="B1092" s="12" t="str">
        <f ca="1">IFERROR(__xludf.DUMMYFUNCTION("""COMPUTED_VALUE"""),"燦坤")</f>
        <v>燦坤</v>
      </c>
      <c r="C1092" s="12" t="str">
        <f ca="1">IFERROR(__xludf.DUMMYFUNCTION("""COMPUTED_VALUE"""),"SAMSUNG")</f>
        <v>SAMSUNG</v>
      </c>
      <c r="D1092" s="12" t="str">
        <f ca="1">IFERROR(__xludf.DUMMYFUNCTION("""COMPUTED_VALUE"""),"SAMSUNG 11.1.4 ch Soundbar Q990C")</f>
        <v>SAMSUNG 11.1.4 ch Soundbar Q990C</v>
      </c>
      <c r="E1092" s="12" t="str">
        <f ca="1">IFERROR(__xludf.DUMMYFUNCTION("""COMPUTED_VALUE"""),"HW-Q990C/ZW")</f>
        <v>HW-Q990C/ZW</v>
      </c>
      <c r="F1092" s="12">
        <f ca="1">IFERROR(__xludf.DUMMYFUNCTION("""COMPUTED_VALUE"""),51040034)</f>
        <v>51040034</v>
      </c>
      <c r="G1092" s="12" t="str">
        <f ca="1">IFERROR(__xludf.DUMMYFUNCTION("""COMPUTED_VALUE"""),"NCPE003T")</f>
        <v>NCPE003T</v>
      </c>
      <c r="H1092" s="13">
        <f ca="1">IFERROR(__xludf.DUMMYFUNCTION("""COMPUTED_VALUE"""),44900)</f>
        <v>44900</v>
      </c>
      <c r="I1092" s="14">
        <f ca="1">IFERROR(__xludf.DUMMYFUNCTION("""COMPUTED_VALUE"""),43900)</f>
        <v>43900</v>
      </c>
      <c r="J1092" s="12"/>
      <c r="K1092" s="12"/>
      <c r="L1092" s="13" t="str">
        <f ca="1">IFERROR(__xludf.DUMMYFUNCTION("""COMPUTED_VALUE"""),"上架中")</f>
        <v>上架中</v>
      </c>
      <c r="M1092" s="12"/>
      <c r="N1092" s="12" t="str">
        <f ca="1">IFERROR(__xludf.DUMMYFUNCTION("""COMPUTED_VALUE"""),"SoundBar")</f>
        <v>SoundBar</v>
      </c>
      <c r="O1092" s="12"/>
      <c r="P1092" s="12"/>
      <c r="Q1092" s="12" t="str">
        <f ca="1">IFERROR(__xludf.DUMMYFUNCTION("""COMPUTED_VALUE"""),"主體尺寸 (高x寬x深)
69.5 x 1232.0 x 138.0 mm
重低音喇叭尺寸 (高x寬x深)
413.0 x 220.0 x 410.0 mm
後環繞喇叭尺寸 高x(寬x深)
201.3 x129.5 x 140.4 mm")</f>
        <v>主體尺寸 (高x寬x深)
69.5 x 1232.0 x 138.0 mm
重低音喇叭尺寸 (高x寬x深)
413.0 x 220.0 x 410.0 mm
後環繞喇叭尺寸 高x(寬x深)
201.3 x129.5 x 140.4 mm</v>
      </c>
      <c r="R1092" s="12" t="str">
        <f ca="1">IFERROR(__xludf.DUMMYFUNCTION("""COMPUTED_VALUE"""),"越南")</f>
        <v>越南</v>
      </c>
      <c r="S1092" s="12"/>
      <c r="T1092" s="12"/>
      <c r="U1092" s="12" t="str">
        <f ca="1">IFERROR(__xludf.DUMMYFUNCTION("""COMPUTED_VALUE"""),"1年")</f>
        <v>1年</v>
      </c>
      <c r="V1092" s="12"/>
      <c r="W1092" s="12"/>
      <c r="X1092" s="12"/>
      <c r="Y1092" s="12"/>
      <c r="Z1092" s="14"/>
      <c r="AA1092" s="15" t="str">
        <f ca="1">IFERROR(__xludf.DUMMYFUNCTION("""COMPUTED_VALUE"""),"*真實11.1.4聲道-全方位沉浸式體驗*無線杜比全景聲(Dolby Atmos)*魔幻音場-螢幕喇叭與Soundbar同步，打造絕無僅有的音場享受*AI 迴聲定位技術Pro-偵測室內空間，優化聲音表現")</f>
        <v>*真實11.1.4聲道-全方位沉浸式體驗*無線杜比全景聲(Dolby Atmos)*魔幻音場-螢幕喇叭與Soundbar同步，打造絕無僅有的音場享受*AI 迴聲定位技術Pro-偵測室內空間，優化聲音表現</v>
      </c>
    </row>
    <row r="1093" spans="1:27" ht="19.5" customHeight="1">
      <c r="A1093" s="12" t="str">
        <f ca="1">IFERROR(__xludf.DUMMYFUNCTION("""COMPUTED_VALUE"""),"音樂週邊")</f>
        <v>音樂週邊</v>
      </c>
      <c r="B1093" s="12" t="str">
        <f ca="1">IFERROR(__xludf.DUMMYFUNCTION("""COMPUTED_VALUE"""),"宙宣")</f>
        <v>宙宣</v>
      </c>
      <c r="C1093" s="12" t="str">
        <f ca="1">IFERROR(__xludf.DUMMYFUNCTION("""COMPUTED_VALUE"""),"HarmanKardon")</f>
        <v>HarmanKardon</v>
      </c>
      <c r="D1093" s="12" t="str">
        <f ca="1">IFERROR(__xludf.DUMMYFUNCTION("""COMPUTED_VALUE"""),"Harman Kardon Soundstick4 白")</f>
        <v>Harman Kardon Soundstick4 白</v>
      </c>
      <c r="E1093" s="12" t="str">
        <f ca="1">IFERROR(__xludf.DUMMYFUNCTION("""COMPUTED_VALUE"""),"Soundstick4 WHT")</f>
        <v>Soundstick4 WHT</v>
      </c>
      <c r="F1093" s="12">
        <f ca="1">IFERROR(__xludf.DUMMYFUNCTION("""COMPUTED_VALUE"""),51094008)</f>
        <v>51094008</v>
      </c>
      <c r="G1093" s="12" t="str">
        <f ca="1">IFERROR(__xludf.DUMMYFUNCTION("""COMPUTED_VALUE"""),"NCPE000V")</f>
        <v>NCPE000V</v>
      </c>
      <c r="H1093" s="12">
        <f ca="1">IFERROR(__xludf.DUMMYFUNCTION("""COMPUTED_VALUE"""),12990)</f>
        <v>12990</v>
      </c>
      <c r="I1093" s="14">
        <f ca="1">IFERROR(__xludf.DUMMYFUNCTION("""COMPUTED_VALUE"""),10990)</f>
        <v>10990</v>
      </c>
      <c r="J1093" s="12"/>
      <c r="K1093" s="12"/>
      <c r="L1093" s="12" t="str">
        <f ca="1">IFERROR(__xludf.DUMMYFUNCTION("""COMPUTED_VALUE"""),"上架中")</f>
        <v>上架中</v>
      </c>
      <c r="M1093" s="12"/>
      <c r="N1093" s="12" t="str">
        <f ca="1">IFERROR(__xludf.DUMMYFUNCTION("""COMPUTED_VALUE"""),"無線喇叭")</f>
        <v>無線喇叭</v>
      </c>
      <c r="O1093" s="12" t="str">
        <f ca="1">IFERROR(__xludf.DUMMYFUNCTION("""COMPUTED_VALUE"""),"白")</f>
        <v>白</v>
      </c>
      <c r="P1093" s="12"/>
      <c r="Q1093" s="12" t="str">
        <f ca="1">IFERROR(__xludf.DUMMYFUNCTION("""COMPUTED_VALUE"""),"355 高 x 385寬 x 590長 mm")</f>
        <v>355 高 x 385寬 x 590長 mm</v>
      </c>
      <c r="R1093" s="12" t="str">
        <f ca="1">IFERROR(__xludf.DUMMYFUNCTION("""COMPUTED_VALUE"""),"中國")</f>
        <v>中國</v>
      </c>
      <c r="S1093" s="12"/>
      <c r="T1093" s="12"/>
      <c r="U1093" s="12" t="str">
        <f ca="1">IFERROR(__xludf.DUMMYFUNCTION("""COMPUTED_VALUE"""),"1年")</f>
        <v>1年</v>
      </c>
      <c r="V1093" s="12"/>
      <c r="W1093" s="12"/>
      <c r="X1093" s="12"/>
      <c r="Y1093" s="12"/>
      <c r="Z1093" s="14"/>
      <c r="AA1093" s="15" t="str">
        <f ca="1">IFERROR(__xludf.DUMMYFUNCTION("""COMPUTED_VALUE"""),"精美外觀兼具非凡音效經歷十年工程設計及專業知識支援藍牙無線串流傳輸8顆全音域驅動單體衛星喇叭")</f>
        <v>精美外觀兼具非凡音效經歷十年工程設計及專業知識支援藍牙無線串流傳輸8顆全音域驅動單體衛星喇叭</v>
      </c>
    </row>
    <row r="1094" spans="1:27" ht="19.5" customHeight="1">
      <c r="A1094" s="12" t="str">
        <f ca="1">IFERROR(__xludf.DUMMYFUNCTION("""COMPUTED_VALUE"""),"音樂週邊")</f>
        <v>音樂週邊</v>
      </c>
      <c r="B1094" s="12" t="str">
        <f ca="1">IFERROR(__xludf.DUMMYFUNCTION("""COMPUTED_VALUE"""),"宙宣")</f>
        <v>宙宣</v>
      </c>
      <c r="C1094" s="12" t="str">
        <f ca="1">IFERROR(__xludf.DUMMYFUNCTION("""COMPUTED_VALUE"""),"HarmanKardon")</f>
        <v>HarmanKardon</v>
      </c>
      <c r="D1094" s="12" t="str">
        <f ca="1">IFERROR(__xludf.DUMMYFUNCTION("""COMPUTED_VALUE"""),"Harman Kardon Soundstick4 黑")</f>
        <v>Harman Kardon Soundstick4 黑</v>
      </c>
      <c r="E1094" s="12" t="str">
        <f ca="1">IFERROR(__xludf.DUMMYFUNCTION("""COMPUTED_VALUE"""),"Soundstick4 BLK")</f>
        <v>Soundstick4 BLK</v>
      </c>
      <c r="F1094" s="12">
        <f ca="1">IFERROR(__xludf.DUMMYFUNCTION("""COMPUTED_VALUE"""),51094009)</f>
        <v>51094009</v>
      </c>
      <c r="G1094" s="12" t="str">
        <f ca="1">IFERROR(__xludf.DUMMYFUNCTION("""COMPUTED_VALUE"""),"NCPE000W")</f>
        <v>NCPE000W</v>
      </c>
      <c r="H1094" s="12">
        <f ca="1">IFERROR(__xludf.DUMMYFUNCTION("""COMPUTED_VALUE"""),12990)</f>
        <v>12990</v>
      </c>
      <c r="I1094" s="14">
        <f ca="1">IFERROR(__xludf.DUMMYFUNCTION("""COMPUTED_VALUE"""),10990)</f>
        <v>10990</v>
      </c>
      <c r="J1094" s="12"/>
      <c r="K1094" s="12"/>
      <c r="L1094" s="12" t="str">
        <f ca="1">IFERROR(__xludf.DUMMYFUNCTION("""COMPUTED_VALUE"""),"上架中")</f>
        <v>上架中</v>
      </c>
      <c r="M1094" s="12"/>
      <c r="N1094" s="12" t="str">
        <f ca="1">IFERROR(__xludf.DUMMYFUNCTION("""COMPUTED_VALUE"""),"無線喇叭")</f>
        <v>無線喇叭</v>
      </c>
      <c r="O1094" s="12" t="str">
        <f ca="1">IFERROR(__xludf.DUMMYFUNCTION("""COMPUTED_VALUE"""),"黑")</f>
        <v>黑</v>
      </c>
      <c r="P1094" s="12"/>
      <c r="Q1094" s="12" t="str">
        <f ca="1">IFERROR(__xludf.DUMMYFUNCTION("""COMPUTED_VALUE"""),"355 高 x 385寬 x 590長 mm")</f>
        <v>355 高 x 385寬 x 590長 mm</v>
      </c>
      <c r="R1094" s="12" t="str">
        <f ca="1">IFERROR(__xludf.DUMMYFUNCTION("""COMPUTED_VALUE"""),"中國")</f>
        <v>中國</v>
      </c>
      <c r="S1094" s="12"/>
      <c r="T1094" s="12"/>
      <c r="U1094" s="12" t="str">
        <f ca="1">IFERROR(__xludf.DUMMYFUNCTION("""COMPUTED_VALUE"""),"1年")</f>
        <v>1年</v>
      </c>
      <c r="V1094" s="12"/>
      <c r="W1094" s="12"/>
      <c r="X1094" s="12"/>
      <c r="Y1094" s="12"/>
      <c r="Z1094" s="14"/>
      <c r="AA1094" s="15" t="str">
        <f ca="1">IFERROR(__xludf.DUMMYFUNCTION("""COMPUTED_VALUE"""),"*衛星喇叭–高271*寬84*深mm*35mm全音域單體x8*133mm重低音單體*1*支援藍牙無線串流*配備8顆全音域驅動單體衛星喇叭*100W輸出功率重低音""")</f>
        <v>*衛星喇叭–高271*寬84*深mm*35mm全音域單體x8*133mm重低音單體*1*支援藍牙無線串流*配備8顆全音域驅動單體衛星喇叭*100W輸出功率重低音"</v>
      </c>
    </row>
    <row r="1095" spans="1:27" ht="19.5" customHeight="1">
      <c r="A1095" s="12" t="str">
        <f ca="1">IFERROR(__xludf.DUMMYFUNCTION("""COMPUTED_VALUE"""),"音樂週邊")</f>
        <v>音樂週邊</v>
      </c>
      <c r="B1095" s="12" t="str">
        <f ca="1">IFERROR(__xludf.DUMMYFUNCTION("""COMPUTED_VALUE"""),"宙宣")</f>
        <v>宙宣</v>
      </c>
      <c r="C1095" s="12" t="str">
        <f ca="1">IFERROR(__xludf.DUMMYFUNCTION("""COMPUTED_VALUE"""),"HarmanKardon")</f>
        <v>HarmanKardon</v>
      </c>
      <c r="D1095" s="12" t="str">
        <f ca="1">IFERROR(__xludf.DUMMYFUNCTION("""COMPUTED_VALUE"""),"harman/kardon Luna 便攜防水藍牙喇叭(黑)")</f>
        <v>harman/kardon Luna 便攜防水藍牙喇叭(黑)</v>
      </c>
      <c r="E1095" s="12" t="str">
        <f ca="1">IFERROR(__xludf.DUMMYFUNCTION("""COMPUTED_VALUE"""),"Luna /BLK")</f>
        <v>Luna /BLK</v>
      </c>
      <c r="F1095" s="12">
        <f ca="1">IFERROR(__xludf.DUMMYFUNCTION("""COMPUTED_VALUE"""),51094085)</f>
        <v>51094085</v>
      </c>
      <c r="G1095" s="12" t="str">
        <f ca="1">IFERROR(__xludf.DUMMYFUNCTION("""COMPUTED_VALUE"""),"NCPE003M")</f>
        <v>NCPE003M</v>
      </c>
      <c r="H1095" s="12">
        <f ca="1">IFERROR(__xludf.DUMMYFUNCTION("""COMPUTED_VALUE"""),5490)</f>
        <v>5490</v>
      </c>
      <c r="I1095" s="14">
        <f ca="1">IFERROR(__xludf.DUMMYFUNCTION("""COMPUTED_VALUE"""),5290)</f>
        <v>5290</v>
      </c>
      <c r="J1095" s="16">
        <f ca="1">IFERROR(__xludf.DUMMYFUNCTION("""COMPUTED_VALUE"""),45310)</f>
        <v>45310</v>
      </c>
      <c r="K1095" s="12" t="str">
        <f ca="1">IFERROR(__xludf.DUMMYFUNCTION("""COMPUTED_VALUE"""),"新機上架")</f>
        <v>新機上架</v>
      </c>
      <c r="L1095" s="12" t="str">
        <f ca="1">IFERROR(__xludf.DUMMYFUNCTION("""COMPUTED_VALUE"""),"上架中")</f>
        <v>上架中</v>
      </c>
      <c r="M1095" s="12"/>
      <c r="N1095" s="12" t="str">
        <f ca="1">IFERROR(__xludf.DUMMYFUNCTION("""COMPUTED_VALUE"""),"無線喇叭")</f>
        <v>無線喇叭</v>
      </c>
      <c r="O1095" s="12" t="str">
        <f ca="1">IFERROR(__xludf.DUMMYFUNCTION("""COMPUTED_VALUE"""),"黑")</f>
        <v>黑</v>
      </c>
      <c r="P1095" s="12"/>
      <c r="Q1095" s="12" t="str">
        <f ca="1">IFERROR(__xludf.DUMMYFUNCTION("""COMPUTED_VALUE"""),"210 x 78 x 80 mm")</f>
        <v>210 x 78 x 80 mm</v>
      </c>
      <c r="R1095" s="12" t="str">
        <f ca="1">IFERROR(__xludf.DUMMYFUNCTION("""COMPUTED_VALUE"""),"中國")</f>
        <v>中國</v>
      </c>
      <c r="S1095" s="12"/>
      <c r="T1095" s="12"/>
      <c r="U1095" s="12" t="str">
        <f ca="1">IFERROR(__xludf.DUMMYFUNCTION("""COMPUTED_VALUE"""),"1年")</f>
        <v>1年</v>
      </c>
      <c r="V1095" s="12"/>
      <c r="W1095" s="12"/>
      <c r="X1095" s="12"/>
      <c r="Y1095" s="12"/>
      <c r="Z1095" s="14"/>
      <c r="AA1095" s="15" t="str">
        <f ca="1">IFERROR(__xludf.DUMMYFUNCTION("""COMPUTED_VALUE"""),"*輸出功率達40W*兩顆Luna可立體聲音效配對*藍牙版本：5.3*IP67防水防塵")</f>
        <v>*輸出功率達40W*兩顆Luna可立體聲音效配對*藍牙版本：5.3*IP67防水防塵</v>
      </c>
    </row>
    <row r="1096" spans="1:27" ht="19.5" customHeight="1">
      <c r="A1096" s="12" t="str">
        <f ca="1">IFERROR(__xludf.DUMMYFUNCTION("""COMPUTED_VALUE"""),"音樂週邊")</f>
        <v>音樂週邊</v>
      </c>
      <c r="B1096" s="12" t="str">
        <f ca="1">IFERROR(__xludf.DUMMYFUNCTION("""COMPUTED_VALUE"""),"宙宣")</f>
        <v>宙宣</v>
      </c>
      <c r="C1096" s="12" t="str">
        <f ca="1">IFERROR(__xludf.DUMMYFUNCTION("""COMPUTED_VALUE"""),"HarmanKardon")</f>
        <v>HarmanKardon</v>
      </c>
      <c r="D1096" s="12" t="str">
        <f ca="1">IFERROR(__xludf.DUMMYFUNCTION("""COMPUTED_VALUE"""),"harman/kardon Luna 便攜防水藍牙喇叭(灰)")</f>
        <v>harman/kardon Luna 便攜防水藍牙喇叭(灰)</v>
      </c>
      <c r="E1096" s="12" t="str">
        <f ca="1">IFERROR(__xludf.DUMMYFUNCTION("""COMPUTED_VALUE"""),"Luna /GREY")</f>
        <v>Luna /GREY</v>
      </c>
      <c r="F1096" s="12">
        <f ca="1">IFERROR(__xludf.DUMMYFUNCTION("""COMPUTED_VALUE"""),51094086)</f>
        <v>51094086</v>
      </c>
      <c r="G1096" s="12" t="str">
        <f ca="1">IFERROR(__xludf.DUMMYFUNCTION("""COMPUTED_VALUE"""),"NCPE003N")</f>
        <v>NCPE003N</v>
      </c>
      <c r="H1096" s="12">
        <f ca="1">IFERROR(__xludf.DUMMYFUNCTION("""COMPUTED_VALUE"""),5490)</f>
        <v>5490</v>
      </c>
      <c r="I1096" s="14">
        <f ca="1">IFERROR(__xludf.DUMMYFUNCTION("""COMPUTED_VALUE"""),5290)</f>
        <v>5290</v>
      </c>
      <c r="J1096" s="16">
        <f ca="1">IFERROR(__xludf.DUMMYFUNCTION("""COMPUTED_VALUE"""),45310)</f>
        <v>45310</v>
      </c>
      <c r="K1096" s="12" t="str">
        <f ca="1">IFERROR(__xludf.DUMMYFUNCTION("""COMPUTED_VALUE"""),"新機上架")</f>
        <v>新機上架</v>
      </c>
      <c r="L1096" s="12" t="str">
        <f ca="1">IFERROR(__xludf.DUMMYFUNCTION("""COMPUTED_VALUE"""),"上架中")</f>
        <v>上架中</v>
      </c>
      <c r="M1096" s="12"/>
      <c r="N1096" s="12" t="str">
        <f ca="1">IFERROR(__xludf.DUMMYFUNCTION("""COMPUTED_VALUE"""),"無線喇叭")</f>
        <v>無線喇叭</v>
      </c>
      <c r="O1096" s="12" t="str">
        <f ca="1">IFERROR(__xludf.DUMMYFUNCTION("""COMPUTED_VALUE"""),"灰")</f>
        <v>灰</v>
      </c>
      <c r="P1096" s="12"/>
      <c r="Q1096" s="12" t="str">
        <f ca="1">IFERROR(__xludf.DUMMYFUNCTION("""COMPUTED_VALUE"""),"211 x 78 x 80 mm")</f>
        <v>211 x 78 x 80 mm</v>
      </c>
      <c r="R1096" s="12" t="str">
        <f ca="1">IFERROR(__xludf.DUMMYFUNCTION("""COMPUTED_VALUE"""),"中國")</f>
        <v>中國</v>
      </c>
      <c r="S1096" s="12"/>
      <c r="T1096" s="12"/>
      <c r="U1096" s="12" t="str">
        <f ca="1">IFERROR(__xludf.DUMMYFUNCTION("""COMPUTED_VALUE"""),"1年")</f>
        <v>1年</v>
      </c>
      <c r="V1096" s="12"/>
      <c r="W1096" s="12"/>
      <c r="X1096" s="12"/>
      <c r="Y1096" s="12"/>
      <c r="Z1096" s="14"/>
      <c r="AA1096" s="15" t="str">
        <f ca="1">IFERROR(__xludf.DUMMYFUNCTION("""COMPUTED_VALUE"""),"*輸出功率達40W*兩顆Luna可立體聲音效配對*藍牙版本：5.3*IP67防水防塵")</f>
        <v>*輸出功率達40W*兩顆Luna可立體聲音效配對*藍牙版本：5.3*IP67防水防塵</v>
      </c>
    </row>
    <row r="1097" spans="1:27" ht="19.5" customHeight="1">
      <c r="A1097" s="12" t="str">
        <f ca="1">IFERROR(__xludf.DUMMYFUNCTION("""COMPUTED_VALUE"""),"音樂週邊")</f>
        <v>音樂週邊</v>
      </c>
      <c r="B1097" s="12" t="str">
        <f ca="1">IFERROR(__xludf.DUMMYFUNCTION("""COMPUTED_VALUE"""),"宙宣")</f>
        <v>宙宣</v>
      </c>
      <c r="C1097" s="12" t="str">
        <f ca="1">IFERROR(__xludf.DUMMYFUNCTION("""COMPUTED_VALUE"""),"HarmanKardon")</f>
        <v>HarmanKardon</v>
      </c>
      <c r="D1097" s="12" t="str">
        <f ca="1">IFERROR(__xludf.DUMMYFUNCTION("""COMPUTED_VALUE"""),"harman/kardon 哈曼卡頓 GO+Play 3 可攜式無線藍牙喇叭(黑)")</f>
        <v>harman/kardon 哈曼卡頓 GO+Play 3 可攜式無線藍牙喇叭(黑)</v>
      </c>
      <c r="E1097" s="12" t="str">
        <f ca="1">IFERROR(__xludf.DUMMYFUNCTION("""COMPUTED_VALUE"""),"GO+Play 3/BLK")</f>
        <v>GO+Play 3/BLK</v>
      </c>
      <c r="F1097" s="12">
        <f ca="1">IFERROR(__xludf.DUMMYFUNCTION("""COMPUTED_VALUE"""),51094087)</f>
        <v>51094087</v>
      </c>
      <c r="G1097" s="12" t="str">
        <f ca="1">IFERROR(__xludf.DUMMYFUNCTION("""COMPUTED_VALUE"""),"NCPE003O")</f>
        <v>NCPE003O</v>
      </c>
      <c r="H1097" s="12">
        <f ca="1">IFERROR(__xludf.DUMMYFUNCTION("""COMPUTED_VALUE"""),13900)</f>
        <v>13900</v>
      </c>
      <c r="I1097" s="14">
        <f ca="1">IFERROR(__xludf.DUMMYFUNCTION("""COMPUTED_VALUE"""),12900)</f>
        <v>12900</v>
      </c>
      <c r="J1097" s="16">
        <f ca="1">IFERROR(__xludf.DUMMYFUNCTION("""COMPUTED_VALUE"""),45310)</f>
        <v>45310</v>
      </c>
      <c r="K1097" s="12" t="str">
        <f ca="1">IFERROR(__xludf.DUMMYFUNCTION("""COMPUTED_VALUE"""),"新機上架")</f>
        <v>新機上架</v>
      </c>
      <c r="L1097" s="12" t="str">
        <f ca="1">IFERROR(__xludf.DUMMYFUNCTION("""COMPUTED_VALUE"""),"上架中")</f>
        <v>上架中</v>
      </c>
      <c r="M1097" s="12"/>
      <c r="N1097" s="12" t="str">
        <f ca="1">IFERROR(__xludf.DUMMYFUNCTION("""COMPUTED_VALUE"""),"無線喇叭")</f>
        <v>無線喇叭</v>
      </c>
      <c r="O1097" s="12" t="str">
        <f ca="1">IFERROR(__xludf.DUMMYFUNCTION("""COMPUTED_VALUE"""),"黑")</f>
        <v>黑</v>
      </c>
      <c r="P1097" s="12"/>
      <c r="Q1097" s="12" t="str">
        <f ca="1">IFERROR(__xludf.DUMMYFUNCTION("""COMPUTED_VALUE"""),"439 x 240 x 192 mm")</f>
        <v>439 x 240 x 192 mm</v>
      </c>
      <c r="R1097" s="12" t="str">
        <f ca="1">IFERROR(__xludf.DUMMYFUNCTION("""COMPUTED_VALUE"""),"中國")</f>
        <v>中國</v>
      </c>
      <c r="S1097" s="12"/>
      <c r="T1097" s="12"/>
      <c r="U1097" s="12" t="str">
        <f ca="1">IFERROR(__xludf.DUMMYFUNCTION("""COMPUTED_VALUE"""),"1年")</f>
        <v>1年</v>
      </c>
      <c r="V1097" s="12"/>
      <c r="W1097" s="12"/>
      <c r="X1097" s="12"/>
      <c r="Y1097" s="12"/>
      <c r="Z1097" s="14"/>
      <c r="AA1097" s="15" t="str">
        <f ca="1">IFERROR(__xludf.DUMMYFUNCTION("""COMPUTED_VALUE"""),"*三向立體聲音效 卓越的重低音表現*內建電池 續航力最長可達8小時*藍牙版本5.2 兩台Go+Play 3可無線配對*藍牙版本：5.2")</f>
        <v>*三向立體聲音效 卓越的重低音表現*內建電池 續航力最長可達8小時*藍牙版本5.2 兩台Go+Play 3可無線配對*藍牙版本：5.2</v>
      </c>
    </row>
    <row r="1098" spans="1:27" ht="19.5" customHeight="1">
      <c r="A1098" s="12" t="str">
        <f ca="1">IFERROR(__xludf.DUMMYFUNCTION("""COMPUTED_VALUE"""),"音樂週邊")</f>
        <v>音樂週邊</v>
      </c>
      <c r="B1098" s="12" t="str">
        <f ca="1">IFERROR(__xludf.DUMMYFUNCTION("""COMPUTED_VALUE"""),"宙宣")</f>
        <v>宙宣</v>
      </c>
      <c r="C1098" s="12" t="str">
        <f ca="1">IFERROR(__xludf.DUMMYFUNCTION("""COMPUTED_VALUE"""),"HarmanKardon")</f>
        <v>HarmanKardon</v>
      </c>
      <c r="D1098" s="12" t="str">
        <f ca="1">IFERROR(__xludf.DUMMYFUNCTION("""COMPUTED_VALUE"""),"harman/kardon 哈曼卡頓 GO+Play 3 可攜式無線藍牙喇叭(灰)")</f>
        <v>harman/kardon 哈曼卡頓 GO+Play 3 可攜式無線藍牙喇叭(灰)</v>
      </c>
      <c r="E1098" s="12" t="str">
        <f ca="1">IFERROR(__xludf.DUMMYFUNCTION("""COMPUTED_VALUE"""),"GO+Play 3/GREY")</f>
        <v>GO+Play 3/GREY</v>
      </c>
      <c r="F1098" s="12">
        <f ca="1">IFERROR(__xludf.DUMMYFUNCTION("""COMPUTED_VALUE"""),51094088)</f>
        <v>51094088</v>
      </c>
      <c r="G1098" s="12" t="str">
        <f ca="1">IFERROR(__xludf.DUMMYFUNCTION("""COMPUTED_VALUE"""),"NCPE003P")</f>
        <v>NCPE003P</v>
      </c>
      <c r="H1098" s="12">
        <f ca="1">IFERROR(__xludf.DUMMYFUNCTION("""COMPUTED_VALUE"""),13900)</f>
        <v>13900</v>
      </c>
      <c r="I1098" s="14">
        <f ca="1">IFERROR(__xludf.DUMMYFUNCTION("""COMPUTED_VALUE"""),12900)</f>
        <v>12900</v>
      </c>
      <c r="J1098" s="16">
        <f ca="1">IFERROR(__xludf.DUMMYFUNCTION("""COMPUTED_VALUE"""),45310)</f>
        <v>45310</v>
      </c>
      <c r="K1098" s="12" t="str">
        <f ca="1">IFERROR(__xludf.DUMMYFUNCTION("""COMPUTED_VALUE"""),"新機上架")</f>
        <v>新機上架</v>
      </c>
      <c r="L1098" s="12" t="str">
        <f ca="1">IFERROR(__xludf.DUMMYFUNCTION("""COMPUTED_VALUE"""),"上架中")</f>
        <v>上架中</v>
      </c>
      <c r="M1098" s="12"/>
      <c r="N1098" s="12" t="str">
        <f ca="1">IFERROR(__xludf.DUMMYFUNCTION("""COMPUTED_VALUE"""),"無線喇叭")</f>
        <v>無線喇叭</v>
      </c>
      <c r="O1098" s="12" t="str">
        <f ca="1">IFERROR(__xludf.DUMMYFUNCTION("""COMPUTED_VALUE"""),"灰")</f>
        <v>灰</v>
      </c>
      <c r="P1098" s="12"/>
      <c r="Q1098" s="12" t="str">
        <f ca="1">IFERROR(__xludf.DUMMYFUNCTION("""COMPUTED_VALUE"""),"440 x 240 x 192 mm")</f>
        <v>440 x 240 x 192 mm</v>
      </c>
      <c r="R1098" s="12" t="str">
        <f ca="1">IFERROR(__xludf.DUMMYFUNCTION("""COMPUTED_VALUE"""),"中國")</f>
        <v>中國</v>
      </c>
      <c r="S1098" s="12"/>
      <c r="T1098" s="12"/>
      <c r="U1098" s="12" t="str">
        <f ca="1">IFERROR(__xludf.DUMMYFUNCTION("""COMPUTED_VALUE"""),"1年")</f>
        <v>1年</v>
      </c>
      <c r="V1098" s="12"/>
      <c r="W1098" s="12"/>
      <c r="X1098" s="12"/>
      <c r="Y1098" s="12"/>
      <c r="Z1098" s="14"/>
      <c r="AA1098" s="15" t="str">
        <f ca="1">IFERROR(__xludf.DUMMYFUNCTION("""COMPUTED_VALUE"""),"*三向立體聲音效 卓越的重低音表現*內建電池 續航力最長可達8小時*藍牙版本5.2 兩台Go+Play 3可無線配對*藍牙版本：5.3")</f>
        <v>*三向立體聲音效 卓越的重低音表現*內建電池 續航力最長可達8小時*藍牙版本5.2 兩台Go+Play 3可無線配對*藍牙版本：5.3</v>
      </c>
    </row>
    <row r="1099" spans="1:27" ht="19.5" customHeight="1">
      <c r="A1099" s="12" t="str">
        <f ca="1">IFERROR(__xludf.DUMMYFUNCTION("""COMPUTED_VALUE"""),"音樂週邊")</f>
        <v>音樂週邊</v>
      </c>
      <c r="B1099" s="12" t="str">
        <f ca="1">IFERROR(__xludf.DUMMYFUNCTION("""COMPUTED_VALUE"""),"宙宣")</f>
        <v>宙宣</v>
      </c>
      <c r="C1099" s="12" t="str">
        <f ca="1">IFERROR(__xludf.DUMMYFUNCTION("""COMPUTED_VALUE"""),"HarmanKardon")</f>
        <v>HarmanKardon</v>
      </c>
      <c r="D1099" s="12" t="str">
        <f ca="1">IFERROR(__xludf.DUMMYFUNCTION("""COMPUTED_VALUE"""),"harman/kardon - AURA STUDIO 4 無線藍牙喇叭")</f>
        <v>harman/kardon - AURA STUDIO 4 無線藍牙喇叭</v>
      </c>
      <c r="E1099" s="12" t="str">
        <f ca="1">IFERROR(__xludf.DUMMYFUNCTION("""COMPUTED_VALUE"""),"Aura 4/BLK")</f>
        <v>Aura 4/BLK</v>
      </c>
      <c r="F1099" s="12">
        <f ca="1">IFERROR(__xludf.DUMMYFUNCTION("""COMPUTED_VALUE"""),51094089)</f>
        <v>51094089</v>
      </c>
      <c r="G1099" s="12" t="str">
        <f ca="1">IFERROR(__xludf.DUMMYFUNCTION("""COMPUTED_VALUE"""),"NCPE003Q")</f>
        <v>NCPE003Q</v>
      </c>
      <c r="H1099" s="13">
        <f ca="1">IFERROR(__xludf.DUMMYFUNCTION("""COMPUTED_VALUE"""),10990)</f>
        <v>10990</v>
      </c>
      <c r="I1099" s="18">
        <f ca="1">IFERROR(__xludf.DUMMYFUNCTION("""COMPUTED_VALUE"""),9888)</f>
        <v>9888</v>
      </c>
      <c r="J1099" s="16">
        <f ca="1">IFERROR(__xludf.DUMMYFUNCTION("""COMPUTED_VALUE"""),45310)</f>
        <v>45310</v>
      </c>
      <c r="K1099" s="12" t="str">
        <f ca="1">IFERROR(__xludf.DUMMYFUNCTION("""COMPUTED_VALUE"""),"新機上架")</f>
        <v>新機上架</v>
      </c>
      <c r="L1099" s="12" t="str">
        <f ca="1">IFERROR(__xludf.DUMMYFUNCTION("""COMPUTED_VALUE"""),"上架中")</f>
        <v>上架中</v>
      </c>
      <c r="M1099" s="12"/>
      <c r="N1099" s="12" t="str">
        <f ca="1">IFERROR(__xludf.DUMMYFUNCTION("""COMPUTED_VALUE"""),"無線喇叭")</f>
        <v>無線喇叭</v>
      </c>
      <c r="O1099" s="12" t="str">
        <f ca="1">IFERROR(__xludf.DUMMYFUNCTION("""COMPUTED_VALUE"""),"黑")</f>
        <v>黑</v>
      </c>
      <c r="P1099" s="12"/>
      <c r="Q1099" s="12" t="str">
        <f ca="1">IFERROR(__xludf.DUMMYFUNCTION("""COMPUTED_VALUE"""),"230x 230 x 280 mm
")</f>
        <v xml:space="preserve">230x 230 x 280 mm
</v>
      </c>
      <c r="R1099" s="12" t="str">
        <f ca="1">IFERROR(__xludf.DUMMYFUNCTION("""COMPUTED_VALUE"""),"中國")</f>
        <v>中國</v>
      </c>
      <c r="S1099" s="12"/>
      <c r="T1099" s="12"/>
      <c r="U1099" s="12" t="str">
        <f ca="1">IFERROR(__xludf.DUMMYFUNCTION("""COMPUTED_VALUE"""),"1年")</f>
        <v>1年</v>
      </c>
      <c r="V1099" s="12"/>
      <c r="W1099" s="12"/>
      <c r="X1099" s="12"/>
      <c r="Y1099" s="12"/>
      <c r="Z1099" s="14"/>
      <c r="AA1099" s="15" t="str">
        <f ca="1">IFERROR(__xludf.DUMMYFUNCTION("""COMPUTED_VALUE"""),"*130mm低音單體*360° 環繞立體音效，*6個40mm中高頻單體*5種可調鑽石波紋動態燈光效果，360° LED呼吸燈
")</f>
        <v xml:space="preserve">*130mm低音單體*360° 環繞立體音效，*6個40mm中高頻單體*5種可調鑽石波紋動態燈光效果，360° LED呼吸燈
</v>
      </c>
    </row>
    <row r="1100" spans="1:27" ht="19.5" customHeight="1">
      <c r="A1100" s="12" t="str">
        <f ca="1">IFERROR(__xludf.DUMMYFUNCTION("""COMPUTED_VALUE"""),"音樂週邊")</f>
        <v>音樂週邊</v>
      </c>
      <c r="B1100" s="12" t="str">
        <f ca="1">IFERROR(__xludf.DUMMYFUNCTION("""COMPUTED_VALUE"""),"宙宣")</f>
        <v>宙宣</v>
      </c>
      <c r="C1100" s="12" t="str">
        <f ca="1">IFERROR(__xludf.DUMMYFUNCTION("""COMPUTED_VALUE"""),"UE")</f>
        <v>UE</v>
      </c>
      <c r="D1100" s="12" t="str">
        <f ca="1">IFERROR(__xludf.DUMMYFUNCTION("""COMPUTED_VALUE"""),"UE Boom 3無線藍芽喇叭 黑/藍/紫/紅(請備註顏色)")</f>
        <v>UE Boom 3無線藍芽喇叭 黑/藍/紫/紅(請備註顏色)</v>
      </c>
      <c r="E1100" s="12" t="str">
        <f ca="1">IFERROR(__xludf.DUMMYFUNCTION("""COMPUTED_VALUE"""),"Boom3")</f>
        <v>Boom3</v>
      </c>
      <c r="F1100" s="12">
        <f ca="1">IFERROR(__xludf.DUMMYFUNCTION("""COMPUTED_VALUE"""),51094017)</f>
        <v>51094017</v>
      </c>
      <c r="G1100" s="12" t="str">
        <f ca="1">IFERROR(__xludf.DUMMYFUNCTION("""COMPUTED_VALUE"""),"NCPE0010")</f>
        <v>NCPE0010</v>
      </c>
      <c r="H1100" s="12">
        <f ca="1">IFERROR(__xludf.DUMMYFUNCTION("""COMPUTED_VALUE"""),3990)</f>
        <v>3990</v>
      </c>
      <c r="I1100" s="14">
        <f ca="1">IFERROR(__xludf.DUMMYFUNCTION("""COMPUTED_VALUE"""),3290)</f>
        <v>3290</v>
      </c>
      <c r="J1100" s="16">
        <f ca="1">IFERROR(__xludf.DUMMYFUNCTION("""COMPUTED_VALUE"""),44901)</f>
        <v>44901</v>
      </c>
      <c r="K1100" s="12" t="str">
        <f ca="1">IFERROR(__xludf.DUMMYFUNCTION("""COMPUTED_VALUE"""),"短促")</f>
        <v>短促</v>
      </c>
      <c r="L1100" s="12" t="str">
        <f ca="1">IFERROR(__xludf.DUMMYFUNCTION("""COMPUTED_VALUE"""),"上架中")</f>
        <v>上架中</v>
      </c>
      <c r="M1100" s="12"/>
      <c r="N1100" s="12" t="str">
        <f ca="1">IFERROR(__xludf.DUMMYFUNCTION("""COMPUTED_VALUE"""),"無線喇叭")</f>
        <v>無線喇叭</v>
      </c>
      <c r="O1100" s="12" t="str">
        <f ca="1">IFERROR(__xludf.DUMMYFUNCTION("""COMPUTED_VALUE"""),"黑/藍/紫/紅(請備註顏色)")</f>
        <v>黑/藍/紫/紅(請備註顏色)</v>
      </c>
      <c r="P1100" s="12" t="str">
        <f ca="1">IFERROR(__xludf.DUMMYFUNCTION("""COMPUTED_VALUE"""),"360度發聲")</f>
        <v>360度發聲</v>
      </c>
      <c r="Q1100" s="12" t="str">
        <f ca="1">IFERROR(__xludf.DUMMYFUNCTION("""COMPUTED_VALUE"""),"高184*寬73*深73mm")</f>
        <v>高184*寬73*深73mm</v>
      </c>
      <c r="R1100" s="12" t="str">
        <f ca="1">IFERROR(__xludf.DUMMYFUNCTION("""COMPUTED_VALUE"""),"中國")</f>
        <v>中國</v>
      </c>
      <c r="S1100" s="12"/>
      <c r="T1100" s="12"/>
      <c r="U1100" s="12" t="str">
        <f ca="1">IFERROR(__xludf.DUMMYFUNCTION("""COMPUTED_VALUE"""),"2年")</f>
        <v>2年</v>
      </c>
      <c r="V1100" s="12"/>
      <c r="W1100" s="12"/>
      <c r="X1100" s="12"/>
      <c r="Y1100" s="12"/>
      <c r="Z1100" s="14"/>
      <c r="AA1100" s="15" t="str">
        <f ca="1">IFERROR(__xludf.DUMMYFUNCTION("""COMPUTED_VALUE"""),"*具備APP*IP67防塵防水*可150顆串聯*續航力15小時")</f>
        <v>*具備APP*IP67防塵防水*可150顆串聯*續航力15小時</v>
      </c>
    </row>
    <row r="1101" spans="1:27" ht="19.5" customHeight="1">
      <c r="A1101" s="12" t="str">
        <f ca="1">IFERROR(__xludf.DUMMYFUNCTION("""COMPUTED_VALUE"""),"音樂週邊")</f>
        <v>音樂週邊</v>
      </c>
      <c r="B1101" s="12" t="str">
        <f ca="1">IFERROR(__xludf.DUMMYFUNCTION("""COMPUTED_VALUE"""),"宙宣")</f>
        <v>宙宣</v>
      </c>
      <c r="C1101" s="12" t="str">
        <f ca="1">IFERROR(__xludf.DUMMYFUNCTION("""COMPUTED_VALUE"""),"UE")</f>
        <v>UE</v>
      </c>
      <c r="D1101" s="12" t="str">
        <f ca="1">IFERROR(__xludf.DUMMYFUNCTION("""COMPUTED_VALUE"""),"UE Megaboom 3無線藍牙喇叭 時尚黑")</f>
        <v>UE Megaboom 3無線藍牙喇叭 時尚黑</v>
      </c>
      <c r="E1101" s="12" t="str">
        <f ca="1">IFERROR(__xludf.DUMMYFUNCTION("""COMPUTED_VALUE"""),"Megaboom3")</f>
        <v>Megaboom3</v>
      </c>
      <c r="F1101" s="12">
        <f ca="1">IFERROR(__xludf.DUMMYFUNCTION("""COMPUTED_VALUE"""),51094018)</f>
        <v>51094018</v>
      </c>
      <c r="G1101" s="12" t="str">
        <f ca="1">IFERROR(__xludf.DUMMYFUNCTION("""COMPUTED_VALUE"""),"NCPE0011")</f>
        <v>NCPE0011</v>
      </c>
      <c r="H1101" s="12">
        <f ca="1">IFERROR(__xludf.DUMMYFUNCTION("""COMPUTED_VALUE"""),6990)</f>
        <v>6990</v>
      </c>
      <c r="I1101" s="14">
        <f ca="1">IFERROR(__xludf.DUMMYFUNCTION("""COMPUTED_VALUE"""),5990)</f>
        <v>5990</v>
      </c>
      <c r="J1101" s="16">
        <f ca="1">IFERROR(__xludf.DUMMYFUNCTION("""COMPUTED_VALUE"""),44901)</f>
        <v>44901</v>
      </c>
      <c r="K1101" s="12" t="str">
        <f ca="1">IFERROR(__xludf.DUMMYFUNCTION("""COMPUTED_VALUE"""),"短促")</f>
        <v>短促</v>
      </c>
      <c r="L1101" s="12" t="str">
        <f ca="1">IFERROR(__xludf.DUMMYFUNCTION("""COMPUTED_VALUE"""),"上架中")</f>
        <v>上架中</v>
      </c>
      <c r="M1101" s="12"/>
      <c r="N1101" s="12" t="str">
        <f ca="1">IFERROR(__xludf.DUMMYFUNCTION("""COMPUTED_VALUE"""),"無線喇叭")</f>
        <v>無線喇叭</v>
      </c>
      <c r="O1101" s="12" t="str">
        <f ca="1">IFERROR(__xludf.DUMMYFUNCTION("""COMPUTED_VALUE"""),"黑/藍/紫/紅(請備註顏色)")</f>
        <v>黑/藍/紫/紅(請備註顏色)</v>
      </c>
      <c r="P1101" s="12" t="str">
        <f ca="1">IFERROR(__xludf.DUMMYFUNCTION("""COMPUTED_VALUE"""),"360度發聲")</f>
        <v>360度發聲</v>
      </c>
      <c r="Q1101" s="12" t="str">
        <f ca="1">IFERROR(__xludf.DUMMYFUNCTION("""COMPUTED_VALUE"""),"高225*寬87*深87mm")</f>
        <v>高225*寬87*深87mm</v>
      </c>
      <c r="R1101" s="12" t="str">
        <f ca="1">IFERROR(__xludf.DUMMYFUNCTION("""COMPUTED_VALUE"""),"中國")</f>
        <v>中國</v>
      </c>
      <c r="S1101" s="12"/>
      <c r="T1101" s="12"/>
      <c r="U1101" s="12" t="str">
        <f ca="1">IFERROR(__xludf.DUMMYFUNCTION("""COMPUTED_VALUE"""),"2年")</f>
        <v>2年</v>
      </c>
      <c r="V1101" s="12"/>
      <c r="W1101" s="12"/>
      <c r="X1101" s="12"/>
      <c r="Y1101" s="12"/>
      <c r="Z1101" s="14"/>
      <c r="AA1101" s="15" t="str">
        <f ca="1">IFERROR(__xludf.DUMMYFUNCTION("""COMPUTED_VALUE"""),"*具備APP*IP67防塵防水*可150顆串聯*續航力20小時")</f>
        <v>*具備APP*IP67防塵防水*可150顆串聯*續航力20小時</v>
      </c>
    </row>
    <row r="1102" spans="1:27" ht="19.5" customHeight="1">
      <c r="A1102" s="12" t="str">
        <f ca="1">IFERROR(__xludf.DUMMYFUNCTION("""COMPUTED_VALUE"""),"音樂週邊")</f>
        <v>音樂週邊</v>
      </c>
      <c r="B1102" s="12" t="str">
        <f ca="1">IFERROR(__xludf.DUMMYFUNCTION("""COMPUTED_VALUE"""),"宙宣")</f>
        <v>宙宣</v>
      </c>
      <c r="C1102" s="12" t="str">
        <f ca="1">IFERROR(__xludf.DUMMYFUNCTION("""COMPUTED_VALUE"""),"UE")</f>
        <v>UE</v>
      </c>
      <c r="D1102" s="12" t="str">
        <f ca="1">IFERROR(__xludf.DUMMYFUNCTION("""COMPUTED_VALUE"""),"UE WONDERBOOM 3防水無線藍牙喇叭 黑")</f>
        <v>UE WONDERBOOM 3防水無線藍牙喇叭 黑</v>
      </c>
      <c r="E1102" s="12" t="str">
        <f ca="1">IFERROR(__xludf.DUMMYFUNCTION("""COMPUTED_VALUE"""),"UE WONDERBOOM 3 黑")</f>
        <v>UE WONDERBOOM 3 黑</v>
      </c>
      <c r="F1102" s="12">
        <f ca="1">IFERROR(__xludf.DUMMYFUNCTION("""COMPUTED_VALUE"""),51094029)</f>
        <v>51094029</v>
      </c>
      <c r="G1102" s="12" t="str">
        <f ca="1">IFERROR(__xludf.DUMMYFUNCTION("""COMPUTED_VALUE"""),"NCPE001D")</f>
        <v>NCPE001D</v>
      </c>
      <c r="H1102" s="12">
        <f ca="1">IFERROR(__xludf.DUMMYFUNCTION("""COMPUTED_VALUE"""),2790)</f>
        <v>2790</v>
      </c>
      <c r="I1102" s="14">
        <f ca="1">IFERROR(__xludf.DUMMYFUNCTION("""COMPUTED_VALUE"""),2450)</f>
        <v>2450</v>
      </c>
      <c r="J1102" s="12"/>
      <c r="K1102" s="12"/>
      <c r="L1102" s="12" t="str">
        <f ca="1">IFERROR(__xludf.DUMMYFUNCTION("""COMPUTED_VALUE"""),"上架中")</f>
        <v>上架中</v>
      </c>
      <c r="M1102" s="12" t="str">
        <f ca="1">IFERROR(__xludf.DUMMYFUNCTION("""COMPUTED_VALUE"""),"2022/10/6新機上架")</f>
        <v>2022/10/6新機上架</v>
      </c>
      <c r="N1102" s="12" t="str">
        <f ca="1">IFERROR(__xludf.DUMMYFUNCTION("""COMPUTED_VALUE"""),"無線喇叭")</f>
        <v>無線喇叭</v>
      </c>
      <c r="O1102" s="12" t="str">
        <f ca="1">IFERROR(__xludf.DUMMYFUNCTION("""COMPUTED_VALUE"""),"黑")</f>
        <v>黑</v>
      </c>
      <c r="P1102" s="12"/>
      <c r="Q1102" s="12" t="str">
        <f ca="1">IFERROR(__xludf.DUMMYFUNCTION("""COMPUTED_VALUE"""),"高 104 x 寬95 mm")</f>
        <v>高 104 x 寬95 mm</v>
      </c>
      <c r="R1102" s="12" t="str">
        <f ca="1">IFERROR(__xludf.DUMMYFUNCTION("""COMPUTED_VALUE"""),"中國")</f>
        <v>中國</v>
      </c>
      <c r="S1102" s="12"/>
      <c r="T1102" s="12"/>
      <c r="U1102" s="12" t="str">
        <f ca="1">IFERROR(__xludf.DUMMYFUNCTION("""COMPUTED_VALUE"""),"二年")</f>
        <v>二年</v>
      </c>
      <c r="V1102" s="12"/>
      <c r="W1102" s="12"/>
      <c r="X1102" s="12"/>
      <c r="Y1102" s="12"/>
      <c r="Z1102" s="14"/>
      <c r="AA1102" s="15" t="str">
        <f ca="1">IFERROR(__xludf.DUMMYFUNCTION("""COMPUTED_VALUE"""),"*360度強勁低音*14小時超強續航力，戶外活動最佳選擇*IP67防護等級-驚人的防塵防水力*藍牙5.2版本-40公尺無線範圍")</f>
        <v>*360度強勁低音*14小時超強續航力，戶外活動最佳選擇*IP67防護等級-驚人的防塵防水力*藍牙5.2版本-40公尺無線範圍</v>
      </c>
    </row>
    <row r="1103" spans="1:27" ht="19.5" customHeight="1">
      <c r="A1103" s="12" t="str">
        <f ca="1">IFERROR(__xludf.DUMMYFUNCTION("""COMPUTED_VALUE"""),"音樂週邊")</f>
        <v>音樂週邊</v>
      </c>
      <c r="B1103" s="12" t="str">
        <f ca="1">IFERROR(__xludf.DUMMYFUNCTION("""COMPUTED_VALUE"""),"宙宣")</f>
        <v>宙宣</v>
      </c>
      <c r="C1103" s="12" t="str">
        <f ca="1">IFERROR(__xludf.DUMMYFUNCTION("""COMPUTED_VALUE"""),"UE")</f>
        <v>UE</v>
      </c>
      <c r="D1103" s="12" t="str">
        <f ca="1">IFERROR(__xludf.DUMMYFUNCTION("""COMPUTED_VALUE"""),"UE WONDERBOOM 3防水無線藍牙喇叭 藍")</f>
        <v>UE WONDERBOOM 3防水無線藍牙喇叭 藍</v>
      </c>
      <c r="E1103" s="12" t="str">
        <f ca="1">IFERROR(__xludf.DUMMYFUNCTION("""COMPUTED_VALUE"""),"UE WONDERBOOM 3 藍")</f>
        <v>UE WONDERBOOM 3 藍</v>
      </c>
      <c r="F1103" s="12">
        <f ca="1">IFERROR(__xludf.DUMMYFUNCTION("""COMPUTED_VALUE"""),51094030)</f>
        <v>51094030</v>
      </c>
      <c r="G1103" s="12" t="str">
        <f ca="1">IFERROR(__xludf.DUMMYFUNCTION("""COMPUTED_VALUE"""),"NCPE001E")</f>
        <v>NCPE001E</v>
      </c>
      <c r="H1103" s="12">
        <f ca="1">IFERROR(__xludf.DUMMYFUNCTION("""COMPUTED_VALUE"""),2790)</f>
        <v>2790</v>
      </c>
      <c r="I1103" s="14">
        <f ca="1">IFERROR(__xludf.DUMMYFUNCTION("""COMPUTED_VALUE"""),2450)</f>
        <v>2450</v>
      </c>
      <c r="J1103" s="12"/>
      <c r="K1103" s="12"/>
      <c r="L1103" s="12" t="str">
        <f ca="1">IFERROR(__xludf.DUMMYFUNCTION("""COMPUTED_VALUE"""),"上架中")</f>
        <v>上架中</v>
      </c>
      <c r="M1103" s="12" t="str">
        <f ca="1">IFERROR(__xludf.DUMMYFUNCTION("""COMPUTED_VALUE"""),"2022/10/6新機上架")</f>
        <v>2022/10/6新機上架</v>
      </c>
      <c r="N1103" s="12" t="str">
        <f ca="1">IFERROR(__xludf.DUMMYFUNCTION("""COMPUTED_VALUE"""),"無線喇叭")</f>
        <v>無線喇叭</v>
      </c>
      <c r="O1103" s="12" t="str">
        <f ca="1">IFERROR(__xludf.DUMMYFUNCTION("""COMPUTED_VALUE"""),"藍")</f>
        <v>藍</v>
      </c>
      <c r="P1103" s="12"/>
      <c r="Q1103" s="12" t="str">
        <f ca="1">IFERROR(__xludf.DUMMYFUNCTION("""COMPUTED_VALUE"""),"高 104 x 寬95 mm")</f>
        <v>高 104 x 寬95 mm</v>
      </c>
      <c r="R1103" s="12" t="str">
        <f ca="1">IFERROR(__xludf.DUMMYFUNCTION("""COMPUTED_VALUE"""),"中國")</f>
        <v>中國</v>
      </c>
      <c r="S1103" s="12"/>
      <c r="T1103" s="12"/>
      <c r="U1103" s="12" t="str">
        <f ca="1">IFERROR(__xludf.DUMMYFUNCTION("""COMPUTED_VALUE"""),"二年")</f>
        <v>二年</v>
      </c>
      <c r="V1103" s="12"/>
      <c r="W1103" s="12"/>
      <c r="X1103" s="12"/>
      <c r="Y1103" s="12"/>
      <c r="Z1103" s="14"/>
      <c r="AA1103" s="15" t="str">
        <f ca="1">IFERROR(__xludf.DUMMYFUNCTION("""COMPUTED_VALUE"""),"*360度強勁低音*14小時超強續航力，戶外活動最佳選擇*IP67防護等級-驚人的防塵防水力*藍牙5.2版本-40公尺無線範圍")</f>
        <v>*360度強勁低音*14小時超強續航力，戶外活動最佳選擇*IP67防護等級-驚人的防塵防水力*藍牙5.2版本-40公尺無線範圍</v>
      </c>
    </row>
    <row r="1104" spans="1:27" ht="19.5" customHeight="1">
      <c r="A1104" s="12" t="str">
        <f ca="1">IFERROR(__xludf.DUMMYFUNCTION("""COMPUTED_VALUE"""),"音樂週邊")</f>
        <v>音樂週邊</v>
      </c>
      <c r="B1104" s="12" t="str">
        <f ca="1">IFERROR(__xludf.DUMMYFUNCTION("""COMPUTED_VALUE"""),"宙宣")</f>
        <v>宙宣</v>
      </c>
      <c r="C1104" s="12" t="str">
        <f ca="1">IFERROR(__xludf.DUMMYFUNCTION("""COMPUTED_VALUE"""),"UE")</f>
        <v>UE</v>
      </c>
      <c r="D1104" s="12" t="str">
        <f ca="1">IFERROR(__xludf.DUMMYFUNCTION("""COMPUTED_VALUE"""),"UE WONDERBOOM 3防水無線藍牙喇叭 桃")</f>
        <v>UE WONDERBOOM 3防水無線藍牙喇叭 桃</v>
      </c>
      <c r="E1104" s="12" t="str">
        <f ca="1">IFERROR(__xludf.DUMMYFUNCTION("""COMPUTED_VALUE"""),"UE WONDERBOOM 3 桃")</f>
        <v>UE WONDERBOOM 3 桃</v>
      </c>
      <c r="F1104" s="12">
        <f ca="1">IFERROR(__xludf.DUMMYFUNCTION("""COMPUTED_VALUE"""),51094031)</f>
        <v>51094031</v>
      </c>
      <c r="G1104" s="12" t="str">
        <f ca="1">IFERROR(__xludf.DUMMYFUNCTION("""COMPUTED_VALUE"""),"NCPE001F")</f>
        <v>NCPE001F</v>
      </c>
      <c r="H1104" s="12">
        <f ca="1">IFERROR(__xludf.DUMMYFUNCTION("""COMPUTED_VALUE"""),2790)</f>
        <v>2790</v>
      </c>
      <c r="I1104" s="14">
        <f ca="1">IFERROR(__xludf.DUMMYFUNCTION("""COMPUTED_VALUE"""),2450)</f>
        <v>2450</v>
      </c>
      <c r="J1104" s="12"/>
      <c r="K1104" s="12"/>
      <c r="L1104" s="12" t="str">
        <f ca="1">IFERROR(__xludf.DUMMYFUNCTION("""COMPUTED_VALUE"""),"上架中")</f>
        <v>上架中</v>
      </c>
      <c r="M1104" s="12" t="str">
        <f ca="1">IFERROR(__xludf.DUMMYFUNCTION("""COMPUTED_VALUE"""),"2022/10/6新機上架")</f>
        <v>2022/10/6新機上架</v>
      </c>
      <c r="N1104" s="12" t="str">
        <f ca="1">IFERROR(__xludf.DUMMYFUNCTION("""COMPUTED_VALUE"""),"無線喇叭")</f>
        <v>無線喇叭</v>
      </c>
      <c r="O1104" s="12" t="str">
        <f ca="1">IFERROR(__xludf.DUMMYFUNCTION("""COMPUTED_VALUE"""),"桃")</f>
        <v>桃</v>
      </c>
      <c r="P1104" s="12"/>
      <c r="Q1104" s="12" t="str">
        <f ca="1">IFERROR(__xludf.DUMMYFUNCTION("""COMPUTED_VALUE"""),"高 104 x 寬95 mm")</f>
        <v>高 104 x 寬95 mm</v>
      </c>
      <c r="R1104" s="12" t="str">
        <f ca="1">IFERROR(__xludf.DUMMYFUNCTION("""COMPUTED_VALUE"""),"中國")</f>
        <v>中國</v>
      </c>
      <c r="S1104" s="12"/>
      <c r="T1104" s="12"/>
      <c r="U1104" s="12" t="str">
        <f ca="1">IFERROR(__xludf.DUMMYFUNCTION("""COMPUTED_VALUE"""),"二年")</f>
        <v>二年</v>
      </c>
      <c r="V1104" s="12"/>
      <c r="W1104" s="12"/>
      <c r="X1104" s="12"/>
      <c r="Y1104" s="12"/>
      <c r="Z1104" s="14"/>
      <c r="AA1104" s="15" t="str">
        <f ca="1">IFERROR(__xludf.DUMMYFUNCTION("""COMPUTED_VALUE"""),"*360度強勁低音*14小時超強續航力，戶外活動最佳選擇*IP67防護等級-驚人的防塵防水力*藍牙5.2版本-40公尺無線範圍")</f>
        <v>*360度強勁低音*14小時超強續航力，戶外活動最佳選擇*IP67防護等級-驚人的防塵防水力*藍牙5.2版本-40公尺無線範圍</v>
      </c>
    </row>
    <row r="1105" spans="1:27" ht="19.5" customHeight="1">
      <c r="A1105" s="12" t="str">
        <f ca="1">IFERROR(__xludf.DUMMYFUNCTION("""COMPUTED_VALUE"""),"音樂週邊")</f>
        <v>音樂週邊</v>
      </c>
      <c r="B1105" s="12" t="str">
        <f ca="1">IFERROR(__xludf.DUMMYFUNCTION("""COMPUTED_VALUE"""),"宙宣")</f>
        <v>宙宣</v>
      </c>
      <c r="C1105" s="12" t="str">
        <f ca="1">IFERROR(__xludf.DUMMYFUNCTION("""COMPUTED_VALUE"""),"UE")</f>
        <v>UE</v>
      </c>
      <c r="D1105" s="12" t="str">
        <f ca="1">IFERROR(__xludf.DUMMYFUNCTION("""COMPUTED_VALUE"""),"UE WONDERBOOM 3防水無線藍牙喇叭 淺灰")</f>
        <v>UE WONDERBOOM 3防水無線藍牙喇叭 淺灰</v>
      </c>
      <c r="E1105" s="12" t="str">
        <f ca="1">IFERROR(__xludf.DUMMYFUNCTION("""COMPUTED_VALUE"""),"UE WONDERBOOM 3 淺灰")</f>
        <v>UE WONDERBOOM 3 淺灰</v>
      </c>
      <c r="F1105" s="12">
        <f ca="1">IFERROR(__xludf.DUMMYFUNCTION("""COMPUTED_VALUE"""),51094032)</f>
        <v>51094032</v>
      </c>
      <c r="G1105" s="12" t="str">
        <f ca="1">IFERROR(__xludf.DUMMYFUNCTION("""COMPUTED_VALUE"""),"NCPE001G")</f>
        <v>NCPE001G</v>
      </c>
      <c r="H1105" s="12">
        <f ca="1">IFERROR(__xludf.DUMMYFUNCTION("""COMPUTED_VALUE"""),2790)</f>
        <v>2790</v>
      </c>
      <c r="I1105" s="14">
        <f ca="1">IFERROR(__xludf.DUMMYFUNCTION("""COMPUTED_VALUE"""),2450)</f>
        <v>2450</v>
      </c>
      <c r="J1105" s="12"/>
      <c r="K1105" s="12"/>
      <c r="L1105" s="12" t="str">
        <f ca="1">IFERROR(__xludf.DUMMYFUNCTION("""COMPUTED_VALUE"""),"上架中")</f>
        <v>上架中</v>
      </c>
      <c r="M1105" s="12" t="str">
        <f ca="1">IFERROR(__xludf.DUMMYFUNCTION("""COMPUTED_VALUE"""),"2022/10/6新機上架")</f>
        <v>2022/10/6新機上架</v>
      </c>
      <c r="N1105" s="12" t="str">
        <f ca="1">IFERROR(__xludf.DUMMYFUNCTION("""COMPUTED_VALUE"""),"無線喇叭")</f>
        <v>無線喇叭</v>
      </c>
      <c r="O1105" s="12" t="str">
        <f ca="1">IFERROR(__xludf.DUMMYFUNCTION("""COMPUTED_VALUE"""),"淺灰")</f>
        <v>淺灰</v>
      </c>
      <c r="P1105" s="12"/>
      <c r="Q1105" s="12" t="str">
        <f ca="1">IFERROR(__xludf.DUMMYFUNCTION("""COMPUTED_VALUE"""),"高 104 x 寬95 mm")</f>
        <v>高 104 x 寬95 mm</v>
      </c>
      <c r="R1105" s="12" t="str">
        <f ca="1">IFERROR(__xludf.DUMMYFUNCTION("""COMPUTED_VALUE"""),"中國")</f>
        <v>中國</v>
      </c>
      <c r="S1105" s="12"/>
      <c r="T1105" s="12"/>
      <c r="U1105" s="12" t="str">
        <f ca="1">IFERROR(__xludf.DUMMYFUNCTION("""COMPUTED_VALUE"""),"二年")</f>
        <v>二年</v>
      </c>
      <c r="V1105" s="12"/>
      <c r="W1105" s="12"/>
      <c r="X1105" s="12"/>
      <c r="Y1105" s="12"/>
      <c r="Z1105" s="14"/>
      <c r="AA1105" s="15" t="str">
        <f ca="1">IFERROR(__xludf.DUMMYFUNCTION("""COMPUTED_VALUE"""),"*360度強勁低音*14小時超強續航力，戶外活動最佳選擇*IP67防護等級-驚人的防塵防水力*藍牙5.2版本-40公尺無線範圍")</f>
        <v>*360度強勁低音*14小時超強續航力，戶外活動最佳選擇*IP67防護等級-驚人的防塵防水力*藍牙5.2版本-40公尺無線範圍</v>
      </c>
    </row>
    <row r="1106" spans="1:27" ht="19.5" customHeight="1">
      <c r="A1106" s="12" t="str">
        <f ca="1">IFERROR(__xludf.DUMMYFUNCTION("""COMPUTED_VALUE"""),"音樂週邊")</f>
        <v>音樂週邊</v>
      </c>
      <c r="B1106" s="12" t="str">
        <f ca="1">IFERROR(__xludf.DUMMYFUNCTION("""COMPUTED_VALUE"""),"宙宣")</f>
        <v>宙宣</v>
      </c>
      <c r="C1106" s="12" t="str">
        <f ca="1">IFERROR(__xludf.DUMMYFUNCTION("""COMPUTED_VALUE"""),"UE")</f>
        <v>UE</v>
      </c>
      <c r="D1106" s="12" t="str">
        <f ca="1">IFERROR(__xludf.DUMMYFUNCTION("""COMPUTED_VALUE"""),"UE WONDERBOOM 4 防水無線藍牙喇叭 潮玩黑")</f>
        <v>UE WONDERBOOM 4 防水無線藍牙喇叭 潮玩黑</v>
      </c>
      <c r="E1106" s="12" t="str">
        <f ca="1">IFERROR(__xludf.DUMMYFUNCTION("""COMPUTED_VALUE"""),"UE WONDERBOOM 4 黑")</f>
        <v>UE WONDERBOOM 4 黑</v>
      </c>
      <c r="F1106" s="12">
        <f ca="1">IFERROR(__xludf.DUMMYFUNCTION("""COMPUTED_VALUE"""),51094101)</f>
        <v>51094101</v>
      </c>
      <c r="G1106" s="12" t="str">
        <f ca="1">IFERROR(__xludf.DUMMYFUNCTION("""COMPUTED_VALUE"""),"NCPE0068")</f>
        <v>NCPE0068</v>
      </c>
      <c r="H1106" s="12">
        <f ca="1">IFERROR(__xludf.DUMMYFUNCTION("""COMPUTED_VALUE"""),3190)</f>
        <v>3190</v>
      </c>
      <c r="I1106" s="14">
        <f ca="1">IFERROR(__xludf.DUMMYFUNCTION("""COMPUTED_VALUE"""),3090)</f>
        <v>3090</v>
      </c>
      <c r="J1106" s="16">
        <f ca="1">IFERROR(__xludf.DUMMYFUNCTION("""COMPUTED_VALUE"""),45637)</f>
        <v>45637</v>
      </c>
      <c r="K1106" s="12" t="str">
        <f ca="1">IFERROR(__xludf.DUMMYFUNCTION("""COMPUTED_VALUE"""),"新機上架")</f>
        <v>新機上架</v>
      </c>
      <c r="L1106" s="12" t="str">
        <f ca="1">IFERROR(__xludf.DUMMYFUNCTION("""COMPUTED_VALUE"""),"上架中")</f>
        <v>上架中</v>
      </c>
      <c r="M1106" s="12"/>
      <c r="N1106" s="12" t="str">
        <f ca="1">IFERROR(__xludf.DUMMYFUNCTION("""COMPUTED_VALUE"""),"無線喇叭
")</f>
        <v xml:space="preserve">無線喇叭
</v>
      </c>
      <c r="O1106" s="12" t="str">
        <f ca="1">IFERROR(__xludf.DUMMYFUNCTION("""COMPUTED_VALUE"""),"潮玩黑")</f>
        <v>潮玩黑</v>
      </c>
      <c r="P1106" s="12"/>
      <c r="Q1106" s="12" t="str">
        <f ca="1">IFERROR(__xludf.DUMMYFUNCTION("""COMPUTED_VALUE"""),"104mm（高），95mm（直徑）")</f>
        <v>104mm（高），95mm（直徑）</v>
      </c>
      <c r="R1106" s="12" t="str">
        <f ca="1">IFERROR(__xludf.DUMMYFUNCTION("""COMPUTED_VALUE"""),"中國")</f>
        <v>中國</v>
      </c>
      <c r="S1106" s="12"/>
      <c r="T1106" s="12"/>
      <c r="U1106" s="12" t="str">
        <f ca="1">IFERROR(__xludf.DUMMYFUNCTION("""COMPUTED_VALUE"""),"二年")</f>
        <v>二年</v>
      </c>
      <c r="V1106" s="12"/>
      <c r="W1106" s="12"/>
      <c r="X1106" s="12"/>
      <c r="Y1106" s="12"/>
      <c r="Z1106" s="14"/>
      <c r="AA1106" s="15" t="str">
        <f ca="1">IFERROR(__xludf.DUMMYFUNCTION("""COMPUTED_VALUE"""),"*超小體積，超大音量！*無線藍牙傳輸，最遠達 40 公尺*IP67 防水等級*充電 2.6 小時，續航力 14 小時*戶外增強模式、Podcast模式*2顆串聯配對")</f>
        <v>*超小體積，超大音量！*無線藍牙傳輸，最遠達 40 公尺*IP67 防水等級*充電 2.6 小時，續航力 14 小時*戶外增強模式、Podcast模式*2顆串聯配對</v>
      </c>
    </row>
    <row r="1107" spans="1:27" ht="19.5" customHeight="1">
      <c r="A1107" s="12" t="str">
        <f ca="1">IFERROR(__xludf.DUMMYFUNCTION("""COMPUTED_VALUE"""),"音樂週邊")</f>
        <v>音樂週邊</v>
      </c>
      <c r="B1107" s="12" t="str">
        <f ca="1">IFERROR(__xludf.DUMMYFUNCTION("""COMPUTED_VALUE"""),"宙宣")</f>
        <v>宙宣</v>
      </c>
      <c r="C1107" s="12" t="str">
        <f ca="1">IFERROR(__xludf.DUMMYFUNCTION("""COMPUTED_VALUE"""),"UE")</f>
        <v>UE</v>
      </c>
      <c r="D1107" s="12" t="str">
        <f ca="1">IFERROR(__xludf.DUMMYFUNCTION("""COMPUTED_VALUE"""),"UE WONDERBOOM 4 防水無線藍牙喇叭 海水藍")</f>
        <v>UE WONDERBOOM 4 防水無線藍牙喇叭 海水藍</v>
      </c>
      <c r="E1107" s="12" t="str">
        <f ca="1">IFERROR(__xludf.DUMMYFUNCTION("""COMPUTED_VALUE"""),"UE WONDERBOOM 4 藍")</f>
        <v>UE WONDERBOOM 4 藍</v>
      </c>
      <c r="F1107" s="12">
        <f ca="1">IFERROR(__xludf.DUMMYFUNCTION("""COMPUTED_VALUE"""),51094102)</f>
        <v>51094102</v>
      </c>
      <c r="G1107" s="12" t="str">
        <f ca="1">IFERROR(__xludf.DUMMYFUNCTION("""COMPUTED_VALUE"""),"NCPE0069")</f>
        <v>NCPE0069</v>
      </c>
      <c r="H1107" s="12">
        <f ca="1">IFERROR(__xludf.DUMMYFUNCTION("""COMPUTED_VALUE"""),3190)</f>
        <v>3190</v>
      </c>
      <c r="I1107" s="14">
        <f ca="1">IFERROR(__xludf.DUMMYFUNCTION("""COMPUTED_VALUE"""),3090)</f>
        <v>3090</v>
      </c>
      <c r="J1107" s="16">
        <f ca="1">IFERROR(__xludf.DUMMYFUNCTION("""COMPUTED_VALUE"""),45637)</f>
        <v>45637</v>
      </c>
      <c r="K1107" s="12" t="str">
        <f ca="1">IFERROR(__xludf.DUMMYFUNCTION("""COMPUTED_VALUE"""),"新機上架")</f>
        <v>新機上架</v>
      </c>
      <c r="L1107" s="12" t="str">
        <f ca="1">IFERROR(__xludf.DUMMYFUNCTION("""COMPUTED_VALUE"""),"上架中")</f>
        <v>上架中</v>
      </c>
      <c r="M1107" s="12"/>
      <c r="N1107" s="12" t="str">
        <f ca="1">IFERROR(__xludf.DUMMYFUNCTION("""COMPUTED_VALUE"""),"無線喇叭
")</f>
        <v xml:space="preserve">無線喇叭
</v>
      </c>
      <c r="O1107" s="12" t="str">
        <f ca="1">IFERROR(__xludf.DUMMYFUNCTION("""COMPUTED_VALUE"""),"海水藍")</f>
        <v>海水藍</v>
      </c>
      <c r="P1107" s="12"/>
      <c r="Q1107" s="12" t="str">
        <f ca="1">IFERROR(__xludf.DUMMYFUNCTION("""COMPUTED_VALUE"""),"104mm（高），95mm（直徑）")</f>
        <v>104mm（高），95mm（直徑）</v>
      </c>
      <c r="R1107" s="12" t="str">
        <f ca="1">IFERROR(__xludf.DUMMYFUNCTION("""COMPUTED_VALUE"""),"中國")</f>
        <v>中國</v>
      </c>
      <c r="S1107" s="12"/>
      <c r="T1107" s="12"/>
      <c r="U1107" s="12" t="str">
        <f ca="1">IFERROR(__xludf.DUMMYFUNCTION("""COMPUTED_VALUE"""),"二年")</f>
        <v>二年</v>
      </c>
      <c r="V1107" s="12"/>
      <c r="W1107" s="12"/>
      <c r="X1107" s="12"/>
      <c r="Y1107" s="12"/>
      <c r="Z1107" s="14"/>
      <c r="AA1107" s="15" t="str">
        <f ca="1">IFERROR(__xludf.DUMMYFUNCTION("""COMPUTED_VALUE"""),"*超小體積，超大音量！*無線藍牙傳輸，最遠達 40 公尺*IP67 防水等級*充電 2.6 小時，續航力 14 小時*戶外增強模式、Podcast模式*2顆串聯配對")</f>
        <v>*超小體積，超大音量！*無線藍牙傳輸，最遠達 40 公尺*IP67 防水等級*充電 2.6 小時，續航力 14 小時*戶外增強模式、Podcast模式*2顆串聯配對</v>
      </c>
    </row>
    <row r="1108" spans="1:27" ht="19.5" customHeight="1">
      <c r="A1108" s="12" t="str">
        <f ca="1">IFERROR(__xludf.DUMMYFUNCTION("""COMPUTED_VALUE"""),"音樂週邊")</f>
        <v>音樂週邊</v>
      </c>
      <c r="B1108" s="12" t="str">
        <f ca="1">IFERROR(__xludf.DUMMYFUNCTION("""COMPUTED_VALUE"""),"宙宣")</f>
        <v>宙宣</v>
      </c>
      <c r="C1108" s="12" t="str">
        <f ca="1">IFERROR(__xludf.DUMMYFUNCTION("""COMPUTED_VALUE"""),"UE")</f>
        <v>UE</v>
      </c>
      <c r="D1108" s="12" t="str">
        <f ca="1">IFERROR(__xludf.DUMMYFUNCTION("""COMPUTED_VALUE"""),"UE WONDERBOOM 4 防水無線藍牙喇叭 質感灰")</f>
        <v>UE WONDERBOOM 4 防水無線藍牙喇叭 質感灰</v>
      </c>
      <c r="E1108" s="12" t="str">
        <f ca="1">IFERROR(__xludf.DUMMYFUNCTION("""COMPUTED_VALUE"""),"UE WONDERBOOM 4 灰")</f>
        <v>UE WONDERBOOM 4 灰</v>
      </c>
      <c r="F1108" s="12">
        <f ca="1">IFERROR(__xludf.DUMMYFUNCTION("""COMPUTED_VALUE"""),51094103)</f>
        <v>51094103</v>
      </c>
      <c r="G1108" s="12" t="str">
        <f ca="1">IFERROR(__xludf.DUMMYFUNCTION("""COMPUTED_VALUE"""),"NCPE0070")</f>
        <v>NCPE0070</v>
      </c>
      <c r="H1108" s="12">
        <f ca="1">IFERROR(__xludf.DUMMYFUNCTION("""COMPUTED_VALUE"""),3190)</f>
        <v>3190</v>
      </c>
      <c r="I1108" s="14">
        <f ca="1">IFERROR(__xludf.DUMMYFUNCTION("""COMPUTED_VALUE"""),3090)</f>
        <v>3090</v>
      </c>
      <c r="J1108" s="16">
        <f ca="1">IFERROR(__xludf.DUMMYFUNCTION("""COMPUTED_VALUE"""),45637)</f>
        <v>45637</v>
      </c>
      <c r="K1108" s="12" t="str">
        <f ca="1">IFERROR(__xludf.DUMMYFUNCTION("""COMPUTED_VALUE"""),"新機上架")</f>
        <v>新機上架</v>
      </c>
      <c r="L1108" s="12" t="str">
        <f ca="1">IFERROR(__xludf.DUMMYFUNCTION("""COMPUTED_VALUE"""),"上架中")</f>
        <v>上架中</v>
      </c>
      <c r="M1108" s="12"/>
      <c r="N1108" s="12" t="str">
        <f ca="1">IFERROR(__xludf.DUMMYFUNCTION("""COMPUTED_VALUE"""),"無線喇叭
")</f>
        <v xml:space="preserve">無線喇叭
</v>
      </c>
      <c r="O1108" s="12" t="str">
        <f ca="1">IFERROR(__xludf.DUMMYFUNCTION("""COMPUTED_VALUE"""),"質感灰")</f>
        <v>質感灰</v>
      </c>
      <c r="P1108" s="12"/>
      <c r="Q1108" s="12" t="str">
        <f ca="1">IFERROR(__xludf.DUMMYFUNCTION("""COMPUTED_VALUE"""),"104mm（高），95mm（直徑）")</f>
        <v>104mm（高），95mm（直徑）</v>
      </c>
      <c r="R1108" s="12" t="str">
        <f ca="1">IFERROR(__xludf.DUMMYFUNCTION("""COMPUTED_VALUE"""),"中國")</f>
        <v>中國</v>
      </c>
      <c r="S1108" s="12"/>
      <c r="T1108" s="12"/>
      <c r="U1108" s="12" t="str">
        <f ca="1">IFERROR(__xludf.DUMMYFUNCTION("""COMPUTED_VALUE"""),"二年")</f>
        <v>二年</v>
      </c>
      <c r="V1108" s="12"/>
      <c r="W1108" s="12"/>
      <c r="X1108" s="12"/>
      <c r="Y1108" s="12"/>
      <c r="Z1108" s="14"/>
      <c r="AA1108" s="15" t="str">
        <f ca="1">IFERROR(__xludf.DUMMYFUNCTION("""COMPUTED_VALUE"""),"*超小體積，超大音量！*無線藍牙傳輸，最遠達 40 公尺*IP67 防水等級*充電 2.6 小時，續航力 14 小時*戶外增強模式、Podcast模式*2顆串聯配對")</f>
        <v>*超小體積，超大音量！*無線藍牙傳輸，最遠達 40 公尺*IP67 防水等級*充電 2.6 小時，續航力 14 小時*戶外增強模式、Podcast模式*2顆串聯配對</v>
      </c>
    </row>
    <row r="1109" spans="1:27" ht="19.5" customHeight="1">
      <c r="A1109" s="12" t="str">
        <f ca="1">IFERROR(__xludf.DUMMYFUNCTION("""COMPUTED_VALUE"""),"音樂週邊")</f>
        <v>音樂週邊</v>
      </c>
      <c r="B1109" s="12" t="str">
        <f ca="1">IFERROR(__xludf.DUMMYFUNCTION("""COMPUTED_VALUE"""),"宙宣")</f>
        <v>宙宣</v>
      </c>
      <c r="C1109" s="12" t="str">
        <f ca="1">IFERROR(__xludf.DUMMYFUNCTION("""COMPUTED_VALUE"""),"UE")</f>
        <v>UE</v>
      </c>
      <c r="D1109" s="12" t="str">
        <f ca="1">IFERROR(__xludf.DUMMYFUNCTION("""COMPUTED_VALUE"""),"UE WONDERBOOM 4 防水無線藍牙喇叭 蜜糖粉")</f>
        <v>UE WONDERBOOM 4 防水無線藍牙喇叭 蜜糖粉</v>
      </c>
      <c r="E1109" s="12" t="str">
        <f ca="1">IFERROR(__xludf.DUMMYFUNCTION("""COMPUTED_VALUE"""),"UE WONDERBOOM 4 粉")</f>
        <v>UE WONDERBOOM 4 粉</v>
      </c>
      <c r="F1109" s="12">
        <f ca="1">IFERROR(__xludf.DUMMYFUNCTION("""COMPUTED_VALUE"""),51094104)</f>
        <v>51094104</v>
      </c>
      <c r="G1109" s="12" t="str">
        <f ca="1">IFERROR(__xludf.DUMMYFUNCTION("""COMPUTED_VALUE"""),"NCPE0071")</f>
        <v>NCPE0071</v>
      </c>
      <c r="H1109" s="12">
        <f ca="1">IFERROR(__xludf.DUMMYFUNCTION("""COMPUTED_VALUE"""),3190)</f>
        <v>3190</v>
      </c>
      <c r="I1109" s="14">
        <f ca="1">IFERROR(__xludf.DUMMYFUNCTION("""COMPUTED_VALUE"""),3090)</f>
        <v>3090</v>
      </c>
      <c r="J1109" s="16">
        <f ca="1">IFERROR(__xludf.DUMMYFUNCTION("""COMPUTED_VALUE"""),45637)</f>
        <v>45637</v>
      </c>
      <c r="K1109" s="12" t="str">
        <f ca="1">IFERROR(__xludf.DUMMYFUNCTION("""COMPUTED_VALUE"""),"新機上架")</f>
        <v>新機上架</v>
      </c>
      <c r="L1109" s="12" t="str">
        <f ca="1">IFERROR(__xludf.DUMMYFUNCTION("""COMPUTED_VALUE"""),"上架中")</f>
        <v>上架中</v>
      </c>
      <c r="M1109" s="12"/>
      <c r="N1109" s="12" t="str">
        <f ca="1">IFERROR(__xludf.DUMMYFUNCTION("""COMPUTED_VALUE"""),"無線喇叭
")</f>
        <v xml:space="preserve">無線喇叭
</v>
      </c>
      <c r="O1109" s="12" t="str">
        <f ca="1">IFERROR(__xludf.DUMMYFUNCTION("""COMPUTED_VALUE"""),"蜜糖粉")</f>
        <v>蜜糖粉</v>
      </c>
      <c r="P1109" s="12"/>
      <c r="Q1109" s="12" t="str">
        <f ca="1">IFERROR(__xludf.DUMMYFUNCTION("""COMPUTED_VALUE"""),"104mm（高），95mm（直徑）")</f>
        <v>104mm（高），95mm（直徑）</v>
      </c>
      <c r="R1109" s="12" t="str">
        <f ca="1">IFERROR(__xludf.DUMMYFUNCTION("""COMPUTED_VALUE"""),"中國")</f>
        <v>中國</v>
      </c>
      <c r="S1109" s="12"/>
      <c r="T1109" s="12"/>
      <c r="U1109" s="12" t="str">
        <f ca="1">IFERROR(__xludf.DUMMYFUNCTION("""COMPUTED_VALUE"""),"二年")</f>
        <v>二年</v>
      </c>
      <c r="V1109" s="12"/>
      <c r="W1109" s="12"/>
      <c r="X1109" s="12"/>
      <c r="Y1109" s="12"/>
      <c r="Z1109" s="14"/>
      <c r="AA1109" s="15" t="str">
        <f ca="1">IFERROR(__xludf.DUMMYFUNCTION("""COMPUTED_VALUE"""),"*超小體積，超大音量！*無線藍牙傳輸，最遠達 40 公尺*IP67 防水等級*充電 2.6 小時，續航力 14 小時*戶外增強模式、Podcast模式*2顆串聯配對")</f>
        <v>*超小體積，超大音量！*無線藍牙傳輸，最遠達 40 公尺*IP67 防水等級*充電 2.6 小時，續航力 14 小時*戶外增強模式、Podcast模式*2顆串聯配對</v>
      </c>
    </row>
    <row r="1110" spans="1:27" ht="19.5" customHeight="1">
      <c r="A1110" s="12" t="str">
        <f ca="1">IFERROR(__xludf.DUMMYFUNCTION("""COMPUTED_VALUE"""),"音樂週邊")</f>
        <v>音樂週邊</v>
      </c>
      <c r="B1110" s="12" t="str">
        <f ca="1">IFERROR(__xludf.DUMMYFUNCTION("""COMPUTED_VALUE"""),"宙宣")</f>
        <v>宙宣</v>
      </c>
      <c r="C1110" s="12" t="str">
        <f ca="1">IFERROR(__xludf.DUMMYFUNCTION("""COMPUTED_VALUE"""),"UE")</f>
        <v>UE</v>
      </c>
      <c r="D1110" s="12" t="str">
        <f ca="1">IFERROR(__xludf.DUMMYFUNCTION("""COMPUTED_VALUE"""),"UE BOOM 4 360度防水藍牙喇叭四代 潮玩黑")</f>
        <v>UE BOOM 4 360度防水藍牙喇叭四代 潮玩黑</v>
      </c>
      <c r="E1110" s="12" t="str">
        <f ca="1">IFERROR(__xludf.DUMMYFUNCTION("""COMPUTED_VALUE"""),"UE BOOM 4 黑")</f>
        <v>UE BOOM 4 黑</v>
      </c>
      <c r="F1110" s="12">
        <f ca="1">IFERROR(__xludf.DUMMYFUNCTION("""COMPUTED_VALUE"""),51094105)</f>
        <v>51094105</v>
      </c>
      <c r="G1110" s="12" t="str">
        <f ca="1">IFERROR(__xludf.DUMMYFUNCTION("""COMPUTED_VALUE"""),"NCPE0072")</f>
        <v>NCPE0072</v>
      </c>
      <c r="H1110" s="12">
        <f ca="1">IFERROR(__xludf.DUMMYFUNCTION("""COMPUTED_VALUE"""),4990)</f>
        <v>4990</v>
      </c>
      <c r="I1110" s="14">
        <f ca="1">IFERROR(__xludf.DUMMYFUNCTION("""COMPUTED_VALUE"""),4890)</f>
        <v>4890</v>
      </c>
      <c r="J1110" s="16">
        <f ca="1">IFERROR(__xludf.DUMMYFUNCTION("""COMPUTED_VALUE"""),45637)</f>
        <v>45637</v>
      </c>
      <c r="K1110" s="12" t="str">
        <f ca="1">IFERROR(__xludf.DUMMYFUNCTION("""COMPUTED_VALUE"""),"新機上架")</f>
        <v>新機上架</v>
      </c>
      <c r="L1110" s="12" t="str">
        <f ca="1">IFERROR(__xludf.DUMMYFUNCTION("""COMPUTED_VALUE"""),"上架中")</f>
        <v>上架中</v>
      </c>
      <c r="M1110" s="12"/>
      <c r="N1110" s="12" t="str">
        <f ca="1">IFERROR(__xludf.DUMMYFUNCTION("""COMPUTED_VALUE"""),"無線喇叭
")</f>
        <v xml:space="preserve">無線喇叭
</v>
      </c>
      <c r="O1110" s="12" t="str">
        <f ca="1">IFERROR(__xludf.DUMMYFUNCTION("""COMPUTED_VALUE"""),"潮玩黑")</f>
        <v>潮玩黑</v>
      </c>
      <c r="P1110" s="12"/>
      <c r="Q1110" s="12" t="str">
        <f ca="1">IFERROR(__xludf.DUMMYFUNCTION("""COMPUTED_VALUE"""),"184 mm（高），73 mm（直徑）")</f>
        <v>184 mm（高），73 mm（直徑）</v>
      </c>
      <c r="R1110" s="12" t="str">
        <f ca="1">IFERROR(__xludf.DUMMYFUNCTION("""COMPUTED_VALUE"""),"中國")</f>
        <v>中國</v>
      </c>
      <c r="S1110" s="12"/>
      <c r="T1110" s="12"/>
      <c r="U1110" s="12" t="str">
        <f ca="1">IFERROR(__xludf.DUMMYFUNCTION("""COMPUTED_VALUE"""),"二年")</f>
        <v>二年</v>
      </c>
      <c r="V1110" s="12"/>
      <c r="W1110" s="12"/>
      <c r="X1110" s="12"/>
      <c r="Y1110" s="12"/>
      <c r="Z1110" s="14"/>
      <c r="AA1110" s="15" t="str">
        <f ca="1">IFERROR(__xludf.DUMMYFUNCTION("""COMPUTED_VALUE"""),"*重低音升級，60-100 Hz 聲音更宏亮*藍牙傳輸，最遠達 45公尺*IP67 防水防塵，可漂浮於水面*USB-C充電，續航力 15小時*自訂義EQ，5種預設模式")</f>
        <v>*重低音升級，60-100 Hz 聲音更宏亮*藍牙傳輸，最遠達 45公尺*IP67 防水防塵，可漂浮於水面*USB-C充電，續航力 15小時*自訂義EQ，5種預設模式</v>
      </c>
    </row>
    <row r="1111" spans="1:27" ht="19.5" customHeight="1">
      <c r="A1111" s="12" t="str">
        <f ca="1">IFERROR(__xludf.DUMMYFUNCTION("""COMPUTED_VALUE"""),"音樂週邊")</f>
        <v>音樂週邊</v>
      </c>
      <c r="B1111" s="12" t="str">
        <f ca="1">IFERROR(__xludf.DUMMYFUNCTION("""COMPUTED_VALUE"""),"宙宣")</f>
        <v>宙宣</v>
      </c>
      <c r="C1111" s="12" t="str">
        <f ca="1">IFERROR(__xludf.DUMMYFUNCTION("""COMPUTED_VALUE"""),"UE")</f>
        <v>UE</v>
      </c>
      <c r="D1111" s="12" t="str">
        <f ca="1">IFERROR(__xludf.DUMMYFUNCTION("""COMPUTED_VALUE"""),"UE BOOM 4 360度防水藍牙喇叭四代 海水藍")</f>
        <v>UE BOOM 4 360度防水藍牙喇叭四代 海水藍</v>
      </c>
      <c r="E1111" s="12" t="str">
        <f ca="1">IFERROR(__xludf.DUMMYFUNCTION("""COMPUTED_VALUE"""),"UE BOOM 4 藍")</f>
        <v>UE BOOM 4 藍</v>
      </c>
      <c r="F1111" s="12">
        <f ca="1">IFERROR(__xludf.DUMMYFUNCTION("""COMPUTED_VALUE"""),51094106)</f>
        <v>51094106</v>
      </c>
      <c r="G1111" s="12" t="str">
        <f ca="1">IFERROR(__xludf.DUMMYFUNCTION("""COMPUTED_VALUE"""),"NCPE0073")</f>
        <v>NCPE0073</v>
      </c>
      <c r="H1111" s="12">
        <f ca="1">IFERROR(__xludf.DUMMYFUNCTION("""COMPUTED_VALUE"""),4990)</f>
        <v>4990</v>
      </c>
      <c r="I1111" s="14">
        <f ca="1">IFERROR(__xludf.DUMMYFUNCTION("""COMPUTED_VALUE"""),4890)</f>
        <v>4890</v>
      </c>
      <c r="J1111" s="16">
        <f ca="1">IFERROR(__xludf.DUMMYFUNCTION("""COMPUTED_VALUE"""),45637)</f>
        <v>45637</v>
      </c>
      <c r="K1111" s="12" t="str">
        <f ca="1">IFERROR(__xludf.DUMMYFUNCTION("""COMPUTED_VALUE"""),"新機上架")</f>
        <v>新機上架</v>
      </c>
      <c r="L1111" s="12" t="str">
        <f ca="1">IFERROR(__xludf.DUMMYFUNCTION("""COMPUTED_VALUE"""),"上架中")</f>
        <v>上架中</v>
      </c>
      <c r="M1111" s="12"/>
      <c r="N1111" s="12" t="str">
        <f ca="1">IFERROR(__xludf.DUMMYFUNCTION("""COMPUTED_VALUE"""),"無線喇叭
")</f>
        <v xml:space="preserve">無線喇叭
</v>
      </c>
      <c r="O1111" s="12" t="str">
        <f ca="1">IFERROR(__xludf.DUMMYFUNCTION("""COMPUTED_VALUE"""),"海水藍")</f>
        <v>海水藍</v>
      </c>
      <c r="P1111" s="12"/>
      <c r="Q1111" s="12" t="str">
        <f ca="1">IFERROR(__xludf.DUMMYFUNCTION("""COMPUTED_VALUE"""),"184 mm（高），73 mm（直徑）")</f>
        <v>184 mm（高），73 mm（直徑）</v>
      </c>
      <c r="R1111" s="12" t="str">
        <f ca="1">IFERROR(__xludf.DUMMYFUNCTION("""COMPUTED_VALUE"""),"中國")</f>
        <v>中國</v>
      </c>
      <c r="S1111" s="12"/>
      <c r="T1111" s="12"/>
      <c r="U1111" s="12" t="str">
        <f ca="1">IFERROR(__xludf.DUMMYFUNCTION("""COMPUTED_VALUE"""),"二年")</f>
        <v>二年</v>
      </c>
      <c r="V1111" s="12"/>
      <c r="W1111" s="12"/>
      <c r="X1111" s="12"/>
      <c r="Y1111" s="12"/>
      <c r="Z1111" s="14"/>
      <c r="AA1111" s="15" t="str">
        <f ca="1">IFERROR(__xludf.DUMMYFUNCTION("""COMPUTED_VALUE"""),"*重低音升級，60-100 Hz 聲音更宏亮*藍牙傳輸，最遠達 45公尺*IP67 防水防塵，可漂浮於水面*USB-C充電，續航力 15小時*自訂義EQ，5種預設模式")</f>
        <v>*重低音升級，60-100 Hz 聲音更宏亮*藍牙傳輸，最遠達 45公尺*IP67 防水防塵，可漂浮於水面*USB-C充電，續航力 15小時*自訂義EQ，5種預設模式</v>
      </c>
    </row>
    <row r="1112" spans="1:27" ht="19.5" customHeight="1">
      <c r="A1112" s="12" t="str">
        <f ca="1">IFERROR(__xludf.DUMMYFUNCTION("""COMPUTED_VALUE"""),"音樂週邊")</f>
        <v>音樂週邊</v>
      </c>
      <c r="B1112" s="12" t="str">
        <f ca="1">IFERROR(__xludf.DUMMYFUNCTION("""COMPUTED_VALUE"""),"宙宣")</f>
        <v>宙宣</v>
      </c>
      <c r="C1112" s="12" t="str">
        <f ca="1">IFERROR(__xludf.DUMMYFUNCTION("""COMPUTED_VALUE"""),"UE")</f>
        <v>UE</v>
      </c>
      <c r="D1112" s="12" t="str">
        <f ca="1">IFERROR(__xludf.DUMMYFUNCTION("""COMPUTED_VALUE"""),"UE BOOM 4 360度防水藍牙喇叭四代 蜜糖粉")</f>
        <v>UE BOOM 4 360度防水藍牙喇叭四代 蜜糖粉</v>
      </c>
      <c r="E1112" s="12" t="str">
        <f ca="1">IFERROR(__xludf.DUMMYFUNCTION("""COMPUTED_VALUE"""),"UE BOOM 4 粉")</f>
        <v>UE BOOM 4 粉</v>
      </c>
      <c r="F1112" s="12">
        <f ca="1">IFERROR(__xludf.DUMMYFUNCTION("""COMPUTED_VALUE"""),51094107)</f>
        <v>51094107</v>
      </c>
      <c r="G1112" s="12" t="str">
        <f ca="1">IFERROR(__xludf.DUMMYFUNCTION("""COMPUTED_VALUE"""),"NCPE0074")</f>
        <v>NCPE0074</v>
      </c>
      <c r="H1112" s="12">
        <f ca="1">IFERROR(__xludf.DUMMYFUNCTION("""COMPUTED_VALUE"""),4990)</f>
        <v>4990</v>
      </c>
      <c r="I1112" s="14">
        <f ca="1">IFERROR(__xludf.DUMMYFUNCTION("""COMPUTED_VALUE"""),4890)</f>
        <v>4890</v>
      </c>
      <c r="J1112" s="16">
        <f ca="1">IFERROR(__xludf.DUMMYFUNCTION("""COMPUTED_VALUE"""),45637)</f>
        <v>45637</v>
      </c>
      <c r="K1112" s="12" t="str">
        <f ca="1">IFERROR(__xludf.DUMMYFUNCTION("""COMPUTED_VALUE"""),"新機上架")</f>
        <v>新機上架</v>
      </c>
      <c r="L1112" s="12" t="str">
        <f ca="1">IFERROR(__xludf.DUMMYFUNCTION("""COMPUTED_VALUE"""),"上架中")</f>
        <v>上架中</v>
      </c>
      <c r="M1112" s="12"/>
      <c r="N1112" s="12" t="str">
        <f ca="1">IFERROR(__xludf.DUMMYFUNCTION("""COMPUTED_VALUE"""),"無線喇叭
")</f>
        <v xml:space="preserve">無線喇叭
</v>
      </c>
      <c r="O1112" s="12" t="str">
        <f ca="1">IFERROR(__xludf.DUMMYFUNCTION("""COMPUTED_VALUE"""),"蜜糖粉")</f>
        <v>蜜糖粉</v>
      </c>
      <c r="P1112" s="12"/>
      <c r="Q1112" s="12" t="str">
        <f ca="1">IFERROR(__xludf.DUMMYFUNCTION("""COMPUTED_VALUE"""),"184 mm（高），73 mm（直徑）")</f>
        <v>184 mm（高），73 mm（直徑）</v>
      </c>
      <c r="R1112" s="12" t="str">
        <f ca="1">IFERROR(__xludf.DUMMYFUNCTION("""COMPUTED_VALUE"""),"中國")</f>
        <v>中國</v>
      </c>
      <c r="S1112" s="12"/>
      <c r="T1112" s="12"/>
      <c r="U1112" s="12" t="str">
        <f ca="1">IFERROR(__xludf.DUMMYFUNCTION("""COMPUTED_VALUE"""),"二年")</f>
        <v>二年</v>
      </c>
      <c r="V1112" s="12"/>
      <c r="W1112" s="12"/>
      <c r="X1112" s="12"/>
      <c r="Y1112" s="12"/>
      <c r="Z1112" s="14"/>
      <c r="AA1112" s="15" t="str">
        <f ca="1">IFERROR(__xludf.DUMMYFUNCTION("""COMPUTED_VALUE"""),"*重低音升級，60-100 Hz 聲音更宏亮*藍牙傳輸，最遠達 45公尺*IP67 防水防塵，可漂浮於水面*USB-C充電，續航力 15小時*自訂義EQ，5種預設模式")</f>
        <v>*重低音升級，60-100 Hz 聲音更宏亮*藍牙傳輸，最遠達 45公尺*IP67 防水防塵，可漂浮於水面*USB-C充電，續航力 15小時*自訂義EQ，5種預設模式</v>
      </c>
    </row>
    <row r="1113" spans="1:27" ht="19.5" customHeight="1">
      <c r="A1113" s="12" t="str">
        <f ca="1">IFERROR(__xludf.DUMMYFUNCTION("""COMPUTED_VALUE"""),"音樂週邊")</f>
        <v>音樂週邊</v>
      </c>
      <c r="B1113" s="12" t="str">
        <f ca="1">IFERROR(__xludf.DUMMYFUNCTION("""COMPUTED_VALUE"""),"宙宣")</f>
        <v>宙宣</v>
      </c>
      <c r="C1113" s="12" t="str">
        <f ca="1">IFERROR(__xludf.DUMMYFUNCTION("""COMPUTED_VALUE"""),"UE")</f>
        <v>UE</v>
      </c>
      <c r="D1113" s="12" t="str">
        <f ca="1">IFERROR(__xludf.DUMMYFUNCTION("""COMPUTED_VALUE"""),"UE BOOM 4 360度防水藍牙喇叭四代 薰衣紫")</f>
        <v>UE BOOM 4 360度防水藍牙喇叭四代 薰衣紫</v>
      </c>
      <c r="E1113" s="12" t="str">
        <f ca="1">IFERROR(__xludf.DUMMYFUNCTION("""COMPUTED_VALUE"""),"UE BOOM 4 紫")</f>
        <v>UE BOOM 4 紫</v>
      </c>
      <c r="F1113" s="12">
        <f ca="1">IFERROR(__xludf.DUMMYFUNCTION("""COMPUTED_VALUE"""),51094108)</f>
        <v>51094108</v>
      </c>
      <c r="G1113" s="12" t="str">
        <f ca="1">IFERROR(__xludf.DUMMYFUNCTION("""COMPUTED_VALUE"""),"NCPE0075")</f>
        <v>NCPE0075</v>
      </c>
      <c r="H1113" s="12">
        <f ca="1">IFERROR(__xludf.DUMMYFUNCTION("""COMPUTED_VALUE"""),4990)</f>
        <v>4990</v>
      </c>
      <c r="I1113" s="14">
        <f ca="1">IFERROR(__xludf.DUMMYFUNCTION("""COMPUTED_VALUE"""),4890)</f>
        <v>4890</v>
      </c>
      <c r="J1113" s="16">
        <f ca="1">IFERROR(__xludf.DUMMYFUNCTION("""COMPUTED_VALUE"""),45637)</f>
        <v>45637</v>
      </c>
      <c r="K1113" s="12" t="str">
        <f ca="1">IFERROR(__xludf.DUMMYFUNCTION("""COMPUTED_VALUE"""),"新機上架")</f>
        <v>新機上架</v>
      </c>
      <c r="L1113" s="12" t="str">
        <f ca="1">IFERROR(__xludf.DUMMYFUNCTION("""COMPUTED_VALUE"""),"上架中")</f>
        <v>上架中</v>
      </c>
      <c r="M1113" s="12"/>
      <c r="N1113" s="12" t="str">
        <f ca="1">IFERROR(__xludf.DUMMYFUNCTION("""COMPUTED_VALUE"""),"無線喇叭
")</f>
        <v xml:space="preserve">無線喇叭
</v>
      </c>
      <c r="O1113" s="12" t="str">
        <f ca="1">IFERROR(__xludf.DUMMYFUNCTION("""COMPUTED_VALUE"""),"薰衣紫")</f>
        <v>薰衣紫</v>
      </c>
      <c r="P1113" s="12"/>
      <c r="Q1113" s="12" t="str">
        <f ca="1">IFERROR(__xludf.DUMMYFUNCTION("""COMPUTED_VALUE"""),"184 mm（高），73 mm（直徑）")</f>
        <v>184 mm（高），73 mm（直徑）</v>
      </c>
      <c r="R1113" s="12" t="str">
        <f ca="1">IFERROR(__xludf.DUMMYFUNCTION("""COMPUTED_VALUE"""),"中國")</f>
        <v>中國</v>
      </c>
      <c r="S1113" s="12"/>
      <c r="T1113" s="12"/>
      <c r="U1113" s="12" t="str">
        <f ca="1">IFERROR(__xludf.DUMMYFUNCTION("""COMPUTED_VALUE"""),"二年")</f>
        <v>二年</v>
      </c>
      <c r="V1113" s="12"/>
      <c r="W1113" s="12"/>
      <c r="X1113" s="12"/>
      <c r="Y1113" s="12"/>
      <c r="Z1113" s="14"/>
      <c r="AA1113" s="15" t="str">
        <f ca="1">IFERROR(__xludf.DUMMYFUNCTION("""COMPUTED_VALUE"""),"*重低音升級，60-100 Hz 聲音更宏亮*藍牙傳輸，最遠達 45公尺*IP67 防水防塵，可漂浮於水面*USB-C充電，續航力 15小時*自訂義EQ，5種預設模式")</f>
        <v>*重低音升級，60-100 Hz 聲音更宏亮*藍牙傳輸，最遠達 45公尺*IP67 防水防塵，可漂浮於水面*USB-C充電，續航力 15小時*自訂義EQ，5種預設模式</v>
      </c>
    </row>
    <row r="1114" spans="1:27" ht="19.5" customHeight="1">
      <c r="A1114" s="12" t="str">
        <f ca="1">IFERROR(__xludf.DUMMYFUNCTION("""COMPUTED_VALUE"""),"音樂週邊")</f>
        <v>音樂週邊</v>
      </c>
      <c r="B1114" s="12" t="str">
        <f ca="1">IFERROR(__xludf.DUMMYFUNCTION("""COMPUTED_VALUE"""),"宙宣")</f>
        <v>宙宣</v>
      </c>
      <c r="C1114" s="12" t="str">
        <f ca="1">IFERROR(__xludf.DUMMYFUNCTION("""COMPUTED_VALUE"""),"UE")</f>
        <v>UE</v>
      </c>
      <c r="D1114" s="12" t="str">
        <f ca="1">IFERROR(__xludf.DUMMYFUNCTION("""COMPUTED_VALUE"""),"UE MEGABOOM 4 超大音量360度防水藍牙喇叭四代 潮玩黑")</f>
        <v>UE MEGABOOM 4 超大音量360度防水藍牙喇叭四代 潮玩黑</v>
      </c>
      <c r="E1114" s="12" t="str">
        <f ca="1">IFERROR(__xludf.DUMMYFUNCTION("""COMPUTED_VALUE"""),"UE MEGABOOM 4 潮玩黑")</f>
        <v>UE MEGABOOM 4 潮玩黑</v>
      </c>
      <c r="F1114" s="12">
        <f ca="1">IFERROR(__xludf.DUMMYFUNCTION("""COMPUTED_VALUE"""),51094109)</f>
        <v>51094109</v>
      </c>
      <c r="G1114" s="12" t="str">
        <f ca="1">IFERROR(__xludf.DUMMYFUNCTION("""COMPUTED_VALUE"""),"NCPE0076")</f>
        <v>NCPE0076</v>
      </c>
      <c r="H1114" s="12">
        <f ca="1">IFERROR(__xludf.DUMMYFUNCTION("""COMPUTED_VALUE"""),6990)</f>
        <v>6990</v>
      </c>
      <c r="I1114" s="14">
        <f ca="1">IFERROR(__xludf.DUMMYFUNCTION("""COMPUTED_VALUE"""),6790)</f>
        <v>6790</v>
      </c>
      <c r="J1114" s="16">
        <f ca="1">IFERROR(__xludf.DUMMYFUNCTION("""COMPUTED_VALUE"""),45637)</f>
        <v>45637</v>
      </c>
      <c r="K1114" s="12" t="str">
        <f ca="1">IFERROR(__xludf.DUMMYFUNCTION("""COMPUTED_VALUE"""),"新機上架")</f>
        <v>新機上架</v>
      </c>
      <c r="L1114" s="12" t="str">
        <f ca="1">IFERROR(__xludf.DUMMYFUNCTION("""COMPUTED_VALUE"""),"上架中")</f>
        <v>上架中</v>
      </c>
      <c r="M1114" s="12"/>
      <c r="N1114" s="12" t="str">
        <f ca="1">IFERROR(__xludf.DUMMYFUNCTION("""COMPUTED_VALUE"""),"無線喇叭
")</f>
        <v xml:space="preserve">無線喇叭
</v>
      </c>
      <c r="O1114" s="12" t="str">
        <f ca="1">IFERROR(__xludf.DUMMYFUNCTION("""COMPUTED_VALUE"""),"潮玩黑")</f>
        <v>潮玩黑</v>
      </c>
      <c r="P1114" s="12"/>
      <c r="Q1114" s="12" t="str">
        <f ca="1">IFERROR(__xludf.DUMMYFUNCTION("""COMPUTED_VALUE"""),"255 mm（高），87 mm（直徑）")</f>
        <v>255 mm（高），87 mm（直徑）</v>
      </c>
      <c r="R1114" s="12" t="str">
        <f ca="1">IFERROR(__xludf.DUMMYFUNCTION("""COMPUTED_VALUE"""),"中國")</f>
        <v>中國</v>
      </c>
      <c r="S1114" s="12"/>
      <c r="T1114" s="12"/>
      <c r="U1114" s="12" t="str">
        <f ca="1">IFERROR(__xludf.DUMMYFUNCTION("""COMPUTED_VALUE"""),"二年")</f>
        <v>二年</v>
      </c>
      <c r="V1114" s="12"/>
      <c r="W1114" s="12"/>
      <c r="X1114" s="12"/>
      <c r="Y1114" s="12"/>
      <c r="Z1114" s="14"/>
      <c r="AA1114" s="15" t="str">
        <f ca="1">IFERROR(__xludf.DUMMYFUNCTION("""COMPUTED_VALUE"""),"*重低音升級，50-100 Hz 聲音更宏亮*藍牙傳輸，最遠達 45公尺*IP67 防水防塵，可漂浮於水面*USB-C充電，續航力 15小時*自訂義EQ，5種預設模式")</f>
        <v>*重低音升級，50-100 Hz 聲音更宏亮*藍牙傳輸，最遠達 45公尺*IP67 防水防塵，可漂浮於水面*USB-C充電，續航力 15小時*自訂義EQ，5種預設模式</v>
      </c>
    </row>
    <row r="1115" spans="1:27" ht="19.5" customHeight="1">
      <c r="A1115" s="12" t="str">
        <f ca="1">IFERROR(__xludf.DUMMYFUNCTION("""COMPUTED_VALUE"""),"音樂週邊")</f>
        <v>音樂週邊</v>
      </c>
      <c r="B1115" s="12" t="str">
        <f ca="1">IFERROR(__xludf.DUMMYFUNCTION("""COMPUTED_VALUE"""),"宙宣")</f>
        <v>宙宣</v>
      </c>
      <c r="C1115" s="12" t="str">
        <f ca="1">IFERROR(__xludf.DUMMYFUNCTION("""COMPUTED_VALUE"""),"UE")</f>
        <v>UE</v>
      </c>
      <c r="D1115" s="12" t="str">
        <f ca="1">IFERROR(__xludf.DUMMYFUNCTION("""COMPUTED_VALUE"""),"UE MEGABOOM 4 超大音量360度防水藍牙喇叭四代 海水藍")</f>
        <v>UE MEGABOOM 4 超大音量360度防水藍牙喇叭四代 海水藍</v>
      </c>
      <c r="E1115" s="12" t="str">
        <f ca="1">IFERROR(__xludf.DUMMYFUNCTION("""COMPUTED_VALUE"""),"UE MEGABOOM 4 海水藍")</f>
        <v>UE MEGABOOM 4 海水藍</v>
      </c>
      <c r="F1115" s="12">
        <f ca="1">IFERROR(__xludf.DUMMYFUNCTION("""COMPUTED_VALUE"""),51094110)</f>
        <v>51094110</v>
      </c>
      <c r="G1115" s="12" t="str">
        <f ca="1">IFERROR(__xludf.DUMMYFUNCTION("""COMPUTED_VALUE"""),"NCPE0077")</f>
        <v>NCPE0077</v>
      </c>
      <c r="H1115" s="12">
        <f ca="1">IFERROR(__xludf.DUMMYFUNCTION("""COMPUTED_VALUE"""),6990)</f>
        <v>6990</v>
      </c>
      <c r="I1115" s="14">
        <f ca="1">IFERROR(__xludf.DUMMYFUNCTION("""COMPUTED_VALUE"""),6790)</f>
        <v>6790</v>
      </c>
      <c r="J1115" s="16">
        <f ca="1">IFERROR(__xludf.DUMMYFUNCTION("""COMPUTED_VALUE"""),45637)</f>
        <v>45637</v>
      </c>
      <c r="K1115" s="12" t="str">
        <f ca="1">IFERROR(__xludf.DUMMYFUNCTION("""COMPUTED_VALUE"""),"新機上架")</f>
        <v>新機上架</v>
      </c>
      <c r="L1115" s="12" t="str">
        <f ca="1">IFERROR(__xludf.DUMMYFUNCTION("""COMPUTED_VALUE"""),"上架中")</f>
        <v>上架中</v>
      </c>
      <c r="M1115" s="12"/>
      <c r="N1115" s="12" t="str">
        <f ca="1">IFERROR(__xludf.DUMMYFUNCTION("""COMPUTED_VALUE"""),"無線喇叭
")</f>
        <v xml:space="preserve">無線喇叭
</v>
      </c>
      <c r="O1115" s="12" t="str">
        <f ca="1">IFERROR(__xludf.DUMMYFUNCTION("""COMPUTED_VALUE"""),"海水藍")</f>
        <v>海水藍</v>
      </c>
      <c r="P1115" s="12"/>
      <c r="Q1115" s="12" t="str">
        <f ca="1">IFERROR(__xludf.DUMMYFUNCTION("""COMPUTED_VALUE"""),"255 mm（高），87 mm（直徑）")</f>
        <v>255 mm（高），87 mm（直徑）</v>
      </c>
      <c r="R1115" s="12" t="str">
        <f ca="1">IFERROR(__xludf.DUMMYFUNCTION("""COMPUTED_VALUE"""),"中國")</f>
        <v>中國</v>
      </c>
      <c r="S1115" s="12"/>
      <c r="T1115" s="12"/>
      <c r="U1115" s="12" t="str">
        <f ca="1">IFERROR(__xludf.DUMMYFUNCTION("""COMPUTED_VALUE"""),"二年")</f>
        <v>二年</v>
      </c>
      <c r="V1115" s="12"/>
      <c r="W1115" s="12"/>
      <c r="X1115" s="12"/>
      <c r="Y1115" s="12"/>
      <c r="Z1115" s="14"/>
      <c r="AA1115" s="15" t="str">
        <f ca="1">IFERROR(__xludf.DUMMYFUNCTION("""COMPUTED_VALUE"""),"*重低音升級，50-100 Hz 聲音更宏亮*藍牙傳輸，最遠達 45公尺*IP67 防水防塵，可漂浮於水面*USB-C充電，續航力 15小時*自訂義EQ，5種預設模式")</f>
        <v>*重低音升級，50-100 Hz 聲音更宏亮*藍牙傳輸，最遠達 45公尺*IP67 防水防塵，可漂浮於水面*USB-C充電，續航力 15小時*自訂義EQ，5種預設模式</v>
      </c>
    </row>
    <row r="1116" spans="1:27" ht="19.5" customHeight="1">
      <c r="A1116" s="12" t="str">
        <f ca="1">IFERROR(__xludf.DUMMYFUNCTION("""COMPUTED_VALUE"""),"音樂週邊")</f>
        <v>音樂週邊</v>
      </c>
      <c r="B1116" s="12" t="str">
        <f ca="1">IFERROR(__xludf.DUMMYFUNCTION("""COMPUTED_VALUE"""),"宙宣")</f>
        <v>宙宣</v>
      </c>
      <c r="C1116" s="12" t="str">
        <f ca="1">IFERROR(__xludf.DUMMYFUNCTION("""COMPUTED_VALUE"""),"UE")</f>
        <v>UE</v>
      </c>
      <c r="D1116" s="12" t="str">
        <f ca="1">IFERROR(__xludf.DUMMYFUNCTION("""COMPUTED_VALUE"""),"UE MEGABOOM 4 超大音量360度防水藍牙喇叭四代 蜜糖粉")</f>
        <v>UE MEGABOOM 4 超大音量360度防水藍牙喇叭四代 蜜糖粉</v>
      </c>
      <c r="E1116" s="12" t="str">
        <f ca="1">IFERROR(__xludf.DUMMYFUNCTION("""COMPUTED_VALUE"""),"UE MEGABOOM 4 蜜糖粉")</f>
        <v>UE MEGABOOM 4 蜜糖粉</v>
      </c>
      <c r="F1116" s="12">
        <f ca="1">IFERROR(__xludf.DUMMYFUNCTION("""COMPUTED_VALUE"""),51094111)</f>
        <v>51094111</v>
      </c>
      <c r="G1116" s="12" t="str">
        <f ca="1">IFERROR(__xludf.DUMMYFUNCTION("""COMPUTED_VALUE"""),"NCPE0078")</f>
        <v>NCPE0078</v>
      </c>
      <c r="H1116" s="12">
        <f ca="1">IFERROR(__xludf.DUMMYFUNCTION("""COMPUTED_VALUE"""),6990)</f>
        <v>6990</v>
      </c>
      <c r="I1116" s="14">
        <f ca="1">IFERROR(__xludf.DUMMYFUNCTION("""COMPUTED_VALUE"""),6790)</f>
        <v>6790</v>
      </c>
      <c r="J1116" s="16">
        <f ca="1">IFERROR(__xludf.DUMMYFUNCTION("""COMPUTED_VALUE"""),45637)</f>
        <v>45637</v>
      </c>
      <c r="K1116" s="12" t="str">
        <f ca="1">IFERROR(__xludf.DUMMYFUNCTION("""COMPUTED_VALUE"""),"新機上架")</f>
        <v>新機上架</v>
      </c>
      <c r="L1116" s="12" t="str">
        <f ca="1">IFERROR(__xludf.DUMMYFUNCTION("""COMPUTED_VALUE"""),"上架中")</f>
        <v>上架中</v>
      </c>
      <c r="M1116" s="12"/>
      <c r="N1116" s="12" t="str">
        <f ca="1">IFERROR(__xludf.DUMMYFUNCTION("""COMPUTED_VALUE"""),"無線喇叭
")</f>
        <v xml:space="preserve">無線喇叭
</v>
      </c>
      <c r="O1116" s="12" t="str">
        <f ca="1">IFERROR(__xludf.DUMMYFUNCTION("""COMPUTED_VALUE"""),"蜜糖粉")</f>
        <v>蜜糖粉</v>
      </c>
      <c r="P1116" s="12"/>
      <c r="Q1116" s="12" t="str">
        <f ca="1">IFERROR(__xludf.DUMMYFUNCTION("""COMPUTED_VALUE"""),"255 mm（高），87 mm（直徑）")</f>
        <v>255 mm（高），87 mm（直徑）</v>
      </c>
      <c r="R1116" s="12" t="str">
        <f ca="1">IFERROR(__xludf.DUMMYFUNCTION("""COMPUTED_VALUE"""),"中國")</f>
        <v>中國</v>
      </c>
      <c r="S1116" s="12"/>
      <c r="T1116" s="12"/>
      <c r="U1116" s="12" t="str">
        <f ca="1">IFERROR(__xludf.DUMMYFUNCTION("""COMPUTED_VALUE"""),"二年")</f>
        <v>二年</v>
      </c>
      <c r="V1116" s="12"/>
      <c r="W1116" s="12"/>
      <c r="X1116" s="12"/>
      <c r="Y1116" s="12"/>
      <c r="Z1116" s="14"/>
      <c r="AA1116" s="15" t="str">
        <f ca="1">IFERROR(__xludf.DUMMYFUNCTION("""COMPUTED_VALUE"""),"*重低音升級，50-100 Hz 聲音更宏亮*藍牙傳輸，最遠達 45公尺*IP67 防水防塵，可漂浮於水面*USB-C充電，續航力 15小時*自訂義EQ，5種預設模式")</f>
        <v>*重低音升級，50-100 Hz 聲音更宏亮*藍牙傳輸，最遠達 45公尺*IP67 防水防塵，可漂浮於水面*USB-C充電，續航力 15小時*自訂義EQ，5種預設模式</v>
      </c>
    </row>
    <row r="1117" spans="1:27" ht="19.5" customHeight="1">
      <c r="A1117" s="12" t="str">
        <f ca="1">IFERROR(__xludf.DUMMYFUNCTION("""COMPUTED_VALUE"""),"音樂週邊")</f>
        <v>音樂週邊</v>
      </c>
      <c r="B1117" s="12" t="str">
        <f ca="1">IFERROR(__xludf.DUMMYFUNCTION("""COMPUTED_VALUE"""),"宙宣")</f>
        <v>宙宣</v>
      </c>
      <c r="C1117" s="12" t="str">
        <f ca="1">IFERROR(__xludf.DUMMYFUNCTION("""COMPUTED_VALUE"""),"UE")</f>
        <v>UE</v>
      </c>
      <c r="D1117" s="12" t="str">
        <f ca="1">IFERROR(__xludf.DUMMYFUNCTION("""COMPUTED_VALUE"""),"UE MINIROLL 攜帶式藍牙喇叭 潮玩黑")</f>
        <v>UE MINIROLL 攜帶式藍牙喇叭 潮玩黑</v>
      </c>
      <c r="E1117" s="12" t="str">
        <f ca="1">IFERROR(__xludf.DUMMYFUNCTION("""COMPUTED_VALUE"""),"UE MINIROLL 潮玩黑")</f>
        <v>UE MINIROLL 潮玩黑</v>
      </c>
      <c r="F1117" s="12">
        <f ca="1">IFERROR(__xludf.DUMMYFUNCTION("""COMPUTED_VALUE"""),51094113)</f>
        <v>51094113</v>
      </c>
      <c r="G1117" s="12" t="str">
        <f ca="1">IFERROR(__xludf.DUMMYFUNCTION("""COMPUTED_VALUE"""),"NCPE0080")</f>
        <v>NCPE0080</v>
      </c>
      <c r="H1117" s="12">
        <f ca="1">IFERROR(__xludf.DUMMYFUNCTION("""COMPUTED_VALUE"""),2190)</f>
        <v>2190</v>
      </c>
      <c r="I1117" s="14">
        <f ca="1">IFERROR(__xludf.DUMMYFUNCTION("""COMPUTED_VALUE"""),2001)</f>
        <v>2001</v>
      </c>
      <c r="J1117" s="16">
        <f ca="1">IFERROR(__xludf.DUMMYFUNCTION("""COMPUTED_VALUE"""),45637)</f>
        <v>45637</v>
      </c>
      <c r="K1117" s="12" t="str">
        <f ca="1">IFERROR(__xludf.DUMMYFUNCTION("""COMPUTED_VALUE"""),"新機上架")</f>
        <v>新機上架</v>
      </c>
      <c r="L1117" s="12" t="str">
        <f ca="1">IFERROR(__xludf.DUMMYFUNCTION("""COMPUTED_VALUE"""),"上架中")</f>
        <v>上架中</v>
      </c>
      <c r="M1117" s="12"/>
      <c r="N1117" s="12" t="str">
        <f ca="1">IFERROR(__xludf.DUMMYFUNCTION("""COMPUTED_VALUE"""),"無線喇叭
")</f>
        <v xml:space="preserve">無線喇叭
</v>
      </c>
      <c r="O1117" s="12" t="str">
        <f ca="1">IFERROR(__xludf.DUMMYFUNCTION("""COMPUTED_VALUE"""),"潮玩黑")</f>
        <v>潮玩黑</v>
      </c>
      <c r="P1117" s="12"/>
      <c r="Q1117" s="12" t="str">
        <f ca="1">IFERROR(__xludf.DUMMYFUNCTION("""COMPUTED_VALUE"""),"25mm（高），105 mm（直徑）")</f>
        <v>25mm（高），105 mm（直徑）</v>
      </c>
      <c r="R1117" s="12" t="str">
        <f ca="1">IFERROR(__xludf.DUMMYFUNCTION("""COMPUTED_VALUE"""),"中國")</f>
        <v>中國</v>
      </c>
      <c r="S1117" s="12"/>
      <c r="T1117" s="12"/>
      <c r="U1117" s="12" t="str">
        <f ca="1">IFERROR(__xludf.DUMMYFUNCTION("""COMPUTED_VALUE"""),"二年")</f>
        <v>二年</v>
      </c>
      <c r="V1117" s="12"/>
      <c r="W1117" s="12"/>
      <c r="X1117" s="12"/>
      <c r="Y1117" s="12"/>
      <c r="Z1117" s="14"/>
      <c r="AA1117" s="15" t="str">
        <f ca="1">IFERROR(__xludf.DUMMYFUNCTION("""COMPUTED_VALUE"""),"*輕巧便攜音質宏亮 *無線藍牙傳輸 *IP67防水防摔 *續航力12小時 *Auracast技術無限串聯")</f>
        <v>*輕巧便攜音質宏亮 *無線藍牙傳輸 *IP67防水防摔 *續航力12小時 *Auracast技術無限串聯</v>
      </c>
    </row>
    <row r="1118" spans="1:27" ht="19.5" customHeight="1">
      <c r="A1118" s="12" t="str">
        <f ca="1">IFERROR(__xludf.DUMMYFUNCTION("""COMPUTED_VALUE"""),"音樂週邊")</f>
        <v>音樂週邊</v>
      </c>
      <c r="B1118" s="12" t="str">
        <f ca="1">IFERROR(__xludf.DUMMYFUNCTION("""COMPUTED_VALUE"""),"宙宣")</f>
        <v>宙宣</v>
      </c>
      <c r="C1118" s="12" t="str">
        <f ca="1">IFERROR(__xludf.DUMMYFUNCTION("""COMPUTED_VALUE"""),"UE")</f>
        <v>UE</v>
      </c>
      <c r="D1118" s="12" t="str">
        <f ca="1">IFERROR(__xludf.DUMMYFUNCTION("""COMPUTED_VALUE"""),"UE MINIROLL 攜帶式藍牙喇叭 海水藍")</f>
        <v>UE MINIROLL 攜帶式藍牙喇叭 海水藍</v>
      </c>
      <c r="E1118" s="12" t="str">
        <f ca="1">IFERROR(__xludf.DUMMYFUNCTION("""COMPUTED_VALUE"""),"UE MINIROLL 海水藍")</f>
        <v>UE MINIROLL 海水藍</v>
      </c>
      <c r="F1118" s="12">
        <f ca="1">IFERROR(__xludf.DUMMYFUNCTION("""COMPUTED_VALUE"""),51094114)</f>
        <v>51094114</v>
      </c>
      <c r="G1118" s="12" t="str">
        <f ca="1">IFERROR(__xludf.DUMMYFUNCTION("""COMPUTED_VALUE"""),"NCPE0081")</f>
        <v>NCPE0081</v>
      </c>
      <c r="H1118" s="12">
        <f ca="1">IFERROR(__xludf.DUMMYFUNCTION("""COMPUTED_VALUE"""),2190)</f>
        <v>2190</v>
      </c>
      <c r="I1118" s="14">
        <f ca="1">IFERROR(__xludf.DUMMYFUNCTION("""COMPUTED_VALUE"""),2001)</f>
        <v>2001</v>
      </c>
      <c r="J1118" s="16">
        <f ca="1">IFERROR(__xludf.DUMMYFUNCTION("""COMPUTED_VALUE"""),45637)</f>
        <v>45637</v>
      </c>
      <c r="K1118" s="12" t="str">
        <f ca="1">IFERROR(__xludf.DUMMYFUNCTION("""COMPUTED_VALUE"""),"新機上架")</f>
        <v>新機上架</v>
      </c>
      <c r="L1118" s="12" t="str">
        <f ca="1">IFERROR(__xludf.DUMMYFUNCTION("""COMPUTED_VALUE"""),"上架中")</f>
        <v>上架中</v>
      </c>
      <c r="M1118" s="12"/>
      <c r="N1118" s="12" t="str">
        <f ca="1">IFERROR(__xludf.DUMMYFUNCTION("""COMPUTED_VALUE"""),"無線喇叭
")</f>
        <v xml:space="preserve">無線喇叭
</v>
      </c>
      <c r="O1118" s="12" t="str">
        <f ca="1">IFERROR(__xludf.DUMMYFUNCTION("""COMPUTED_VALUE"""),"海水藍")</f>
        <v>海水藍</v>
      </c>
      <c r="P1118" s="12"/>
      <c r="Q1118" s="12" t="str">
        <f ca="1">IFERROR(__xludf.DUMMYFUNCTION("""COMPUTED_VALUE"""),"25mm（高），105 mm（直徑）")</f>
        <v>25mm（高），105 mm（直徑）</v>
      </c>
      <c r="R1118" s="12" t="str">
        <f ca="1">IFERROR(__xludf.DUMMYFUNCTION("""COMPUTED_VALUE"""),"中國")</f>
        <v>中國</v>
      </c>
      <c r="S1118" s="12"/>
      <c r="T1118" s="12"/>
      <c r="U1118" s="12" t="str">
        <f ca="1">IFERROR(__xludf.DUMMYFUNCTION("""COMPUTED_VALUE"""),"二年")</f>
        <v>二年</v>
      </c>
      <c r="V1118" s="12"/>
      <c r="W1118" s="12"/>
      <c r="X1118" s="12"/>
      <c r="Y1118" s="12"/>
      <c r="Z1118" s="14"/>
      <c r="AA1118" s="15" t="str">
        <f ca="1">IFERROR(__xludf.DUMMYFUNCTION("""COMPUTED_VALUE"""),"*輕巧便攜音質宏亮 *無線藍牙傳輸 *IP67防水防摔 *續航力12小時 *Auracast技術無限串聯")</f>
        <v>*輕巧便攜音質宏亮 *無線藍牙傳輸 *IP67防水防摔 *續航力12小時 *Auracast技術無限串聯</v>
      </c>
    </row>
    <row r="1119" spans="1:27" ht="19.5" customHeight="1">
      <c r="A1119" s="12" t="str">
        <f ca="1">IFERROR(__xludf.DUMMYFUNCTION("""COMPUTED_VALUE"""),"音樂週邊")</f>
        <v>音樂週邊</v>
      </c>
      <c r="B1119" s="12" t="str">
        <f ca="1">IFERROR(__xludf.DUMMYFUNCTION("""COMPUTED_VALUE"""),"宙宣")</f>
        <v>宙宣</v>
      </c>
      <c r="C1119" s="12" t="str">
        <f ca="1">IFERROR(__xludf.DUMMYFUNCTION("""COMPUTED_VALUE"""),"UE")</f>
        <v>UE</v>
      </c>
      <c r="D1119" s="12" t="str">
        <f ca="1">IFERROR(__xludf.DUMMYFUNCTION("""COMPUTED_VALUE"""),"UE MINIROLL 攜帶式藍牙喇叭 蜜糖粉")</f>
        <v>UE MINIROLL 攜帶式藍牙喇叭 蜜糖粉</v>
      </c>
      <c r="E1119" s="12" t="str">
        <f ca="1">IFERROR(__xludf.DUMMYFUNCTION("""COMPUTED_VALUE"""),"UE MINIROLL 蜜糖粉")</f>
        <v>UE MINIROLL 蜜糖粉</v>
      </c>
      <c r="F1119" s="12">
        <f ca="1">IFERROR(__xludf.DUMMYFUNCTION("""COMPUTED_VALUE"""),51094115)</f>
        <v>51094115</v>
      </c>
      <c r="G1119" s="12" t="str">
        <f ca="1">IFERROR(__xludf.DUMMYFUNCTION("""COMPUTED_VALUE"""),"NCPE0082")</f>
        <v>NCPE0082</v>
      </c>
      <c r="H1119" s="12">
        <f ca="1">IFERROR(__xludf.DUMMYFUNCTION("""COMPUTED_VALUE"""),2190)</f>
        <v>2190</v>
      </c>
      <c r="I1119" s="14">
        <f ca="1">IFERROR(__xludf.DUMMYFUNCTION("""COMPUTED_VALUE"""),2001)</f>
        <v>2001</v>
      </c>
      <c r="J1119" s="16">
        <f ca="1">IFERROR(__xludf.DUMMYFUNCTION("""COMPUTED_VALUE"""),45637)</f>
        <v>45637</v>
      </c>
      <c r="K1119" s="12" t="str">
        <f ca="1">IFERROR(__xludf.DUMMYFUNCTION("""COMPUTED_VALUE"""),"新機上架")</f>
        <v>新機上架</v>
      </c>
      <c r="L1119" s="12" t="str">
        <f ca="1">IFERROR(__xludf.DUMMYFUNCTION("""COMPUTED_VALUE"""),"上架中")</f>
        <v>上架中</v>
      </c>
      <c r="M1119" s="12"/>
      <c r="N1119" s="12" t="str">
        <f ca="1">IFERROR(__xludf.DUMMYFUNCTION("""COMPUTED_VALUE"""),"無線喇叭
")</f>
        <v xml:space="preserve">無線喇叭
</v>
      </c>
      <c r="O1119" s="12" t="str">
        <f ca="1">IFERROR(__xludf.DUMMYFUNCTION("""COMPUTED_VALUE"""),"蜜糖粉")</f>
        <v>蜜糖粉</v>
      </c>
      <c r="P1119" s="12"/>
      <c r="Q1119" s="12" t="str">
        <f ca="1">IFERROR(__xludf.DUMMYFUNCTION("""COMPUTED_VALUE"""),"25mm（高），105 mm（直徑）")</f>
        <v>25mm（高），105 mm（直徑）</v>
      </c>
      <c r="R1119" s="12" t="str">
        <f ca="1">IFERROR(__xludf.DUMMYFUNCTION("""COMPUTED_VALUE"""),"中國")</f>
        <v>中國</v>
      </c>
      <c r="S1119" s="12"/>
      <c r="T1119" s="12"/>
      <c r="U1119" s="12" t="str">
        <f ca="1">IFERROR(__xludf.DUMMYFUNCTION("""COMPUTED_VALUE"""),"二年")</f>
        <v>二年</v>
      </c>
      <c r="V1119" s="12"/>
      <c r="W1119" s="12"/>
      <c r="X1119" s="12"/>
      <c r="Y1119" s="12"/>
      <c r="Z1119" s="14"/>
      <c r="AA1119" s="15" t="str">
        <f ca="1">IFERROR(__xludf.DUMMYFUNCTION("""COMPUTED_VALUE"""),"*輕巧便攜音質宏亮 *無線藍牙傳輸 *IP67防水防摔 *續航力12小時 *Auracast技術無限串聯")</f>
        <v>*輕巧便攜音質宏亮 *無線藍牙傳輸 *IP67防水防摔 *續航力12小時 *Auracast技術無限串聯</v>
      </c>
    </row>
    <row r="1120" spans="1:27" ht="19.5" customHeight="1">
      <c r="A1120" s="12" t="str">
        <f ca="1">IFERROR(__xludf.DUMMYFUNCTION("""COMPUTED_VALUE"""),"HDTV")</f>
        <v>HDTV</v>
      </c>
      <c r="B1120" s="12" t="str">
        <f ca="1">IFERROR(__xludf.DUMMYFUNCTION("""COMPUTED_VALUE"""),"建達")</f>
        <v>建達</v>
      </c>
      <c r="C1120" s="12" t="str">
        <f ca="1">IFERROR(__xludf.DUMMYFUNCTION("""COMPUTED_VALUE"""),"BENQ")</f>
        <v>BENQ</v>
      </c>
      <c r="D1120" s="12" t="str">
        <f ca="1">IFERROR(__xludf.DUMMYFUNCTION("""COMPUTED_VALUE"""),"BenQ RP6504 65吋 教育互動觸控顯示器(含wifi TDY31)")</f>
        <v>BenQ RP6504 65吋 教育互動觸控顯示器(含wifi TDY31)</v>
      </c>
      <c r="E1120" s="12" t="str">
        <f ca="1">IFERROR(__xludf.DUMMYFUNCTION("""COMPUTED_VALUE"""),"RP6504")</f>
        <v>RP6504</v>
      </c>
      <c r="F1120" s="12">
        <f ca="1">IFERROR(__xludf.DUMMYFUNCTION("""COMPUTED_VALUE"""),51011176)</f>
        <v>51011176</v>
      </c>
      <c r="G1120" s="12" t="str">
        <f ca="1">IFERROR(__xludf.DUMMYFUNCTION("""COMPUTED_VALUE"""),"NCTV01PE")</f>
        <v>NCTV01PE</v>
      </c>
      <c r="H1120" s="13">
        <f ca="1">IFERROR(__xludf.DUMMYFUNCTION("""COMPUTED_VALUE"""),110000)</f>
        <v>110000</v>
      </c>
      <c r="I1120" s="14">
        <f ca="1">IFERROR(__xludf.DUMMYFUNCTION("""COMPUTED_VALUE"""),74000)</f>
        <v>74000</v>
      </c>
      <c r="J1120" s="12"/>
      <c r="K1120" s="12"/>
      <c r="L1120" s="12" t="str">
        <f ca="1">IFERROR(__xludf.DUMMYFUNCTION("""COMPUTED_VALUE"""),"專案")</f>
        <v>專案</v>
      </c>
      <c r="M1120" s="12"/>
      <c r="N1120" s="12" t="str">
        <f ca="1">IFERROR(__xludf.DUMMYFUNCTION("""COMPUTED_VALUE"""),"螢幕/液晶電視")</f>
        <v>螢幕/液晶電視</v>
      </c>
      <c r="O1120" s="12"/>
      <c r="P1120" s="12"/>
      <c r="Q1120" s="12" t="str">
        <f ca="1">IFERROR(__xludf.DUMMYFUNCTION("""COMPUTED_VALUE"""),"940 x 1490 x 1180mm")</f>
        <v>940 x 1490 x 1180mm</v>
      </c>
      <c r="R1120" s="12" t="str">
        <f ca="1">IFERROR(__xludf.DUMMYFUNCTION("""COMPUTED_VALUE"""),"中國")</f>
        <v>中國</v>
      </c>
      <c r="S1120" s="12"/>
      <c r="T1120" s="12"/>
      <c r="U1120" s="12" t="str">
        <f ca="1">IFERROR(__xludf.DUMMYFUNCTION("""COMPUTED_VALUE"""),"3年")</f>
        <v>3年</v>
      </c>
      <c r="V1120" s="12"/>
      <c r="W1120" s="12"/>
      <c r="X1120" s="12"/>
      <c r="Y1120" s="12"/>
      <c r="Z1120" s="14"/>
      <c r="AA1120" s="15" t="str">
        <f ca="1">IFERROR(__xludf.DUMMYFUNCTION("""COMPUTED_VALUE"""),"*尺寸65'、IPS、UHD 3840×2160、16:9、450 nits、1200:1、奈米銀離子塗層、9H、NFC*輸入：HDMI 3組、輸出：HDMI 1組、USB 8組、PC音訊1組、耳機端子1組*搭配軟體：EZWrite 6、InstaShare 2*作業系統：Android 13(EDLA)、Arm Cortex八核心處理器、8 GB 記憶體和 64 GB 的儲存空間")</f>
        <v>*尺寸65'、IPS、UHD 3840×2160、16:9、450 nits、1200:1、奈米銀離子塗層、9H、NFC*輸入：HDMI 3組、輸出：HDMI 1組、USB 8組、PC音訊1組、耳機端子1組*搭配軟體：EZWrite 6、InstaShare 2*作業系統：Android 13(EDLA)、Arm Cortex八核心處理器、8 GB 記憶體和 64 GB 的儲存空間</v>
      </c>
    </row>
    <row r="1121" spans="1:27" ht="19.5" customHeight="1">
      <c r="A1121" s="12" t="str">
        <f ca="1">IFERROR(__xludf.DUMMYFUNCTION("""COMPUTED_VALUE"""),"HDTV")</f>
        <v>HDTV</v>
      </c>
      <c r="B1121" s="12" t="str">
        <f ca="1">IFERROR(__xludf.DUMMYFUNCTION("""COMPUTED_VALUE"""),"建達")</f>
        <v>建達</v>
      </c>
      <c r="C1121" s="12" t="str">
        <f ca="1">IFERROR(__xludf.DUMMYFUNCTION("""COMPUTED_VALUE"""),"BENQ")</f>
        <v>BENQ</v>
      </c>
      <c r="D1121" s="12" t="str">
        <f ca="1">IFERROR(__xludf.DUMMYFUNCTION("""COMPUTED_VALUE"""),"BenQ RE6504F 65吋 教育互動觸控顯示器(含wifi TDY31)")</f>
        <v>BenQ RE6504F 65吋 教育互動觸控顯示器(含wifi TDY31)</v>
      </c>
      <c r="E1121" s="12" t="str">
        <f ca="1">IFERROR(__xludf.DUMMYFUNCTION("""COMPUTED_VALUE"""),"RE6504F")</f>
        <v>RE6504F</v>
      </c>
      <c r="F1121" s="12">
        <f ca="1">IFERROR(__xludf.DUMMYFUNCTION("""COMPUTED_VALUE"""),51011177)</f>
        <v>51011177</v>
      </c>
      <c r="G1121" s="12" t="str">
        <f ca="1">IFERROR(__xludf.DUMMYFUNCTION("""COMPUTED_VALUE"""),"NCTV01PF")</f>
        <v>NCTV01PF</v>
      </c>
      <c r="H1121" s="13">
        <f ca="1">IFERROR(__xludf.DUMMYFUNCTION("""COMPUTED_VALUE"""),100000)</f>
        <v>100000</v>
      </c>
      <c r="I1121" s="14">
        <f ca="1">IFERROR(__xludf.DUMMYFUNCTION("""COMPUTED_VALUE"""),59800)</f>
        <v>59800</v>
      </c>
      <c r="J1121" s="12"/>
      <c r="K1121" s="12"/>
      <c r="L1121" s="12" t="str">
        <f ca="1">IFERROR(__xludf.DUMMYFUNCTION("""COMPUTED_VALUE"""),"專案")</f>
        <v>專案</v>
      </c>
      <c r="M1121" s="12"/>
      <c r="N1121" s="12" t="str">
        <f ca="1">IFERROR(__xludf.DUMMYFUNCTION("""COMPUTED_VALUE"""),"螢幕/液晶電視")</f>
        <v>螢幕/液晶電視</v>
      </c>
      <c r="O1121" s="12"/>
      <c r="P1121" s="12"/>
      <c r="Q1121" s="12" t="str">
        <f ca="1">IFERROR(__xludf.DUMMYFUNCTION("""COMPUTED_VALUE"""),"910 x 1490 x 880mm")</f>
        <v>910 x 1490 x 880mm</v>
      </c>
      <c r="R1121" s="12" t="str">
        <f ca="1">IFERROR(__xludf.DUMMYFUNCTION("""COMPUTED_VALUE"""),"中國")</f>
        <v>中國</v>
      </c>
      <c r="S1121" s="12"/>
      <c r="T1121" s="12"/>
      <c r="U1121" s="12" t="str">
        <f ca="1">IFERROR(__xludf.DUMMYFUNCTION("""COMPUTED_VALUE"""),"3年")</f>
        <v>3年</v>
      </c>
      <c r="V1121" s="12"/>
      <c r="W1121" s="12"/>
      <c r="X1121" s="12"/>
      <c r="Y1121" s="12"/>
      <c r="Z1121" s="14"/>
      <c r="AA1121" s="15" t="str">
        <f ca="1">IFERROR(__xludf.DUMMYFUNCTION("""COMPUTED_VALUE"""),"*尺寸65'、IPS、UHD 3840×2160、16:9、450 nits、1200:1、抗菌塗層、9H、NFC*輸入：HDMI 3組、輸出：HDMI 1組、USB 4組、PC音訊1組、耳機端子1組*搭配軟體：EZWrite 6、InstaShare 2*作業系統：Android 13、Arm八核心處理器、8 GB 記憶體和 32GB 的儲存空間")</f>
        <v>*尺寸65'、IPS、UHD 3840×2160、16:9、450 nits、1200:1、抗菌塗層、9H、NFC*輸入：HDMI 3組、輸出：HDMI 1組、USB 4組、PC音訊1組、耳機端子1組*搭配軟體：EZWrite 6、InstaShare 2*作業系統：Android 13、Arm八核心處理器、8 GB 記憶體和 32GB 的儲存空間</v>
      </c>
    </row>
    <row r="1122" spans="1:27" ht="19.5" customHeight="1">
      <c r="A1122" s="12" t="str">
        <f ca="1">IFERROR(__xludf.DUMMYFUNCTION("""COMPUTED_VALUE"""),"投影機")</f>
        <v>投影機</v>
      </c>
      <c r="B1122" s="12" t="str">
        <f ca="1">IFERROR(__xludf.DUMMYFUNCTION("""COMPUTED_VALUE"""),"建達")</f>
        <v>建達</v>
      </c>
      <c r="C1122" s="12" t="str">
        <f ca="1">IFERROR(__xludf.DUMMYFUNCTION("""COMPUTED_VALUE"""),"ASUS")</f>
        <v>ASUS</v>
      </c>
      <c r="D1122" s="12" t="str">
        <f ca="1">IFERROR(__xludf.DUMMYFUNCTION("""COMPUTED_VALUE"""),"ASUS 華碩 ZenBeam L2 智慧型可攜式LED投影機(960 LED流明/1080p/Google認證)")</f>
        <v>ASUS 華碩 ZenBeam L2 智慧型可攜式LED投影機(960 LED流明/1080p/Google認證)</v>
      </c>
      <c r="E1122" s="12" t="str">
        <f ca="1">IFERROR(__xludf.DUMMYFUNCTION("""COMPUTED_VALUE"""),"PJASL2")</f>
        <v>PJASL2</v>
      </c>
      <c r="F1122" s="12">
        <f ca="1">IFERROR(__xludf.DUMMYFUNCTION("""COMPUTED_VALUE"""),51011187)</f>
        <v>51011187</v>
      </c>
      <c r="G1122" s="12" t="str">
        <f ca="1">IFERROR(__xludf.DUMMYFUNCTION("""COMPUTED_VALUE"""),"NCPR00BS")</f>
        <v>NCPR00BS</v>
      </c>
      <c r="H1122" s="12">
        <f ca="1">IFERROR(__xludf.DUMMYFUNCTION("""COMPUTED_VALUE"""),22900)</f>
        <v>22900</v>
      </c>
      <c r="I1122" s="18">
        <f ca="1">IFERROR(__xludf.DUMMYFUNCTION("""COMPUTED_VALUE"""),19999)</f>
        <v>19999</v>
      </c>
      <c r="J1122" s="12"/>
      <c r="K1122" s="12" t="str">
        <f ca="1">IFERROR(__xludf.DUMMYFUNCTION("""COMPUTED_VALUE"""),"新機上架")</f>
        <v>新機上架</v>
      </c>
      <c r="L1122" s="12" t="str">
        <f ca="1">IFERROR(__xludf.DUMMYFUNCTION("""COMPUTED_VALUE"""),"上架中")</f>
        <v>上架中</v>
      </c>
      <c r="M1122" s="12" t="str">
        <f ca="1">IFERROR(__xludf.DUMMYFUNCTION("""COMPUTED_VALUE"""),"POS")</f>
        <v>POS</v>
      </c>
      <c r="N1122" s="12" t="str">
        <f ca="1">IFERROR(__xludf.DUMMYFUNCTION("""COMPUTED_VALUE"""),"投影機")</f>
        <v>投影機</v>
      </c>
      <c r="O1122" s="12"/>
      <c r="P1122" s="12"/>
      <c r="Q1122" s="12" t="str">
        <f ca="1">IFERROR(__xludf.DUMMYFUNCTION("""COMPUTED_VALUE"""),"132*172*132
210*265*177")</f>
        <v>132*172*132
210*265*177</v>
      </c>
      <c r="R1122" s="12" t="str">
        <f ca="1">IFERROR(__xludf.DUMMYFUNCTION("""COMPUTED_VALUE"""),"中國")</f>
        <v>中國</v>
      </c>
      <c r="S1122" s="12"/>
      <c r="T1122" s="12"/>
      <c r="U1122" s="12" t="str">
        <f ca="1">IFERROR(__xludf.DUMMYFUNCTION("""COMPUTED_VALUE"""),"2年")</f>
        <v>2年</v>
      </c>
      <c r="V1122" s="12"/>
      <c r="W1122" s="12"/>
      <c r="X1122" s="12"/>
      <c r="Y1122" s="12"/>
      <c r="Z1122" s="14"/>
      <c r="AA1122" s="15" t="str">
        <f ca="1">IFERROR(__xludf.DUMMYFUNCTION("""COMPUTED_VALUE"""),"*Harman Kardon技術*10 W 揚聲器、內建電池*1 公尺投射 40 吋影像*燈泡保固1年")</f>
        <v>*Harman Kardon技術*10 W 揚聲器、內建電池*1 公尺投射 40 吋影像*燈泡保固1年</v>
      </c>
    </row>
    <row r="1123" spans="1:27" ht="19.5" customHeight="1">
      <c r="A1123" s="12" t="str">
        <f ca="1">IFERROR(__xludf.DUMMYFUNCTION("""COMPUTED_VALUE"""),"HDTV")</f>
        <v>HDTV</v>
      </c>
      <c r="B1123" s="12" t="str">
        <f ca="1">IFERROR(__xludf.DUMMYFUNCTION("""COMPUTED_VALUE"""),"建達")</f>
        <v>建達</v>
      </c>
      <c r="C1123" s="12" t="str">
        <f ca="1">IFERROR(__xludf.DUMMYFUNCTION("""COMPUTED_VALUE"""),"AOC")</f>
        <v>AOC</v>
      </c>
      <c r="D1123" s="12" t="str">
        <f ca="1">IFERROR(__xludf.DUMMYFUNCTION("""COMPUTED_VALUE"""),"AOC 70型 4K QLED Google TV 智慧顯示器(70U8040)")</f>
        <v>AOC 70型 4K QLED Google TV 智慧顯示器(70U8040)</v>
      </c>
      <c r="E1123" s="12" t="str">
        <f ca="1">IFERROR(__xludf.DUMMYFUNCTION("""COMPUTED_VALUE"""),"LCAO70U8040")</f>
        <v>LCAO70U8040</v>
      </c>
      <c r="F1123" s="12">
        <f ca="1">IFERROR(__xludf.DUMMYFUNCTION("""COMPUTED_VALUE"""),51011183)</f>
        <v>51011183</v>
      </c>
      <c r="G1123" s="12" t="str">
        <f ca="1">IFERROR(__xludf.DUMMYFUNCTION("""COMPUTED_VALUE"""),"NCTV01R6")</f>
        <v>NCTV01R6</v>
      </c>
      <c r="H1123" s="12">
        <f ca="1">IFERROR(__xludf.DUMMYFUNCTION("""COMPUTED_VALUE"""),23999)</f>
        <v>23999</v>
      </c>
      <c r="I1123" s="18">
        <f ca="1">IFERROR(__xludf.DUMMYFUNCTION("""COMPUTED_VALUE"""),20900)</f>
        <v>20900</v>
      </c>
      <c r="J1123" s="16">
        <f ca="1">IFERROR(__xludf.DUMMYFUNCTION("""COMPUTED_VALUE"""),45628)</f>
        <v>45628</v>
      </c>
      <c r="K1123" s="12" t="str">
        <f ca="1">IFERROR(__xludf.DUMMYFUNCTION("""COMPUTED_VALUE"""),"永久降價")</f>
        <v>永久降價</v>
      </c>
      <c r="L1123" s="12" t="str">
        <f ca="1">IFERROR(__xludf.DUMMYFUNCTION("""COMPUTED_VALUE"""),"上架中")</f>
        <v>上架中</v>
      </c>
      <c r="M1123" s="12" t="str">
        <f ca="1">IFERROR(__xludf.DUMMYFUNCTION("""COMPUTED_VALUE"""),"2024/8/22上架")</f>
        <v>2024/8/22上架</v>
      </c>
      <c r="N1123" s="12" t="str">
        <f ca="1">IFERROR(__xludf.DUMMYFUNCTION("""COMPUTED_VALUE"""),"螢幕/液晶電視")</f>
        <v>螢幕/液晶電視</v>
      </c>
      <c r="O1123" s="12"/>
      <c r="P1123" s="12"/>
      <c r="Q1123" s="12" t="str">
        <f ca="1">IFERROR(__xludf.DUMMYFUNCTION("""COMPUTED_VALUE"""),"1567*874*94
 1567*940*324")</f>
        <v>1567*874*94
 1567*940*324</v>
      </c>
      <c r="R1123" s="12" t="str">
        <f ca="1">IFERROR(__xludf.DUMMYFUNCTION("""COMPUTED_VALUE"""),"中國")</f>
        <v>中國</v>
      </c>
      <c r="S1123" s="12"/>
      <c r="T1123" s="12"/>
      <c r="U1123" s="12" t="str">
        <f ca="1">IFERROR(__xludf.DUMMYFUNCTION("""COMPUTED_VALUE"""),"2年")</f>
        <v>2年</v>
      </c>
      <c r="V1123" s="12"/>
      <c r="W1123" s="12"/>
      <c r="X1123" s="12"/>
      <c r="Y1123" s="12"/>
      <c r="Z1123" s="14"/>
      <c r="AA1123" s="15" t="str">
        <f ca="1">IFERROR(__xludf.DUMMYFUNCTION("""COMPUTED_VALUE"""),"*2024 4K QLED量子點*聯發科MT9612四核心*Assistant聲控語音助理")</f>
        <v>*2024 4K QLED量子點*聯發科MT9612四核心*Assistant聲控語音助理</v>
      </c>
    </row>
    <row r="1124" spans="1:27" ht="19.5" customHeight="1">
      <c r="A1124" s="12" t="str">
        <f ca="1">IFERROR(__xludf.DUMMYFUNCTION("""COMPUTED_VALUE"""),"HDTV")</f>
        <v>HDTV</v>
      </c>
      <c r="B1124" s="12" t="str">
        <f ca="1">IFERROR(__xludf.DUMMYFUNCTION("""COMPUTED_VALUE"""),"建達")</f>
        <v>建達</v>
      </c>
      <c r="C1124" s="12" t="str">
        <f ca="1">IFERROR(__xludf.DUMMYFUNCTION("""COMPUTED_VALUE"""),"AOC")</f>
        <v>AOC</v>
      </c>
      <c r="D1124" s="12" t="str">
        <f ca="1">IFERROR(__xludf.DUMMYFUNCTION("""COMPUTED_VALUE"""),"AOC 75型 4K QLED Google TV 智慧顯示器(75U8040)")</f>
        <v>AOC 75型 4K QLED Google TV 智慧顯示器(75U8040)</v>
      </c>
      <c r="E1124" s="12" t="str">
        <f ca="1">IFERROR(__xludf.DUMMYFUNCTION("""COMPUTED_VALUE"""),"LCAO75U8040")</f>
        <v>LCAO75U8040</v>
      </c>
      <c r="F1124" s="12">
        <f ca="1">IFERROR(__xludf.DUMMYFUNCTION("""COMPUTED_VALUE"""),51011184)</f>
        <v>51011184</v>
      </c>
      <c r="G1124" s="12" t="str">
        <f ca="1">IFERROR(__xludf.DUMMYFUNCTION("""COMPUTED_VALUE"""),"NCTV01R7")</f>
        <v>NCTV01R7</v>
      </c>
      <c r="H1124" s="12">
        <f ca="1">IFERROR(__xludf.DUMMYFUNCTION("""COMPUTED_VALUE"""),28999)</f>
        <v>28999</v>
      </c>
      <c r="I1124" s="18">
        <f ca="1">IFERROR(__xludf.DUMMYFUNCTION("""COMPUTED_VALUE"""),25900)</f>
        <v>25900</v>
      </c>
      <c r="J1124" s="16">
        <f ca="1">IFERROR(__xludf.DUMMYFUNCTION("""COMPUTED_VALUE"""),45628)</f>
        <v>45628</v>
      </c>
      <c r="K1124" s="12" t="str">
        <f ca="1">IFERROR(__xludf.DUMMYFUNCTION("""COMPUTED_VALUE"""),"永久降價")</f>
        <v>永久降價</v>
      </c>
      <c r="L1124" s="12" t="str">
        <f ca="1">IFERROR(__xludf.DUMMYFUNCTION("""COMPUTED_VALUE"""),"上架中")</f>
        <v>上架中</v>
      </c>
      <c r="M1124" s="12" t="str">
        <f ca="1">IFERROR(__xludf.DUMMYFUNCTION("""COMPUTED_VALUE"""),"2024/8/22上架")</f>
        <v>2024/8/22上架</v>
      </c>
      <c r="N1124" s="12" t="str">
        <f ca="1">IFERROR(__xludf.DUMMYFUNCTION("""COMPUTED_VALUE"""),"螢幕/液晶電視")</f>
        <v>螢幕/液晶電視</v>
      </c>
      <c r="O1124" s="12"/>
      <c r="P1124" s="12"/>
      <c r="Q1124" s="12" t="str">
        <f ca="1">IFERROR(__xludf.DUMMYFUNCTION("""COMPUTED_VALUE"""),"1669*958*105
 1669*1021*353")</f>
        <v>1669*958*105
 1669*1021*353</v>
      </c>
      <c r="R1124" s="12" t="str">
        <f ca="1">IFERROR(__xludf.DUMMYFUNCTION("""COMPUTED_VALUE"""),"中國")</f>
        <v>中國</v>
      </c>
      <c r="S1124" s="12"/>
      <c r="T1124" s="12"/>
      <c r="U1124" s="12" t="str">
        <f ca="1">IFERROR(__xludf.DUMMYFUNCTION("""COMPUTED_VALUE"""),"2年")</f>
        <v>2年</v>
      </c>
      <c r="V1124" s="12"/>
      <c r="W1124" s="12"/>
      <c r="X1124" s="12"/>
      <c r="Y1124" s="12"/>
      <c r="Z1124" s="14"/>
      <c r="AA1124" s="15" t="str">
        <f ca="1">IFERROR(__xludf.DUMMYFUNCTION("""COMPUTED_VALUE"""),"*2024 4K QLED量子點*聯發科MT9612四核心*Assistant聲控語音助理")</f>
        <v>*2024 4K QLED量子點*聯發科MT9612四核心*Assistant聲控語音助理</v>
      </c>
    </row>
    <row r="1125" spans="1:27" ht="19.5" customHeight="1">
      <c r="A1125" s="12" t="str">
        <f ca="1">IFERROR(__xludf.DUMMYFUNCTION("""COMPUTED_VALUE"""),"HDTV")</f>
        <v>HDTV</v>
      </c>
      <c r="B1125" s="12" t="str">
        <f ca="1">IFERROR(__xludf.DUMMYFUNCTION("""COMPUTED_VALUE"""),"建達")</f>
        <v>建達</v>
      </c>
      <c r="C1125" s="12" t="str">
        <f ca="1">IFERROR(__xludf.DUMMYFUNCTION("""COMPUTED_VALUE"""),"AOC")</f>
        <v>AOC</v>
      </c>
      <c r="D1125" s="12" t="str">
        <f ca="1">IFERROR(__xludf.DUMMYFUNCTION("""COMPUTED_VALUE"""),"AOC 86型 4K QLED Google TV 智慧顯示器(86U8040)")</f>
        <v>AOC 86型 4K QLED Google TV 智慧顯示器(86U8040)</v>
      </c>
      <c r="E1125" s="12" t="str">
        <f ca="1">IFERROR(__xludf.DUMMYFUNCTION("""COMPUTED_VALUE"""),"LCAO86U8040")</f>
        <v>LCAO86U8040</v>
      </c>
      <c r="F1125" s="12">
        <f ca="1">IFERROR(__xludf.DUMMYFUNCTION("""COMPUTED_VALUE"""),51011185)</f>
        <v>51011185</v>
      </c>
      <c r="G1125" s="12" t="str">
        <f ca="1">IFERROR(__xludf.DUMMYFUNCTION("""COMPUTED_VALUE"""),"NCTV01R8")</f>
        <v>NCTV01R8</v>
      </c>
      <c r="H1125" s="12">
        <f ca="1">IFERROR(__xludf.DUMMYFUNCTION("""COMPUTED_VALUE"""),46999)</f>
        <v>46999</v>
      </c>
      <c r="I1125" s="18">
        <f ca="1">IFERROR(__xludf.DUMMYFUNCTION("""COMPUTED_VALUE"""),41900)</f>
        <v>41900</v>
      </c>
      <c r="J1125" s="16">
        <f ca="1">IFERROR(__xludf.DUMMYFUNCTION("""COMPUTED_VALUE"""),45628)</f>
        <v>45628</v>
      </c>
      <c r="K1125" s="12" t="str">
        <f ca="1">IFERROR(__xludf.DUMMYFUNCTION("""COMPUTED_VALUE"""),"永久降價")</f>
        <v>永久降價</v>
      </c>
      <c r="L1125" s="12" t="str">
        <f ca="1">IFERROR(__xludf.DUMMYFUNCTION("""COMPUTED_VALUE"""),"上架中")</f>
        <v>上架中</v>
      </c>
      <c r="M1125" s="12" t="str">
        <f ca="1">IFERROR(__xludf.DUMMYFUNCTION("""COMPUTED_VALUE"""),"2024/8/22上架")</f>
        <v>2024/8/22上架</v>
      </c>
      <c r="N1125" s="12" t="str">
        <f ca="1">IFERROR(__xludf.DUMMYFUNCTION("""COMPUTED_VALUE"""),"螢幕/液晶電視")</f>
        <v>螢幕/液晶電視</v>
      </c>
      <c r="O1125" s="12"/>
      <c r="P1125" s="12"/>
      <c r="Q1125" s="12" t="str">
        <f ca="1">IFERROR(__xludf.DUMMYFUNCTION("""COMPUTED_VALUE"""),"1924*1103*106
 1924*1184*441")</f>
        <v>1924*1103*106
 1924*1184*441</v>
      </c>
      <c r="R1125" s="12" t="str">
        <f ca="1">IFERROR(__xludf.DUMMYFUNCTION("""COMPUTED_VALUE"""),"中國")</f>
        <v>中國</v>
      </c>
      <c r="S1125" s="12"/>
      <c r="T1125" s="12"/>
      <c r="U1125" s="12" t="str">
        <f ca="1">IFERROR(__xludf.DUMMYFUNCTION("""COMPUTED_VALUE"""),"2年")</f>
        <v>2年</v>
      </c>
      <c r="V1125" s="12"/>
      <c r="W1125" s="12"/>
      <c r="X1125" s="12"/>
      <c r="Y1125" s="12"/>
      <c r="Z1125" s="14"/>
      <c r="AA1125" s="15" t="str">
        <f ca="1">IFERROR(__xludf.DUMMYFUNCTION("""COMPUTED_VALUE"""),"*2024 4K QLED量子點*聯發科MT9612四核心*Assistant聲控語音助理")</f>
        <v>*2024 4K QLED量子點*聯發科MT9612四核心*Assistant聲控語音助理</v>
      </c>
    </row>
    <row r="1126" spans="1:27" ht="19.5" customHeight="1">
      <c r="A1126" s="12" t="str">
        <f ca="1">IFERROR(__xludf.DUMMYFUNCTION("""COMPUTED_VALUE"""),"HDTV")</f>
        <v>HDTV</v>
      </c>
      <c r="B1126" s="12" t="str">
        <f ca="1">IFERROR(__xludf.DUMMYFUNCTION("""COMPUTED_VALUE"""),"新視代")</f>
        <v>新視代</v>
      </c>
      <c r="C1126" s="12" t="str">
        <f ca="1">IFERROR(__xludf.DUMMYFUNCTION("""COMPUTED_VALUE"""),"奇美")</f>
        <v>奇美</v>
      </c>
      <c r="D1126" s="12" t="str">
        <f ca="1">IFERROR(__xludf.DUMMYFUNCTION("""COMPUTED_VALUE"""),"奇美 32型液晶顯示器TL-32B100(無視訊盒)")</f>
        <v>奇美 32型液晶顯示器TL-32B100(無視訊盒)</v>
      </c>
      <c r="E1126" s="12" t="str">
        <f ca="1">IFERROR(__xludf.DUMMYFUNCTION("""COMPUTED_VALUE"""),"TL-32B100")</f>
        <v>TL-32B100</v>
      </c>
      <c r="F1126" s="12">
        <f ca="1">IFERROR(__xludf.DUMMYFUNCTION("""COMPUTED_VALUE"""),51002222)</f>
        <v>51002222</v>
      </c>
      <c r="G1126" s="12" t="str">
        <f ca="1">IFERROR(__xludf.DUMMYFUNCTION("""COMPUTED_VALUE"""),"NCTV01G5")</f>
        <v>NCTV01G5</v>
      </c>
      <c r="H1126" s="13">
        <f ca="1">IFERROR(__xludf.DUMMYFUNCTION("""COMPUTED_VALUE"""),5590)</f>
        <v>5590</v>
      </c>
      <c r="I1126" s="14">
        <f ca="1">IFERROR(__xludf.DUMMYFUNCTION("""COMPUTED_VALUE"""),4990)</f>
        <v>4990</v>
      </c>
      <c r="J1126" s="21">
        <f ca="1">IFERROR(__xludf.DUMMYFUNCTION("""COMPUTED_VALUE"""),45702)</f>
        <v>45702</v>
      </c>
      <c r="K1126" s="12" t="str">
        <f ca="1">IFERROR(__xludf.DUMMYFUNCTION("""COMPUTED_VALUE"""),"永久降價")</f>
        <v>永久降價</v>
      </c>
      <c r="L1126" s="12" t="str">
        <f ca="1">IFERROR(__xludf.DUMMYFUNCTION("""COMPUTED_VALUE"""),"上架中")</f>
        <v>上架中</v>
      </c>
      <c r="M1126" s="12"/>
      <c r="N1126" s="12" t="str">
        <f ca="1">IFERROR(__xludf.DUMMYFUNCTION("""COMPUTED_VALUE"""),"螢幕/液晶電視")</f>
        <v>螢幕/液晶電視</v>
      </c>
      <c r="O1126" s="12"/>
      <c r="P1126" s="12" t="str">
        <f ca="1">IFERROR(__xludf.DUMMYFUNCTION("""COMPUTED_VALUE"""),"32型")</f>
        <v>32型</v>
      </c>
      <c r="Q1126" s="12" t="str">
        <f ca="1">IFERROR(__xludf.DUMMYFUNCTION("""COMPUTED_VALUE"""),"含腳座: 716 x 477 x 223 mm
不含腳座: 716 x 424 x 84 mm")</f>
        <v>含腳座: 716 x 477 x 223 mm
不含腳座: 716 x 424 x 84 mm</v>
      </c>
      <c r="R1126" s="12" t="str">
        <f ca="1">IFERROR(__xludf.DUMMYFUNCTION("""COMPUTED_VALUE"""),"中國")</f>
        <v>中國</v>
      </c>
      <c r="S1126" s="12"/>
      <c r="T1126" s="12"/>
      <c r="U1126" s="12" t="str">
        <f ca="1">IFERROR(__xludf.DUMMYFUNCTION("""COMPUTED_VALUE"""),"3年")</f>
        <v>3年</v>
      </c>
      <c r="V1126" s="12"/>
      <c r="W1126" s="12"/>
      <c r="X1126" s="12"/>
      <c r="Y1126" s="12"/>
      <c r="Z1126" s="14"/>
      <c r="AA1126" s="15" t="str">
        <f ca="1">IFERROR(__xludf.DUMMYFUNCTION("""COMPUTED_VALUE"""),"*解析度：HD 1366 X 768*最佳可視範圍：178度(上下左右)*立體聲環繞音場效果 : CHIMEI獨家Dramatic Surround*PVR 個人錄影助理*獨家無段式藍光調節*輸入：HDMI 3組、U-link 2組、AV端子 1組")</f>
        <v>*解析度：HD 1366 X 768*最佳可視範圍：178度(上下左右)*立體聲環繞音場效果 : CHIMEI獨家Dramatic Surround*PVR 個人錄影助理*獨家無段式藍光調節*輸入：HDMI 3組、U-link 2組、AV端子 1組</v>
      </c>
    </row>
    <row r="1127" spans="1:27" ht="19.5" customHeight="1">
      <c r="A1127" s="12" t="str">
        <f ca="1">IFERROR(__xludf.DUMMYFUNCTION("""COMPUTED_VALUE"""),"HDTV")</f>
        <v>HDTV</v>
      </c>
      <c r="B1127" s="12" t="str">
        <f ca="1">IFERROR(__xludf.DUMMYFUNCTION("""COMPUTED_VALUE"""),"新視代")</f>
        <v>新視代</v>
      </c>
      <c r="C1127" s="12" t="str">
        <f ca="1">IFERROR(__xludf.DUMMYFUNCTION("""COMPUTED_VALUE"""),"奇美")</f>
        <v>奇美</v>
      </c>
      <c r="D1127" s="12" t="str">
        <f ca="1">IFERROR(__xludf.DUMMYFUNCTION("""COMPUTED_VALUE"""),"奇美 43型液晶顯示器TL-43B100(無視訊盒)")</f>
        <v>奇美 43型液晶顯示器TL-43B100(無視訊盒)</v>
      </c>
      <c r="E1127" s="12" t="str">
        <f ca="1">IFERROR(__xludf.DUMMYFUNCTION("""COMPUTED_VALUE"""),"TL-43B100")</f>
        <v>TL-43B100</v>
      </c>
      <c r="F1127" s="12">
        <f ca="1">IFERROR(__xludf.DUMMYFUNCTION("""COMPUTED_VALUE"""),51002223)</f>
        <v>51002223</v>
      </c>
      <c r="G1127" s="12" t="str">
        <f ca="1">IFERROR(__xludf.DUMMYFUNCTION("""COMPUTED_VALUE"""),"NCTV01G6")</f>
        <v>NCTV01G6</v>
      </c>
      <c r="H1127" s="13">
        <f ca="1">IFERROR(__xludf.DUMMYFUNCTION("""COMPUTED_VALUE"""),9900)</f>
        <v>9900</v>
      </c>
      <c r="I1127" s="14">
        <f ca="1">IFERROR(__xludf.DUMMYFUNCTION("""COMPUTED_VALUE"""),8490)</f>
        <v>8490</v>
      </c>
      <c r="J1127" s="21">
        <f ca="1">IFERROR(__xludf.DUMMYFUNCTION("""COMPUTED_VALUE"""),45702)</f>
        <v>45702</v>
      </c>
      <c r="K1127" s="12" t="str">
        <f ca="1">IFERROR(__xludf.DUMMYFUNCTION("""COMPUTED_VALUE"""),"永久降價")</f>
        <v>永久降價</v>
      </c>
      <c r="L1127" s="12" t="str">
        <f ca="1">IFERROR(__xludf.DUMMYFUNCTION("""COMPUTED_VALUE"""),"上架中")</f>
        <v>上架中</v>
      </c>
      <c r="M1127" s="12"/>
      <c r="N1127" s="12" t="str">
        <f ca="1">IFERROR(__xludf.DUMMYFUNCTION("""COMPUTED_VALUE"""),"螢幕/液晶電視")</f>
        <v>螢幕/液晶電視</v>
      </c>
      <c r="O1127" s="12"/>
      <c r="P1127" s="12" t="str">
        <f ca="1">IFERROR(__xludf.DUMMYFUNCTION("""COMPUTED_VALUE"""),"43型")</f>
        <v>43型</v>
      </c>
      <c r="Q1127" s="12" t="str">
        <f ca="1">IFERROR(__xludf.DUMMYFUNCTION("""COMPUTED_VALUE"""),"含腳座: 956 x 609 x 223  mm
不含腳座: 956 x 556 x 84.2 mm")</f>
        <v>含腳座: 956 x 609 x 223  mm
不含腳座: 956 x 556 x 84.2 mm</v>
      </c>
      <c r="R1127" s="12" t="str">
        <f ca="1">IFERROR(__xludf.DUMMYFUNCTION("""COMPUTED_VALUE"""),"中國")</f>
        <v>中國</v>
      </c>
      <c r="S1127" s="12"/>
      <c r="T1127" s="12"/>
      <c r="U1127" s="12" t="str">
        <f ca="1">IFERROR(__xludf.DUMMYFUNCTION("""COMPUTED_VALUE"""),"3年")</f>
        <v>3年</v>
      </c>
      <c r="V1127" s="12"/>
      <c r="W1127" s="12"/>
      <c r="X1127" s="12"/>
      <c r="Y1127" s="12"/>
      <c r="Z1127" s="14"/>
      <c r="AA1127" s="15" t="str">
        <f ca="1">IFERROR(__xludf.DUMMYFUNCTION("""COMPUTED_VALUE"""),"*解析度：FHD 1920 X 1080*最佳可視範圍：178度(上下左右)*立體聲環繞音場效果 : CHIMEI獨家Dramatic Surround*PVR 個人錄影助理*獨家無段式藍光調節*輸入：HDMI 3組、U-link 2組、AV端子 1組")</f>
        <v>*解析度：FHD 1920 X 1080*最佳可視範圍：178度(上下左右)*立體聲環繞音場效果 : CHIMEI獨家Dramatic Surround*PVR 個人錄影助理*獨家無段式藍光調節*輸入：HDMI 3組、U-link 2組、AV端子 1組</v>
      </c>
    </row>
    <row r="1128" spans="1:27" ht="19.5" customHeight="1">
      <c r="A1128" s="12" t="str">
        <f ca="1">IFERROR(__xludf.DUMMYFUNCTION("""COMPUTED_VALUE"""),"HDTV")</f>
        <v>HDTV</v>
      </c>
      <c r="B1128" s="12" t="str">
        <f ca="1">IFERROR(__xludf.DUMMYFUNCTION("""COMPUTED_VALUE"""),"新視代")</f>
        <v>新視代</v>
      </c>
      <c r="C1128" s="12" t="str">
        <f ca="1">IFERROR(__xludf.DUMMYFUNCTION("""COMPUTED_VALUE"""),"奇美")</f>
        <v>奇美</v>
      </c>
      <c r="D1128" s="12" t="str">
        <f ca="1">IFERROR(__xludf.DUMMYFUNCTION("""COMPUTED_VALUE"""),"奇美 50型QLED安卓連網4K液晶顯示器TL-50Q100(無視訊盒)")</f>
        <v>奇美 50型QLED安卓連網4K液晶顯示器TL-50Q100(無視訊盒)</v>
      </c>
      <c r="E1128" s="12" t="str">
        <f ca="1">IFERROR(__xludf.DUMMYFUNCTION("""COMPUTED_VALUE"""),"TL-50Q100")</f>
        <v>TL-50Q100</v>
      </c>
      <c r="F1128" s="12">
        <f ca="1">IFERROR(__xludf.DUMMYFUNCTION("""COMPUTED_VALUE"""),51002228)</f>
        <v>51002228</v>
      </c>
      <c r="G1128" s="12" t="str">
        <f ca="1">IFERROR(__xludf.DUMMYFUNCTION("""COMPUTED_VALUE"""),"NCTV01GB")</f>
        <v>NCTV01GB</v>
      </c>
      <c r="H1128" s="13">
        <f ca="1">IFERROR(__xludf.DUMMYFUNCTION("""COMPUTED_VALUE"""),19900)</f>
        <v>19900</v>
      </c>
      <c r="I1128" s="14">
        <f ca="1">IFERROR(__xludf.DUMMYFUNCTION("""COMPUTED_VALUE"""),16000)</f>
        <v>16000</v>
      </c>
      <c r="J1128" s="12"/>
      <c r="K1128" s="12" t="str">
        <f ca="1">IFERROR(__xludf.DUMMYFUNCTION("""COMPUTED_VALUE"""),"永久降價")</f>
        <v>永久降價</v>
      </c>
      <c r="L1128" s="12" t="str">
        <f ca="1">IFERROR(__xludf.DUMMYFUNCTION("""COMPUTED_VALUE"""),"上架中")</f>
        <v>上架中</v>
      </c>
      <c r="M1128" s="12"/>
      <c r="N1128" s="12" t="str">
        <f ca="1">IFERROR(__xludf.DUMMYFUNCTION("""COMPUTED_VALUE"""),"螢幕/液晶電視")</f>
        <v>螢幕/液晶電視</v>
      </c>
      <c r="O1128" s="12"/>
      <c r="P1128" s="12" t="str">
        <f ca="1">IFERROR(__xludf.DUMMYFUNCTION("""COMPUTED_VALUE"""),"50型")</f>
        <v>50型</v>
      </c>
      <c r="Q1128" s="12" t="str">
        <f ca="1">IFERROR(__xludf.DUMMYFUNCTION("""COMPUTED_VALUE"""),"含腳座: 1109.9 x 706 x 266 mm
不含腳座: 1110 x 649 x 91 mm")</f>
        <v>含腳座: 1109.9 x 706 x 266 mm
不含腳座: 1110 x 649 x 91 mm</v>
      </c>
      <c r="R1128" s="12" t="str">
        <f ca="1">IFERROR(__xludf.DUMMYFUNCTION("""COMPUTED_VALUE"""),"中國")</f>
        <v>中國</v>
      </c>
      <c r="S1128" s="12"/>
      <c r="T1128" s="12"/>
      <c r="U1128" s="12" t="str">
        <f ca="1">IFERROR(__xludf.DUMMYFUNCTION("""COMPUTED_VALUE"""),"3年")</f>
        <v>3年</v>
      </c>
      <c r="V1128" s="12"/>
      <c r="W1128" s="12"/>
      <c r="X1128" s="12"/>
      <c r="Y1128" s="12"/>
      <c r="Z1128" s="14"/>
      <c r="AA1128" s="15" t="str">
        <f ca="1">IFERROR(__xludf.DUMMYFUNCTION("""COMPUTED_VALUE"""),"*解析度：4K 3840 x 2160*最佳可視範圍：178度(上下左右)*Google Play(遙控器一鍵啟動)  Android 10*Netflix /Prime Video /YouTube(遙控器一鍵啟動)*無線螢幕分享 : Chromecast / CastPlay (雙系統投屏)*輸入：HDMI 3組、U-link 2組、AV端子 1組")</f>
        <v>*解析度：4K 3840 x 2160*最佳可視範圍：178度(上下左右)*Google Play(遙控器一鍵啟動)  Android 10*Netflix /Prime Video /YouTube(遙控器一鍵啟動)*無線螢幕分享 : Chromecast / CastPlay (雙系統投屏)*輸入：HDMI 3組、U-link 2組、AV端子 1組</v>
      </c>
    </row>
    <row r="1129" spans="1:27" ht="19.5" customHeight="1">
      <c r="A1129" s="12" t="str">
        <f ca="1">IFERROR(__xludf.DUMMYFUNCTION("""COMPUTED_VALUE"""),"HDTV")</f>
        <v>HDTV</v>
      </c>
      <c r="B1129" s="12" t="str">
        <f ca="1">IFERROR(__xludf.DUMMYFUNCTION("""COMPUTED_VALUE"""),"新視代")</f>
        <v>新視代</v>
      </c>
      <c r="C1129" s="12" t="str">
        <f ca="1">IFERROR(__xludf.DUMMYFUNCTION("""COMPUTED_VALUE"""),"奇美")</f>
        <v>奇美</v>
      </c>
      <c r="D1129" s="12" t="str">
        <f ca="1">IFERROR(__xludf.DUMMYFUNCTION("""COMPUTED_VALUE"""),"奇美43型大4K HDR Google TV智慧連網液晶顯示器TL-43G200")</f>
        <v>奇美43型大4K HDR Google TV智慧連網液晶顯示器TL-43G200</v>
      </c>
      <c r="E1129" s="12" t="str">
        <f ca="1">IFERROR(__xludf.DUMMYFUNCTION("""COMPUTED_VALUE"""),"TL-43G200")</f>
        <v>TL-43G200</v>
      </c>
      <c r="F1129" s="12">
        <f ca="1">IFERROR(__xludf.DUMMYFUNCTION("""COMPUTED_VALUE"""),51002248)</f>
        <v>51002248</v>
      </c>
      <c r="G1129" s="12" t="str">
        <f ca="1">IFERROR(__xludf.DUMMYFUNCTION("""COMPUTED_VALUE"""),"NCTV01O9")</f>
        <v>NCTV01O9</v>
      </c>
      <c r="H1129" s="13">
        <f ca="1">IFERROR(__xludf.DUMMYFUNCTION("""COMPUTED_VALUE"""),14900)</f>
        <v>14900</v>
      </c>
      <c r="I1129" s="18">
        <f ca="1">IFERROR(__xludf.DUMMYFUNCTION("""COMPUTED_VALUE"""),12000)</f>
        <v>12000</v>
      </c>
      <c r="J1129" s="21">
        <f ca="1">IFERROR(__xludf.DUMMYFUNCTION("""COMPUTED_VALUE"""),45702)</f>
        <v>45702</v>
      </c>
      <c r="K1129" s="12" t="str">
        <f ca="1">IFERROR(__xludf.DUMMYFUNCTION("""COMPUTED_VALUE"""),"永久降價")</f>
        <v>永久降價</v>
      </c>
      <c r="L1129" s="12" t="str">
        <f ca="1">IFERROR(__xludf.DUMMYFUNCTION("""COMPUTED_VALUE"""),"上架中")</f>
        <v>上架中</v>
      </c>
      <c r="M1129" s="12" t="str">
        <f ca="1">IFERROR(__xludf.DUMMYFUNCTION("""COMPUTED_VALUE"""),"5/2新機上架")</f>
        <v>5/2新機上架</v>
      </c>
      <c r="N1129" s="12" t="str">
        <f ca="1">IFERROR(__xludf.DUMMYFUNCTION("""COMPUTED_VALUE"""),"螢幕/液晶電視")</f>
        <v>螢幕/液晶電視</v>
      </c>
      <c r="O1129" s="12"/>
      <c r="P1129" s="12" t="str">
        <f ca="1">IFERROR(__xludf.DUMMYFUNCTION("""COMPUTED_VALUE"""),"43型")</f>
        <v>43型</v>
      </c>
      <c r="Q1129" s="12" t="str">
        <f ca="1">IFERROR(__xludf.DUMMYFUNCTION("""COMPUTED_VALUE"""),"957 x 614 x 258 mm(含腳座)")</f>
        <v>957 x 614 x 258 mm(含腳座)</v>
      </c>
      <c r="R1129" s="12" t="str">
        <f ca="1">IFERROR(__xludf.DUMMYFUNCTION("""COMPUTED_VALUE"""),"中國")</f>
        <v>中國</v>
      </c>
      <c r="S1129" s="12"/>
      <c r="T1129" s="12"/>
      <c r="U1129" s="12" t="str">
        <f ca="1">IFERROR(__xludf.DUMMYFUNCTION("""COMPUTED_VALUE"""),"3年")</f>
        <v>3年</v>
      </c>
      <c r="V1129" s="12"/>
      <c r="W1129" s="12"/>
      <c r="X1129" s="12"/>
      <c r="Y1129" s="12"/>
      <c r="Z1129" s="14"/>
      <c r="AA1129" s="15" t="str">
        <f ca="1">IFERROR(__xludf.DUMMYFUNCTION("""COMPUTED_VALUE"""),"*Google TV 全新介面 由你定義*獨家Chromax Master Engine 超微晶影像處理技術*零閃頻 低藍光*內建雙喇叭*Netflix/Prime Video/YouTube_遙控器一鍵啟動")</f>
        <v>*Google TV 全新介面 由你定義*獨家Chromax Master Engine 超微晶影像處理技術*零閃頻 低藍光*內建雙喇叭*Netflix/Prime Video/YouTube_遙控器一鍵啟動</v>
      </c>
    </row>
    <row r="1130" spans="1:27" ht="19.5" customHeight="1">
      <c r="A1130" s="12" t="str">
        <f ca="1">IFERROR(__xludf.DUMMYFUNCTION("""COMPUTED_VALUE"""),"HDTV")</f>
        <v>HDTV</v>
      </c>
      <c r="B1130" s="12" t="str">
        <f ca="1">IFERROR(__xludf.DUMMYFUNCTION("""COMPUTED_VALUE"""),"新視代")</f>
        <v>新視代</v>
      </c>
      <c r="C1130" s="12" t="str">
        <f ca="1">IFERROR(__xludf.DUMMYFUNCTION("""COMPUTED_VALUE"""),"奇美")</f>
        <v>奇美</v>
      </c>
      <c r="D1130" s="12" t="str">
        <f ca="1">IFERROR(__xludf.DUMMYFUNCTION("""COMPUTED_VALUE"""),"奇美50型大4K HDR Google TV智慧連網液晶顯示器TL-50G200")</f>
        <v>奇美50型大4K HDR Google TV智慧連網液晶顯示器TL-50G200</v>
      </c>
      <c r="E1130" s="12" t="str">
        <f ca="1">IFERROR(__xludf.DUMMYFUNCTION("""COMPUTED_VALUE"""),"TL-50G200")</f>
        <v>TL-50G200</v>
      </c>
      <c r="F1130" s="12">
        <f ca="1">IFERROR(__xludf.DUMMYFUNCTION("""COMPUTED_VALUE"""),51002249)</f>
        <v>51002249</v>
      </c>
      <c r="G1130" s="12" t="str">
        <f ca="1">IFERROR(__xludf.DUMMYFUNCTION("""COMPUTED_VALUE"""),"NCTV01OA")</f>
        <v>NCTV01OA</v>
      </c>
      <c r="H1130" s="13">
        <f ca="1">IFERROR(__xludf.DUMMYFUNCTION("""COMPUTED_VALUE"""),16900)</f>
        <v>16900</v>
      </c>
      <c r="I1130" s="18">
        <f ca="1">IFERROR(__xludf.DUMMYFUNCTION("""COMPUTED_VALUE"""),13000)</f>
        <v>13000</v>
      </c>
      <c r="J1130" s="21">
        <f ca="1">IFERROR(__xludf.DUMMYFUNCTION("""COMPUTED_VALUE"""),45702)</f>
        <v>45702</v>
      </c>
      <c r="K1130" s="12" t="str">
        <f ca="1">IFERROR(__xludf.DUMMYFUNCTION("""COMPUTED_VALUE"""),"永久降價")</f>
        <v>永久降價</v>
      </c>
      <c r="L1130" s="12" t="str">
        <f ca="1">IFERROR(__xludf.DUMMYFUNCTION("""COMPUTED_VALUE"""),"上架中")</f>
        <v>上架中</v>
      </c>
      <c r="M1130" s="12" t="str">
        <f ca="1">IFERROR(__xludf.DUMMYFUNCTION("""COMPUTED_VALUE"""),"5/2新機上架")</f>
        <v>5/2新機上架</v>
      </c>
      <c r="N1130" s="12" t="str">
        <f ca="1">IFERROR(__xludf.DUMMYFUNCTION("""COMPUTED_VALUE"""),"螢幕/液晶電視")</f>
        <v>螢幕/液晶電視</v>
      </c>
      <c r="O1130" s="12"/>
      <c r="P1130" s="12" t="str">
        <f ca="1">IFERROR(__xludf.DUMMYFUNCTION("""COMPUTED_VALUE"""),"50型")</f>
        <v>50型</v>
      </c>
      <c r="Q1130" s="12" t="str">
        <f ca="1">IFERROR(__xludf.DUMMYFUNCTION("""COMPUTED_VALUE"""),"1110 x 697 x 310 mm(含腳座)")</f>
        <v>1110 x 697 x 310 mm(含腳座)</v>
      </c>
      <c r="R1130" s="12" t="str">
        <f ca="1">IFERROR(__xludf.DUMMYFUNCTION("""COMPUTED_VALUE"""),"中國")</f>
        <v>中國</v>
      </c>
      <c r="S1130" s="12"/>
      <c r="T1130" s="12"/>
      <c r="U1130" s="12" t="str">
        <f ca="1">IFERROR(__xludf.DUMMYFUNCTION("""COMPUTED_VALUE"""),"3年")</f>
        <v>3年</v>
      </c>
      <c r="V1130" s="12"/>
      <c r="W1130" s="12"/>
      <c r="X1130" s="12"/>
      <c r="Y1130" s="12"/>
      <c r="Z1130" s="14"/>
      <c r="AA1130" s="15" t="str">
        <f ca="1">IFERROR(__xludf.DUMMYFUNCTION("""COMPUTED_VALUE"""),"*Google TV 全新介面 由你定義*獨家Chromax Master Engine 超微晶影像處理技術*零閃頻 低藍光*內建雙喇叭*Netflix/Prime Video/YouTube_遙控器一鍵啟動")</f>
        <v>*Google TV 全新介面 由你定義*獨家Chromax Master Engine 超微晶影像處理技術*零閃頻 低藍光*內建雙喇叭*Netflix/Prime Video/YouTube_遙控器一鍵啟動</v>
      </c>
    </row>
    <row r="1131" spans="1:27" ht="19.5" customHeight="1">
      <c r="A1131" s="12" t="str">
        <f ca="1">IFERROR(__xludf.DUMMYFUNCTION("""COMPUTED_VALUE"""),"HDTV")</f>
        <v>HDTV</v>
      </c>
      <c r="B1131" s="12" t="str">
        <f ca="1">IFERROR(__xludf.DUMMYFUNCTION("""COMPUTED_VALUE"""),"新視代")</f>
        <v>新視代</v>
      </c>
      <c r="C1131" s="12" t="str">
        <f ca="1">IFERROR(__xludf.DUMMYFUNCTION("""COMPUTED_VALUE"""),"奇美")</f>
        <v>奇美</v>
      </c>
      <c r="D1131" s="12" t="str">
        <f ca="1">IFERROR(__xludf.DUMMYFUNCTION("""COMPUTED_VALUE"""),"奇美55型大4K HDR Google TV智慧連網液晶顯示器TL-55G200")</f>
        <v>奇美55型大4K HDR Google TV智慧連網液晶顯示器TL-55G200</v>
      </c>
      <c r="E1131" s="12" t="str">
        <f ca="1">IFERROR(__xludf.DUMMYFUNCTION("""COMPUTED_VALUE"""),"TL-55G200")</f>
        <v>TL-55G200</v>
      </c>
      <c r="F1131" s="12">
        <f ca="1">IFERROR(__xludf.DUMMYFUNCTION("""COMPUTED_VALUE"""),51002250)</f>
        <v>51002250</v>
      </c>
      <c r="G1131" s="12" t="str">
        <f ca="1">IFERROR(__xludf.DUMMYFUNCTION("""COMPUTED_VALUE"""),"NCTV01OB")</f>
        <v>NCTV01OB</v>
      </c>
      <c r="H1131" s="13">
        <f ca="1">IFERROR(__xludf.DUMMYFUNCTION("""COMPUTED_VALUE"""),20900)</f>
        <v>20900</v>
      </c>
      <c r="I1131" s="18">
        <f ca="1">IFERROR(__xludf.DUMMYFUNCTION("""COMPUTED_VALUE"""),16000)</f>
        <v>16000</v>
      </c>
      <c r="J1131" s="21">
        <f ca="1">IFERROR(__xludf.DUMMYFUNCTION("""COMPUTED_VALUE"""),45702)</f>
        <v>45702</v>
      </c>
      <c r="K1131" s="12" t="str">
        <f ca="1">IFERROR(__xludf.DUMMYFUNCTION("""COMPUTED_VALUE"""),"永久降價")</f>
        <v>永久降價</v>
      </c>
      <c r="L1131" s="12" t="str">
        <f ca="1">IFERROR(__xludf.DUMMYFUNCTION("""COMPUTED_VALUE"""),"上架中")</f>
        <v>上架中</v>
      </c>
      <c r="M1131" s="12" t="str">
        <f ca="1">IFERROR(__xludf.DUMMYFUNCTION("""COMPUTED_VALUE"""),"5/2新機上架")</f>
        <v>5/2新機上架</v>
      </c>
      <c r="N1131" s="12" t="str">
        <f ca="1">IFERROR(__xludf.DUMMYFUNCTION("""COMPUTED_VALUE"""),"螢幕/液晶電視")</f>
        <v>螢幕/液晶電視</v>
      </c>
      <c r="O1131" s="12"/>
      <c r="P1131" s="12" t="str">
        <f ca="1">IFERROR(__xludf.DUMMYFUNCTION("""COMPUTED_VALUE"""),"55型")</f>
        <v>55型</v>
      </c>
      <c r="Q1131" s="12" t="str">
        <f ca="1">IFERROR(__xludf.DUMMYFUNCTION("""COMPUTED_VALUE"""),"1226 x 764 x 350 mm(含腳座)")</f>
        <v>1226 x 764 x 350 mm(含腳座)</v>
      </c>
      <c r="R1131" s="12" t="str">
        <f ca="1">IFERROR(__xludf.DUMMYFUNCTION("""COMPUTED_VALUE"""),"中國")</f>
        <v>中國</v>
      </c>
      <c r="S1131" s="12"/>
      <c r="T1131" s="12"/>
      <c r="U1131" s="12" t="str">
        <f ca="1">IFERROR(__xludf.DUMMYFUNCTION("""COMPUTED_VALUE"""),"3年")</f>
        <v>3年</v>
      </c>
      <c r="V1131" s="12"/>
      <c r="W1131" s="12"/>
      <c r="X1131" s="12"/>
      <c r="Y1131" s="12"/>
      <c r="Z1131" s="14"/>
      <c r="AA1131" s="15" t="str">
        <f ca="1">IFERROR(__xludf.DUMMYFUNCTION("""COMPUTED_VALUE"""),"*Google TV 全新介面 由你定義*獨家Chromax Master Engine 超微晶影像處理技術*零閃頻 低藍光*內建雙喇叭*Netflix/Prime Video/YouTube_遙控器一鍵啟動")</f>
        <v>*Google TV 全新介面 由你定義*獨家Chromax Master Engine 超微晶影像處理技術*零閃頻 低藍光*內建雙喇叭*Netflix/Prime Video/YouTube_遙控器一鍵啟動</v>
      </c>
    </row>
    <row r="1132" spans="1:27" ht="19.5" customHeight="1">
      <c r="A1132" s="12" t="str">
        <f ca="1">IFERROR(__xludf.DUMMYFUNCTION("""COMPUTED_VALUE"""),"HDTV")</f>
        <v>HDTV</v>
      </c>
      <c r="B1132" s="12" t="str">
        <f ca="1">IFERROR(__xludf.DUMMYFUNCTION("""COMPUTED_VALUE"""),"新視代")</f>
        <v>新視代</v>
      </c>
      <c r="C1132" s="12" t="str">
        <f ca="1">IFERROR(__xludf.DUMMYFUNCTION("""COMPUTED_VALUE"""),"奇美")</f>
        <v>奇美</v>
      </c>
      <c r="D1132" s="12" t="str">
        <f ca="1">IFERROR(__xludf.DUMMYFUNCTION("""COMPUTED_VALUE"""),"奇美65型大4K HDR Google TV智慧連網液晶顯示器TL-65G200")</f>
        <v>奇美65型大4K HDR Google TV智慧連網液晶顯示器TL-65G200</v>
      </c>
      <c r="E1132" s="12" t="str">
        <f ca="1">IFERROR(__xludf.DUMMYFUNCTION("""COMPUTED_VALUE"""),"TL-65G200")</f>
        <v>TL-65G200</v>
      </c>
      <c r="F1132" s="12">
        <f ca="1">IFERROR(__xludf.DUMMYFUNCTION("""COMPUTED_VALUE"""),51002251)</f>
        <v>51002251</v>
      </c>
      <c r="G1132" s="12" t="str">
        <f ca="1">IFERROR(__xludf.DUMMYFUNCTION("""COMPUTED_VALUE"""),"NCTV01OC")</f>
        <v>NCTV01OC</v>
      </c>
      <c r="H1132" s="13">
        <f ca="1">IFERROR(__xludf.DUMMYFUNCTION("""COMPUTED_VALUE"""),27900)</f>
        <v>27900</v>
      </c>
      <c r="I1132" s="18">
        <f ca="1">IFERROR(__xludf.DUMMYFUNCTION("""COMPUTED_VALUE"""),22000)</f>
        <v>22000</v>
      </c>
      <c r="J1132" s="21">
        <f ca="1">IFERROR(__xludf.DUMMYFUNCTION("""COMPUTED_VALUE"""),45702)</f>
        <v>45702</v>
      </c>
      <c r="K1132" s="12" t="str">
        <f ca="1">IFERROR(__xludf.DUMMYFUNCTION("""COMPUTED_VALUE"""),"永久降價")</f>
        <v>永久降價</v>
      </c>
      <c r="L1132" s="12" t="str">
        <f ca="1">IFERROR(__xludf.DUMMYFUNCTION("""COMPUTED_VALUE"""),"上架中")</f>
        <v>上架中</v>
      </c>
      <c r="M1132" s="12" t="str">
        <f ca="1">IFERROR(__xludf.DUMMYFUNCTION("""COMPUTED_VALUE"""),"5/2新機上架")</f>
        <v>5/2新機上架</v>
      </c>
      <c r="N1132" s="12" t="str">
        <f ca="1">IFERROR(__xludf.DUMMYFUNCTION("""COMPUTED_VALUE"""),"螢幕/液晶電視")</f>
        <v>螢幕/液晶電視</v>
      </c>
      <c r="O1132" s="12"/>
      <c r="P1132" s="12" t="str">
        <f ca="1">IFERROR(__xludf.DUMMYFUNCTION("""COMPUTED_VALUE"""),"65型")</f>
        <v>65型</v>
      </c>
      <c r="Q1132" s="12" t="str">
        <f ca="1">IFERROR(__xludf.DUMMYFUNCTION("""COMPUTED_VALUE"""),"1446 x 885 x 345 mm(含腳座)")</f>
        <v>1446 x 885 x 345 mm(含腳座)</v>
      </c>
      <c r="R1132" s="12" t="str">
        <f ca="1">IFERROR(__xludf.DUMMYFUNCTION("""COMPUTED_VALUE"""),"中國")</f>
        <v>中國</v>
      </c>
      <c r="S1132" s="12"/>
      <c r="T1132" s="12"/>
      <c r="U1132" s="12" t="str">
        <f ca="1">IFERROR(__xludf.DUMMYFUNCTION("""COMPUTED_VALUE"""),"3年")</f>
        <v>3年</v>
      </c>
      <c r="V1132" s="12"/>
      <c r="W1132" s="12"/>
      <c r="X1132" s="12"/>
      <c r="Y1132" s="12"/>
      <c r="Z1132" s="14"/>
      <c r="AA1132" s="15" t="str">
        <f ca="1">IFERROR(__xludf.DUMMYFUNCTION("""COMPUTED_VALUE"""),"*Google TV 全新介面 由你定義*獨家Chromax Master Engine 超微晶影像處理技術*零閃頻 低藍光*內建雙喇叭*Netflix/Prime Video/YouTube_遙控器一鍵啟動")</f>
        <v>*Google TV 全新介面 由你定義*獨家Chromax Master Engine 超微晶影像處理技術*零閃頻 低藍光*內建雙喇叭*Netflix/Prime Video/YouTube_遙控器一鍵啟動</v>
      </c>
    </row>
    <row r="1133" spans="1:27" ht="19.5" customHeight="1">
      <c r="A1133" s="12" t="str">
        <f ca="1">IFERROR(__xludf.DUMMYFUNCTION("""COMPUTED_VALUE"""),"HDTV")</f>
        <v>HDTV</v>
      </c>
      <c r="B1133" s="12" t="str">
        <f ca="1">IFERROR(__xludf.DUMMYFUNCTION("""COMPUTED_VALUE"""),"新視代")</f>
        <v>新視代</v>
      </c>
      <c r="C1133" s="12" t="str">
        <f ca="1">IFERROR(__xludf.DUMMYFUNCTION("""COMPUTED_VALUE"""),"奇美")</f>
        <v>奇美</v>
      </c>
      <c r="D1133" s="12" t="str">
        <f ca="1">IFERROR(__xludf.DUMMYFUNCTION("""COMPUTED_VALUE"""),"奇美75型大4K HDR Google TV智慧連網液晶顯示器TL-75G200")</f>
        <v>奇美75型大4K HDR Google TV智慧連網液晶顯示器TL-75G200</v>
      </c>
      <c r="E1133" s="12" t="str">
        <f ca="1">IFERROR(__xludf.DUMMYFUNCTION("""COMPUTED_VALUE"""),"TL-75G200")</f>
        <v>TL-75G200</v>
      </c>
      <c r="F1133" s="12">
        <f ca="1">IFERROR(__xludf.DUMMYFUNCTION("""COMPUTED_VALUE"""),51002252)</f>
        <v>51002252</v>
      </c>
      <c r="G1133" s="12" t="str">
        <f ca="1">IFERROR(__xludf.DUMMYFUNCTION("""COMPUTED_VALUE"""),"NCTV01OD")</f>
        <v>NCTV01OD</v>
      </c>
      <c r="H1133" s="13">
        <f ca="1">IFERROR(__xludf.DUMMYFUNCTION("""COMPUTED_VALUE"""),45900)</f>
        <v>45900</v>
      </c>
      <c r="I1133" s="18">
        <f ca="1">IFERROR(__xludf.DUMMYFUNCTION("""COMPUTED_VALUE"""),34500)</f>
        <v>34500</v>
      </c>
      <c r="J1133" s="21">
        <f ca="1">IFERROR(__xludf.DUMMYFUNCTION("""COMPUTED_VALUE"""),45702)</f>
        <v>45702</v>
      </c>
      <c r="K1133" s="12" t="str">
        <f ca="1">IFERROR(__xludf.DUMMYFUNCTION("""COMPUTED_VALUE"""),"永久降價")</f>
        <v>永久降價</v>
      </c>
      <c r="L1133" s="12" t="str">
        <f ca="1">IFERROR(__xludf.DUMMYFUNCTION("""COMPUTED_VALUE"""),"上架中")</f>
        <v>上架中</v>
      </c>
      <c r="M1133" s="12" t="str">
        <f ca="1">IFERROR(__xludf.DUMMYFUNCTION("""COMPUTED_VALUE"""),"5/2新機上架")</f>
        <v>5/2新機上架</v>
      </c>
      <c r="N1133" s="12" t="str">
        <f ca="1">IFERROR(__xludf.DUMMYFUNCTION("""COMPUTED_VALUE"""),"螢幕/液晶電視")</f>
        <v>螢幕/液晶電視</v>
      </c>
      <c r="O1133" s="12"/>
      <c r="P1133" s="12" t="str">
        <f ca="1">IFERROR(__xludf.DUMMYFUNCTION("""COMPUTED_VALUE"""),"75型")</f>
        <v>75型</v>
      </c>
      <c r="Q1133" s="12" t="str">
        <f ca="1">IFERROR(__xludf.DUMMYFUNCTION("""COMPUTED_VALUE"""),"1669 x 1020 x 353 mm(含腳座)")</f>
        <v>1669 x 1020 x 353 mm(含腳座)</v>
      </c>
      <c r="R1133" s="12" t="str">
        <f ca="1">IFERROR(__xludf.DUMMYFUNCTION("""COMPUTED_VALUE"""),"中國")</f>
        <v>中國</v>
      </c>
      <c r="S1133" s="12"/>
      <c r="T1133" s="12"/>
      <c r="U1133" s="12" t="str">
        <f ca="1">IFERROR(__xludf.DUMMYFUNCTION("""COMPUTED_VALUE"""),"3年")</f>
        <v>3年</v>
      </c>
      <c r="V1133" s="12"/>
      <c r="W1133" s="12"/>
      <c r="X1133" s="12"/>
      <c r="Y1133" s="12"/>
      <c r="Z1133" s="14"/>
      <c r="AA1133" s="15" t="str">
        <f ca="1">IFERROR(__xludf.DUMMYFUNCTION("""COMPUTED_VALUE"""),"*Google TV 全新介面 由你定義*獨家Chromax Master Engine 超微晶影像處理技術*零閃頻 低藍光*內建雙喇叭*Netflix/Prime Video/YouTube_遙控器一鍵啟動")</f>
        <v>*Google TV 全新介面 由你定義*獨家Chromax Master Engine 超微晶影像處理技術*零閃頻 低藍光*內建雙喇叭*Netflix/Prime Video/YouTube_遙控器一鍵啟動</v>
      </c>
    </row>
    <row r="1134" spans="1:27" ht="19.5" customHeight="1">
      <c r="A1134" s="12" t="str">
        <f ca="1">IFERROR(__xludf.DUMMYFUNCTION("""COMPUTED_VALUE"""),"HDTV")</f>
        <v>HDTV</v>
      </c>
      <c r="B1134" s="12" t="str">
        <f ca="1">IFERROR(__xludf.DUMMYFUNCTION("""COMPUTED_VALUE"""),"新視代")</f>
        <v>新視代</v>
      </c>
      <c r="C1134" s="12" t="str">
        <f ca="1">IFERROR(__xludf.DUMMYFUNCTION("""COMPUTED_VALUE"""),"奇美")</f>
        <v>奇美</v>
      </c>
      <c r="D1134" s="12" t="str">
        <f ca="1">IFERROR(__xludf.DUMMYFUNCTION("""COMPUTED_VALUE"""),"奇美86型大4K HDR Google TV智慧連網液晶顯示器(無視訊盒)TL-86G200")</f>
        <v>奇美86型大4K HDR Google TV智慧連網液晶顯示器(無視訊盒)TL-86G200</v>
      </c>
      <c r="E1134" s="12" t="str">
        <f ca="1">IFERROR(__xludf.DUMMYFUNCTION("""COMPUTED_VALUE"""),"TL-86G200")</f>
        <v>TL-86G200</v>
      </c>
      <c r="F1134" s="12">
        <f ca="1">IFERROR(__xludf.DUMMYFUNCTION("""COMPUTED_VALUE"""),51002253)</f>
        <v>51002253</v>
      </c>
      <c r="G1134" s="12" t="str">
        <f ca="1">IFERROR(__xludf.DUMMYFUNCTION("""COMPUTED_VALUE"""),"NCTV01PD")</f>
        <v>NCTV01PD</v>
      </c>
      <c r="H1134" s="13">
        <f ca="1">IFERROR(__xludf.DUMMYFUNCTION("""COMPUTED_VALUE"""),79900)</f>
        <v>79900</v>
      </c>
      <c r="I1134" s="18">
        <f ca="1">IFERROR(__xludf.DUMMYFUNCTION("""COMPUTED_VALUE"""),74000)</f>
        <v>74000</v>
      </c>
      <c r="J1134" s="21">
        <f ca="1">IFERROR(__xludf.DUMMYFUNCTION("""COMPUTED_VALUE"""),45702)</f>
        <v>45702</v>
      </c>
      <c r="K1134" s="12" t="str">
        <f ca="1">IFERROR(__xludf.DUMMYFUNCTION("""COMPUTED_VALUE"""),"永久降價")</f>
        <v>永久降價</v>
      </c>
      <c r="L1134" s="12" t="str">
        <f ca="1">IFERROR(__xludf.DUMMYFUNCTION("""COMPUTED_VALUE"""),"上架中")</f>
        <v>上架中</v>
      </c>
      <c r="M1134" s="12" t="str">
        <f ca="1">IFERROR(__xludf.DUMMYFUNCTION("""COMPUTED_VALUE"""),"7/10新機上架")</f>
        <v>7/10新機上架</v>
      </c>
      <c r="N1134" s="12" t="str">
        <f ca="1">IFERROR(__xludf.DUMMYFUNCTION("""COMPUTED_VALUE"""),"螢幕/液晶電視")</f>
        <v>螢幕/液晶電視</v>
      </c>
      <c r="O1134" s="12"/>
      <c r="P1134" s="12" t="str">
        <f ca="1">IFERROR(__xludf.DUMMYFUNCTION("""COMPUTED_VALUE"""),"86型")</f>
        <v>86型</v>
      </c>
      <c r="Q1134" s="12" t="str">
        <f ca="1">IFERROR(__xludf.DUMMYFUNCTION("""COMPUTED_VALUE"""),"1924 x 1184 x 441 mm(含腳座)")</f>
        <v>1924 x 1184 x 441 mm(含腳座)</v>
      </c>
      <c r="R1134" s="12" t="str">
        <f ca="1">IFERROR(__xludf.DUMMYFUNCTION("""COMPUTED_VALUE"""),"中國")</f>
        <v>中國</v>
      </c>
      <c r="S1134" s="12"/>
      <c r="T1134" s="12"/>
      <c r="U1134" s="12" t="str">
        <f ca="1">IFERROR(__xludf.DUMMYFUNCTION("""COMPUTED_VALUE"""),"3年")</f>
        <v>3年</v>
      </c>
      <c r="V1134" s="12"/>
      <c r="W1134" s="12"/>
      <c r="X1134" s="12"/>
      <c r="Y1134" s="12"/>
      <c r="Z1134" s="14"/>
      <c r="AA1134" s="15" t="str">
        <f ca="1">IFERROR(__xludf.DUMMYFUNCTION("""COMPUTED_VALUE"""),"* Google TV 全新介面 由你定義* 獨家Chromax Master Engine 超微晶影像處理技術* 零閃頻 低藍光* 內建雙喇叭* Netflix/Prime Video/YouTube_遙控器一鍵啟動")</f>
        <v>* Google TV 全新介面 由你定義* 獨家Chromax Master Engine 超微晶影像處理技術* 零閃頻 低藍光* 內建雙喇叭* Netflix/Prime Video/YouTube_遙控器一鍵啟動</v>
      </c>
    </row>
    <row r="1135" spans="1:27" ht="19.5" customHeight="1">
      <c r="A1135" s="12" t="str">
        <f ca="1">IFERROR(__xludf.DUMMYFUNCTION("""COMPUTED_VALUE"""),"HDTV")</f>
        <v>HDTV</v>
      </c>
      <c r="B1135" s="12" t="str">
        <f ca="1">IFERROR(__xludf.DUMMYFUNCTION("""COMPUTED_VALUE"""),"新視代")</f>
        <v>新視代</v>
      </c>
      <c r="C1135" s="12" t="str">
        <f ca="1">IFERROR(__xludf.DUMMYFUNCTION("""COMPUTED_VALUE"""),"奇美")</f>
        <v>奇美</v>
      </c>
      <c r="D1135" s="12" t="str">
        <f ca="1">IFERROR(__xludf.DUMMYFUNCTION("""COMPUTED_VALUE"""),"CHIMEI 27型FHD 240Hz曲面電競螢幕(ML-27C50F)")</f>
        <v>CHIMEI 27型FHD 240Hz曲面電競螢幕(ML-27C50F)</v>
      </c>
      <c r="E1135" s="12" t="str">
        <f ca="1">IFERROR(__xludf.DUMMYFUNCTION("""COMPUTED_VALUE"""),"ML-27C50F")</f>
        <v>ML-27C50F</v>
      </c>
      <c r="F1135" s="12">
        <f ca="1">IFERROR(__xludf.DUMMYFUNCTION("""COMPUTED_VALUE"""),51002236)</f>
        <v>51002236</v>
      </c>
      <c r="G1135" s="12" t="str">
        <f ca="1">IFERROR(__xludf.DUMMYFUNCTION("""COMPUTED_VALUE"""),"NCTV01JA")</f>
        <v>NCTV01JA</v>
      </c>
      <c r="H1135" s="13">
        <f ca="1">IFERROR(__xludf.DUMMYFUNCTION("""COMPUTED_VALUE"""),5688)</f>
        <v>5688</v>
      </c>
      <c r="I1135" s="18">
        <f ca="1">IFERROR(__xludf.DUMMYFUNCTION("""COMPUTED_VALUE"""),5388)</f>
        <v>5388</v>
      </c>
      <c r="J1135" s="12"/>
      <c r="K1135" s="12"/>
      <c r="L1135" s="12" t="str">
        <f ca="1">IFERROR(__xludf.DUMMYFUNCTION("""COMPUTED_VALUE"""),"上架中")</f>
        <v>上架中</v>
      </c>
      <c r="M1135" s="12" t="str">
        <f ca="1">IFERROR(__xludf.DUMMYFUNCTION("""COMPUTED_VALUE"""),"僅CQ2Q")</f>
        <v>僅CQ2Q</v>
      </c>
      <c r="N1135" s="12" t="str">
        <f ca="1">IFERROR(__xludf.DUMMYFUNCTION("""COMPUTED_VALUE"""),"螢幕/液晶電視")</f>
        <v>螢幕/液晶電視</v>
      </c>
      <c r="O1135" s="12"/>
      <c r="P1135" s="12" t="str">
        <f ca="1">IFERROR(__xludf.DUMMYFUNCTION("""COMPUTED_VALUE"""),"27型")</f>
        <v>27型</v>
      </c>
      <c r="Q1135" s="12" t="str">
        <f ca="1">IFERROR(__xludf.DUMMYFUNCTION("""COMPUTED_VALUE"""),"463  x 612  x 252 mm")</f>
        <v>463  x 612  x 252 mm</v>
      </c>
      <c r="R1135" s="12" t="str">
        <f ca="1">IFERROR(__xludf.DUMMYFUNCTION("""COMPUTED_VALUE"""),"中國")</f>
        <v>中國</v>
      </c>
      <c r="S1135" s="12"/>
      <c r="T1135" s="12"/>
      <c r="U1135" s="12" t="str">
        <f ca="1">IFERROR(__xludf.DUMMYFUNCTION("""COMPUTED_VALUE"""),"3年")</f>
        <v>3年</v>
      </c>
      <c r="V1135" s="12"/>
      <c r="W1135" s="12"/>
      <c r="X1135" s="12"/>
      <c r="Y1135" s="12"/>
      <c r="Z1135" s="14"/>
      <c r="AA1135" s="15" t="str">
        <f ca="1">IFERROR(__xludf.DUMMYFUNCTION("""COMPUTED_VALUE"""),"* 27型 1920*1080 / 240Hz / 1ms, 曲面1500R* 支援 Adaptive-Sync, HDR, 不閃頻、低藍光* 內建喇叭、耳機輸出* DP/雙HDMI 輸入")</f>
        <v>* 27型 1920*1080 / 240Hz / 1ms, 曲面1500R* 支援 Adaptive-Sync, HDR, 不閃頻、低藍光* 內建喇叭、耳機輸出* DP/雙HDMI 輸入</v>
      </c>
    </row>
    <row r="1136" spans="1:27" ht="19.5" customHeight="1">
      <c r="A1136" s="12" t="str">
        <f ca="1">IFERROR(__xludf.DUMMYFUNCTION("""COMPUTED_VALUE"""),"HDTV")</f>
        <v>HDTV</v>
      </c>
      <c r="B1136" s="12" t="str">
        <f ca="1">IFERROR(__xludf.DUMMYFUNCTION("""COMPUTED_VALUE"""),"新視代")</f>
        <v>新視代</v>
      </c>
      <c r="C1136" s="12" t="str">
        <f ca="1">IFERROR(__xludf.DUMMYFUNCTION("""COMPUTED_VALUE"""),"奇美")</f>
        <v>奇美</v>
      </c>
      <c r="D1136" s="12" t="str">
        <f ca="1">IFERROR(__xludf.DUMMYFUNCTION("""COMPUTED_VALUE"""),"CHIMEI 32型FHD 240Hz曲面電競螢幕(ML-32C50F)")</f>
        <v>CHIMEI 32型FHD 240Hz曲面電競螢幕(ML-32C50F)</v>
      </c>
      <c r="E1136" s="12" t="str">
        <f ca="1">IFERROR(__xludf.DUMMYFUNCTION("""COMPUTED_VALUE"""),"ML-32C50F")</f>
        <v>ML-32C50F</v>
      </c>
      <c r="F1136" s="12">
        <f ca="1">IFERROR(__xludf.DUMMYFUNCTION("""COMPUTED_VALUE"""),51002237)</f>
        <v>51002237</v>
      </c>
      <c r="G1136" s="12" t="str">
        <f ca="1">IFERROR(__xludf.DUMMYFUNCTION("""COMPUTED_VALUE"""),"NCTV01JB")</f>
        <v>NCTV01JB</v>
      </c>
      <c r="H1136" s="13">
        <f ca="1">IFERROR(__xludf.DUMMYFUNCTION("""COMPUTED_VALUE"""),6188)</f>
        <v>6188</v>
      </c>
      <c r="I1136" s="18">
        <f ca="1">IFERROR(__xludf.DUMMYFUNCTION("""COMPUTED_VALUE"""),5488)</f>
        <v>5488</v>
      </c>
      <c r="J1136" s="12"/>
      <c r="K1136" s="12"/>
      <c r="L1136" s="12" t="str">
        <f ca="1">IFERROR(__xludf.DUMMYFUNCTION("""COMPUTED_VALUE"""),"上架中")</f>
        <v>上架中</v>
      </c>
      <c r="M1136" s="12" t="str">
        <f ca="1">IFERROR(__xludf.DUMMYFUNCTION("""COMPUTED_VALUE"""),"僅CQ2Q")</f>
        <v>僅CQ2Q</v>
      </c>
      <c r="N1136" s="12" t="str">
        <f ca="1">IFERROR(__xludf.DUMMYFUNCTION("""COMPUTED_VALUE"""),"螢幕/液晶電視")</f>
        <v>螢幕/液晶電視</v>
      </c>
      <c r="O1136" s="12"/>
      <c r="P1136" s="12" t="str">
        <f ca="1">IFERROR(__xludf.DUMMYFUNCTION("""COMPUTED_VALUE"""),"32型")</f>
        <v>32型</v>
      </c>
      <c r="Q1136" s="12" t="str">
        <f ca="1">IFERROR(__xludf.DUMMYFUNCTION("""COMPUTED_VALUE"""),"526  x 711  x 252 mm")</f>
        <v>526  x 711  x 252 mm</v>
      </c>
      <c r="R1136" s="12" t="str">
        <f ca="1">IFERROR(__xludf.DUMMYFUNCTION("""COMPUTED_VALUE"""),"中國")</f>
        <v>中國</v>
      </c>
      <c r="S1136" s="12"/>
      <c r="T1136" s="12"/>
      <c r="U1136" s="12" t="str">
        <f ca="1">IFERROR(__xludf.DUMMYFUNCTION("""COMPUTED_VALUE"""),"3年")</f>
        <v>3年</v>
      </c>
      <c r="V1136" s="12"/>
      <c r="W1136" s="12"/>
      <c r="X1136" s="12"/>
      <c r="Y1136" s="12"/>
      <c r="Z1136" s="14"/>
      <c r="AA1136" s="15" t="str">
        <f ca="1">IFERROR(__xludf.DUMMYFUNCTION("""COMPUTED_VALUE"""),"* 32型 1920*1080 / 240Hz / 1ms, 曲面1500R* 支援 Adaptive-Sync, HDR, 不閃頻、低藍光* 內建喇叭、耳機輸出* DP/雙HDMI 輸入")</f>
        <v>* 32型 1920*1080 / 240Hz / 1ms, 曲面1500R* 支援 Adaptive-Sync, HDR, 不閃頻、低藍光* 內建喇叭、耳機輸出* DP/雙HDMI 輸入</v>
      </c>
    </row>
    <row r="1137" spans="1:27" ht="19.5" customHeight="1">
      <c r="A1137" s="12" t="str">
        <f ca="1">IFERROR(__xludf.DUMMYFUNCTION("""COMPUTED_VALUE"""),"HDTV")</f>
        <v>HDTV</v>
      </c>
      <c r="B1137" s="12" t="str">
        <f ca="1">IFERROR(__xludf.DUMMYFUNCTION("""COMPUTED_VALUE"""),"新視代")</f>
        <v>新視代</v>
      </c>
      <c r="C1137" s="12" t="str">
        <f ca="1">IFERROR(__xludf.DUMMYFUNCTION("""COMPUTED_VALUE"""),"奇美")</f>
        <v>奇美</v>
      </c>
      <c r="D1137" s="12" t="str">
        <f ca="1">IFERROR(__xludf.DUMMYFUNCTION("""COMPUTED_VALUE"""),"CHIMEI 32型2K 165Hz曲面電競螢幕(ML-32C50Q)")</f>
        <v>CHIMEI 32型2K 165Hz曲面電競螢幕(ML-32C50Q)</v>
      </c>
      <c r="E1137" s="12" t="str">
        <f ca="1">IFERROR(__xludf.DUMMYFUNCTION("""COMPUTED_VALUE"""),"ML-32C50Q")</f>
        <v>ML-32C50Q</v>
      </c>
      <c r="F1137" s="12">
        <f ca="1">IFERROR(__xludf.DUMMYFUNCTION("""COMPUTED_VALUE"""),51002246)</f>
        <v>51002246</v>
      </c>
      <c r="G1137" s="12" t="str">
        <f ca="1">IFERROR(__xludf.DUMMYFUNCTION("""COMPUTED_VALUE"""),"NCTV01NR")</f>
        <v>NCTV01NR</v>
      </c>
      <c r="H1137" s="13">
        <f ca="1">IFERROR(__xludf.DUMMYFUNCTION("""COMPUTED_VALUE"""),9900)</f>
        <v>9900</v>
      </c>
      <c r="I1137" s="18">
        <f ca="1">IFERROR(__xludf.DUMMYFUNCTION("""COMPUTED_VALUE"""),7688)</f>
        <v>7688</v>
      </c>
      <c r="J1137" s="16">
        <f ca="1">IFERROR(__xludf.DUMMYFUNCTION("""COMPUTED_VALUE"""),45282)</f>
        <v>45282</v>
      </c>
      <c r="K1137" s="12" t="str">
        <f ca="1">IFERROR(__xludf.DUMMYFUNCTION("""COMPUTED_VALUE"""),"新機上架")</f>
        <v>新機上架</v>
      </c>
      <c r="L1137" s="12" t="str">
        <f ca="1">IFERROR(__xludf.DUMMYFUNCTION("""COMPUTED_VALUE"""),"上架中")</f>
        <v>上架中</v>
      </c>
      <c r="M1137" s="12" t="str">
        <f ca="1">IFERROR(__xludf.DUMMYFUNCTION("""COMPUTED_VALUE"""),"僅CQ2Q")</f>
        <v>僅CQ2Q</v>
      </c>
      <c r="N1137" s="12" t="str">
        <f ca="1">IFERROR(__xludf.DUMMYFUNCTION("""COMPUTED_VALUE"""),"螢幕/液晶電視")</f>
        <v>螢幕/液晶電視</v>
      </c>
      <c r="O1137" s="12"/>
      <c r="P1137" s="12" t="str">
        <f ca="1">IFERROR(__xludf.DUMMYFUNCTION("""COMPUTED_VALUE"""),"32型")</f>
        <v>32型</v>
      </c>
      <c r="Q1137" s="12" t="str">
        <f ca="1">IFERROR(__xludf.DUMMYFUNCTION("""COMPUTED_VALUE"""),"252*711*526 mm(含腳座)")</f>
        <v>252*711*526 mm(含腳座)</v>
      </c>
      <c r="R1137" s="12" t="str">
        <f ca="1">IFERROR(__xludf.DUMMYFUNCTION("""COMPUTED_VALUE"""),"中國")</f>
        <v>中國</v>
      </c>
      <c r="S1137" s="12"/>
      <c r="T1137" s="12"/>
      <c r="U1137" s="12" t="str">
        <f ca="1">IFERROR(__xludf.DUMMYFUNCTION("""COMPUTED_VALUE"""),"3年")</f>
        <v>3年</v>
      </c>
      <c r="V1137" s="12"/>
      <c r="W1137" s="12"/>
      <c r="X1137" s="12"/>
      <c r="Y1137" s="12"/>
      <c r="Z1137" s="14"/>
      <c r="AA1137" s="15" t="str">
        <f ca="1">IFERROR(__xludf.DUMMYFUNCTION("""COMPUTED_VALUE"""),"* 32型 21:9  QHD 2560 x 1440 / 165Hz / 1ms, 曲面1500R* 支援 Adaptive-Sync, HDR、 不閃頻、低藍光* 內建喇叭、耳機輸出* 雙HDMI 輸入/3500:1 原生對比 細節鮮明* 玩家必備 遊戲模式 FPS / RTS")</f>
        <v>* 32型 21:9  QHD 2560 x 1440 / 165Hz / 1ms, 曲面1500R* 支援 Adaptive-Sync, HDR、 不閃頻、低藍光* 內建喇叭、耳機輸出* 雙HDMI 輸入/3500:1 原生對比 細節鮮明* 玩家必備 遊戲模式 FPS / RTS</v>
      </c>
    </row>
    <row r="1138" spans="1:27" ht="19.5" customHeight="1">
      <c r="A1138" s="12" t="str">
        <f ca="1">IFERROR(__xludf.DUMMYFUNCTION("""COMPUTED_VALUE"""),"HDTV")</f>
        <v>HDTV</v>
      </c>
      <c r="B1138" s="12" t="str">
        <f ca="1">IFERROR(__xludf.DUMMYFUNCTION("""COMPUTED_VALUE"""),"新視代")</f>
        <v>新視代</v>
      </c>
      <c r="C1138" s="12" t="str">
        <f ca="1">IFERROR(__xludf.DUMMYFUNCTION("""COMPUTED_VALUE"""),"奇美")</f>
        <v>奇美</v>
      </c>
      <c r="D1138" s="12" t="str">
        <f ca="1">IFERROR(__xludf.DUMMYFUNCTION("""COMPUTED_VALUE"""),"CHIMEI 34型WQHD 165Hz曲面電競螢幕(ML-34C52Q)")</f>
        <v>CHIMEI 34型WQHD 165Hz曲面電競螢幕(ML-34C52Q)</v>
      </c>
      <c r="E1138" s="12" t="str">
        <f ca="1">IFERROR(__xludf.DUMMYFUNCTION("""COMPUTED_VALUE"""),"ML-34C52Q")</f>
        <v>ML-34C52Q</v>
      </c>
      <c r="F1138" s="12">
        <f ca="1">IFERROR(__xludf.DUMMYFUNCTION("""COMPUTED_VALUE"""),51002247)</f>
        <v>51002247</v>
      </c>
      <c r="G1138" s="12" t="str">
        <f ca="1">IFERROR(__xludf.DUMMYFUNCTION("""COMPUTED_VALUE"""),"NCTV01O7")</f>
        <v>NCTV01O7</v>
      </c>
      <c r="H1138" s="13">
        <f ca="1">IFERROR(__xludf.DUMMYFUNCTION("""COMPUTED_VALUE"""),11900)</f>
        <v>11900</v>
      </c>
      <c r="I1138" s="18">
        <f ca="1">IFERROR(__xludf.DUMMYFUNCTION("""COMPUTED_VALUE"""),11900)</f>
        <v>11900</v>
      </c>
      <c r="J1138" s="16">
        <f ca="1">IFERROR(__xludf.DUMMYFUNCTION("""COMPUTED_VALUE"""),45414)</f>
        <v>45414</v>
      </c>
      <c r="K1138" s="12" t="str">
        <f ca="1">IFERROR(__xludf.DUMMYFUNCTION("""COMPUTED_VALUE"""),"新機上架")</f>
        <v>新機上架</v>
      </c>
      <c r="L1138" s="12" t="str">
        <f ca="1">IFERROR(__xludf.DUMMYFUNCTION("""COMPUTED_VALUE"""),"上架中")</f>
        <v>上架中</v>
      </c>
      <c r="M1138" s="12" t="str">
        <f ca="1">IFERROR(__xludf.DUMMYFUNCTION("""COMPUTED_VALUE"""),"僅CQ2Q")</f>
        <v>僅CQ2Q</v>
      </c>
      <c r="N1138" s="12" t="str">
        <f ca="1">IFERROR(__xludf.DUMMYFUNCTION("""COMPUTED_VALUE"""),"螢幕/液晶電視")</f>
        <v>螢幕/液晶電視</v>
      </c>
      <c r="O1138" s="12"/>
      <c r="P1138" s="12" t="str">
        <f ca="1">IFERROR(__xludf.DUMMYFUNCTION("""COMPUTED_VALUE"""),"34型")</f>
        <v>34型</v>
      </c>
      <c r="Q1138" s="12" t="str">
        <f ca="1">IFERROR(__xludf.DUMMYFUNCTION("""COMPUTED_VALUE"""),"812 x 525 x 292 mm(含腳座)")</f>
        <v>812 x 525 x 292 mm(含腳座)</v>
      </c>
      <c r="R1138" s="12" t="str">
        <f ca="1">IFERROR(__xludf.DUMMYFUNCTION("""COMPUTED_VALUE"""),"中國")</f>
        <v>中國</v>
      </c>
      <c r="S1138" s="12"/>
      <c r="T1138" s="12"/>
      <c r="U1138" s="12" t="str">
        <f ca="1">IFERROR(__xludf.DUMMYFUNCTION("""COMPUTED_VALUE"""),"3年")</f>
        <v>3年</v>
      </c>
      <c r="V1138" s="12"/>
      <c r="W1138" s="12"/>
      <c r="X1138" s="12"/>
      <c r="Y1138" s="12"/>
      <c r="Z1138" s="14"/>
      <c r="AA1138" s="15" t="str">
        <f ca="1">IFERROR(__xludf.DUMMYFUNCTION("""COMPUTED_VALUE"""),"* 34型 21:9  WQHD 3440x1440 FHD / 165Hz / 1ms, 曲面1500R* KVM 切換器 多裝置支援* 零閃頻 低藍光* 內建雙喇叭* 多工畫面 PIP/PBP")</f>
        <v>* 34型 21:9  WQHD 3440x1440 FHD / 165Hz / 1ms, 曲面1500R* KVM 切換器 多裝置支援* 零閃頻 低藍光* 內建雙喇叭* 多工畫面 PIP/PBP</v>
      </c>
    </row>
    <row r="1139" spans="1:27" ht="19.5" customHeight="1">
      <c r="A1139" s="12" t="str">
        <f ca="1">IFERROR(__xludf.DUMMYFUNCTION("""COMPUTED_VALUE"""),"HDTV")</f>
        <v>HDTV</v>
      </c>
      <c r="B1139" s="12" t="str">
        <f ca="1">IFERROR(__xludf.DUMMYFUNCTION("""COMPUTED_VALUE"""),"新視代")</f>
        <v>新視代</v>
      </c>
      <c r="C1139" s="12" t="str">
        <f ca="1">IFERROR(__xludf.DUMMYFUNCTION("""COMPUTED_VALUE"""),"奇美")</f>
        <v>奇美</v>
      </c>
      <c r="D1139" s="12" t="str">
        <f ca="1">IFERROR(__xludf.DUMMYFUNCTION("""COMPUTED_VALUE"""),"奇美50型 QLED 4K Google聯網液晶顯示器TL-50Q200 (無視訊盒)")</f>
        <v>奇美50型 QLED 4K Google聯網液晶顯示器TL-50Q200 (無視訊盒)</v>
      </c>
      <c r="E1139" s="12" t="str">
        <f ca="1">IFERROR(__xludf.DUMMYFUNCTION("""COMPUTED_VALUE"""),"TL-50Q200 ")</f>
        <v xml:space="preserve">TL-50Q200 </v>
      </c>
      <c r="F1139" s="12">
        <f ca="1">IFERROR(__xludf.DUMMYFUNCTION("""COMPUTED_VALUE"""),51002255)</f>
        <v>51002255</v>
      </c>
      <c r="G1139" s="12" t="str">
        <f ca="1">IFERROR(__xludf.DUMMYFUNCTION("""COMPUTED_VALUE"""),"NCTV01TQ")</f>
        <v>NCTV01TQ</v>
      </c>
      <c r="H1139" s="13">
        <f ca="1">IFERROR(__xludf.DUMMYFUNCTION("""COMPUTED_VALUE"""),19900)</f>
        <v>19900</v>
      </c>
      <c r="I1139" s="18">
        <f ca="1">IFERROR(__xludf.DUMMYFUNCTION("""COMPUTED_VALUE"""),16000)</f>
        <v>16000</v>
      </c>
      <c r="J1139" s="21">
        <f ca="1">IFERROR(__xludf.DUMMYFUNCTION("""COMPUTED_VALUE"""),45702)</f>
        <v>45702</v>
      </c>
      <c r="K1139" s="12" t="str">
        <f ca="1">IFERROR(__xludf.DUMMYFUNCTION("""COMPUTED_VALUE"""),"永久降價")</f>
        <v>永久降價</v>
      </c>
      <c r="L1139" s="12" t="str">
        <f ca="1">IFERROR(__xludf.DUMMYFUNCTION("""COMPUTED_VALUE"""),"上架中")</f>
        <v>上架中</v>
      </c>
      <c r="M1139" s="12" t="str">
        <f ca="1">IFERROR(__xludf.DUMMYFUNCTION("""COMPUTED_VALUE"""),"11/13新機上架")</f>
        <v>11/13新機上架</v>
      </c>
      <c r="N1139" s="12" t="str">
        <f ca="1">IFERROR(__xludf.DUMMYFUNCTION("""COMPUTED_VALUE"""),"螢幕/液晶電視")</f>
        <v>螢幕/液晶電視</v>
      </c>
      <c r="O1139" s="12"/>
      <c r="P1139" s="12" t="str">
        <f ca="1">IFERROR(__xludf.DUMMYFUNCTION("""COMPUTED_VALUE"""),"50型")</f>
        <v>50型</v>
      </c>
      <c r="Q1139" s="12" t="str">
        <f ca="1">IFERROR(__xludf.DUMMYFUNCTION("""COMPUTED_VALUE"""),"1110 x 705 x 266 mm(含腳座)")</f>
        <v>1110 x 705 x 266 mm(含腳座)</v>
      </c>
      <c r="R1139" s="12" t="str">
        <f ca="1">IFERROR(__xludf.DUMMYFUNCTION("""COMPUTED_VALUE"""),"中國")</f>
        <v>中國</v>
      </c>
      <c r="S1139" s="12"/>
      <c r="T1139" s="12"/>
      <c r="U1139" s="12" t="str">
        <f ca="1">IFERROR(__xludf.DUMMYFUNCTION("""COMPUTED_VALUE"""),"3年")</f>
        <v>3年</v>
      </c>
      <c r="V1139" s="12"/>
      <c r="W1139" s="12"/>
      <c r="X1139" s="12"/>
      <c r="Y1139" s="12"/>
      <c r="Z1139" s="14"/>
      <c r="AA1139" s="15" t="str">
        <f ca="1">IFERROR(__xludf.DUMMYFUNCTION("""COMPUTED_VALUE"""),"*QLED  奇美光學板材*Motion pro 240動態流暢增益技術*Hey Google 最強聲控管家影院級 Dolby Atmos 杜比全景聲*Disney+ 平台 Google Play 一鍵下載*Dolby Atmos 12W+12W")</f>
        <v>*QLED  奇美光學板材*Motion pro 240動態流暢增益技術*Hey Google 最強聲控管家影院級 Dolby Atmos 杜比全景聲*Disney+ 平台 Google Play 一鍵下載*Dolby Atmos 12W+12W</v>
      </c>
    </row>
    <row r="1140" spans="1:27" ht="19.5" customHeight="1">
      <c r="A1140" s="12" t="str">
        <f ca="1">IFERROR(__xludf.DUMMYFUNCTION("""COMPUTED_VALUE"""),"HDTV")</f>
        <v>HDTV</v>
      </c>
      <c r="B1140" s="12" t="str">
        <f ca="1">IFERROR(__xludf.DUMMYFUNCTION("""COMPUTED_VALUE"""),"新視代")</f>
        <v>新視代</v>
      </c>
      <c r="C1140" s="12" t="str">
        <f ca="1">IFERROR(__xludf.DUMMYFUNCTION("""COMPUTED_VALUE"""),"奇美")</f>
        <v>奇美</v>
      </c>
      <c r="D1140" s="12" t="str">
        <f ca="1">IFERROR(__xludf.DUMMYFUNCTION("""COMPUTED_VALUE"""),"奇美55型 MiniLED 4K Google聯網液晶顯示器TL-55UM10 (無視訊盒)")</f>
        <v>奇美55型 MiniLED 4K Google聯網液晶顯示器TL-55UM10 (無視訊盒)</v>
      </c>
      <c r="E1140" s="12" t="str">
        <f ca="1">IFERROR(__xludf.DUMMYFUNCTION("""COMPUTED_VALUE"""),"TL-55UM10")</f>
        <v>TL-55UM10</v>
      </c>
      <c r="F1140" s="12">
        <f ca="1">IFERROR(__xludf.DUMMYFUNCTION("""COMPUTED_VALUE"""),51002256)</f>
        <v>51002256</v>
      </c>
      <c r="G1140" s="12" t="str">
        <f ca="1">IFERROR(__xludf.DUMMYFUNCTION("""COMPUTED_VALUE"""),"NCTV01TR")</f>
        <v>NCTV01TR</v>
      </c>
      <c r="H1140" s="13">
        <f ca="1">IFERROR(__xludf.DUMMYFUNCTION("""COMPUTED_VALUE"""),29900)</f>
        <v>29900</v>
      </c>
      <c r="I1140" s="18">
        <f ca="1">IFERROR(__xludf.DUMMYFUNCTION("""COMPUTED_VALUE"""),25000)</f>
        <v>25000</v>
      </c>
      <c r="J1140" s="21">
        <f ca="1">IFERROR(__xludf.DUMMYFUNCTION("""COMPUTED_VALUE"""),45702)</f>
        <v>45702</v>
      </c>
      <c r="K1140" s="12" t="str">
        <f ca="1">IFERROR(__xludf.DUMMYFUNCTION("""COMPUTED_VALUE"""),"永久降價")</f>
        <v>永久降價</v>
      </c>
      <c r="L1140" s="12" t="str">
        <f ca="1">IFERROR(__xludf.DUMMYFUNCTION("""COMPUTED_VALUE"""),"上架中")</f>
        <v>上架中</v>
      </c>
      <c r="M1140" s="12" t="str">
        <f ca="1">IFERROR(__xludf.DUMMYFUNCTION("""COMPUTED_VALUE"""),"11/13新機上架")</f>
        <v>11/13新機上架</v>
      </c>
      <c r="N1140" s="12" t="str">
        <f ca="1">IFERROR(__xludf.DUMMYFUNCTION("""COMPUTED_VALUE"""),"螢幕/液晶電視")</f>
        <v>螢幕/液晶電視</v>
      </c>
      <c r="O1140" s="12"/>
      <c r="P1140" s="12" t="str">
        <f ca="1">IFERROR(__xludf.DUMMYFUNCTION("""COMPUTED_VALUE"""),"55型")</f>
        <v>55型</v>
      </c>
      <c r="Q1140" s="12" t="str">
        <f ca="1">IFERROR(__xludf.DUMMYFUNCTION("""COMPUTED_VALUE"""),"1233 x 762 x 261 mm(含腳座)")</f>
        <v>1233 x 762 x 261 mm(含腳座)</v>
      </c>
      <c r="R1140" s="12" t="str">
        <f ca="1">IFERROR(__xludf.DUMMYFUNCTION("""COMPUTED_VALUE"""),"中國")</f>
        <v>中國</v>
      </c>
      <c r="S1140" s="12"/>
      <c r="T1140" s="12"/>
      <c r="U1140" s="12" t="str">
        <f ca="1">IFERROR(__xludf.DUMMYFUNCTION("""COMPUTED_VALUE"""),"3年")</f>
        <v>3年</v>
      </c>
      <c r="V1140" s="12"/>
      <c r="W1140" s="12"/>
      <c r="X1140" s="12"/>
      <c r="Y1140" s="12"/>
      <c r="Z1140" s="14"/>
      <c r="AA1140" s="15" t="str">
        <f ca="1">IFERROR(__xludf.DUMMYFUNCTION("""COMPUTED_VALUE"""),"* MiniLED+QLED, 奇美光學板材* 高規格原生面板 144Hz / MEMC / Motion pro 9* Hey Google 最強聲控管家* 影院級 Dolby Atmos 杜比全景聲* Disney+ 平台 Google Play 一鍵下載*Dolby Atmos + Acoustic 3D surround 15W+15W+20W")</f>
        <v>* MiniLED+QLED, 奇美光學板材* 高規格原生面板 144Hz / MEMC / Motion pro 9* Hey Google 最強聲控管家* 影院級 Dolby Atmos 杜比全景聲* Disney+ 平台 Google Play 一鍵下載*Dolby Atmos + Acoustic 3D surround 15W+15W+20W</v>
      </c>
    </row>
    <row r="1141" spans="1:27" ht="19.5" customHeight="1">
      <c r="A1141" s="12" t="str">
        <f ca="1">IFERROR(__xludf.DUMMYFUNCTION("""COMPUTED_VALUE"""),"HDTV")</f>
        <v>HDTV</v>
      </c>
      <c r="B1141" s="12" t="str">
        <f ca="1">IFERROR(__xludf.DUMMYFUNCTION("""COMPUTED_VALUE"""),"新視代")</f>
        <v>新視代</v>
      </c>
      <c r="C1141" s="12" t="str">
        <f ca="1">IFERROR(__xludf.DUMMYFUNCTION("""COMPUTED_VALUE"""),"奇美")</f>
        <v>奇美</v>
      </c>
      <c r="D1141" s="12" t="str">
        <f ca="1">IFERROR(__xludf.DUMMYFUNCTION("""COMPUTED_VALUE"""),"奇美65型 MiniLED 4K Google聯網液晶顯示器TL-65UM10 (無視訊盒)")</f>
        <v>奇美65型 MiniLED 4K Google聯網液晶顯示器TL-65UM10 (無視訊盒)</v>
      </c>
      <c r="E1141" s="12" t="str">
        <f ca="1">IFERROR(__xludf.DUMMYFUNCTION("""COMPUTED_VALUE"""),"TL-65UM10")</f>
        <v>TL-65UM10</v>
      </c>
      <c r="F1141" s="12">
        <f ca="1">IFERROR(__xludf.DUMMYFUNCTION("""COMPUTED_VALUE"""),51002257)</f>
        <v>51002257</v>
      </c>
      <c r="G1141" s="12" t="str">
        <f ca="1">IFERROR(__xludf.DUMMYFUNCTION("""COMPUTED_VALUE"""),"NCTV01TS")</f>
        <v>NCTV01TS</v>
      </c>
      <c r="H1141" s="13">
        <f ca="1">IFERROR(__xludf.DUMMYFUNCTION("""COMPUTED_VALUE"""),39900)</f>
        <v>39900</v>
      </c>
      <c r="I1141" s="18">
        <f ca="1">IFERROR(__xludf.DUMMYFUNCTION("""COMPUTED_VALUE"""),34000)</f>
        <v>34000</v>
      </c>
      <c r="J1141" s="21">
        <f ca="1">IFERROR(__xludf.DUMMYFUNCTION("""COMPUTED_VALUE"""),45702)</f>
        <v>45702</v>
      </c>
      <c r="K1141" s="12" t="str">
        <f ca="1">IFERROR(__xludf.DUMMYFUNCTION("""COMPUTED_VALUE"""),"永久降價")</f>
        <v>永久降價</v>
      </c>
      <c r="L1141" s="12" t="str">
        <f ca="1">IFERROR(__xludf.DUMMYFUNCTION("""COMPUTED_VALUE"""),"上架中")</f>
        <v>上架中</v>
      </c>
      <c r="M1141" s="12" t="str">
        <f ca="1">IFERROR(__xludf.DUMMYFUNCTION("""COMPUTED_VALUE"""),"11/13新機上架")</f>
        <v>11/13新機上架</v>
      </c>
      <c r="N1141" s="12" t="str">
        <f ca="1">IFERROR(__xludf.DUMMYFUNCTION("""COMPUTED_VALUE"""),"螢幕/液晶電視")</f>
        <v>螢幕/液晶電視</v>
      </c>
      <c r="O1141" s="12"/>
      <c r="P1141" s="12" t="str">
        <f ca="1">IFERROR(__xludf.DUMMYFUNCTION("""COMPUTED_VALUE"""),"65型")</f>
        <v>65型</v>
      </c>
      <c r="Q1141" s="12" t="str">
        <f ca="1">IFERROR(__xludf.DUMMYFUNCTION("""COMPUTED_VALUE"""),"1453 x 889 x 303 mm(含腳座)")</f>
        <v>1453 x 889 x 303 mm(含腳座)</v>
      </c>
      <c r="R1141" s="12" t="str">
        <f ca="1">IFERROR(__xludf.DUMMYFUNCTION("""COMPUTED_VALUE"""),"中國")</f>
        <v>中國</v>
      </c>
      <c r="S1141" s="12"/>
      <c r="T1141" s="12"/>
      <c r="U1141" s="12" t="str">
        <f ca="1">IFERROR(__xludf.DUMMYFUNCTION("""COMPUTED_VALUE"""),"3年")</f>
        <v>3年</v>
      </c>
      <c r="V1141" s="12"/>
      <c r="W1141" s="12"/>
      <c r="X1141" s="12"/>
      <c r="Y1141" s="12"/>
      <c r="Z1141" s="14"/>
      <c r="AA1141" s="15" t="str">
        <f ca="1">IFERROR(__xludf.DUMMYFUNCTION("""COMPUTED_VALUE"""),"* MiniLED+QLED, 奇美光學板材* 高規格原生面板 144Hz / MEMC / Motion pro 9* Hey Google 最強聲控管家* 影院級 Dolby Atmos 杜比全景聲* Disney+ 平台 Google Play 一鍵下載*Dolby Atmos + Acoustic 3D surround 15W+15W+20W")</f>
        <v>* MiniLED+QLED, 奇美光學板材* 高規格原生面板 144Hz / MEMC / Motion pro 9* Hey Google 最強聲控管家* 影院級 Dolby Atmos 杜比全景聲* Disney+ 平台 Google Play 一鍵下載*Dolby Atmos + Acoustic 3D surround 15W+15W+20W</v>
      </c>
    </row>
    <row r="1142" spans="1:27" ht="19.5" customHeight="1">
      <c r="A1142" s="12" t="str">
        <f ca="1">IFERROR(__xludf.DUMMYFUNCTION("""COMPUTED_VALUE"""),"HDTV")</f>
        <v>HDTV</v>
      </c>
      <c r="B1142" s="12" t="str">
        <f ca="1">IFERROR(__xludf.DUMMYFUNCTION("""COMPUTED_VALUE"""),"新視代")</f>
        <v>新視代</v>
      </c>
      <c r="C1142" s="12" t="str">
        <f ca="1">IFERROR(__xludf.DUMMYFUNCTION("""COMPUTED_VALUE"""),"奇美")</f>
        <v>奇美</v>
      </c>
      <c r="D1142" s="12" t="str">
        <f ca="1">IFERROR(__xludf.DUMMYFUNCTION("""COMPUTED_VALUE"""),"奇美75型 MiniLED 4K Google聯網液晶顯示器TL-75UM10 (無視訊盒)")</f>
        <v>奇美75型 MiniLED 4K Google聯網液晶顯示器TL-75UM10 (無視訊盒)</v>
      </c>
      <c r="E1142" s="12" t="str">
        <f ca="1">IFERROR(__xludf.DUMMYFUNCTION("""COMPUTED_VALUE"""),"TL-75UM10")</f>
        <v>TL-75UM10</v>
      </c>
      <c r="F1142" s="12">
        <f ca="1">IFERROR(__xludf.DUMMYFUNCTION("""COMPUTED_VALUE"""),51002258)</f>
        <v>51002258</v>
      </c>
      <c r="G1142" s="12" t="str">
        <f ca="1">IFERROR(__xludf.DUMMYFUNCTION("""COMPUTED_VALUE"""),"NCTV01TT")</f>
        <v>NCTV01TT</v>
      </c>
      <c r="H1142" s="13">
        <f ca="1">IFERROR(__xludf.DUMMYFUNCTION("""COMPUTED_VALUE"""),55900)</f>
        <v>55900</v>
      </c>
      <c r="I1142" s="18">
        <f ca="1">IFERROR(__xludf.DUMMYFUNCTION("""COMPUTED_VALUE"""),47000)</f>
        <v>47000</v>
      </c>
      <c r="J1142" s="21">
        <f ca="1">IFERROR(__xludf.DUMMYFUNCTION("""COMPUTED_VALUE"""),45702)</f>
        <v>45702</v>
      </c>
      <c r="K1142" s="12" t="str">
        <f ca="1">IFERROR(__xludf.DUMMYFUNCTION("""COMPUTED_VALUE"""),"永久降價")</f>
        <v>永久降價</v>
      </c>
      <c r="L1142" s="12" t="str">
        <f ca="1">IFERROR(__xludf.DUMMYFUNCTION("""COMPUTED_VALUE"""),"上架中")</f>
        <v>上架中</v>
      </c>
      <c r="M1142" s="12" t="str">
        <f ca="1">IFERROR(__xludf.DUMMYFUNCTION("""COMPUTED_VALUE"""),"11/13新機上架")</f>
        <v>11/13新機上架</v>
      </c>
      <c r="N1142" s="12" t="str">
        <f ca="1">IFERROR(__xludf.DUMMYFUNCTION("""COMPUTED_VALUE"""),"螢幕/液晶電視")</f>
        <v>螢幕/液晶電視</v>
      </c>
      <c r="O1142" s="12"/>
      <c r="P1142" s="12" t="str">
        <f ca="1">IFERROR(__xludf.DUMMYFUNCTION("""COMPUTED_VALUE"""),"75型")</f>
        <v>75型</v>
      </c>
      <c r="Q1142" s="12" t="str">
        <f ca="1">IFERROR(__xludf.DUMMYFUNCTION("""COMPUTED_VALUE"""),"1675 x 1020 x 365 mm(含腳座)")</f>
        <v>1675 x 1020 x 365 mm(含腳座)</v>
      </c>
      <c r="R1142" s="12" t="str">
        <f ca="1">IFERROR(__xludf.DUMMYFUNCTION("""COMPUTED_VALUE"""),"中國")</f>
        <v>中國</v>
      </c>
      <c r="S1142" s="12"/>
      <c r="T1142" s="12"/>
      <c r="U1142" s="12" t="str">
        <f ca="1">IFERROR(__xludf.DUMMYFUNCTION("""COMPUTED_VALUE"""),"3年")</f>
        <v>3年</v>
      </c>
      <c r="V1142" s="12"/>
      <c r="W1142" s="12"/>
      <c r="X1142" s="12"/>
      <c r="Y1142" s="12"/>
      <c r="Z1142" s="14"/>
      <c r="AA1142" s="15" t="str">
        <f ca="1">IFERROR(__xludf.DUMMYFUNCTION("""COMPUTED_VALUE"""),"* MiniLED+QLED, 奇美光學板材* 高規格原生面板 144Hz / MEMC / Motion pro 9* Hey Google 最強聲控管家* 影院級 Dolby Atmos 杜比全景聲* Disney+ 平台 Google Play 一鍵下載*Dolby Atmos + Acoustic 3D surround 15W+15W+20W")</f>
        <v>* MiniLED+QLED, 奇美光學板材* 高規格原生面板 144Hz / MEMC / Motion pro 9* Hey Google 最強聲控管家* 影院級 Dolby Atmos 杜比全景聲* Disney+ 平台 Google Play 一鍵下載*Dolby Atmos + Acoustic 3D surround 15W+15W+20W</v>
      </c>
    </row>
    <row r="1143" spans="1:27" ht="19.5" customHeight="1">
      <c r="A1143" s="12" t="str">
        <f ca="1">IFERROR(__xludf.DUMMYFUNCTION("""COMPUTED_VALUE"""),"HDTV")</f>
        <v>HDTV</v>
      </c>
      <c r="B1143" s="12" t="str">
        <f ca="1">IFERROR(__xludf.DUMMYFUNCTION("""COMPUTED_VALUE"""),"新視代")</f>
        <v>新視代</v>
      </c>
      <c r="C1143" s="12" t="str">
        <f ca="1">IFERROR(__xludf.DUMMYFUNCTION("""COMPUTED_VALUE"""),"奇美")</f>
        <v>奇美</v>
      </c>
      <c r="D1143" s="12" t="str">
        <f ca="1">IFERROR(__xludf.DUMMYFUNCTION("""COMPUTED_VALUE"""),"奇美32型低藍光顯示器TL-32A900(無視訊盒)(2024)")</f>
        <v>奇美32型低藍光顯示器TL-32A900(無視訊盒)(2024)</v>
      </c>
      <c r="E1143" s="12" t="str">
        <f ca="1">IFERROR(__xludf.DUMMYFUNCTION("""COMPUTED_VALUE"""),"TL-32A900(2024)")</f>
        <v>TL-32A900(2024)</v>
      </c>
      <c r="F1143" s="12">
        <f ca="1">IFERROR(__xludf.DUMMYFUNCTION("""COMPUTED_VALUE"""),51002254)</f>
        <v>51002254</v>
      </c>
      <c r="G1143" s="12" t="str">
        <f ca="1">IFERROR(__xludf.DUMMYFUNCTION("""COMPUTED_VALUE"""),"NCTV01TH")</f>
        <v>NCTV01TH</v>
      </c>
      <c r="H1143" s="12">
        <f ca="1">IFERROR(__xludf.DUMMYFUNCTION("""COMPUTED_VALUE"""),6990)</f>
        <v>6990</v>
      </c>
      <c r="I1143" s="14">
        <f ca="1">IFERROR(__xludf.DUMMYFUNCTION("""COMPUTED_VALUE"""),4990)</f>
        <v>4990</v>
      </c>
      <c r="J1143" s="16">
        <f ca="1">IFERROR(__xludf.DUMMYFUNCTION("""COMPUTED_VALUE"""),45629)</f>
        <v>45629</v>
      </c>
      <c r="K1143" s="12" t="str">
        <f ca="1">IFERROR(__xludf.DUMMYFUNCTION("""COMPUTED_VALUE"""),"新機上架")</f>
        <v>新機上架</v>
      </c>
      <c r="L1143" s="12" t="str">
        <f ca="1">IFERROR(__xludf.DUMMYFUNCTION("""COMPUTED_VALUE"""),"上架中")</f>
        <v>上架中</v>
      </c>
      <c r="M1143" s="12" t="str">
        <f ca="1">IFERROR(__xludf.DUMMYFUNCTION("""COMPUTED_VALUE"""),"改為新款[無視訊盒]")</f>
        <v>改為新款[無視訊盒]</v>
      </c>
      <c r="N1143" s="12" t="str">
        <f ca="1">IFERROR(__xludf.DUMMYFUNCTION("""COMPUTED_VALUE"""),"螢幕/液晶電視")</f>
        <v>螢幕/液晶電視</v>
      </c>
      <c r="O1143" s="12"/>
      <c r="P1143" s="12" t="str">
        <f ca="1">IFERROR(__xludf.DUMMYFUNCTION("""COMPUTED_VALUE"""),"32型")</f>
        <v>32型</v>
      </c>
      <c r="Q1143" s="12" t="str">
        <f ca="1">IFERROR(__xludf.DUMMYFUNCTION("""COMPUTED_VALUE"""),"728 x 484 x 217mm")</f>
        <v>728 x 484 x 217mm</v>
      </c>
      <c r="R1143" s="12" t="str">
        <f ca="1">IFERROR(__xludf.DUMMYFUNCTION("""COMPUTED_VALUE"""),"中國")</f>
        <v>中國</v>
      </c>
      <c r="S1143" s="12"/>
      <c r="T1143" s="12"/>
      <c r="U1143" s="12" t="str">
        <f ca="1">IFERROR(__xludf.DUMMYFUNCTION("""COMPUTED_VALUE"""),"3年")</f>
        <v>3年</v>
      </c>
      <c r="V1143" s="12"/>
      <c r="W1143" s="12"/>
      <c r="X1143" s="12"/>
      <c r="Y1143" s="12"/>
      <c r="Z1143" s="14"/>
      <c r="AA1143" s="15" t="str">
        <f ca="1">IFERROR(__xludf.DUMMYFUNCTION("""COMPUTED_VALUE"""),"* 奇美光學板材 / Full HD 1080p高畫質解析* 獨家無段式藍光調節* Time Shift 數位頻道時光平移* 睡眠定時設定* CHIMEI獨家Dramatic Surround")</f>
        <v>* 奇美光學板材 / Full HD 1080p高畫質解析* 獨家無段式藍光調節* Time Shift 數位頻道時光平移* 睡眠定時設定* CHIMEI獨家Dramatic Surround</v>
      </c>
    </row>
    <row r="1144" spans="1:27" ht="19.5" customHeight="1">
      <c r="A1144" s="12" t="str">
        <f ca="1">IFERROR(__xludf.DUMMYFUNCTION("""COMPUTED_VALUE"""),"HDTV")</f>
        <v>HDTV</v>
      </c>
      <c r="B1144" s="12" t="str">
        <f ca="1">IFERROR(__xludf.DUMMYFUNCTION("""COMPUTED_VALUE"""),"新視代")</f>
        <v>新視代</v>
      </c>
      <c r="C1144" s="12" t="str">
        <f ca="1">IFERROR(__xludf.DUMMYFUNCTION("""COMPUTED_VALUE"""),"奇美")</f>
        <v>奇美</v>
      </c>
      <c r="D1144" s="12" t="str">
        <f ca="1">IFERROR(__xludf.DUMMYFUNCTION("""COMPUTED_VALUE"""),"奇美24型低藍光顯示器TL-24A600(無視訊盒)(2024)")</f>
        <v>奇美24型低藍光顯示器TL-24A600(無視訊盒)(2024)</v>
      </c>
      <c r="E1144" s="12" t="str">
        <f ca="1">IFERROR(__xludf.DUMMYFUNCTION("""COMPUTED_VALUE"""),"TL-24A600(2024)")</f>
        <v>TL-24A600(2024)</v>
      </c>
      <c r="F1144" s="12">
        <f ca="1">IFERROR(__xludf.DUMMYFUNCTION("""COMPUTED_VALUE"""),51002259)</f>
        <v>51002259</v>
      </c>
      <c r="G1144" s="12" t="str">
        <f ca="1">IFERROR(__xludf.DUMMYFUNCTION("""COMPUTED_VALUE"""),"NCTV01U1")</f>
        <v>NCTV01U1</v>
      </c>
      <c r="H1144" s="12">
        <f ca="1">IFERROR(__xludf.DUMMYFUNCTION("""COMPUTED_VALUE"""),5590)</f>
        <v>5590</v>
      </c>
      <c r="I1144" s="14">
        <f ca="1">IFERROR(__xludf.DUMMYFUNCTION("""COMPUTED_VALUE"""),4590)</f>
        <v>4590</v>
      </c>
      <c r="J1144" s="16">
        <f ca="1">IFERROR(__xludf.DUMMYFUNCTION("""COMPUTED_VALUE"""),45632)</f>
        <v>45632</v>
      </c>
      <c r="K1144" s="12" t="str">
        <f ca="1">IFERROR(__xludf.DUMMYFUNCTION("""COMPUTED_VALUE"""),"新機上架")</f>
        <v>新機上架</v>
      </c>
      <c r="L1144" s="12" t="str">
        <f ca="1">IFERROR(__xludf.DUMMYFUNCTION("""COMPUTED_VALUE"""),"上架中")</f>
        <v>上架中</v>
      </c>
      <c r="M1144" s="12" t="str">
        <f ca="1">IFERROR(__xludf.DUMMYFUNCTION("""COMPUTED_VALUE"""),"改為新款[無視訊盒]")</f>
        <v>改為新款[無視訊盒]</v>
      </c>
      <c r="N1144" s="12" t="str">
        <f ca="1">IFERROR(__xludf.DUMMYFUNCTION("""COMPUTED_VALUE"""),"螢幕/液晶電視")</f>
        <v>螢幕/液晶電視</v>
      </c>
      <c r="O1144" s="12"/>
      <c r="P1144" s="12" t="str">
        <f ca="1">IFERROR(__xludf.DUMMYFUNCTION("""COMPUTED_VALUE"""),"24型")</f>
        <v>24型</v>
      </c>
      <c r="Q1144" s="12" t="str">
        <f ca="1">IFERROR(__xludf.DUMMYFUNCTION("""COMPUTED_VALUE"""),"549 x 365 x 156mm")</f>
        <v>549 x 365 x 156mm</v>
      </c>
      <c r="R1144" s="12" t="str">
        <f ca="1">IFERROR(__xludf.DUMMYFUNCTION("""COMPUTED_VALUE"""),"中國")</f>
        <v>中國</v>
      </c>
      <c r="S1144" s="12"/>
      <c r="T1144" s="12"/>
      <c r="U1144" s="12" t="str">
        <f ca="1">IFERROR(__xludf.DUMMYFUNCTION("""COMPUTED_VALUE"""),"3年")</f>
        <v>3年</v>
      </c>
      <c r="V1144" s="12"/>
      <c r="W1144" s="12"/>
      <c r="X1144" s="12"/>
      <c r="Y1144" s="12"/>
      <c r="Z1144" s="14"/>
      <c r="AA1144" s="15" t="str">
        <f ca="1">IFERROR(__xludf.DUMMYFUNCTION("""COMPUTED_VALUE"""),"*24型WXGA LED液晶顯示器*獨家奇美光學板材技術*直下式面板背光*奇美獨家Dramatic Surround 環繞音場效果*AV*1(與色差共用*1)/HDMI*3/U-Link*2")</f>
        <v>*24型WXGA LED液晶顯示器*獨家奇美光學板材技術*直下式面板背光*奇美獨家Dramatic Surround 環繞音場效果*AV*1(與色差共用*1)/HDMI*3/U-Link*2</v>
      </c>
    </row>
    <row r="1145" spans="1:27" ht="19.5" customHeight="1">
      <c r="A1145" s="12" t="str">
        <f ca="1">IFERROR(__xludf.DUMMYFUNCTION("""COMPUTED_VALUE"""),"HDTV")</f>
        <v>HDTV</v>
      </c>
      <c r="B1145" s="12" t="str">
        <f ca="1">IFERROR(__xludf.DUMMYFUNCTION("""COMPUTED_VALUE"""),"新視代")</f>
        <v>新視代</v>
      </c>
      <c r="C1145" s="12" t="str">
        <f ca="1">IFERROR(__xludf.DUMMYFUNCTION("""COMPUTED_VALUE"""),"奇美")</f>
        <v>奇美</v>
      </c>
      <c r="D1145" s="12" t="str">
        <f ca="1">IFERROR(__xludf.DUMMYFUNCTION("""COMPUTED_VALUE"""),"奇美43型低藍光顯示器TL-43A900(無視訊盒)(2024)")</f>
        <v>奇美43型低藍光顯示器TL-43A900(無視訊盒)(2024)</v>
      </c>
      <c r="E1145" s="12" t="str">
        <f ca="1">IFERROR(__xludf.DUMMYFUNCTION("""COMPUTED_VALUE"""),"TL-43A900(2024)")</f>
        <v>TL-43A900(2024)</v>
      </c>
      <c r="F1145" s="12">
        <f ca="1">IFERROR(__xludf.DUMMYFUNCTION("""COMPUTED_VALUE"""),51002260)</f>
        <v>51002260</v>
      </c>
      <c r="G1145" s="12" t="str">
        <f ca="1">IFERROR(__xludf.DUMMYFUNCTION("""COMPUTED_VALUE"""),"NCTV01U3")</f>
        <v>NCTV01U3</v>
      </c>
      <c r="H1145" s="12">
        <f ca="1">IFERROR(__xludf.DUMMYFUNCTION("""COMPUTED_VALUE"""),10900)</f>
        <v>10900</v>
      </c>
      <c r="I1145" s="14">
        <f ca="1">IFERROR(__xludf.DUMMYFUNCTION("""COMPUTED_VALUE"""),8290)</f>
        <v>8290</v>
      </c>
      <c r="J1145" s="16">
        <f ca="1">IFERROR(__xludf.DUMMYFUNCTION("""COMPUTED_VALUE"""),45632)</f>
        <v>45632</v>
      </c>
      <c r="K1145" s="12" t="str">
        <f ca="1">IFERROR(__xludf.DUMMYFUNCTION("""COMPUTED_VALUE"""),"新機上架")</f>
        <v>新機上架</v>
      </c>
      <c r="L1145" s="12" t="str">
        <f ca="1">IFERROR(__xludf.DUMMYFUNCTION("""COMPUTED_VALUE"""),"上架中")</f>
        <v>上架中</v>
      </c>
      <c r="M1145" s="12" t="str">
        <f ca="1">IFERROR(__xludf.DUMMYFUNCTION("""COMPUTED_VALUE"""),"改為新款[無視訊盒]")</f>
        <v>改為新款[無視訊盒]</v>
      </c>
      <c r="N1145" s="12" t="str">
        <f ca="1">IFERROR(__xludf.DUMMYFUNCTION("""COMPUTED_VALUE"""),"螢幕/液晶電視")</f>
        <v>螢幕/液晶電視</v>
      </c>
      <c r="O1145" s="12"/>
      <c r="P1145" s="12" t="str">
        <f ca="1">IFERROR(__xludf.DUMMYFUNCTION("""COMPUTED_VALUE"""),"43型")</f>
        <v>43型</v>
      </c>
      <c r="Q1145" s="12" t="str">
        <f ca="1">IFERROR(__xludf.DUMMYFUNCTION("""COMPUTED_VALUE"""),"971 x 619 x 217mm")</f>
        <v>971 x 619 x 217mm</v>
      </c>
      <c r="R1145" s="12" t="str">
        <f ca="1">IFERROR(__xludf.DUMMYFUNCTION("""COMPUTED_VALUE"""),"中國")</f>
        <v>中國</v>
      </c>
      <c r="S1145" s="12"/>
      <c r="T1145" s="12"/>
      <c r="U1145" s="12" t="str">
        <f ca="1">IFERROR(__xludf.DUMMYFUNCTION("""COMPUTED_VALUE"""),"3年")</f>
        <v>3年</v>
      </c>
      <c r="V1145" s="12"/>
      <c r="W1145" s="12"/>
      <c r="X1145" s="12"/>
      <c r="Y1145" s="12"/>
      <c r="Z1145" s="14"/>
      <c r="AA1145" s="15" t="str">
        <f ca="1">IFERROR(__xludf.DUMMYFUNCTION("""COMPUTED_VALUE"""),"* 奇美光學板材 / Full HD 1080p高畫質解析* 獨家無段式藍光調節* Time Shift 數位頻道時光平移* 睡眠定時設定* CHIMEI獨家Dramatic Surround")</f>
        <v>* 奇美光學板材 / Full HD 1080p高畫質解析* 獨家無段式藍光調節* Time Shift 數位頻道時光平移* 睡眠定時設定* CHIMEI獨家Dramatic Surround</v>
      </c>
    </row>
    <row r="1146" spans="1:27" ht="19.5" customHeight="1">
      <c r="A1146" s="12" t="str">
        <f ca="1">IFERROR(__xludf.DUMMYFUNCTION("""COMPUTED_VALUE"""),"HDTV")</f>
        <v>HDTV</v>
      </c>
      <c r="B1146" s="12" t="str">
        <f ca="1">IFERROR(__xludf.DUMMYFUNCTION("""COMPUTED_VALUE"""),"新視代")</f>
        <v>新視代</v>
      </c>
      <c r="C1146" s="12" t="str">
        <f ca="1">IFERROR(__xludf.DUMMYFUNCTION("""COMPUTED_VALUE"""),"奇美")</f>
        <v>奇美</v>
      </c>
      <c r="D1146" s="12" t="str">
        <f ca="1">IFERROR(__xludf.DUMMYFUNCTION("""COMPUTED_VALUE"""),"奇美40型低藍光顯示器TL-40A800(無視訊盒)(2024)")</f>
        <v>奇美40型低藍光顯示器TL-40A800(無視訊盒)(2024)</v>
      </c>
      <c r="E1146" s="12" t="str">
        <f ca="1">IFERROR(__xludf.DUMMYFUNCTION("""COMPUTED_VALUE"""),"TL-40A800(2024)")</f>
        <v>TL-40A800(2024)</v>
      </c>
      <c r="F1146" s="12">
        <f ca="1">IFERROR(__xludf.DUMMYFUNCTION("""COMPUTED_VALUE"""),51002261)</f>
        <v>51002261</v>
      </c>
      <c r="G1146" s="12" t="str">
        <f ca="1">IFERROR(__xludf.DUMMYFUNCTION("""COMPUTED_VALUE"""),"NCTV01U4")</f>
        <v>NCTV01U4</v>
      </c>
      <c r="H1146" s="12">
        <f ca="1">IFERROR(__xludf.DUMMYFUNCTION("""COMPUTED_VALUE"""),9900)</f>
        <v>9900</v>
      </c>
      <c r="I1146" s="14">
        <f ca="1">IFERROR(__xludf.DUMMYFUNCTION("""COMPUTED_VALUE"""),7090)</f>
        <v>7090</v>
      </c>
      <c r="J1146" s="16">
        <f ca="1">IFERROR(__xludf.DUMMYFUNCTION("""COMPUTED_VALUE"""),45673)</f>
        <v>45673</v>
      </c>
      <c r="K1146" s="12" t="str">
        <f ca="1">IFERROR(__xludf.DUMMYFUNCTION("""COMPUTED_VALUE"""),"新機上架")</f>
        <v>新機上架</v>
      </c>
      <c r="L1146" s="12" t="str">
        <f ca="1">IFERROR(__xludf.DUMMYFUNCTION("""COMPUTED_VALUE"""),"上架中")</f>
        <v>上架中</v>
      </c>
      <c r="M1146" s="12" t="str">
        <f ca="1">IFERROR(__xludf.DUMMYFUNCTION("""COMPUTED_VALUE"""),"改為新款[無視訊盒]")</f>
        <v>改為新款[無視訊盒]</v>
      </c>
      <c r="N1146" s="12" t="str">
        <f ca="1">IFERROR(__xludf.DUMMYFUNCTION("""COMPUTED_VALUE"""),"螢幕/液晶電視")</f>
        <v>螢幕/液晶電視</v>
      </c>
      <c r="O1146" s="12"/>
      <c r="P1146" s="12" t="str">
        <f ca="1">IFERROR(__xludf.DUMMYFUNCTION("""COMPUTED_VALUE"""),"40型")</f>
        <v>40型</v>
      </c>
      <c r="Q1146" s="12" t="str">
        <f ca="1">IFERROR(__xludf.DUMMYFUNCTION("""COMPUTED_VALUE"""),"900 x 514 x 70 mm
")</f>
        <v xml:space="preserve">900 x 514 x 70 mm
</v>
      </c>
      <c r="R1146" s="12" t="str">
        <f ca="1">IFERROR(__xludf.DUMMYFUNCTION("""COMPUTED_VALUE"""),"中國")</f>
        <v>中國</v>
      </c>
      <c r="S1146" s="12"/>
      <c r="T1146" s="12"/>
      <c r="U1146" s="12" t="str">
        <f ca="1">IFERROR(__xludf.DUMMYFUNCTION("""COMPUTED_VALUE"""),"3年")</f>
        <v>3年</v>
      </c>
      <c r="V1146" s="12"/>
      <c r="W1146" s="12"/>
      <c r="X1146" s="12"/>
      <c r="Y1146" s="12"/>
      <c r="Z1146" s="14"/>
      <c r="AA1146" s="15" t="str">
        <f ca="1">IFERROR(__xludf.DUMMYFUNCTION("""COMPUTED_VALUE"""),"* 奇美光學板材 / Full HD 1080p高畫質解析* 獨家無段式藍光調節* Time Shift 數位頻道時光平移* 睡眠定時設定* CHIMEI獨家Dramatic Surround")</f>
        <v>* 奇美光學板材 / Full HD 1080p高畫質解析* 獨家無段式藍光調節* Time Shift 數位頻道時光平移* 睡眠定時設定* CHIMEI獨家Dramatic Surround</v>
      </c>
    </row>
    <row r="1147" spans="1:27" ht="19.5" customHeight="1">
      <c r="A1147" s="12" t="str">
        <f ca="1">IFERROR(__xludf.DUMMYFUNCTION("""COMPUTED_VALUE"""),"HDTV")</f>
        <v>HDTV</v>
      </c>
      <c r="B1147" s="12" t="str">
        <f ca="1">IFERROR(__xludf.DUMMYFUNCTION("""COMPUTED_VALUE"""),"禾聯")</f>
        <v>禾聯</v>
      </c>
      <c r="C1147" s="12" t="str">
        <f ca="1">IFERROR(__xludf.DUMMYFUNCTION("""COMPUTED_VALUE"""),"禾聯")</f>
        <v>禾聯</v>
      </c>
      <c r="D1147" s="12" t="str">
        <f ca="1">IFERROR(__xludf.DUMMYFUNCTION("""COMPUTED_VALUE"""),"禾聯24型液晶顯示器HD-24DF5CF")</f>
        <v>禾聯24型液晶顯示器HD-24DF5CF</v>
      </c>
      <c r="E1147" s="12" t="str">
        <f ca="1">IFERROR(__xludf.DUMMYFUNCTION("""COMPUTED_VALUE"""),"HD-24DF5CF")</f>
        <v>HD-24DF5CF</v>
      </c>
      <c r="F1147" s="12">
        <f ca="1">IFERROR(__xludf.DUMMYFUNCTION("""COMPUTED_VALUE"""),51008128)</f>
        <v>51008128</v>
      </c>
      <c r="G1147" s="12" t="str">
        <f ca="1">IFERROR(__xludf.DUMMYFUNCTION("""COMPUTED_VALUE"""),"NCTV00WN")</f>
        <v>NCTV00WN</v>
      </c>
      <c r="H1147" s="12">
        <f ca="1">IFERROR(__xludf.DUMMYFUNCTION("""COMPUTED_VALUE"""),5490)</f>
        <v>5490</v>
      </c>
      <c r="I1147" s="14">
        <f ca="1">IFERROR(__xludf.DUMMYFUNCTION("""COMPUTED_VALUE"""),4400)</f>
        <v>4400</v>
      </c>
      <c r="J1147" s="12"/>
      <c r="K1147" s="12"/>
      <c r="L1147" s="12" t="str">
        <f ca="1">IFERROR(__xludf.DUMMYFUNCTION("""COMPUTED_VALUE"""),"上架中")</f>
        <v>上架中</v>
      </c>
      <c r="M1147" s="12"/>
      <c r="N1147" s="12" t="str">
        <f ca="1">IFERROR(__xludf.DUMMYFUNCTION("""COMPUTED_VALUE"""),"螢幕/液晶電視")</f>
        <v>螢幕/液晶電視</v>
      </c>
      <c r="O1147" s="12"/>
      <c r="P1147" s="12" t="str">
        <f ca="1">IFERROR(__xludf.DUMMYFUNCTION("""COMPUTED_VALUE"""),"24型")</f>
        <v>24型</v>
      </c>
      <c r="Q1147" s="12" t="str">
        <f ca="1">IFERROR(__xludf.DUMMYFUNCTION("""COMPUTED_VALUE"""),"外觀尺寸(HxWxD)：370*553*144mm
不含腳座(HxWxD)：340*553*86mm")</f>
        <v>外觀尺寸(HxWxD)：370*553*144mm
不含腳座(HxWxD)：340*553*86mm</v>
      </c>
      <c r="R1147" s="12" t="str">
        <f ca="1">IFERROR(__xludf.DUMMYFUNCTION("""COMPUTED_VALUE"""),"中國")</f>
        <v>中國</v>
      </c>
      <c r="S1147" s="12"/>
      <c r="T1147" s="12"/>
      <c r="U1147" s="12" t="str">
        <f ca="1">IFERROR(__xludf.DUMMYFUNCTION("""COMPUTED_VALUE"""),"3年")</f>
        <v>3年</v>
      </c>
      <c r="V1147" s="12"/>
      <c r="W1147" s="12"/>
      <c r="X1147" s="12"/>
      <c r="Y1147" s="12"/>
      <c r="Z1147" s="14"/>
      <c r="AA1147" s="15" t="str">
        <f ca="1">IFERROR(__xludf.DUMMYFUNCTION("""COMPUTED_VALUE"""),"*解析度：1366*768*顯示比例：16:9*百萬動態對比*電腦音效輸入端子*1/音源輸出端子*1*HDMI端子*2/USB2.0*1/AV輸入端子*1/色差端子*1/SPDIF光纖*1")</f>
        <v>*解析度：1366*768*顯示比例：16:9*百萬動態對比*電腦音效輸入端子*1/音源輸出端子*1*HDMI端子*2/USB2.0*1/AV輸入端子*1/色差端子*1/SPDIF光纖*1</v>
      </c>
    </row>
    <row r="1148" spans="1:27" ht="19.5" customHeight="1">
      <c r="A1148" s="12" t="str">
        <f ca="1">IFERROR(__xludf.DUMMYFUNCTION("""COMPUTED_VALUE"""),"HDTV")</f>
        <v>HDTV</v>
      </c>
      <c r="B1148" s="12" t="str">
        <f ca="1">IFERROR(__xludf.DUMMYFUNCTION("""COMPUTED_VALUE"""),"禾聯")</f>
        <v>禾聯</v>
      </c>
      <c r="C1148" s="12" t="str">
        <f ca="1">IFERROR(__xludf.DUMMYFUNCTION("""COMPUTED_VALUE"""),"禾聯")</f>
        <v>禾聯</v>
      </c>
      <c r="D1148" s="12" t="str">
        <f ca="1">IFERROR(__xludf.DUMMYFUNCTION("""COMPUTED_VALUE"""),"禾聯32型液晶顯示器HD-32DF5CF")</f>
        <v>禾聯32型液晶顯示器HD-32DF5CF</v>
      </c>
      <c r="E1148" s="12" t="str">
        <f ca="1">IFERROR(__xludf.DUMMYFUNCTION("""COMPUTED_VALUE"""),"HD-32DF5CF")</f>
        <v>HD-32DF5CF</v>
      </c>
      <c r="F1148" s="12">
        <f ca="1">IFERROR(__xludf.DUMMYFUNCTION("""COMPUTED_VALUE"""),51008129)</f>
        <v>51008129</v>
      </c>
      <c r="G1148" s="12" t="str">
        <f ca="1">IFERROR(__xludf.DUMMYFUNCTION("""COMPUTED_VALUE"""),"NCTV00WO")</f>
        <v>NCTV00WO</v>
      </c>
      <c r="H1148" s="12">
        <f ca="1">IFERROR(__xludf.DUMMYFUNCTION("""COMPUTED_VALUE"""),6990)</f>
        <v>6990</v>
      </c>
      <c r="I1148" s="14">
        <f ca="1">IFERROR(__xludf.DUMMYFUNCTION("""COMPUTED_VALUE"""),5890)</f>
        <v>5890</v>
      </c>
      <c r="J1148" s="12"/>
      <c r="K1148" s="12"/>
      <c r="L1148" s="12" t="str">
        <f ca="1">IFERROR(__xludf.DUMMYFUNCTION("""COMPUTED_VALUE"""),"上架中")</f>
        <v>上架中</v>
      </c>
      <c r="M1148" s="12" t="str">
        <f ca="1">IFERROR(__xludf.DUMMYFUNCTION("""COMPUTED_VALUE"""),"2021/7/1回價")</f>
        <v>2021/7/1回價</v>
      </c>
      <c r="N1148" s="12" t="str">
        <f ca="1">IFERROR(__xludf.DUMMYFUNCTION("""COMPUTED_VALUE"""),"螢幕/液晶電視")</f>
        <v>螢幕/液晶電視</v>
      </c>
      <c r="O1148" s="12"/>
      <c r="P1148" s="12" t="str">
        <f ca="1">IFERROR(__xludf.DUMMYFUNCTION("""COMPUTED_VALUE"""),"32型")</f>
        <v>32型</v>
      </c>
      <c r="Q1148" s="12" t="str">
        <f ca="1">IFERROR(__xludf.DUMMYFUNCTION("""COMPUTED_VALUE"""),"含底座：H481xW731xD180mm
不含底座：H435xW731xD80mm")</f>
        <v>含底座：H481xW731xD180mm
不含底座：H435xW731xD80mm</v>
      </c>
      <c r="R1148" s="12" t="str">
        <f ca="1">IFERROR(__xludf.DUMMYFUNCTION("""COMPUTED_VALUE"""),"中國")</f>
        <v>中國</v>
      </c>
      <c r="S1148" s="12"/>
      <c r="T1148" s="12"/>
      <c r="U1148" s="12" t="str">
        <f ca="1">IFERROR(__xludf.DUMMYFUNCTION("""COMPUTED_VALUE"""),"3年")</f>
        <v>3年</v>
      </c>
      <c r="V1148" s="12"/>
      <c r="W1148" s="12"/>
      <c r="X1148" s="12"/>
      <c r="Y1148" s="12"/>
      <c r="Z1148" s="14"/>
      <c r="AA1148" s="15" t="str">
        <f ca="1">IFERROR(__xludf.DUMMYFUNCTION("""COMPUTED_VALUE"""),"*解析度：1366*768*輸入：HDMI3組、USB2.02組、AV端子1組*輸出：SPDIF1組、音源輸出1組*低藍光護眼*數位錄影")</f>
        <v>*解析度：1366*768*輸入：HDMI3組、USB2.02組、AV端子1組*輸出：SPDIF1組、音源輸出1組*低藍光護眼*數位錄影</v>
      </c>
    </row>
    <row r="1149" spans="1:27" ht="19.5" customHeight="1">
      <c r="A1149" s="12" t="str">
        <f ca="1">IFERROR(__xludf.DUMMYFUNCTION("""COMPUTED_VALUE"""),"HDTV")</f>
        <v>HDTV</v>
      </c>
      <c r="B1149" s="12" t="str">
        <f ca="1">IFERROR(__xludf.DUMMYFUNCTION("""COMPUTED_VALUE"""),"禾聯")</f>
        <v>禾聯</v>
      </c>
      <c r="C1149" s="12" t="str">
        <f ca="1">IFERROR(__xludf.DUMMYFUNCTION("""COMPUTED_VALUE"""),"禾聯")</f>
        <v>禾聯</v>
      </c>
      <c r="D1149" s="12" t="str">
        <f ca="1">IFERROR(__xludf.DUMMYFUNCTION("""COMPUTED_VALUE"""),"禾聯50型連網4K液晶顯示器(無視訊盒)HD-50YF7N7")</f>
        <v>禾聯50型連網4K液晶顯示器(無視訊盒)HD-50YF7N7</v>
      </c>
      <c r="E1149" s="12" t="str">
        <f ca="1">IFERROR(__xludf.DUMMYFUNCTION("""COMPUTED_VALUE"""),"HD-50YF7N7")</f>
        <v>HD-50YF7N7</v>
      </c>
      <c r="F1149" s="12">
        <f ca="1">IFERROR(__xludf.DUMMYFUNCTION("""COMPUTED_VALUE"""),51008151)</f>
        <v>51008151</v>
      </c>
      <c r="G1149" s="12" t="str">
        <f ca="1">IFERROR(__xludf.DUMMYFUNCTION("""COMPUTED_VALUE"""),"NCTV01GM")</f>
        <v>NCTV01GM</v>
      </c>
      <c r="H1149" s="13">
        <f ca="1">IFERROR(__xludf.DUMMYFUNCTION("""COMPUTED_VALUE"""),17900)</f>
        <v>17900</v>
      </c>
      <c r="I1149" s="14">
        <f ca="1">IFERROR(__xludf.DUMMYFUNCTION("""COMPUTED_VALUE"""),13500)</f>
        <v>13500</v>
      </c>
      <c r="J1149" s="12"/>
      <c r="K1149" s="12"/>
      <c r="L1149" s="12" t="str">
        <f ca="1">IFERROR(__xludf.DUMMYFUNCTION("""COMPUTED_VALUE"""),"上架中")</f>
        <v>上架中</v>
      </c>
      <c r="M1149" s="12" t="str">
        <f ca="1">IFERROR(__xludf.DUMMYFUNCTION("""COMPUTED_VALUE"""),"2022/11/1新機上市")</f>
        <v>2022/11/1新機上市</v>
      </c>
      <c r="N1149" s="12" t="str">
        <f ca="1">IFERROR(__xludf.DUMMYFUNCTION("""COMPUTED_VALUE"""),"螢幕/液晶電視")</f>
        <v>螢幕/液晶電視</v>
      </c>
      <c r="O1149" s="12"/>
      <c r="P1149" s="12" t="str">
        <f ca="1">IFERROR(__xludf.DUMMYFUNCTION("""COMPUTED_VALUE"""),"50型")</f>
        <v>50型</v>
      </c>
      <c r="Q1149" s="12" t="str">
        <f ca="1">IFERROR(__xludf.DUMMYFUNCTION("""COMPUTED_VALUE"""),"含底座：1,121 x 703 x 248mm
不含底座：1,121 x 652 x 91 mm")</f>
        <v>含底座：1,121 x 703 x 248mm
不含底座：1,121 x 652 x 91 mm</v>
      </c>
      <c r="R1149" s="12" t="str">
        <f ca="1">IFERROR(__xludf.DUMMYFUNCTION("""COMPUTED_VALUE"""),"中國")</f>
        <v>中國</v>
      </c>
      <c r="S1149" s="12"/>
      <c r="T1149" s="12"/>
      <c r="U1149" s="12" t="str">
        <f ca="1">IFERROR(__xludf.DUMMYFUNCTION("""COMPUTED_VALUE"""),"3年")</f>
        <v>3年</v>
      </c>
      <c r="V1149" s="12"/>
      <c r="W1149" s="12"/>
      <c r="X1149" s="12"/>
      <c r="Y1149" s="12"/>
      <c r="Z1149" s="14"/>
      <c r="AA1149" s="15" t="str">
        <f ca="1">IFERROR(__xludf.DUMMYFUNCTION("""COMPUTED_VALUE"""),"* 4K HDR超高解析度 *內建YouTube *內建prime video *內建NETFLIX *搭配5G WiFi *支援鏡射功能 *無邊框設計  ")</f>
        <v xml:space="preserve">* 4K HDR超高解析度 *內建YouTube *內建prime video *內建NETFLIX *搭配5G WiFi *支援鏡射功能 *無邊框設計  </v>
      </c>
    </row>
    <row r="1150" spans="1:27" ht="19.5" customHeight="1">
      <c r="A1150" s="12" t="str">
        <f ca="1">IFERROR(__xludf.DUMMYFUNCTION("""COMPUTED_VALUE"""),"HDTV")</f>
        <v>HDTV</v>
      </c>
      <c r="B1150" s="12" t="str">
        <f ca="1">IFERROR(__xludf.DUMMYFUNCTION("""COMPUTED_VALUE"""),"禾聯")</f>
        <v>禾聯</v>
      </c>
      <c r="C1150" s="12" t="str">
        <f ca="1">IFERROR(__xludf.DUMMYFUNCTION("""COMPUTED_VALUE"""),"禾聯")</f>
        <v>禾聯</v>
      </c>
      <c r="D1150" s="12" t="str">
        <f ca="1">IFERROR(__xludf.DUMMYFUNCTION("""COMPUTED_VALUE"""),"禾聯55型連網4K液晶顯示器(無視訊盒)HD-55YF7N7")</f>
        <v>禾聯55型連網4K液晶顯示器(無視訊盒)HD-55YF7N7</v>
      </c>
      <c r="E1150" s="12" t="str">
        <f ca="1">IFERROR(__xludf.DUMMYFUNCTION("""COMPUTED_VALUE"""),"HD-55YF7N7")</f>
        <v>HD-55YF7N7</v>
      </c>
      <c r="F1150" s="12">
        <f ca="1">IFERROR(__xludf.DUMMYFUNCTION("""COMPUTED_VALUE"""),51008152)</f>
        <v>51008152</v>
      </c>
      <c r="G1150" s="12" t="str">
        <f ca="1">IFERROR(__xludf.DUMMYFUNCTION("""COMPUTED_VALUE"""),"NCTV01GN")</f>
        <v>NCTV01GN</v>
      </c>
      <c r="H1150" s="13">
        <f ca="1">IFERROR(__xludf.DUMMYFUNCTION("""COMPUTED_VALUE"""),21900)</f>
        <v>21900</v>
      </c>
      <c r="I1150" s="14">
        <f ca="1">IFERROR(__xludf.DUMMYFUNCTION("""COMPUTED_VALUE"""),15500)</f>
        <v>15500</v>
      </c>
      <c r="J1150" s="12"/>
      <c r="K1150" s="12"/>
      <c r="L1150" s="12" t="str">
        <f ca="1">IFERROR(__xludf.DUMMYFUNCTION("""COMPUTED_VALUE"""),"上架中")</f>
        <v>上架中</v>
      </c>
      <c r="M1150" s="12" t="str">
        <f ca="1">IFERROR(__xludf.DUMMYFUNCTION("""COMPUTED_VALUE"""),"2022/11/1新機上市")</f>
        <v>2022/11/1新機上市</v>
      </c>
      <c r="N1150" s="12" t="str">
        <f ca="1">IFERROR(__xludf.DUMMYFUNCTION("""COMPUTED_VALUE"""),"螢幕/液晶電視")</f>
        <v>螢幕/液晶電視</v>
      </c>
      <c r="O1150" s="12"/>
      <c r="P1150" s="12" t="str">
        <f ca="1">IFERROR(__xludf.DUMMYFUNCTION("""COMPUTED_VALUE"""),"55型")</f>
        <v>55型</v>
      </c>
      <c r="Q1150" s="12" t="str">
        <f ca="1">IFERROR(__xludf.DUMMYFUNCTION("""COMPUTED_VALUE"""),"含底座：1,235 x 770 x 247mm
不含底座：1,235 x 718 x 91 mm")</f>
        <v>含底座：1,235 x 770 x 247mm
不含底座：1,235 x 718 x 91 mm</v>
      </c>
      <c r="R1150" s="12" t="str">
        <f ca="1">IFERROR(__xludf.DUMMYFUNCTION("""COMPUTED_VALUE"""),"中國")</f>
        <v>中國</v>
      </c>
      <c r="S1150" s="12"/>
      <c r="T1150" s="12"/>
      <c r="U1150" s="12" t="str">
        <f ca="1">IFERROR(__xludf.DUMMYFUNCTION("""COMPUTED_VALUE"""),"3年")</f>
        <v>3年</v>
      </c>
      <c r="V1150" s="12"/>
      <c r="W1150" s="12"/>
      <c r="X1150" s="12"/>
      <c r="Y1150" s="12"/>
      <c r="Z1150" s="14"/>
      <c r="AA1150" s="15" t="str">
        <f ca="1">IFERROR(__xludf.DUMMYFUNCTION("""COMPUTED_VALUE"""),"* 4K HDR超高解析度 *內建YouTube *內建prime video *內建NETFLIX *搭配5G WiFi *支援鏡射功能 *無邊框設計  ")</f>
        <v xml:space="preserve">* 4K HDR超高解析度 *內建YouTube *內建prime video *內建NETFLIX *搭配5G WiFi *支援鏡射功能 *無邊框設計  </v>
      </c>
    </row>
    <row r="1151" spans="1:27" ht="19.5" customHeight="1">
      <c r="A1151" s="12" t="str">
        <f ca="1">IFERROR(__xludf.DUMMYFUNCTION("""COMPUTED_VALUE"""),"HDTV")</f>
        <v>HDTV</v>
      </c>
      <c r="B1151" s="12" t="str">
        <f ca="1">IFERROR(__xludf.DUMMYFUNCTION("""COMPUTED_VALUE"""),"神腦")</f>
        <v>神腦</v>
      </c>
      <c r="C1151" s="12" t="str">
        <f ca="1">IFERROR(__xludf.DUMMYFUNCTION("""COMPUTED_VALUE"""),"LG")</f>
        <v>LG</v>
      </c>
      <c r="D1151" s="12" t="str">
        <f ca="1">IFERROR(__xludf.DUMMYFUNCTION("""COMPUTED_VALUE"""),"LG 50型 QNED 4K AI智慧聯網顯示器 50QNED80TTA")</f>
        <v>LG 50型 QNED 4K AI智慧聯網顯示器 50QNED80TTA</v>
      </c>
      <c r="E1151" s="12" t="str">
        <f ca="1">IFERROR(__xludf.DUMMYFUNCTION("""COMPUTED_VALUE"""),"50QNED80TTA")</f>
        <v>50QNED80TTA</v>
      </c>
      <c r="F1151" s="12">
        <f ca="1">IFERROR(__xludf.DUMMYFUNCTION("""COMPUTED_VALUE"""),51016426)</f>
        <v>51016426</v>
      </c>
      <c r="G1151" s="12" t="str">
        <f ca="1">IFERROR(__xludf.DUMMYFUNCTION("""COMPUTED_VALUE"""),"NCTV01OY")</f>
        <v>NCTV01OY</v>
      </c>
      <c r="H1151" s="13">
        <f ca="1">IFERROR(__xludf.DUMMYFUNCTION("""COMPUTED_VALUE"""),26900)</f>
        <v>26900</v>
      </c>
      <c r="I1151" s="18">
        <f ca="1">IFERROR(__xludf.DUMMYFUNCTION("""COMPUTED_VALUE"""),19900)</f>
        <v>19900</v>
      </c>
      <c r="J1151" s="16">
        <f ca="1">IFERROR(__xludf.DUMMYFUNCTION("""COMPUTED_VALUE"""),45673)</f>
        <v>45673</v>
      </c>
      <c r="K1151" s="12" t="str">
        <f ca="1">IFERROR(__xludf.DUMMYFUNCTION("""COMPUTED_VALUE"""),"永久降價")</f>
        <v>永久降價</v>
      </c>
      <c r="L1151" s="12" t="str">
        <f ca="1">IFERROR(__xludf.DUMMYFUNCTION("""COMPUTED_VALUE"""),"上架中")</f>
        <v>上架中</v>
      </c>
      <c r="M1151" s="12" t="str">
        <f ca="1">IFERROR(__xludf.DUMMYFUNCTION("""COMPUTED_VALUE"""),"8/5新機上架")</f>
        <v>8/5新機上架</v>
      </c>
      <c r="N1151" s="12" t="str">
        <f ca="1">IFERROR(__xludf.DUMMYFUNCTION("""COMPUTED_VALUE"""),"螢幕/液晶電視")</f>
        <v>螢幕/液晶電視</v>
      </c>
      <c r="O1151" s="12"/>
      <c r="P1151" s="12" t="str">
        <f ca="1">IFERROR(__xludf.DUMMYFUNCTION("""COMPUTED_VALUE"""),"50型")</f>
        <v>50型</v>
      </c>
      <c r="Q1151" s="12" t="str">
        <f ca="1">IFERROR(__xludf.DUMMYFUNCTION("""COMPUTED_VALUE"""),"不含底座：652 x 1123 x 29.7 (mm)
含底座：720 x 1123 x 257 (mm)")</f>
        <v>不含底座：652 x 1123 x 29.7 (mm)
含底座：720 x 1123 x 257 (mm)</v>
      </c>
      <c r="R1151" s="12" t="str">
        <f ca="1">IFERROR(__xludf.DUMMYFUNCTION("""COMPUTED_VALUE"""),"印尼")</f>
        <v>印尼</v>
      </c>
      <c r="S1151" s="12"/>
      <c r="T1151" s="12"/>
      <c r="U1151" s="12" t="str">
        <f ca="1">IFERROR(__xludf.DUMMYFUNCTION("""COMPUTED_VALUE"""),"2年")</f>
        <v>2年</v>
      </c>
      <c r="V1151" s="12"/>
      <c r="W1151" s="12"/>
      <c r="X1151" s="12"/>
      <c r="Y1151" s="12"/>
      <c r="Z1151" s="14"/>
      <c r="AA1151" s="15" t="str">
        <f ca="1">IFERROR(__xludf.DUMMYFUNCTION("""COMPUTED_VALUE"""),"*量子點增色 +一奈米濾色 面板*第七代α5 AI 4K 影音處理晶片*AI運算 模擬9.1.2環繞音效*支援Apple Airplay2、手機投放 ")</f>
        <v xml:space="preserve">*量子點增色 +一奈米濾色 面板*第七代α5 AI 4K 影音處理晶片*AI運算 模擬9.1.2環繞音效*支援Apple Airplay2、手機投放 </v>
      </c>
    </row>
    <row r="1152" spans="1:27" ht="19.5" customHeight="1">
      <c r="A1152" s="12" t="str">
        <f ca="1">IFERROR(__xludf.DUMMYFUNCTION("""COMPUTED_VALUE"""),"HDTV")</f>
        <v>HDTV</v>
      </c>
      <c r="B1152" s="12" t="str">
        <f ca="1">IFERROR(__xludf.DUMMYFUNCTION("""COMPUTED_VALUE"""),"神腦")</f>
        <v>神腦</v>
      </c>
      <c r="C1152" s="12" t="str">
        <f ca="1">IFERROR(__xludf.DUMMYFUNCTION("""COMPUTED_VALUE"""),"LG")</f>
        <v>LG</v>
      </c>
      <c r="D1152" s="12" t="str">
        <f ca="1">IFERROR(__xludf.DUMMYFUNCTION("""COMPUTED_VALUE"""),"LG 65型 QNED 4K AI智慧聯網顯示器 65QNED80TTA")</f>
        <v>LG 65型 QNED 4K AI智慧聯網顯示器 65QNED80TTA</v>
      </c>
      <c r="E1152" s="12" t="str">
        <f ca="1">IFERROR(__xludf.DUMMYFUNCTION("""COMPUTED_VALUE"""),"65QNED80TTA")</f>
        <v>65QNED80TTA</v>
      </c>
      <c r="F1152" s="12">
        <f ca="1">IFERROR(__xludf.DUMMYFUNCTION("""COMPUTED_VALUE"""),51016427)</f>
        <v>51016427</v>
      </c>
      <c r="G1152" s="12" t="str">
        <f ca="1">IFERROR(__xludf.DUMMYFUNCTION("""COMPUTED_VALUE"""),"NCTV01OZ")</f>
        <v>NCTV01OZ</v>
      </c>
      <c r="H1152" s="13">
        <f ca="1">IFERROR(__xludf.DUMMYFUNCTION("""COMPUTED_VALUE"""),44900)</f>
        <v>44900</v>
      </c>
      <c r="I1152" s="18">
        <f ca="1">IFERROR(__xludf.DUMMYFUNCTION("""COMPUTED_VALUE"""),29900)</f>
        <v>29900</v>
      </c>
      <c r="J1152" s="16">
        <f ca="1">IFERROR(__xludf.DUMMYFUNCTION("""COMPUTED_VALUE"""),45673)</f>
        <v>45673</v>
      </c>
      <c r="K1152" s="12" t="str">
        <f ca="1">IFERROR(__xludf.DUMMYFUNCTION("""COMPUTED_VALUE"""),"永久降價")</f>
        <v>永久降價</v>
      </c>
      <c r="L1152" s="12" t="str">
        <f ca="1">IFERROR(__xludf.DUMMYFUNCTION("""COMPUTED_VALUE"""),"上架中")</f>
        <v>上架中</v>
      </c>
      <c r="M1152" s="12" t="str">
        <f ca="1">IFERROR(__xludf.DUMMYFUNCTION("""COMPUTED_VALUE"""),"7/10新機上架")</f>
        <v>7/10新機上架</v>
      </c>
      <c r="N1152" s="12" t="str">
        <f ca="1">IFERROR(__xludf.DUMMYFUNCTION("""COMPUTED_VALUE"""),"螢幕/液晶電視")</f>
        <v>螢幕/液晶電視</v>
      </c>
      <c r="O1152" s="12"/>
      <c r="P1152" s="12" t="str">
        <f ca="1">IFERROR(__xludf.DUMMYFUNCTION("""COMPUTED_VALUE"""),"65型")</f>
        <v>65型</v>
      </c>
      <c r="Q1152" s="12" t="str">
        <f ca="1">IFERROR(__xludf.DUMMYFUNCTION("""COMPUTED_VALUE"""),"不含底座：840 x 1456 x 29.7 (mm)
含底座：904 x 1456 x 295 (mm)")</f>
        <v>不含底座：840 x 1456 x 29.7 (mm)
含底座：904 x 1456 x 295 (mm)</v>
      </c>
      <c r="R1152" s="12" t="str">
        <f ca="1">IFERROR(__xludf.DUMMYFUNCTION("""COMPUTED_VALUE"""),"印尼")</f>
        <v>印尼</v>
      </c>
      <c r="S1152" s="12"/>
      <c r="T1152" s="12"/>
      <c r="U1152" s="12" t="str">
        <f ca="1">IFERROR(__xludf.DUMMYFUNCTION("""COMPUTED_VALUE"""),"2年")</f>
        <v>2年</v>
      </c>
      <c r="V1152" s="12"/>
      <c r="W1152" s="12"/>
      <c r="X1152" s="12"/>
      <c r="Y1152" s="12"/>
      <c r="Z1152" s="14"/>
      <c r="AA1152" s="15" t="str">
        <f ca="1">IFERROR(__xludf.DUMMYFUNCTION("""COMPUTED_VALUE"""),"*量子點增色 +一奈米濾色 面板*第七代α5 AI 4K 影音處理晶片*AI運算 模擬9.1.2環繞音效*支援Apple Airplay2、手機投放 ")</f>
        <v xml:space="preserve">*量子點增色 +一奈米濾色 面板*第七代α5 AI 4K 影音處理晶片*AI運算 模擬9.1.2環繞音效*支援Apple Airplay2、手機投放 </v>
      </c>
    </row>
    <row r="1153" spans="1:27" ht="19.5" customHeight="1">
      <c r="A1153" s="12" t="str">
        <f ca="1">IFERROR(__xludf.DUMMYFUNCTION("""COMPUTED_VALUE"""),"HDTV")</f>
        <v>HDTV</v>
      </c>
      <c r="B1153" s="12" t="str">
        <f ca="1">IFERROR(__xludf.DUMMYFUNCTION("""COMPUTED_VALUE"""),"神腦")</f>
        <v>神腦</v>
      </c>
      <c r="C1153" s="12" t="str">
        <f ca="1">IFERROR(__xludf.DUMMYFUNCTION("""COMPUTED_VALUE"""),"LG")</f>
        <v>LG</v>
      </c>
      <c r="D1153" s="12" t="str">
        <f ca="1">IFERROR(__xludf.DUMMYFUNCTION("""COMPUTED_VALUE"""),"LG 75型 QNED 4K AI智慧聯網顯示器 75QNED80TTA")</f>
        <v>LG 75型 QNED 4K AI智慧聯網顯示器 75QNED80TTA</v>
      </c>
      <c r="E1153" s="12" t="str">
        <f ca="1">IFERROR(__xludf.DUMMYFUNCTION("""COMPUTED_VALUE"""),"75QNED80TTA")</f>
        <v>75QNED80TTA</v>
      </c>
      <c r="F1153" s="12">
        <f ca="1">IFERROR(__xludf.DUMMYFUNCTION("""COMPUTED_VALUE"""),51016428)</f>
        <v>51016428</v>
      </c>
      <c r="G1153" s="12" t="str">
        <f ca="1">IFERROR(__xludf.DUMMYFUNCTION("""COMPUTED_VALUE"""),"NCTV01P1")</f>
        <v>NCTV01P1</v>
      </c>
      <c r="H1153" s="13">
        <f ca="1">IFERROR(__xludf.DUMMYFUNCTION("""COMPUTED_VALUE"""),69900)</f>
        <v>69900</v>
      </c>
      <c r="I1153" s="18">
        <f ca="1">IFERROR(__xludf.DUMMYFUNCTION("""COMPUTED_VALUE"""),48900)</f>
        <v>48900</v>
      </c>
      <c r="J1153" s="16">
        <f ca="1">IFERROR(__xludf.DUMMYFUNCTION("""COMPUTED_VALUE"""),45673)</f>
        <v>45673</v>
      </c>
      <c r="K1153" s="12" t="str">
        <f ca="1">IFERROR(__xludf.DUMMYFUNCTION("""COMPUTED_VALUE"""),"永久降價")</f>
        <v>永久降價</v>
      </c>
      <c r="L1153" s="12" t="str">
        <f ca="1">IFERROR(__xludf.DUMMYFUNCTION("""COMPUTED_VALUE"""),"上架中")</f>
        <v>上架中</v>
      </c>
      <c r="M1153" s="12" t="str">
        <f ca="1">IFERROR(__xludf.DUMMYFUNCTION("""COMPUTED_VALUE"""),"7/10新機上架")</f>
        <v>7/10新機上架</v>
      </c>
      <c r="N1153" s="12" t="str">
        <f ca="1">IFERROR(__xludf.DUMMYFUNCTION("""COMPUTED_VALUE"""),"螢幕/液晶電視")</f>
        <v>螢幕/液晶電視</v>
      </c>
      <c r="O1153" s="12"/>
      <c r="P1153" s="12" t="str">
        <f ca="1">IFERROR(__xludf.DUMMYFUNCTION("""COMPUTED_VALUE"""),"75型")</f>
        <v>75型</v>
      </c>
      <c r="Q1153" s="12" t="str">
        <f ca="1">IFERROR(__xludf.DUMMYFUNCTION("""COMPUTED_VALUE"""),"不含底座：965 x 1677 x 30.9 (mm)
含底座：1032 x 1677 x 359 (mm)")</f>
        <v>不含底座：965 x 1677 x 30.9 (mm)
含底座：1032 x 1677 x 359 (mm)</v>
      </c>
      <c r="R1153" s="12" t="str">
        <f ca="1">IFERROR(__xludf.DUMMYFUNCTION("""COMPUTED_VALUE"""),"印尼")</f>
        <v>印尼</v>
      </c>
      <c r="S1153" s="12"/>
      <c r="T1153" s="12"/>
      <c r="U1153" s="12" t="str">
        <f ca="1">IFERROR(__xludf.DUMMYFUNCTION("""COMPUTED_VALUE"""),"2年")</f>
        <v>2年</v>
      </c>
      <c r="V1153" s="12"/>
      <c r="W1153" s="12"/>
      <c r="X1153" s="12"/>
      <c r="Y1153" s="12"/>
      <c r="Z1153" s="14"/>
      <c r="AA1153" s="15" t="str">
        <f ca="1">IFERROR(__xludf.DUMMYFUNCTION("""COMPUTED_VALUE"""),"*量子點增色 +一奈米濾色 面板*第七代α5 AI 4K 影音處理晶片*AI運算 模擬9.1.2環繞音效*支援Apple Airplay2、手機投放 ")</f>
        <v xml:space="preserve">*量子點增色 +一奈米濾色 面板*第七代α5 AI 4K 影音處理晶片*AI運算 模擬9.1.2環繞音效*支援Apple Airplay2、手機投放 </v>
      </c>
    </row>
    <row r="1154" spans="1:27" ht="19.5" customHeight="1">
      <c r="A1154" s="12" t="str">
        <f ca="1">IFERROR(__xludf.DUMMYFUNCTION("""COMPUTED_VALUE"""),"HDTV")</f>
        <v>HDTV</v>
      </c>
      <c r="B1154" s="12" t="str">
        <f ca="1">IFERROR(__xludf.DUMMYFUNCTION("""COMPUTED_VALUE"""),"神腦")</f>
        <v>神腦</v>
      </c>
      <c r="C1154" s="12" t="str">
        <f ca="1">IFERROR(__xludf.DUMMYFUNCTION("""COMPUTED_VALUE"""),"LG")</f>
        <v>LG</v>
      </c>
      <c r="D1154" s="12" t="str">
        <f ca="1">IFERROR(__xludf.DUMMYFUNCTION("""COMPUTED_VALUE"""),"LG 86型 QNED 4K AI智慧聯網顯示器 86QNED80TTA")</f>
        <v>LG 86型 QNED 4K AI智慧聯網顯示器 86QNED80TTA</v>
      </c>
      <c r="E1154" s="12" t="str">
        <f ca="1">IFERROR(__xludf.DUMMYFUNCTION("""COMPUTED_VALUE"""),"86QNED80TTA")</f>
        <v>86QNED80TTA</v>
      </c>
      <c r="F1154" s="12">
        <f ca="1">IFERROR(__xludf.DUMMYFUNCTION("""COMPUTED_VALUE"""),51016429)</f>
        <v>51016429</v>
      </c>
      <c r="G1154" s="12" t="str">
        <f ca="1">IFERROR(__xludf.DUMMYFUNCTION("""COMPUTED_VALUE"""),"NCTV01P2")</f>
        <v>NCTV01P2</v>
      </c>
      <c r="H1154" s="13">
        <f ca="1">IFERROR(__xludf.DUMMYFUNCTION("""COMPUTED_VALUE"""),129000)</f>
        <v>129000</v>
      </c>
      <c r="I1154" s="18">
        <f ca="1">IFERROR(__xludf.DUMMYFUNCTION("""COMPUTED_VALUE"""),98000)</f>
        <v>98000</v>
      </c>
      <c r="J1154" s="16">
        <f ca="1">IFERROR(__xludf.DUMMYFUNCTION("""COMPUTED_VALUE"""),45673)</f>
        <v>45673</v>
      </c>
      <c r="K1154" s="12" t="str">
        <f ca="1">IFERROR(__xludf.DUMMYFUNCTION("""COMPUTED_VALUE"""),"永久降價")</f>
        <v>永久降價</v>
      </c>
      <c r="L1154" s="12" t="str">
        <f ca="1">IFERROR(__xludf.DUMMYFUNCTION("""COMPUTED_VALUE"""),"上架中")</f>
        <v>上架中</v>
      </c>
      <c r="M1154" s="12" t="str">
        <f ca="1">IFERROR(__xludf.DUMMYFUNCTION("""COMPUTED_VALUE"""),"7/10新機上架")</f>
        <v>7/10新機上架</v>
      </c>
      <c r="N1154" s="12" t="str">
        <f ca="1">IFERROR(__xludf.DUMMYFUNCTION("""COMPUTED_VALUE"""),"螢幕/液晶電視")</f>
        <v>螢幕/液晶電視</v>
      </c>
      <c r="O1154" s="12"/>
      <c r="P1154" s="12" t="str">
        <f ca="1">IFERROR(__xludf.DUMMYFUNCTION("""COMPUTED_VALUE"""),"86型")</f>
        <v>86型</v>
      </c>
      <c r="Q1154" s="12" t="str">
        <f ca="1">IFERROR(__xludf.DUMMYFUNCTION("""COMPUTED_VALUE"""),"不含底座：1108 x 1928 x 30.9 (mm)
含底座：1175 x 1928 x 359 (mm)")</f>
        <v>不含底座：1108 x 1928 x 30.9 (mm)
含底座：1175 x 1928 x 359 (mm)</v>
      </c>
      <c r="R1154" s="12" t="str">
        <f ca="1">IFERROR(__xludf.DUMMYFUNCTION("""COMPUTED_VALUE"""),"印尼")</f>
        <v>印尼</v>
      </c>
      <c r="S1154" s="12"/>
      <c r="T1154" s="12"/>
      <c r="U1154" s="12" t="str">
        <f ca="1">IFERROR(__xludf.DUMMYFUNCTION("""COMPUTED_VALUE"""),"2年")</f>
        <v>2年</v>
      </c>
      <c r="V1154" s="12"/>
      <c r="W1154" s="12"/>
      <c r="X1154" s="12"/>
      <c r="Y1154" s="12"/>
      <c r="Z1154" s="14"/>
      <c r="AA1154" s="15" t="str">
        <f ca="1">IFERROR(__xludf.DUMMYFUNCTION("""COMPUTED_VALUE"""),"*量子點增色 +一奈米濾色 面板*第七代α5 AI 4K 影音處理晶片*AI運算 模擬9.1.2環繞音效*支援Apple Airplay2、手機投放 ")</f>
        <v xml:space="preserve">*量子點增色 +一奈米濾色 面板*第七代α5 AI 4K 影音處理晶片*AI運算 模擬9.1.2環繞音效*支援Apple Airplay2、手機投放 </v>
      </c>
    </row>
    <row r="1155" spans="1:27" ht="19.5" customHeight="1">
      <c r="A1155" s="12" t="str">
        <f ca="1">IFERROR(__xludf.DUMMYFUNCTION("""COMPUTED_VALUE"""),"HDTV")</f>
        <v>HDTV</v>
      </c>
      <c r="B1155" s="12" t="str">
        <f ca="1">IFERROR(__xludf.DUMMYFUNCTION("""COMPUTED_VALUE"""),"神腦")</f>
        <v>神腦</v>
      </c>
      <c r="C1155" s="12" t="str">
        <f ca="1">IFERROR(__xludf.DUMMYFUNCTION("""COMPUTED_VALUE"""),"LG")</f>
        <v>LG</v>
      </c>
      <c r="D1155" s="12" t="str">
        <f ca="1">IFERROR(__xludf.DUMMYFUNCTION("""COMPUTED_VALUE"""),"LG 55型 4K UHD AI智慧聯網顯示器 55UT9150PTA")</f>
        <v>LG 55型 4K UHD AI智慧聯網顯示器 55UT9150PTA</v>
      </c>
      <c r="E1155" s="12" t="str">
        <f ca="1">IFERROR(__xludf.DUMMYFUNCTION("""COMPUTED_VALUE"""),"55UT9150PTA")</f>
        <v>55UT9150PTA</v>
      </c>
      <c r="F1155" s="12">
        <f ca="1">IFERROR(__xludf.DUMMYFUNCTION("""COMPUTED_VALUE"""),51016430)</f>
        <v>51016430</v>
      </c>
      <c r="G1155" s="12" t="str">
        <f ca="1">IFERROR(__xludf.DUMMYFUNCTION("""COMPUTED_VALUE"""),"NCTV01P3")</f>
        <v>NCTV01P3</v>
      </c>
      <c r="H1155" s="13">
        <f ca="1">IFERROR(__xludf.DUMMYFUNCTION("""COMPUTED_VALUE"""),25900)</f>
        <v>25900</v>
      </c>
      <c r="I1155" s="18">
        <f ca="1">IFERROR(__xludf.DUMMYFUNCTION("""COMPUTED_VALUE"""),19000)</f>
        <v>19000</v>
      </c>
      <c r="J1155" s="16">
        <f ca="1">IFERROR(__xludf.DUMMYFUNCTION("""COMPUTED_VALUE"""),45673)</f>
        <v>45673</v>
      </c>
      <c r="K1155" s="12" t="str">
        <f ca="1">IFERROR(__xludf.DUMMYFUNCTION("""COMPUTED_VALUE"""),"永久降價")</f>
        <v>永久降價</v>
      </c>
      <c r="L1155" s="12" t="str">
        <f ca="1">IFERROR(__xludf.DUMMYFUNCTION("""COMPUTED_VALUE"""),"上架中")</f>
        <v>上架中</v>
      </c>
      <c r="M1155" s="12" t="str">
        <f ca="1">IFERROR(__xludf.DUMMYFUNCTION("""COMPUTED_VALUE"""),"7/10新機上架")</f>
        <v>7/10新機上架</v>
      </c>
      <c r="N1155" s="12" t="str">
        <f ca="1">IFERROR(__xludf.DUMMYFUNCTION("""COMPUTED_VALUE"""),"螢幕/液晶電視")</f>
        <v>螢幕/液晶電視</v>
      </c>
      <c r="O1155" s="12"/>
      <c r="P1155" s="12" t="str">
        <f ca="1">IFERROR(__xludf.DUMMYFUNCTION("""COMPUTED_VALUE"""),"55型")</f>
        <v>55型</v>
      </c>
      <c r="Q1155" s="12" t="str">
        <f ca="1">IFERROR(__xludf.DUMMYFUNCTION("""COMPUTED_VALUE"""),"不含底座：716 x 1236 x 29.7 (mm)
含底座：786 x 1236 x 260 (mm)")</f>
        <v>不含底座：716 x 1236 x 29.7 (mm)
含底座：786 x 1236 x 260 (mm)</v>
      </c>
      <c r="R1155" s="12" t="str">
        <f ca="1">IFERROR(__xludf.DUMMYFUNCTION("""COMPUTED_VALUE"""),"印尼")</f>
        <v>印尼</v>
      </c>
      <c r="S1155" s="12"/>
      <c r="T1155" s="12"/>
      <c r="U1155" s="12" t="str">
        <f ca="1">IFERROR(__xludf.DUMMYFUNCTION("""COMPUTED_VALUE"""),"2年")</f>
        <v>2年</v>
      </c>
      <c r="V1155" s="12"/>
      <c r="W1155" s="12"/>
      <c r="X1155" s="12"/>
      <c r="Y1155" s="12"/>
      <c r="Z1155" s="14"/>
      <c r="AA1155" s="15" t="str">
        <f ca="1">IFERROR(__xludf.DUMMYFUNCTION("""COMPUTED_VALUE"""),"*第七代α5 AI 4K 影音處理晶片*AI運算 模擬9.1.2環繞音效*支援Apple Airplay2、Homekit、手機投放 ")</f>
        <v xml:space="preserve">*第七代α5 AI 4K 影音處理晶片*AI運算 模擬9.1.2環繞音效*支援Apple Airplay2、Homekit、手機投放 </v>
      </c>
    </row>
    <row r="1156" spans="1:27" ht="19.5" customHeight="1">
      <c r="A1156" s="12" t="str">
        <f ca="1">IFERROR(__xludf.DUMMYFUNCTION("""COMPUTED_VALUE"""),"HDTV")</f>
        <v>HDTV</v>
      </c>
      <c r="B1156" s="12" t="str">
        <f ca="1">IFERROR(__xludf.DUMMYFUNCTION("""COMPUTED_VALUE"""),"神腦")</f>
        <v>神腦</v>
      </c>
      <c r="C1156" s="12" t="str">
        <f ca="1">IFERROR(__xludf.DUMMYFUNCTION("""COMPUTED_VALUE"""),"LG")</f>
        <v>LG</v>
      </c>
      <c r="D1156" s="12" t="str">
        <f ca="1">IFERROR(__xludf.DUMMYFUNCTION("""COMPUTED_VALUE"""),"LG 42型 極緻OLED evo 4K AI智慧聯網顯示器 OLED42C4PTA")</f>
        <v>LG 42型 極緻OLED evo 4K AI智慧聯網顯示器 OLED42C4PTA</v>
      </c>
      <c r="E1156" s="12" t="str">
        <f ca="1">IFERROR(__xludf.DUMMYFUNCTION("""COMPUTED_VALUE"""),"OLED42C4PTA")</f>
        <v>OLED42C4PTA</v>
      </c>
      <c r="F1156" s="12">
        <f ca="1">IFERROR(__xludf.DUMMYFUNCTION("""COMPUTED_VALUE"""),51016431)</f>
        <v>51016431</v>
      </c>
      <c r="G1156" s="12" t="str">
        <f ca="1">IFERROR(__xludf.DUMMYFUNCTION("""COMPUTED_VALUE"""),"NCTV01P4")</f>
        <v>NCTV01P4</v>
      </c>
      <c r="H1156" s="13">
        <f ca="1">IFERROR(__xludf.DUMMYFUNCTION("""COMPUTED_VALUE"""),49900)</f>
        <v>49900</v>
      </c>
      <c r="I1156" s="18">
        <f ca="1">IFERROR(__xludf.DUMMYFUNCTION("""COMPUTED_VALUE"""),33000)</f>
        <v>33000</v>
      </c>
      <c r="J1156" s="16">
        <f ca="1">IFERROR(__xludf.DUMMYFUNCTION("""COMPUTED_VALUE"""),45673)</f>
        <v>45673</v>
      </c>
      <c r="K1156" s="12" t="str">
        <f ca="1">IFERROR(__xludf.DUMMYFUNCTION("""COMPUTED_VALUE"""),"永久降價")</f>
        <v>永久降價</v>
      </c>
      <c r="L1156" s="12" t="str">
        <f ca="1">IFERROR(__xludf.DUMMYFUNCTION("""COMPUTED_VALUE"""),"上架中")</f>
        <v>上架中</v>
      </c>
      <c r="M1156" s="12" t="str">
        <f ca="1">IFERROR(__xludf.DUMMYFUNCTION("""COMPUTED_VALUE"""),"7/10新機上架")</f>
        <v>7/10新機上架</v>
      </c>
      <c r="N1156" s="12" t="str">
        <f ca="1">IFERROR(__xludf.DUMMYFUNCTION("""COMPUTED_VALUE"""),"螢幕/液晶電視")</f>
        <v>螢幕/液晶電視</v>
      </c>
      <c r="O1156" s="12"/>
      <c r="P1156" s="12" t="str">
        <f ca="1">IFERROR(__xludf.DUMMYFUNCTION("""COMPUTED_VALUE"""),"42型")</f>
        <v>42型</v>
      </c>
      <c r="Q1156" s="12" t="str">
        <f ca="1">IFERROR(__xludf.DUMMYFUNCTION("""COMPUTED_VALUE"""),"不含底座：540 x 932 x 41.1 (mm)
含底座：577 x 932 x 170 (mm)")</f>
        <v>不含底座：540 x 932 x 41.1 (mm)
含底座：577 x 932 x 170 (mm)</v>
      </c>
      <c r="R1156" s="12" t="str">
        <f ca="1">IFERROR(__xludf.DUMMYFUNCTION("""COMPUTED_VALUE"""),"印尼")</f>
        <v>印尼</v>
      </c>
      <c r="S1156" s="12"/>
      <c r="T1156" s="12"/>
      <c r="U1156" s="12" t="str">
        <f ca="1">IFERROR(__xludf.DUMMYFUNCTION("""COMPUTED_VALUE"""),"2年")</f>
        <v>2年</v>
      </c>
      <c r="V1156" s="12"/>
      <c r="W1156" s="12"/>
      <c r="X1156" s="12"/>
      <c r="Y1156" s="12"/>
      <c r="Z1156" s="14"/>
      <c r="AA1156" s="15" t="str">
        <f ca="1">IFERROR(__xludf.DUMMYFUNCTION("""COMPUTED_VALUE"""),"*OLED電視 連續11年全球銷售No.1*第七代α9 影音處理晶片*支援Dolby Vision 及Dolby Atmos*國際護眼認證：低藍光/不閃爍/無不適眩光認證*4組HDMI 2.1支援4K 144Hz、G-Sync、FreeSync*支援Apple Airplay2、手機投放 ")</f>
        <v xml:space="preserve">*OLED電視 連續11年全球銷售No.1*第七代α9 影音處理晶片*支援Dolby Vision 及Dolby Atmos*國際護眼認證：低藍光/不閃爍/無不適眩光認證*4組HDMI 2.1支援4K 144Hz、G-Sync、FreeSync*支援Apple Airplay2、手機投放 </v>
      </c>
    </row>
    <row r="1157" spans="1:27" ht="19.5" customHeight="1">
      <c r="A1157" s="12" t="str">
        <f ca="1">IFERROR(__xludf.DUMMYFUNCTION("""COMPUTED_VALUE"""),"HDTV")</f>
        <v>HDTV</v>
      </c>
      <c r="B1157" s="12" t="str">
        <f ca="1">IFERROR(__xludf.DUMMYFUNCTION("""COMPUTED_VALUE"""),"神腦")</f>
        <v>神腦</v>
      </c>
      <c r="C1157" s="12" t="str">
        <f ca="1">IFERROR(__xludf.DUMMYFUNCTION("""COMPUTED_VALUE"""),"LG")</f>
        <v>LG</v>
      </c>
      <c r="D1157" s="12" t="str">
        <f ca="1">IFERROR(__xludf.DUMMYFUNCTION("""COMPUTED_VALUE"""),"LG 48型 極緻OLED evo 4K AI智慧聯網顯示器 OLED48C4PTA")</f>
        <v>LG 48型 極緻OLED evo 4K AI智慧聯網顯示器 OLED48C4PTA</v>
      </c>
      <c r="E1157" s="12" t="str">
        <f ca="1">IFERROR(__xludf.DUMMYFUNCTION("""COMPUTED_VALUE"""),"OLED48C4PTA")</f>
        <v>OLED48C4PTA</v>
      </c>
      <c r="F1157" s="12">
        <f ca="1">IFERROR(__xludf.DUMMYFUNCTION("""COMPUTED_VALUE"""),51016432)</f>
        <v>51016432</v>
      </c>
      <c r="G1157" s="12" t="str">
        <f ca="1">IFERROR(__xludf.DUMMYFUNCTION("""COMPUTED_VALUE"""),"NCTV01P5")</f>
        <v>NCTV01P5</v>
      </c>
      <c r="H1157" s="13">
        <f ca="1">IFERROR(__xludf.DUMMYFUNCTION("""COMPUTED_VALUE"""),54900)</f>
        <v>54900</v>
      </c>
      <c r="I1157" s="18">
        <f ca="1">IFERROR(__xludf.DUMMYFUNCTION("""COMPUTED_VALUE"""),36900)</f>
        <v>36900</v>
      </c>
      <c r="J1157" s="16">
        <f ca="1">IFERROR(__xludf.DUMMYFUNCTION("""COMPUTED_VALUE"""),45673)</f>
        <v>45673</v>
      </c>
      <c r="K1157" s="12" t="str">
        <f ca="1">IFERROR(__xludf.DUMMYFUNCTION("""COMPUTED_VALUE"""),"永久降價")</f>
        <v>永久降價</v>
      </c>
      <c r="L1157" s="12" t="str">
        <f ca="1">IFERROR(__xludf.DUMMYFUNCTION("""COMPUTED_VALUE"""),"上架中")</f>
        <v>上架中</v>
      </c>
      <c r="M1157" s="12" t="str">
        <f ca="1">IFERROR(__xludf.DUMMYFUNCTION("""COMPUTED_VALUE"""),"7/10新機上架")</f>
        <v>7/10新機上架</v>
      </c>
      <c r="N1157" s="12" t="str">
        <f ca="1">IFERROR(__xludf.DUMMYFUNCTION("""COMPUTED_VALUE"""),"螢幕/液晶電視")</f>
        <v>螢幕/液晶電視</v>
      </c>
      <c r="O1157" s="12"/>
      <c r="P1157" s="12" t="str">
        <f ca="1">IFERROR(__xludf.DUMMYFUNCTION("""COMPUTED_VALUE"""),"48型")</f>
        <v>48型</v>
      </c>
      <c r="Q1157" s="12" t="str">
        <f ca="1">IFERROR(__xludf.DUMMYFUNCTION("""COMPUTED_VALUE"""),"不含底座：620 x 1071 x 46.9 (mm)
含底座：675 x 1071 x 230 (mm)")</f>
        <v>不含底座：620 x 1071 x 46.9 (mm)
含底座：675 x 1071 x 230 (mm)</v>
      </c>
      <c r="R1157" s="12" t="str">
        <f ca="1">IFERROR(__xludf.DUMMYFUNCTION("""COMPUTED_VALUE"""),"印尼")</f>
        <v>印尼</v>
      </c>
      <c r="S1157" s="12"/>
      <c r="T1157" s="12"/>
      <c r="U1157" s="12" t="str">
        <f ca="1">IFERROR(__xludf.DUMMYFUNCTION("""COMPUTED_VALUE"""),"2年")</f>
        <v>2年</v>
      </c>
      <c r="V1157" s="12"/>
      <c r="W1157" s="12"/>
      <c r="X1157" s="12"/>
      <c r="Y1157" s="12"/>
      <c r="Z1157" s="14"/>
      <c r="AA1157" s="15" t="str">
        <f ca="1">IFERROR(__xludf.DUMMYFUNCTION("""COMPUTED_VALUE"""),"*OLED電視 連續11年全球銷售No.1*第七代α9 影音處理晶片*支援Dolby Vision 及Dolby Atmos*國際護眼認證：低藍光/不閃爍/無不適眩光認證*4組HDMI 2.1支援4K 144Hz、G-Sync、FreeSync*支援Apple Airplay2、手機投放 ")</f>
        <v xml:space="preserve">*OLED電視 連續11年全球銷售No.1*第七代α9 影音處理晶片*支援Dolby Vision 及Dolby Atmos*國際護眼認證：低藍光/不閃爍/無不適眩光認證*4組HDMI 2.1支援4K 144Hz、G-Sync、FreeSync*支援Apple Airplay2、手機投放 </v>
      </c>
    </row>
    <row r="1158" spans="1:27" ht="19.5" customHeight="1">
      <c r="A1158" s="12" t="str">
        <f ca="1">IFERROR(__xludf.DUMMYFUNCTION("""COMPUTED_VALUE"""),"HDTV")</f>
        <v>HDTV</v>
      </c>
      <c r="B1158" s="12" t="str">
        <f ca="1">IFERROR(__xludf.DUMMYFUNCTION("""COMPUTED_VALUE"""),"神腦")</f>
        <v>神腦</v>
      </c>
      <c r="C1158" s="12" t="str">
        <f ca="1">IFERROR(__xludf.DUMMYFUNCTION("""COMPUTED_VALUE"""),"LG")</f>
        <v>LG</v>
      </c>
      <c r="D1158" s="12" t="str">
        <f ca="1">IFERROR(__xludf.DUMMYFUNCTION("""COMPUTED_VALUE"""),"LG 55型 極緻OLED evo 4K AI智慧聯網顯示器 OLED55C4PTA")</f>
        <v>LG 55型 極緻OLED evo 4K AI智慧聯網顯示器 OLED55C4PTA</v>
      </c>
      <c r="E1158" s="12" t="str">
        <f ca="1">IFERROR(__xludf.DUMMYFUNCTION("""COMPUTED_VALUE"""),"OLED55C4PTA")</f>
        <v>OLED55C4PTA</v>
      </c>
      <c r="F1158" s="12">
        <f ca="1">IFERROR(__xludf.DUMMYFUNCTION("""COMPUTED_VALUE"""),51016433)</f>
        <v>51016433</v>
      </c>
      <c r="G1158" s="12" t="str">
        <f ca="1">IFERROR(__xludf.DUMMYFUNCTION("""COMPUTED_VALUE"""),"NCTV01P6")</f>
        <v>NCTV01P6</v>
      </c>
      <c r="H1158" s="13">
        <f ca="1">IFERROR(__xludf.DUMMYFUNCTION("""COMPUTED_VALUE"""),64900)</f>
        <v>64900</v>
      </c>
      <c r="I1158" s="18">
        <f ca="1">IFERROR(__xludf.DUMMYFUNCTION("""COMPUTED_VALUE"""),40900)</f>
        <v>40900</v>
      </c>
      <c r="J1158" s="16">
        <f ca="1">IFERROR(__xludf.DUMMYFUNCTION("""COMPUTED_VALUE"""),45673)</f>
        <v>45673</v>
      </c>
      <c r="K1158" s="12" t="str">
        <f ca="1">IFERROR(__xludf.DUMMYFUNCTION("""COMPUTED_VALUE"""),"永久降價")</f>
        <v>永久降價</v>
      </c>
      <c r="L1158" s="12" t="str">
        <f ca="1">IFERROR(__xludf.DUMMYFUNCTION("""COMPUTED_VALUE"""),"上架中")</f>
        <v>上架中</v>
      </c>
      <c r="M1158" s="12" t="str">
        <f ca="1">IFERROR(__xludf.DUMMYFUNCTION("""COMPUTED_VALUE"""),"7/10新機上架")</f>
        <v>7/10新機上架</v>
      </c>
      <c r="N1158" s="12" t="str">
        <f ca="1">IFERROR(__xludf.DUMMYFUNCTION("""COMPUTED_VALUE"""),"螢幕/液晶電視")</f>
        <v>螢幕/液晶電視</v>
      </c>
      <c r="O1158" s="12"/>
      <c r="P1158" s="12" t="str">
        <f ca="1">IFERROR(__xludf.DUMMYFUNCTION("""COMPUTED_VALUE"""),"55型")</f>
        <v>55型</v>
      </c>
      <c r="Q1158" s="12" t="str">
        <f ca="1">IFERROR(__xludf.DUMMYFUNCTION("""COMPUTED_VALUE"""),"不含底座：703 x 1222 x 45.1 (mm)
含底座：757 x 1222 x 230(mm)")</f>
        <v>不含底座：703 x 1222 x 45.1 (mm)
含底座：757 x 1222 x 230(mm)</v>
      </c>
      <c r="R1158" s="12" t="str">
        <f ca="1">IFERROR(__xludf.DUMMYFUNCTION("""COMPUTED_VALUE"""),"印尼")</f>
        <v>印尼</v>
      </c>
      <c r="S1158" s="12"/>
      <c r="T1158" s="12"/>
      <c r="U1158" s="12" t="str">
        <f ca="1">IFERROR(__xludf.DUMMYFUNCTION("""COMPUTED_VALUE"""),"2年")</f>
        <v>2年</v>
      </c>
      <c r="V1158" s="12"/>
      <c r="W1158" s="12"/>
      <c r="X1158" s="12"/>
      <c r="Y1158" s="12"/>
      <c r="Z1158" s="14"/>
      <c r="AA1158" s="15" t="str">
        <f ca="1">IFERROR(__xludf.DUMMYFUNCTION("""COMPUTED_VALUE"""),"*OLED電視 連續11年全球銷售No.1*第七代α9 影音處理晶片*支援Dolby Vision 及Dolby Atmos*國際護眼認證：低藍光/不閃爍/無不適眩光認證*4組HDMI 2.1支援4K 144Hz、G-Sync、FreeSync*支援Apple Airplay2、手機投放 ")</f>
        <v xml:space="preserve">*OLED電視 連續11年全球銷售No.1*第七代α9 影音處理晶片*支援Dolby Vision 及Dolby Atmos*國際護眼認證：低藍光/不閃爍/無不適眩光認證*4組HDMI 2.1支援4K 144Hz、G-Sync、FreeSync*支援Apple Airplay2、手機投放 </v>
      </c>
    </row>
    <row r="1159" spans="1:27" ht="19.5" customHeight="1">
      <c r="A1159" s="12" t="str">
        <f ca="1">IFERROR(__xludf.DUMMYFUNCTION("""COMPUTED_VALUE"""),"HDTV")</f>
        <v>HDTV</v>
      </c>
      <c r="B1159" s="12" t="str">
        <f ca="1">IFERROR(__xludf.DUMMYFUNCTION("""COMPUTED_VALUE"""),"神腦")</f>
        <v>神腦</v>
      </c>
      <c r="C1159" s="12" t="str">
        <f ca="1">IFERROR(__xludf.DUMMYFUNCTION("""COMPUTED_VALUE"""),"LG")</f>
        <v>LG</v>
      </c>
      <c r="D1159" s="12" t="str">
        <f ca="1">IFERROR(__xludf.DUMMYFUNCTION("""COMPUTED_VALUE"""),"LG 65型 極緻OLED evo 4K AI智慧聯網顯示器 OLED65C4PTA")</f>
        <v>LG 65型 極緻OLED evo 4K AI智慧聯網顯示器 OLED65C4PTA</v>
      </c>
      <c r="E1159" s="12" t="str">
        <f ca="1">IFERROR(__xludf.DUMMYFUNCTION("""COMPUTED_VALUE"""),"OLED65C4PTA")</f>
        <v>OLED65C4PTA</v>
      </c>
      <c r="F1159" s="12">
        <f ca="1">IFERROR(__xludf.DUMMYFUNCTION("""COMPUTED_VALUE"""),51016434)</f>
        <v>51016434</v>
      </c>
      <c r="G1159" s="12" t="str">
        <f ca="1">IFERROR(__xludf.DUMMYFUNCTION("""COMPUTED_VALUE"""),"NCTV01P7")</f>
        <v>NCTV01P7</v>
      </c>
      <c r="H1159" s="13">
        <f ca="1">IFERROR(__xludf.DUMMYFUNCTION("""COMPUTED_VALUE"""),94900)</f>
        <v>94900</v>
      </c>
      <c r="I1159" s="18">
        <f ca="1">IFERROR(__xludf.DUMMYFUNCTION("""COMPUTED_VALUE"""),59900)</f>
        <v>59900</v>
      </c>
      <c r="J1159" s="16">
        <f ca="1">IFERROR(__xludf.DUMMYFUNCTION("""COMPUTED_VALUE"""),45673)</f>
        <v>45673</v>
      </c>
      <c r="K1159" s="12" t="str">
        <f ca="1">IFERROR(__xludf.DUMMYFUNCTION("""COMPUTED_VALUE"""),"永久降價")</f>
        <v>永久降價</v>
      </c>
      <c r="L1159" s="12" t="str">
        <f ca="1">IFERROR(__xludf.DUMMYFUNCTION("""COMPUTED_VALUE"""),"上架中")</f>
        <v>上架中</v>
      </c>
      <c r="M1159" s="12" t="str">
        <f ca="1">IFERROR(__xludf.DUMMYFUNCTION("""COMPUTED_VALUE"""),"7/10新機上架")</f>
        <v>7/10新機上架</v>
      </c>
      <c r="N1159" s="12" t="str">
        <f ca="1">IFERROR(__xludf.DUMMYFUNCTION("""COMPUTED_VALUE"""),"螢幕/液晶電視")</f>
        <v>螢幕/液晶電視</v>
      </c>
      <c r="O1159" s="12"/>
      <c r="P1159" s="12" t="str">
        <f ca="1">IFERROR(__xludf.DUMMYFUNCTION("""COMPUTED_VALUE"""),"65型")</f>
        <v>65型</v>
      </c>
      <c r="Q1159" s="12" t="str">
        <f ca="1">IFERROR(__xludf.DUMMYFUNCTION("""COMPUTED_VALUE"""),"不含底座：826 x 1441 x 45.1(mm)
含底座：880 x 1441 x 230 (mm)")</f>
        <v>不含底座：826 x 1441 x 45.1(mm)
含底座：880 x 1441 x 230 (mm)</v>
      </c>
      <c r="R1159" s="12" t="str">
        <f ca="1">IFERROR(__xludf.DUMMYFUNCTION("""COMPUTED_VALUE"""),"印尼")</f>
        <v>印尼</v>
      </c>
      <c r="S1159" s="12"/>
      <c r="T1159" s="12"/>
      <c r="U1159" s="12" t="str">
        <f ca="1">IFERROR(__xludf.DUMMYFUNCTION("""COMPUTED_VALUE"""),"2年")</f>
        <v>2年</v>
      </c>
      <c r="V1159" s="12"/>
      <c r="W1159" s="12"/>
      <c r="X1159" s="12"/>
      <c r="Y1159" s="12"/>
      <c r="Z1159" s="14"/>
      <c r="AA1159" s="15" t="str">
        <f ca="1">IFERROR(__xludf.DUMMYFUNCTION("""COMPUTED_VALUE"""),"*OLED電視 連續11年全球銷售No.1*第七代α9 影音處理晶片*支援Dolby Vision 及Dolby Atmos*國際護眼認證：低藍光/不閃爍/無不適眩光認證*4組HDMI 2.1支援4K 144Hz、G-Sync、FreeSync*支援Apple Airplay2、手機投放 ")</f>
        <v xml:space="preserve">*OLED電視 連續11年全球銷售No.1*第七代α9 影音處理晶片*支援Dolby Vision 及Dolby Atmos*國際護眼認證：低藍光/不閃爍/無不適眩光認證*4組HDMI 2.1支援4K 144Hz、G-Sync、FreeSync*支援Apple Airplay2、手機投放 </v>
      </c>
    </row>
    <row r="1160" spans="1:27" ht="19.5" customHeight="1">
      <c r="A1160" s="12" t="str">
        <f ca="1">IFERROR(__xludf.DUMMYFUNCTION("""COMPUTED_VALUE"""),"HDTV")</f>
        <v>HDTV</v>
      </c>
      <c r="B1160" s="12" t="str">
        <f ca="1">IFERROR(__xludf.DUMMYFUNCTION("""COMPUTED_VALUE"""),"神腦")</f>
        <v>神腦</v>
      </c>
      <c r="C1160" s="12" t="str">
        <f ca="1">IFERROR(__xludf.DUMMYFUNCTION("""COMPUTED_VALUE"""),"LG")</f>
        <v>LG</v>
      </c>
      <c r="D1160" s="12" t="str">
        <f ca="1">IFERROR(__xludf.DUMMYFUNCTION("""COMPUTED_VALUE"""),"LG 77型 極緻OLED evo 4K AI智慧聯網顯示器 OLED77C4PTA")</f>
        <v>LG 77型 極緻OLED evo 4K AI智慧聯網顯示器 OLED77C4PTA</v>
      </c>
      <c r="E1160" s="12" t="str">
        <f ca="1">IFERROR(__xludf.DUMMYFUNCTION("""COMPUTED_VALUE"""),"OLED77C4PTA")</f>
        <v>OLED77C4PTA</v>
      </c>
      <c r="F1160" s="12">
        <f ca="1">IFERROR(__xludf.DUMMYFUNCTION("""COMPUTED_VALUE"""),51016435)</f>
        <v>51016435</v>
      </c>
      <c r="G1160" s="12" t="str">
        <f ca="1">IFERROR(__xludf.DUMMYFUNCTION("""COMPUTED_VALUE"""),"NCTV01P8")</f>
        <v>NCTV01P8</v>
      </c>
      <c r="H1160" s="13">
        <f ca="1">IFERROR(__xludf.DUMMYFUNCTION("""COMPUTED_VALUE"""),139000)</f>
        <v>139000</v>
      </c>
      <c r="I1160" s="18">
        <f ca="1">IFERROR(__xludf.DUMMYFUNCTION("""COMPUTED_VALUE"""),85900)</f>
        <v>85900</v>
      </c>
      <c r="J1160" s="16">
        <f ca="1">IFERROR(__xludf.DUMMYFUNCTION("""COMPUTED_VALUE"""),45673)</f>
        <v>45673</v>
      </c>
      <c r="K1160" s="12" t="str">
        <f ca="1">IFERROR(__xludf.DUMMYFUNCTION("""COMPUTED_VALUE"""),"永久降價")</f>
        <v>永久降價</v>
      </c>
      <c r="L1160" s="12" t="str">
        <f ca="1">IFERROR(__xludf.DUMMYFUNCTION("""COMPUTED_VALUE"""),"上架中")</f>
        <v>上架中</v>
      </c>
      <c r="M1160" s="12" t="str">
        <f ca="1">IFERROR(__xludf.DUMMYFUNCTION("""COMPUTED_VALUE"""),"7/10新機上架")</f>
        <v>7/10新機上架</v>
      </c>
      <c r="N1160" s="12" t="str">
        <f ca="1">IFERROR(__xludf.DUMMYFUNCTION("""COMPUTED_VALUE"""),"螢幕/液晶電視")</f>
        <v>螢幕/液晶電視</v>
      </c>
      <c r="O1160" s="12"/>
      <c r="P1160" s="12" t="str">
        <f ca="1">IFERROR(__xludf.DUMMYFUNCTION("""COMPUTED_VALUE"""),"77型")</f>
        <v>77型</v>
      </c>
      <c r="Q1160" s="12" t="str">
        <f ca="1">IFERROR(__xludf.DUMMYFUNCTION("""COMPUTED_VALUE"""),"不含底座：982 x 1711 x 47.1(mm)
含底座：1035 x 1711 x 267 (mm)")</f>
        <v>不含底座：982 x 1711 x 47.1(mm)
含底座：1035 x 1711 x 267 (mm)</v>
      </c>
      <c r="R1160" s="12" t="str">
        <f ca="1">IFERROR(__xludf.DUMMYFUNCTION("""COMPUTED_VALUE"""),"印尼")</f>
        <v>印尼</v>
      </c>
      <c r="S1160" s="12"/>
      <c r="T1160" s="12"/>
      <c r="U1160" s="12" t="str">
        <f ca="1">IFERROR(__xludf.DUMMYFUNCTION("""COMPUTED_VALUE"""),"2年")</f>
        <v>2年</v>
      </c>
      <c r="V1160" s="12"/>
      <c r="W1160" s="12"/>
      <c r="X1160" s="12"/>
      <c r="Y1160" s="12"/>
      <c r="Z1160" s="14"/>
      <c r="AA1160" s="15" t="str">
        <f ca="1">IFERROR(__xludf.DUMMYFUNCTION("""COMPUTED_VALUE"""),"*OLED電視 連續11年全球銷售No.1*第七代α9 影音處理晶片*支援Dolby Vision 及Dolby Atmos*國際護眼認證：低藍光/不閃爍/無不適眩光認證*4組HDMI 2.1支援4K 144Hz、G-Sync、FreeSync*支援Apple Airplay2、手機投放 ")</f>
        <v xml:space="preserve">*OLED電視 連續11年全球銷售No.1*第七代α9 影音處理晶片*支援Dolby Vision 及Dolby Atmos*國際護眼認證：低藍光/不閃爍/無不適眩光認證*4組HDMI 2.1支援4K 144Hz、G-Sync、FreeSync*支援Apple Airplay2、手機投放 </v>
      </c>
    </row>
    <row r="1161" spans="1:27" ht="19.5" customHeight="1">
      <c r="A1161" s="12" t="str">
        <f ca="1">IFERROR(__xludf.DUMMYFUNCTION("""COMPUTED_VALUE"""),"HDTV")</f>
        <v>HDTV</v>
      </c>
      <c r="B1161" s="12" t="str">
        <f ca="1">IFERROR(__xludf.DUMMYFUNCTION("""COMPUTED_VALUE"""),"神腦")</f>
        <v>神腦</v>
      </c>
      <c r="C1161" s="12" t="str">
        <f ca="1">IFERROR(__xludf.DUMMYFUNCTION("""COMPUTED_VALUE"""),"LG")</f>
        <v>LG</v>
      </c>
      <c r="D1161" s="12" t="str">
        <f ca="1">IFERROR(__xludf.DUMMYFUNCTION("""COMPUTED_VALUE"""),"LG 83型 極緻OLED evo 4K AI智慧聯網顯示器 OLED83C4PTA")</f>
        <v>LG 83型 極緻OLED evo 4K AI智慧聯網顯示器 OLED83C4PTA</v>
      </c>
      <c r="E1161" s="12" t="str">
        <f ca="1">IFERROR(__xludf.DUMMYFUNCTION("""COMPUTED_VALUE"""),"OLED83C4PTA")</f>
        <v>OLED83C4PTA</v>
      </c>
      <c r="F1161" s="12">
        <f ca="1">IFERROR(__xludf.DUMMYFUNCTION("""COMPUTED_VALUE"""),51016436)</f>
        <v>51016436</v>
      </c>
      <c r="G1161" s="12" t="str">
        <f ca="1">IFERROR(__xludf.DUMMYFUNCTION("""COMPUTED_VALUE"""),"NCTV01P9")</f>
        <v>NCTV01P9</v>
      </c>
      <c r="H1161" s="13">
        <f ca="1">IFERROR(__xludf.DUMMYFUNCTION("""COMPUTED_VALUE"""),199000)</f>
        <v>199000</v>
      </c>
      <c r="I1161" s="18">
        <f ca="1">IFERROR(__xludf.DUMMYFUNCTION("""COMPUTED_VALUE"""),139000)</f>
        <v>139000</v>
      </c>
      <c r="J1161" s="16">
        <f ca="1">IFERROR(__xludf.DUMMYFUNCTION("""COMPUTED_VALUE"""),45673)</f>
        <v>45673</v>
      </c>
      <c r="K1161" s="12" t="str">
        <f ca="1">IFERROR(__xludf.DUMMYFUNCTION("""COMPUTED_VALUE"""),"永久降價")</f>
        <v>永久降價</v>
      </c>
      <c r="L1161" s="12" t="str">
        <f ca="1">IFERROR(__xludf.DUMMYFUNCTION("""COMPUTED_VALUE"""),"上架中")</f>
        <v>上架中</v>
      </c>
      <c r="M1161" s="12" t="str">
        <f ca="1">IFERROR(__xludf.DUMMYFUNCTION("""COMPUTED_VALUE"""),"7/10新機上架")</f>
        <v>7/10新機上架</v>
      </c>
      <c r="N1161" s="12" t="str">
        <f ca="1">IFERROR(__xludf.DUMMYFUNCTION("""COMPUTED_VALUE"""),"螢幕/液晶電視")</f>
        <v>螢幕/液晶電視</v>
      </c>
      <c r="O1161" s="12"/>
      <c r="P1161" s="12" t="str">
        <f ca="1">IFERROR(__xludf.DUMMYFUNCTION("""COMPUTED_VALUE"""),"83型")</f>
        <v>83型</v>
      </c>
      <c r="Q1161" s="12" t="str">
        <f ca="1">IFERROR(__xludf.DUMMYFUNCTION("""COMPUTED_VALUE"""),"不含底座：1062 x 1851 x 55.3(mm)
含底座：1092 x 1851 x 279 (mm)")</f>
        <v>不含底座：1062 x 1851 x 55.3(mm)
含底座：1092 x 1851 x 279 (mm)</v>
      </c>
      <c r="R1161" s="12" t="str">
        <f ca="1">IFERROR(__xludf.DUMMYFUNCTION("""COMPUTED_VALUE"""),"印尼")</f>
        <v>印尼</v>
      </c>
      <c r="S1161" s="12"/>
      <c r="T1161" s="12"/>
      <c r="U1161" s="12" t="str">
        <f ca="1">IFERROR(__xludf.DUMMYFUNCTION("""COMPUTED_VALUE"""),"2年")</f>
        <v>2年</v>
      </c>
      <c r="V1161" s="12"/>
      <c r="W1161" s="12"/>
      <c r="X1161" s="12"/>
      <c r="Y1161" s="12"/>
      <c r="Z1161" s="14"/>
      <c r="AA1161" s="15" t="str">
        <f ca="1">IFERROR(__xludf.DUMMYFUNCTION("""COMPUTED_VALUE"""),"*OLED電視 連續11年全球銷售No.1*第七代α9 影音處理晶片*支援Dolby Vision 及Dolby Atmos*國際護眼認證：低藍光/不閃爍/無不適眩光認證*4組HDMI 2.1支援4K 144Hz、G-Sync、FreeSync*支援Apple Airplay2、手機投放 ")</f>
        <v xml:space="preserve">*OLED電視 連續11年全球銷售No.1*第七代α9 影音處理晶片*支援Dolby Vision 及Dolby Atmos*國際護眼認證：低藍光/不閃爍/無不適眩光認證*4組HDMI 2.1支援4K 144Hz、G-Sync、FreeSync*支援Apple Airplay2、手機投放 </v>
      </c>
    </row>
    <row r="1162" spans="1:27" ht="19.5" customHeight="1">
      <c r="A1162" s="12" t="str">
        <f ca="1">IFERROR(__xludf.DUMMYFUNCTION("""COMPUTED_VALUE"""),"HDTV")</f>
        <v>HDTV</v>
      </c>
      <c r="B1162" s="12" t="str">
        <f ca="1">IFERROR(__xludf.DUMMYFUNCTION("""COMPUTED_VALUE"""),"神腦")</f>
        <v>神腦</v>
      </c>
      <c r="C1162" s="12" t="str">
        <f ca="1">IFERROR(__xludf.DUMMYFUNCTION("""COMPUTED_VALUE"""),"LG")</f>
        <v>LG</v>
      </c>
      <c r="D1162" s="12" t="str">
        <f ca="1">IFERROR(__xludf.DUMMYFUNCTION("""COMPUTED_VALUE"""),"LG 55型 QNED α8 4K AI智慧聯網顯示器 55QNED86TTA")</f>
        <v>LG 55型 QNED α8 4K AI智慧聯網顯示器 55QNED86TTA</v>
      </c>
      <c r="E1162" s="12" t="str">
        <f ca="1">IFERROR(__xludf.DUMMYFUNCTION("""COMPUTED_VALUE"""),"55QNED86TTA")</f>
        <v>55QNED86TTA</v>
      </c>
      <c r="F1162" s="12">
        <f ca="1">IFERROR(__xludf.DUMMYFUNCTION("""COMPUTED_VALUE"""),51016437)</f>
        <v>51016437</v>
      </c>
      <c r="G1162" s="12" t="str">
        <f ca="1">IFERROR(__xludf.DUMMYFUNCTION("""COMPUTED_VALUE"""),"NCTV01PA")</f>
        <v>NCTV01PA</v>
      </c>
      <c r="H1162" s="13">
        <f ca="1">IFERROR(__xludf.DUMMYFUNCTION("""COMPUTED_VALUE"""),37900)</f>
        <v>37900</v>
      </c>
      <c r="I1162" s="18">
        <f ca="1">IFERROR(__xludf.DUMMYFUNCTION("""COMPUTED_VALUE"""),28900)</f>
        <v>28900</v>
      </c>
      <c r="J1162" s="16">
        <f ca="1">IFERROR(__xludf.DUMMYFUNCTION("""COMPUTED_VALUE"""),45673)</f>
        <v>45673</v>
      </c>
      <c r="K1162" s="12" t="str">
        <f ca="1">IFERROR(__xludf.DUMMYFUNCTION("""COMPUTED_VALUE"""),"永久降價")</f>
        <v>永久降價</v>
      </c>
      <c r="L1162" s="12" t="str">
        <f ca="1">IFERROR(__xludf.DUMMYFUNCTION("""COMPUTED_VALUE"""),"上架中")</f>
        <v>上架中</v>
      </c>
      <c r="M1162" s="12" t="str">
        <f ca="1">IFERROR(__xludf.DUMMYFUNCTION("""COMPUTED_VALUE"""),"7/10新機上架")</f>
        <v>7/10新機上架</v>
      </c>
      <c r="N1162" s="12" t="str">
        <f ca="1">IFERROR(__xludf.DUMMYFUNCTION("""COMPUTED_VALUE"""),"螢幕/液晶電視")</f>
        <v>螢幕/液晶電視</v>
      </c>
      <c r="O1162" s="12"/>
      <c r="P1162" s="12" t="str">
        <f ca="1">IFERROR(__xludf.DUMMYFUNCTION("""COMPUTED_VALUE"""),"55型")</f>
        <v>55型</v>
      </c>
      <c r="Q1162" s="12" t="str">
        <f ca="1">IFERROR(__xludf.DUMMYFUNCTION("""COMPUTED_VALUE"""),"不含底座：716 x 1236 x 29.7 (mm)
含底座：786 x 1236 x 260 (mm)")</f>
        <v>不含底座：716 x 1236 x 29.7 (mm)
含底座：786 x 1236 x 260 (mm)</v>
      </c>
      <c r="R1162" s="12" t="str">
        <f ca="1">IFERROR(__xludf.DUMMYFUNCTION("""COMPUTED_VALUE"""),"印尼")</f>
        <v>印尼</v>
      </c>
      <c r="S1162" s="12"/>
      <c r="T1162" s="12"/>
      <c r="U1162" s="12" t="str">
        <f ca="1">IFERROR(__xludf.DUMMYFUNCTION("""COMPUTED_VALUE"""),"2年")</f>
        <v>2年</v>
      </c>
      <c r="V1162" s="12"/>
      <c r="W1162" s="12"/>
      <c r="X1162" s="12"/>
      <c r="Y1162" s="12"/>
      <c r="Z1162" s="14"/>
      <c r="AA1162" s="15" t="str">
        <f ca="1">IFERROR(__xludf.DUMMYFUNCTION("""COMPUTED_VALUE"""),"*量子點增色 +一奈米濾色 面板*全新α8 AI 4K 影音處理晶片 影音表現更動人*支援雙杜比，Dolby Vision及Dolby Atmos*4組HDMI 2.1支援4K 120Hz、FreeSync*支援Apple Airplay2、手機投放 ")</f>
        <v xml:space="preserve">*量子點增色 +一奈米濾色 面板*全新α8 AI 4K 影音處理晶片 影音表現更動人*支援雙杜比，Dolby Vision及Dolby Atmos*4組HDMI 2.1支援4K 120Hz、FreeSync*支援Apple Airplay2、手機投放 </v>
      </c>
    </row>
    <row r="1163" spans="1:27" ht="19.5" customHeight="1">
      <c r="A1163" s="12" t="str">
        <f ca="1">IFERROR(__xludf.DUMMYFUNCTION("""COMPUTED_VALUE"""),"HDTV")</f>
        <v>HDTV</v>
      </c>
      <c r="B1163" s="12" t="str">
        <f ca="1">IFERROR(__xludf.DUMMYFUNCTION("""COMPUTED_VALUE"""),"神腦")</f>
        <v>神腦</v>
      </c>
      <c r="C1163" s="12" t="str">
        <f ca="1">IFERROR(__xludf.DUMMYFUNCTION("""COMPUTED_VALUE"""),"LG")</f>
        <v>LG</v>
      </c>
      <c r="D1163" s="12" t="str">
        <f ca="1">IFERROR(__xludf.DUMMYFUNCTION("""COMPUTED_VALUE"""),"LG 65型 QNED α8 4K AI智慧聯網顯示器 65QNED86TTA")</f>
        <v>LG 65型 QNED α8 4K AI智慧聯網顯示器 65QNED86TTA</v>
      </c>
      <c r="E1163" s="12" t="str">
        <f ca="1">IFERROR(__xludf.DUMMYFUNCTION("""COMPUTED_VALUE"""),"65QNED86TTA")</f>
        <v>65QNED86TTA</v>
      </c>
      <c r="F1163" s="12">
        <f ca="1">IFERROR(__xludf.DUMMYFUNCTION("""COMPUTED_VALUE"""),51016438)</f>
        <v>51016438</v>
      </c>
      <c r="G1163" s="12" t="str">
        <f ca="1">IFERROR(__xludf.DUMMYFUNCTION("""COMPUTED_VALUE"""),"NCTV01PB")</f>
        <v>NCTV01PB</v>
      </c>
      <c r="H1163" s="13">
        <f ca="1">IFERROR(__xludf.DUMMYFUNCTION("""COMPUTED_VALUE"""),54900)</f>
        <v>54900</v>
      </c>
      <c r="I1163" s="18">
        <f ca="1">IFERROR(__xludf.DUMMYFUNCTION("""COMPUTED_VALUE"""),36900)</f>
        <v>36900</v>
      </c>
      <c r="J1163" s="16">
        <f ca="1">IFERROR(__xludf.DUMMYFUNCTION("""COMPUTED_VALUE"""),45673)</f>
        <v>45673</v>
      </c>
      <c r="K1163" s="12" t="str">
        <f ca="1">IFERROR(__xludf.DUMMYFUNCTION("""COMPUTED_VALUE"""),"永久降價")</f>
        <v>永久降價</v>
      </c>
      <c r="L1163" s="12" t="str">
        <f ca="1">IFERROR(__xludf.DUMMYFUNCTION("""COMPUTED_VALUE"""),"上架中")</f>
        <v>上架中</v>
      </c>
      <c r="M1163" s="12" t="str">
        <f ca="1">IFERROR(__xludf.DUMMYFUNCTION("""COMPUTED_VALUE"""),"7/10新機上架")</f>
        <v>7/10新機上架</v>
      </c>
      <c r="N1163" s="12" t="str">
        <f ca="1">IFERROR(__xludf.DUMMYFUNCTION("""COMPUTED_VALUE"""),"螢幕/液晶電視")</f>
        <v>螢幕/液晶電視</v>
      </c>
      <c r="O1163" s="12"/>
      <c r="P1163" s="12" t="str">
        <f ca="1">IFERROR(__xludf.DUMMYFUNCTION("""COMPUTED_VALUE"""),"65型")</f>
        <v>65型</v>
      </c>
      <c r="Q1163" s="12" t="str">
        <f ca="1">IFERROR(__xludf.DUMMYFUNCTION("""COMPUTED_VALUE"""),"不含底座：840 x 1456 x 29.7 (mm)
含底座：904 x 1456 x 295 (mm)")</f>
        <v>不含底座：840 x 1456 x 29.7 (mm)
含底座：904 x 1456 x 295 (mm)</v>
      </c>
      <c r="R1163" s="12" t="str">
        <f ca="1">IFERROR(__xludf.DUMMYFUNCTION("""COMPUTED_VALUE"""),"印尼")</f>
        <v>印尼</v>
      </c>
      <c r="S1163" s="12"/>
      <c r="T1163" s="12"/>
      <c r="U1163" s="12" t="str">
        <f ca="1">IFERROR(__xludf.DUMMYFUNCTION("""COMPUTED_VALUE"""),"2年")</f>
        <v>2年</v>
      </c>
      <c r="V1163" s="12"/>
      <c r="W1163" s="12"/>
      <c r="X1163" s="12"/>
      <c r="Y1163" s="12"/>
      <c r="Z1163" s="14"/>
      <c r="AA1163" s="15" t="str">
        <f ca="1">IFERROR(__xludf.DUMMYFUNCTION("""COMPUTED_VALUE"""),"*量子點增色 +一奈米濾色 面板*全新α8 AI 4K 影音處理晶片 影音表現更動人*支援雙杜比，Dolby Vision及Dolby Atmos*4組HDMI 2.1支援4K 120Hz、FreeSync*支援Apple Airplay2、手機投放 ")</f>
        <v xml:space="preserve">*量子點增色 +一奈米濾色 面板*全新α8 AI 4K 影音處理晶片 影音表現更動人*支援雙杜比，Dolby Vision及Dolby Atmos*4組HDMI 2.1支援4K 120Hz、FreeSync*支援Apple Airplay2、手機投放 </v>
      </c>
    </row>
    <row r="1164" spans="1:27" ht="19.5" customHeight="1">
      <c r="A1164" s="12" t="str">
        <f ca="1">IFERROR(__xludf.DUMMYFUNCTION("""COMPUTED_VALUE"""),"HDTV")</f>
        <v>HDTV</v>
      </c>
      <c r="B1164" s="12" t="str">
        <f ca="1">IFERROR(__xludf.DUMMYFUNCTION("""COMPUTED_VALUE"""),"神腦")</f>
        <v>神腦</v>
      </c>
      <c r="C1164" s="12" t="str">
        <f ca="1">IFERROR(__xludf.DUMMYFUNCTION("""COMPUTED_VALUE"""),"LG")</f>
        <v>LG</v>
      </c>
      <c r="D1164" s="12" t="str">
        <f ca="1">IFERROR(__xludf.DUMMYFUNCTION("""COMPUTED_VALUE"""),"LG 75型 QNED α8 4K AI智慧聯網顯示器 75QNED86TTA")</f>
        <v>LG 75型 QNED α8 4K AI智慧聯網顯示器 75QNED86TTA</v>
      </c>
      <c r="E1164" s="12" t="str">
        <f ca="1">IFERROR(__xludf.DUMMYFUNCTION("""COMPUTED_VALUE"""),"75QNED86TTA")</f>
        <v>75QNED86TTA</v>
      </c>
      <c r="F1164" s="12">
        <f ca="1">IFERROR(__xludf.DUMMYFUNCTION("""COMPUTED_VALUE"""),51016439)</f>
        <v>51016439</v>
      </c>
      <c r="G1164" s="12" t="str">
        <f ca="1">IFERROR(__xludf.DUMMYFUNCTION("""COMPUTED_VALUE"""),"NCTV01PC")</f>
        <v>NCTV01PC</v>
      </c>
      <c r="H1164" s="13">
        <f ca="1">IFERROR(__xludf.DUMMYFUNCTION("""COMPUTED_VALUE"""),79900)</f>
        <v>79900</v>
      </c>
      <c r="I1164" s="18">
        <f ca="1">IFERROR(__xludf.DUMMYFUNCTION("""COMPUTED_VALUE"""),58900)</f>
        <v>58900</v>
      </c>
      <c r="J1164" s="16">
        <f ca="1">IFERROR(__xludf.DUMMYFUNCTION("""COMPUTED_VALUE"""),45673)</f>
        <v>45673</v>
      </c>
      <c r="K1164" s="12" t="str">
        <f ca="1">IFERROR(__xludf.DUMMYFUNCTION("""COMPUTED_VALUE"""),"永久降價")</f>
        <v>永久降價</v>
      </c>
      <c r="L1164" s="12" t="str">
        <f ca="1">IFERROR(__xludf.DUMMYFUNCTION("""COMPUTED_VALUE"""),"上架中")</f>
        <v>上架中</v>
      </c>
      <c r="M1164" s="12" t="str">
        <f ca="1">IFERROR(__xludf.DUMMYFUNCTION("""COMPUTED_VALUE"""),"7/10新機上架")</f>
        <v>7/10新機上架</v>
      </c>
      <c r="N1164" s="12" t="str">
        <f ca="1">IFERROR(__xludf.DUMMYFUNCTION("""COMPUTED_VALUE"""),"螢幕/液晶電視")</f>
        <v>螢幕/液晶電視</v>
      </c>
      <c r="O1164" s="12"/>
      <c r="P1164" s="12" t="str">
        <f ca="1">IFERROR(__xludf.DUMMYFUNCTION("""COMPUTED_VALUE"""),"75型")</f>
        <v>75型</v>
      </c>
      <c r="Q1164" s="12" t="str">
        <f ca="1">IFERROR(__xludf.DUMMYFUNCTION("""COMPUTED_VALUE"""),"不含底座：965 x 1677 x 30.9 (mm)
含底座：1032 x 1677 x 359 (mm)")</f>
        <v>不含底座：965 x 1677 x 30.9 (mm)
含底座：1032 x 1677 x 359 (mm)</v>
      </c>
      <c r="R1164" s="12" t="str">
        <f ca="1">IFERROR(__xludf.DUMMYFUNCTION("""COMPUTED_VALUE"""),"印尼")</f>
        <v>印尼</v>
      </c>
      <c r="S1164" s="12"/>
      <c r="T1164" s="12"/>
      <c r="U1164" s="12" t="str">
        <f ca="1">IFERROR(__xludf.DUMMYFUNCTION("""COMPUTED_VALUE"""),"2年")</f>
        <v>2年</v>
      </c>
      <c r="V1164" s="12"/>
      <c r="W1164" s="12"/>
      <c r="X1164" s="12"/>
      <c r="Y1164" s="12"/>
      <c r="Z1164" s="14"/>
      <c r="AA1164" s="15" t="str">
        <f ca="1">IFERROR(__xludf.DUMMYFUNCTION("""COMPUTED_VALUE"""),"*量子點增色 +一奈米濾色 面板*全新α8 AI 4K 影音處理晶片 影音表現更動人*支援雙杜比，Dolby Vision及Dolby Atmos*4組HDMI 2.1支援4K 120Hz、FreeSync*支援Apple Airplay2、手機投放 ")</f>
        <v xml:space="preserve">*量子點增色 +一奈米濾色 面板*全新α8 AI 4K 影音處理晶片 影音表現更動人*支援雙杜比，Dolby Vision及Dolby Atmos*4組HDMI 2.1支援4K 120Hz、FreeSync*支援Apple Airplay2、手機投放 </v>
      </c>
    </row>
    <row r="1165" spans="1:27" ht="19.5" customHeight="1">
      <c r="A1165" s="12" t="str">
        <f ca="1">IFERROR(__xludf.DUMMYFUNCTION("""COMPUTED_VALUE"""),"HDTV")</f>
        <v>HDTV</v>
      </c>
      <c r="B1165" s="12" t="str">
        <f ca="1">IFERROR(__xludf.DUMMYFUNCTION("""COMPUTED_VALUE"""),"神腦")</f>
        <v>神腦</v>
      </c>
      <c r="C1165" s="12" t="str">
        <f ca="1">IFERROR(__xludf.DUMMYFUNCTION("""COMPUTED_VALUE"""),"LG")</f>
        <v>LG</v>
      </c>
      <c r="D1165" s="12" t="str">
        <f ca="1">IFERROR(__xludf.DUMMYFUNCTION("""COMPUTED_VALUE"""),"LG 55型 零間隙OLED evo 4K AI智慧聯網顯示器 OLED55G4PTA(無腳架)")</f>
        <v>LG 55型 零間隙OLED evo 4K AI智慧聯網顯示器 OLED55G4PTA(無腳架)</v>
      </c>
      <c r="E1165" s="12" t="str">
        <f ca="1">IFERROR(__xludf.DUMMYFUNCTION("""COMPUTED_VALUE"""),"OLED55G4PTA")</f>
        <v>OLED55G4PTA</v>
      </c>
      <c r="F1165" s="12">
        <f ca="1">IFERROR(__xludf.DUMMYFUNCTION("""COMPUTED_VALUE"""),51040035)</f>
        <v>51040035</v>
      </c>
      <c r="G1165" s="12" t="str">
        <f ca="1">IFERROR(__xludf.DUMMYFUNCTION("""COMPUTED_VALUE"""),"NCTV01S8")</f>
        <v>NCTV01S8</v>
      </c>
      <c r="H1165" s="13">
        <f ca="1">IFERROR(__xludf.DUMMYFUNCTION("""COMPUTED_VALUE"""),79900)</f>
        <v>79900</v>
      </c>
      <c r="I1165" s="18">
        <f ca="1">IFERROR(__xludf.DUMMYFUNCTION("""COMPUTED_VALUE"""),62900)</f>
        <v>62900</v>
      </c>
      <c r="J1165" s="12"/>
      <c r="K1165" s="12"/>
      <c r="L1165" s="12" t="str">
        <f ca="1">IFERROR(__xludf.DUMMYFUNCTION("""COMPUTED_VALUE"""),"上架中")</f>
        <v>上架中</v>
      </c>
      <c r="M1165" s="12" t="str">
        <f ca="1">IFERROR(__xludf.DUMMYFUNCTION("""COMPUTED_VALUE"""),"CQ2Q only")</f>
        <v>CQ2Q only</v>
      </c>
      <c r="N1165" s="12" t="str">
        <f ca="1">IFERROR(__xludf.DUMMYFUNCTION("""COMPUTED_VALUE"""),"螢幕/液晶電視")</f>
        <v>螢幕/液晶電視</v>
      </c>
      <c r="O1165" s="12"/>
      <c r="P1165" s="12" t="str">
        <f ca="1">IFERROR(__xludf.DUMMYFUNCTION("""COMPUTED_VALUE"""),"55型")</f>
        <v>55型</v>
      </c>
      <c r="Q1165" s="12" t="str">
        <f ca="1">IFERROR(__xludf.DUMMYFUNCTION("""COMPUTED_VALUE"""),"不含底座：
703 x1222 x 27.2 (mm)
含底座：
1222 x 787 x 1222 x 263 (mm)")</f>
        <v>不含底座：
703 x1222 x 27.2 (mm)
含底座：
1222 x 787 x 1222 x 263 (mm)</v>
      </c>
      <c r="R1165" s="12" t="str">
        <f ca="1">IFERROR(__xludf.DUMMYFUNCTION("""COMPUTED_VALUE"""),"印尼")</f>
        <v>印尼</v>
      </c>
      <c r="S1165" s="12"/>
      <c r="T1165" s="12"/>
      <c r="U1165" s="12" t="str">
        <f ca="1">IFERROR(__xludf.DUMMYFUNCTION("""COMPUTED_VALUE"""),"2年")</f>
        <v>2年</v>
      </c>
      <c r="V1165" s="12"/>
      <c r="W1165" s="12"/>
      <c r="X1165" s="12"/>
      <c r="Y1165" s="12"/>
      <c r="Z1165" s="14"/>
      <c r="AA1165" s="15" t="str">
        <f ca="1">IFERROR(__xludf.DUMMYFUNCTION("""COMPUTED_VALUE"""),"*OLED電視 連續11年全球銷售No.1*全新α11 AI影音處理晶片  影音運算4倍升級*支援Dolby Vision 及Dolby Atmos*國際護眼認證：低藍光/不閃爍/無不適眩光認證*4組HDMI 2.1支援4K 144Hz、G-Sync、FreeSync*支援Apple Airplay2、手機投放 ")</f>
        <v xml:space="preserve">*OLED電視 連續11年全球銷售No.1*全新α11 AI影音處理晶片  影音運算4倍升級*支援Dolby Vision 及Dolby Atmos*國際護眼認證：低藍光/不閃爍/無不適眩光認證*4組HDMI 2.1支援4K 144Hz、G-Sync、FreeSync*支援Apple Airplay2、手機投放 </v>
      </c>
    </row>
    <row r="1166" spans="1:27" ht="19.5" customHeight="1">
      <c r="A1166" s="12" t="str">
        <f ca="1">IFERROR(__xludf.DUMMYFUNCTION("""COMPUTED_VALUE"""),"HDTV")</f>
        <v>HDTV</v>
      </c>
      <c r="B1166" s="12" t="str">
        <f ca="1">IFERROR(__xludf.DUMMYFUNCTION("""COMPUTED_VALUE"""),"神腦")</f>
        <v>神腦</v>
      </c>
      <c r="C1166" s="12" t="str">
        <f ca="1">IFERROR(__xludf.DUMMYFUNCTION("""COMPUTED_VALUE"""),"LG")</f>
        <v>LG</v>
      </c>
      <c r="D1166" s="12" t="str">
        <f ca="1">IFERROR(__xludf.DUMMYFUNCTION("""COMPUTED_VALUE"""),"LG 65型 零間隙OLED evo 4K AI智慧聯網顯示器 OLED65G4PTA(無腳架)")</f>
        <v>LG 65型 零間隙OLED evo 4K AI智慧聯網顯示器 OLED65G4PTA(無腳架)</v>
      </c>
      <c r="E1166" s="12" t="str">
        <f ca="1">IFERROR(__xludf.DUMMYFUNCTION("""COMPUTED_VALUE"""),"OLED65G4PTA")</f>
        <v>OLED65G4PTA</v>
      </c>
      <c r="F1166" s="12">
        <f ca="1">IFERROR(__xludf.DUMMYFUNCTION("""COMPUTED_VALUE"""),51040036)</f>
        <v>51040036</v>
      </c>
      <c r="G1166" s="12" t="str">
        <f ca="1">IFERROR(__xludf.DUMMYFUNCTION("""COMPUTED_VALUE"""),"NCTV01S9")</f>
        <v>NCTV01S9</v>
      </c>
      <c r="H1166" s="13">
        <f ca="1">IFERROR(__xludf.DUMMYFUNCTION("""COMPUTED_VALUE"""),114900)</f>
        <v>114900</v>
      </c>
      <c r="I1166" s="18">
        <f ca="1">IFERROR(__xludf.DUMMYFUNCTION("""COMPUTED_VALUE"""),90900)</f>
        <v>90900</v>
      </c>
      <c r="J1166" s="12"/>
      <c r="K1166" s="12"/>
      <c r="L1166" s="12" t="str">
        <f ca="1">IFERROR(__xludf.DUMMYFUNCTION("""COMPUTED_VALUE"""),"缺貨")</f>
        <v>缺貨</v>
      </c>
      <c r="M1166" s="12" t="str">
        <f ca="1">IFERROR(__xludf.DUMMYFUNCTION("""COMPUTED_VALUE"""),"CQ2Q only")</f>
        <v>CQ2Q only</v>
      </c>
      <c r="N1166" s="12" t="str">
        <f ca="1">IFERROR(__xludf.DUMMYFUNCTION("""COMPUTED_VALUE"""),"螢幕/液晶電視")</f>
        <v>螢幕/液晶電視</v>
      </c>
      <c r="O1166" s="12"/>
      <c r="P1166" s="12" t="str">
        <f ca="1">IFERROR(__xludf.DUMMYFUNCTION("""COMPUTED_VALUE"""),"65型")</f>
        <v>65型</v>
      </c>
      <c r="Q1166" s="12" t="str">
        <f ca="1">IFERROR(__xludf.DUMMYFUNCTION("""COMPUTED_VALUE"""),"不含底座：
 826 x 1441 x 24.3 (mm)
 含底座：
 910 x 1441 x 263 (mm)")</f>
        <v>不含底座：
 826 x 1441 x 24.3 (mm)
 含底座：
 910 x 1441 x 263 (mm)</v>
      </c>
      <c r="R1166" s="12" t="str">
        <f ca="1">IFERROR(__xludf.DUMMYFUNCTION("""COMPUTED_VALUE"""),"印尼")</f>
        <v>印尼</v>
      </c>
      <c r="S1166" s="12"/>
      <c r="T1166" s="12"/>
      <c r="U1166" s="12" t="str">
        <f ca="1">IFERROR(__xludf.DUMMYFUNCTION("""COMPUTED_VALUE"""),"2年")</f>
        <v>2年</v>
      </c>
      <c r="V1166" s="12"/>
      <c r="W1166" s="12"/>
      <c r="X1166" s="12"/>
      <c r="Y1166" s="12"/>
      <c r="Z1166" s="14"/>
      <c r="AA1166" s="15" t="str">
        <f ca="1">IFERROR(__xludf.DUMMYFUNCTION("""COMPUTED_VALUE"""),"*OLED電視 連續11年全球銷售No.1*全新α11 AI影音處理晶片  影音運算4倍升級*支援Dolby Vision 及Dolby Atmos*國際護眼認證：低藍光/不閃爍/無不適眩光認證*4組HDMI 2.1支援4K 144Hz、G-Sync、FreeSync*支援Apple Airplay2、手機投放 ")</f>
        <v xml:space="preserve">*OLED電視 連續11年全球銷售No.1*全新α11 AI影音處理晶片  影音運算4倍升級*支援Dolby Vision 及Dolby Atmos*國際護眼認證：低藍光/不閃爍/無不適眩光認證*4組HDMI 2.1支援4K 144Hz、G-Sync、FreeSync*支援Apple Airplay2、手機投放 </v>
      </c>
    </row>
    <row r="1167" spans="1:27" ht="19.5" customHeight="1">
      <c r="A1167" s="12" t="str">
        <f ca="1">IFERROR(__xludf.DUMMYFUNCTION("""COMPUTED_VALUE"""),"HDTV")</f>
        <v>HDTV</v>
      </c>
      <c r="B1167" s="12" t="str">
        <f ca="1">IFERROR(__xludf.DUMMYFUNCTION("""COMPUTED_VALUE"""),"神腦")</f>
        <v>神腦</v>
      </c>
      <c r="C1167" s="12" t="str">
        <f ca="1">IFERROR(__xludf.DUMMYFUNCTION("""COMPUTED_VALUE"""),"LG")</f>
        <v>LG</v>
      </c>
      <c r="D1167" s="12" t="str">
        <f ca="1">IFERROR(__xludf.DUMMYFUNCTION("""COMPUTED_VALUE"""),"LG 83型 零間隙OLED evo 4K AI智慧聯網顯示器 OLED83G4PTA(無腳架)")</f>
        <v>LG 83型 零間隙OLED evo 4K AI智慧聯網顯示器 OLED83G4PTA(無腳架)</v>
      </c>
      <c r="E1167" s="12" t="str">
        <f ca="1">IFERROR(__xludf.DUMMYFUNCTION("""COMPUTED_VALUE"""),"OLED83G4PTA")</f>
        <v>OLED83G4PTA</v>
      </c>
      <c r="F1167" s="12">
        <f ca="1">IFERROR(__xludf.DUMMYFUNCTION("""COMPUTED_VALUE"""),51040037)</f>
        <v>51040037</v>
      </c>
      <c r="G1167" s="12" t="str">
        <f ca="1">IFERROR(__xludf.DUMMYFUNCTION("""COMPUTED_VALUE"""),"NCTV01T1")</f>
        <v>NCTV01T1</v>
      </c>
      <c r="H1167" s="13">
        <f ca="1">IFERROR(__xludf.DUMMYFUNCTION("""COMPUTED_VALUE"""),249000)</f>
        <v>249000</v>
      </c>
      <c r="I1167" s="18">
        <f ca="1">IFERROR(__xludf.DUMMYFUNCTION("""COMPUTED_VALUE"""),175000)</f>
        <v>175000</v>
      </c>
      <c r="J1167" s="16">
        <f ca="1">IFERROR(__xludf.DUMMYFUNCTION("""COMPUTED_VALUE"""),45673)</f>
        <v>45673</v>
      </c>
      <c r="K1167" s="12" t="str">
        <f ca="1">IFERROR(__xludf.DUMMYFUNCTION("""COMPUTED_VALUE"""),"永久降價")</f>
        <v>永久降價</v>
      </c>
      <c r="L1167" s="12" t="str">
        <f ca="1">IFERROR(__xludf.DUMMYFUNCTION("""COMPUTED_VALUE"""),"缺貨")</f>
        <v>缺貨</v>
      </c>
      <c r="M1167" s="12" t="str">
        <f ca="1">IFERROR(__xludf.DUMMYFUNCTION("""COMPUTED_VALUE"""),"CQ2Q only")</f>
        <v>CQ2Q only</v>
      </c>
      <c r="N1167" s="12" t="str">
        <f ca="1">IFERROR(__xludf.DUMMYFUNCTION("""COMPUTED_VALUE"""),"螢幕/液晶電視")</f>
        <v>螢幕/液晶電視</v>
      </c>
      <c r="O1167" s="12"/>
      <c r="P1167" s="12" t="str">
        <f ca="1">IFERROR(__xludf.DUMMYFUNCTION("""COMPUTED_VALUE"""),"83型")</f>
        <v>83型</v>
      </c>
      <c r="Q1167" s="12" t="str">
        <f ca="1">IFERROR(__xludf.DUMMYFUNCTION("""COMPUTED_VALUE"""),"不含底座：
 1057 x 1847 x 28 (mm)
 含底座：
 1115 x 1847 x 321 (mm)")</f>
        <v>不含底座：
 1057 x 1847 x 28 (mm)
 含底座：
 1115 x 1847 x 321 (mm)</v>
      </c>
      <c r="R1167" s="12" t="str">
        <f ca="1">IFERROR(__xludf.DUMMYFUNCTION("""COMPUTED_VALUE"""),"印尼")</f>
        <v>印尼</v>
      </c>
      <c r="S1167" s="12"/>
      <c r="T1167" s="12"/>
      <c r="U1167" s="12" t="str">
        <f ca="1">IFERROR(__xludf.DUMMYFUNCTION("""COMPUTED_VALUE"""),"2年")</f>
        <v>2年</v>
      </c>
      <c r="V1167" s="12"/>
      <c r="W1167" s="12"/>
      <c r="X1167" s="12"/>
      <c r="Y1167" s="12"/>
      <c r="Z1167" s="14"/>
      <c r="AA1167" s="15" t="str">
        <f ca="1">IFERROR(__xludf.DUMMYFUNCTION("""COMPUTED_VALUE"""),"*OLED電視 連續11年全球銷售No.1*全新α11 AI影音處理晶片  影音運算4倍升級*支援Dolby Vision 及Dolby Atmos*國際護眼認證：低藍光/不閃爍/無不適眩光認證*4組HDMI 2.1支援4K 144Hz、G-Sync、FreeSync*支援Apple Airplay2、手機投放 ")</f>
        <v xml:space="preserve">*OLED電視 連續11年全球銷售No.1*全新α11 AI影音處理晶片  影音運算4倍升級*支援Dolby Vision 及Dolby Atmos*國際護眼認證：低藍光/不閃爍/無不適眩光認證*4組HDMI 2.1支援4K 144Hz、G-Sync、FreeSync*支援Apple Airplay2、手機投放 </v>
      </c>
    </row>
    <row r="1168" spans="1:27" ht="19.5" customHeight="1">
      <c r="A1168" s="12" t="str">
        <f ca="1">IFERROR(__xludf.DUMMYFUNCTION("""COMPUTED_VALUE"""),"HDTV")</f>
        <v>HDTV</v>
      </c>
      <c r="B1168" s="12" t="str">
        <f ca="1">IFERROR(__xludf.DUMMYFUNCTION("""COMPUTED_VALUE"""),"神腦")</f>
        <v>神腦</v>
      </c>
      <c r="C1168" s="12" t="str">
        <f ca="1">IFERROR(__xludf.DUMMYFUNCTION("""COMPUTED_VALUE"""),"LG")</f>
        <v>LG</v>
      </c>
      <c r="D1168" s="12" t="str">
        <f ca="1">IFERROR(__xludf.DUMMYFUNCTION("""COMPUTED_VALUE"""),"LG 65型QNED MiniLED量子奈米4K_120Hz_ AI智慧顯示器65QNED91TTA")</f>
        <v>LG 65型QNED MiniLED量子奈米4K_120Hz_ AI智慧顯示器65QNED91TTA</v>
      </c>
      <c r="E1168" s="12" t="str">
        <f ca="1">IFERROR(__xludf.DUMMYFUNCTION("""COMPUTED_VALUE"""),"65QNED91TTA")</f>
        <v>65QNED91TTA</v>
      </c>
      <c r="F1168" s="12">
        <f ca="1">IFERROR(__xludf.DUMMYFUNCTION("""COMPUTED_VALUE"""),51016567)</f>
        <v>51016567</v>
      </c>
      <c r="G1168" s="12" t="str">
        <f ca="1">IFERROR(__xludf.DUMMYFUNCTION("""COMPUTED_VALUE"""),"NCTV01TU")</f>
        <v>NCTV01TU</v>
      </c>
      <c r="H1168" s="13">
        <f ca="1">IFERROR(__xludf.DUMMYFUNCTION("""COMPUTED_VALUE"""),64900)</f>
        <v>64900</v>
      </c>
      <c r="I1168" s="18">
        <f ca="1">IFERROR(__xludf.DUMMYFUNCTION("""COMPUTED_VALUE"""),45900)</f>
        <v>45900</v>
      </c>
      <c r="J1168" s="16">
        <f ca="1">IFERROR(__xludf.DUMMYFUNCTION("""COMPUTED_VALUE"""),45673)</f>
        <v>45673</v>
      </c>
      <c r="K1168" s="12" t="str">
        <f ca="1">IFERROR(__xludf.DUMMYFUNCTION("""COMPUTED_VALUE"""),"永久降價")</f>
        <v>永久降價</v>
      </c>
      <c r="L1168" s="12" t="str">
        <f ca="1">IFERROR(__xludf.DUMMYFUNCTION("""COMPUTED_VALUE"""),"上架中")</f>
        <v>上架中</v>
      </c>
      <c r="M1168" s="12" t="str">
        <f ca="1">IFERROR(__xludf.DUMMYFUNCTION("""COMPUTED_VALUE"""),"CQ2Q only")</f>
        <v>CQ2Q only</v>
      </c>
      <c r="N1168" s="12" t="str">
        <f ca="1">IFERROR(__xludf.DUMMYFUNCTION("""COMPUTED_VALUE"""),"螢幕/液晶電視")</f>
        <v>螢幕/液晶電視</v>
      </c>
      <c r="O1168" s="12"/>
      <c r="P1168" s="12" t="str">
        <f ca="1">IFERROR(__xludf.DUMMYFUNCTION("""COMPUTED_VALUE"""),"65型")</f>
        <v>65型</v>
      </c>
      <c r="Q1168" s="12" t="str">
        <f ca="1">IFERROR(__xludf.DUMMYFUNCTION("""COMPUTED_VALUE"""),"不含底座：
 839 x 1452 x 44.9 (mm)
 含底座：
 907 x 1452 x 285 (mm)")</f>
        <v>不含底座：
 839 x 1452 x 44.9 (mm)
 含底座：
 907 x 1452 x 285 (mm)</v>
      </c>
      <c r="R1168" s="12" t="str">
        <f ca="1">IFERROR(__xludf.DUMMYFUNCTION("""COMPUTED_VALUE"""),"印尼")</f>
        <v>印尼</v>
      </c>
      <c r="S1168" s="12"/>
      <c r="T1168" s="12"/>
      <c r="U1168" s="12" t="str">
        <f ca="1">IFERROR(__xludf.DUMMYFUNCTION("""COMPUTED_VALUE"""),"2年")</f>
        <v>2年</v>
      </c>
      <c r="V1168" s="12"/>
      <c r="W1168" s="12"/>
      <c r="X1168" s="12"/>
      <c r="Y1168" s="12"/>
      <c r="Z1168" s="14"/>
      <c r="AA1168" s="15" t="str">
        <f ca="1">IFERROR(__xludf.DUMMYFUNCTION("""COMPUTED_VALUE"""),"*量子點增色 +一奈米濾色+ MiniLED面板 *全新α8 AI 4K 影音處理晶片 影音表現更動人*支援雙杜比，Dolby Vision及Dolby Atmos*4組HDMI 2.1支援4K 120Hz、FreeSync*支援Apple Airplay2、手機投放 ")</f>
        <v xml:space="preserve">*量子點增色 +一奈米濾色+ MiniLED面板 *全新α8 AI 4K 影音處理晶片 影音表現更動人*支援雙杜比，Dolby Vision及Dolby Atmos*4組HDMI 2.1支援4K 120Hz、FreeSync*支援Apple Airplay2、手機投放 </v>
      </c>
    </row>
    <row r="1169" spans="1:27" ht="19.5" customHeight="1">
      <c r="A1169" s="12" t="str">
        <f ca="1">IFERROR(__xludf.DUMMYFUNCTION("""COMPUTED_VALUE"""),"HDTV")</f>
        <v>HDTV</v>
      </c>
      <c r="B1169" s="12" t="str">
        <f ca="1">IFERROR(__xludf.DUMMYFUNCTION("""COMPUTED_VALUE"""),"神腦")</f>
        <v>神腦</v>
      </c>
      <c r="C1169" s="12" t="str">
        <f ca="1">IFERROR(__xludf.DUMMYFUNCTION("""COMPUTED_VALUE"""),"LG")</f>
        <v>LG</v>
      </c>
      <c r="D1169" s="12" t="str">
        <f ca="1">IFERROR(__xludf.DUMMYFUNCTION("""COMPUTED_VALUE"""),"LG 75型QNED MiniLED量子奈米4K_120Hz_ AI智慧顯示器75QNED91TTA")</f>
        <v>LG 75型QNED MiniLED量子奈米4K_120Hz_ AI智慧顯示器75QNED91TTA</v>
      </c>
      <c r="E1169" s="12" t="str">
        <f ca="1">IFERROR(__xludf.DUMMYFUNCTION("""COMPUTED_VALUE"""),"75QNED91TTA")</f>
        <v>75QNED91TTA</v>
      </c>
      <c r="F1169" s="12">
        <f ca="1">IFERROR(__xludf.DUMMYFUNCTION("""COMPUTED_VALUE"""),51016568)</f>
        <v>51016568</v>
      </c>
      <c r="G1169" s="12" t="str">
        <f ca="1">IFERROR(__xludf.DUMMYFUNCTION("""COMPUTED_VALUE"""),"NCTV01TV")</f>
        <v>NCTV01TV</v>
      </c>
      <c r="H1169" s="13">
        <f ca="1">IFERROR(__xludf.DUMMYFUNCTION("""COMPUTED_VALUE"""),84900)</f>
        <v>84900</v>
      </c>
      <c r="I1169" s="18">
        <f ca="1">IFERROR(__xludf.DUMMYFUNCTION("""COMPUTED_VALUE"""),66900)</f>
        <v>66900</v>
      </c>
      <c r="J1169" s="16">
        <f ca="1">IFERROR(__xludf.DUMMYFUNCTION("""COMPUTED_VALUE"""),45673)</f>
        <v>45673</v>
      </c>
      <c r="K1169" s="12" t="str">
        <f ca="1">IFERROR(__xludf.DUMMYFUNCTION("""COMPUTED_VALUE"""),"永久降價")</f>
        <v>永久降價</v>
      </c>
      <c r="L1169" s="12" t="str">
        <f ca="1">IFERROR(__xludf.DUMMYFUNCTION("""COMPUTED_VALUE"""),"上架中")</f>
        <v>上架中</v>
      </c>
      <c r="M1169" s="12" t="str">
        <f ca="1">IFERROR(__xludf.DUMMYFUNCTION("""COMPUTED_VALUE"""),"CQ2Q only")</f>
        <v>CQ2Q only</v>
      </c>
      <c r="N1169" s="12" t="str">
        <f ca="1">IFERROR(__xludf.DUMMYFUNCTION("""COMPUTED_VALUE"""),"螢幕/液晶電視")</f>
        <v>螢幕/液晶電視</v>
      </c>
      <c r="O1169" s="12"/>
      <c r="P1169" s="12" t="str">
        <f ca="1">IFERROR(__xludf.DUMMYFUNCTION("""COMPUTED_VALUE"""),"75型")</f>
        <v>75型</v>
      </c>
      <c r="Q1169" s="12" t="str">
        <f ca="1">IFERROR(__xludf.DUMMYFUNCTION("""COMPUTED_VALUE"""),"不含底座：
 963 x 1673 x 44.9 (mm)
 含底座：
 1040 x 1673 x 370 (mm)")</f>
        <v>不含底座：
 963 x 1673 x 44.9 (mm)
 含底座：
 1040 x 1673 x 370 (mm)</v>
      </c>
      <c r="R1169" s="12" t="str">
        <f ca="1">IFERROR(__xludf.DUMMYFUNCTION("""COMPUTED_VALUE"""),"印尼")</f>
        <v>印尼</v>
      </c>
      <c r="S1169" s="12"/>
      <c r="T1169" s="12"/>
      <c r="U1169" s="12" t="str">
        <f ca="1">IFERROR(__xludf.DUMMYFUNCTION("""COMPUTED_VALUE"""),"2年")</f>
        <v>2年</v>
      </c>
      <c r="V1169" s="12"/>
      <c r="W1169" s="12"/>
      <c r="X1169" s="12"/>
      <c r="Y1169" s="12"/>
      <c r="Z1169" s="14"/>
      <c r="AA1169" s="15" t="str">
        <f ca="1">IFERROR(__xludf.DUMMYFUNCTION("""COMPUTED_VALUE"""),"*量子點增色 +一奈米濾色+ MiniLED面板 *全新α8 AI 4K 影音處理晶片 影音表現更動人*支援雙杜比，Dolby Vision及Dolby Atmos*4組HDMI 2.1支援4K 120Hz、FreeSync*支援Apple Airplay2、手機投放 ")</f>
        <v xml:space="preserve">*量子點增色 +一奈米濾色+ MiniLED面板 *全新α8 AI 4K 影音處理晶片 影音表現更動人*支援雙杜比，Dolby Vision及Dolby Atmos*4組HDMI 2.1支援4K 120Hz、FreeSync*支援Apple Airplay2、手機投放 </v>
      </c>
    </row>
    <row r="1170" spans="1:27" ht="19.5" customHeight="1">
      <c r="A1170" s="12" t="str">
        <f ca="1">IFERROR(__xludf.DUMMYFUNCTION("""COMPUTED_VALUE"""),"HDTV")</f>
        <v>HDTV</v>
      </c>
      <c r="B1170" s="12" t="str">
        <f ca="1">IFERROR(__xludf.DUMMYFUNCTION("""COMPUTED_VALUE"""),"神腦")</f>
        <v>神腦</v>
      </c>
      <c r="C1170" s="12" t="str">
        <f ca="1">IFERROR(__xludf.DUMMYFUNCTION("""COMPUTED_VALUE"""),"LG")</f>
        <v>LG</v>
      </c>
      <c r="D1170" s="12" t="str">
        <f ca="1">IFERROR(__xludf.DUMMYFUNCTION("""COMPUTED_VALUE"""),"LG 86型QNED MiniLED量子奈米4K_120Hz_ AI智慧顯示器86QNED91TTA")</f>
        <v>LG 86型QNED MiniLED量子奈米4K_120Hz_ AI智慧顯示器86QNED91TTA</v>
      </c>
      <c r="E1170" s="12" t="str">
        <f ca="1">IFERROR(__xludf.DUMMYFUNCTION("""COMPUTED_VALUE"""),"86QNED91TTA")</f>
        <v>86QNED91TTA</v>
      </c>
      <c r="F1170" s="12">
        <f ca="1">IFERROR(__xludf.DUMMYFUNCTION("""COMPUTED_VALUE"""),51016569)</f>
        <v>51016569</v>
      </c>
      <c r="G1170" s="12" t="str">
        <f ca="1">IFERROR(__xludf.DUMMYFUNCTION("""COMPUTED_VALUE"""),"NCTV01TW")</f>
        <v>NCTV01TW</v>
      </c>
      <c r="H1170" s="13">
        <f ca="1">IFERROR(__xludf.DUMMYFUNCTION("""COMPUTED_VALUE"""),179000)</f>
        <v>179000</v>
      </c>
      <c r="I1170" s="18">
        <f ca="1">IFERROR(__xludf.DUMMYFUNCTION("""COMPUTED_VALUE"""),139000)</f>
        <v>139000</v>
      </c>
      <c r="J1170" s="16">
        <f ca="1">IFERROR(__xludf.DUMMYFUNCTION("""COMPUTED_VALUE"""),45673)</f>
        <v>45673</v>
      </c>
      <c r="K1170" s="12" t="str">
        <f ca="1">IFERROR(__xludf.DUMMYFUNCTION("""COMPUTED_VALUE"""),"永久降價")</f>
        <v>永久降價</v>
      </c>
      <c r="L1170" s="12" t="str">
        <f ca="1">IFERROR(__xludf.DUMMYFUNCTION("""COMPUTED_VALUE"""),"上架中")</f>
        <v>上架中</v>
      </c>
      <c r="M1170" s="12" t="str">
        <f ca="1">IFERROR(__xludf.DUMMYFUNCTION("""COMPUTED_VALUE"""),"CQ2Q only")</f>
        <v>CQ2Q only</v>
      </c>
      <c r="N1170" s="12" t="str">
        <f ca="1">IFERROR(__xludf.DUMMYFUNCTION("""COMPUTED_VALUE"""),"螢幕/液晶電視")</f>
        <v>螢幕/液晶電視</v>
      </c>
      <c r="O1170" s="12"/>
      <c r="P1170" s="12" t="str">
        <f ca="1">IFERROR(__xludf.DUMMYFUNCTION("""COMPUTED_VALUE"""),"86型")</f>
        <v>86型</v>
      </c>
      <c r="Q1170" s="12" t="str">
        <f ca="1">IFERROR(__xludf.DUMMYFUNCTION("""COMPUTED_VALUE"""),"不含底座：
 1105 x 1925 x 46.1 (mm)
 含底座：
 1174 x 1925 x 370 (mm)")</f>
        <v>不含底座：
 1105 x 1925 x 46.1 (mm)
 含底座：
 1174 x 1925 x 370 (mm)</v>
      </c>
      <c r="R1170" s="12" t="str">
        <f ca="1">IFERROR(__xludf.DUMMYFUNCTION("""COMPUTED_VALUE"""),"印尼")</f>
        <v>印尼</v>
      </c>
      <c r="S1170" s="12"/>
      <c r="T1170" s="12"/>
      <c r="U1170" s="12" t="str">
        <f ca="1">IFERROR(__xludf.DUMMYFUNCTION("""COMPUTED_VALUE"""),"2年")</f>
        <v>2年</v>
      </c>
      <c r="V1170" s="12"/>
      <c r="W1170" s="12"/>
      <c r="X1170" s="12"/>
      <c r="Y1170" s="12"/>
      <c r="Z1170" s="14"/>
      <c r="AA1170" s="15" t="str">
        <f ca="1">IFERROR(__xludf.DUMMYFUNCTION("""COMPUTED_VALUE"""),"*量子點增色 +一奈米濾色+ MiniLED面板 *全新α8 AI 4K 影音處理晶片 影音表現更動人*支援雙杜比，Dolby Vision及Dolby Atmos*4組HDMI 2.1支援4K 120Hz、FreeSync*支援Apple Airplay2、手機投放 ")</f>
        <v xml:space="preserve">*量子點增色 +一奈米濾色+ MiniLED面板 *全新α8 AI 4K 影音處理晶片 影音表現更動人*支援雙杜比，Dolby Vision及Dolby Atmos*4組HDMI 2.1支援4K 120Hz、FreeSync*支援Apple Airplay2、手機投放 </v>
      </c>
    </row>
    <row r="1171" spans="1:27" ht="19.5" customHeight="1">
      <c r="A1171" s="12" t="str">
        <f ca="1">IFERROR(__xludf.DUMMYFUNCTION("""COMPUTED_VALUE"""),"生活家電")</f>
        <v>生活家電</v>
      </c>
      <c r="B1171" s="12" t="str">
        <f ca="1">IFERROR(__xludf.DUMMYFUNCTION("""COMPUTED_VALUE"""),"神腦")</f>
        <v>神腦</v>
      </c>
      <c r="C1171" s="12" t="str">
        <f ca="1">IFERROR(__xludf.DUMMYFUNCTION("""COMPUTED_VALUE"""),"LG")</f>
        <v>LG</v>
      </c>
      <c r="D1171" s="12" t="str">
        <f ca="1">IFERROR(__xludf.DUMMYFUNCTION("""COMPUTED_VALUE"""),"LG CordZero R5 濕拖清潔機器人 R5-PROPLUS1")</f>
        <v>LG CordZero R5 濕拖清潔機器人 R5-PROPLUS1</v>
      </c>
      <c r="E1171" s="12" t="str">
        <f ca="1">IFERROR(__xludf.DUMMYFUNCTION("""COMPUTED_VALUE"""),"R5-PROPLUS1")</f>
        <v>R5-PROPLUS1</v>
      </c>
      <c r="F1171" s="12">
        <f ca="1">IFERROR(__xludf.DUMMYFUNCTION("""COMPUTED_VALUE"""),51016616)</f>
        <v>51016616</v>
      </c>
      <c r="G1171" s="12" t="str">
        <f ca="1">IFERROR(__xludf.DUMMYFUNCTION("""COMPUTED_VALUE"""),"IGEM117S")</f>
        <v>IGEM117S</v>
      </c>
      <c r="H1171" s="13">
        <f ca="1">IFERROR(__xludf.DUMMYFUNCTION("""COMPUTED_VALUE"""),12900)</f>
        <v>12900</v>
      </c>
      <c r="I1171" s="14">
        <f ca="1">IFERROR(__xludf.DUMMYFUNCTION("""COMPUTED_VALUE"""),9499)</f>
        <v>9499</v>
      </c>
      <c r="J1171" s="16">
        <f ca="1">IFERROR(__xludf.DUMMYFUNCTION("""COMPUTED_VALUE"""),45667)</f>
        <v>45667</v>
      </c>
      <c r="K1171" s="12" t="str">
        <f ca="1">IFERROR(__xludf.DUMMYFUNCTION("""COMPUTED_VALUE"""),"缺貨")</f>
        <v>缺貨</v>
      </c>
      <c r="L1171" s="12" t="str">
        <f ca="1">IFERROR(__xludf.DUMMYFUNCTION("""COMPUTED_VALUE"""),"缺貨")</f>
        <v>缺貨</v>
      </c>
      <c r="M1171" s="12" t="str">
        <f ca="1">IFERROR(__xludf.DUMMYFUNCTION("""COMPUTED_VALUE"""),"1/10缺貨(預計2月中到貨)，2025/1/1上架")</f>
        <v>1/10缺貨(預計2月中到貨)，2025/1/1上架</v>
      </c>
      <c r="N1171" s="12" t="str">
        <f ca="1">IFERROR(__xludf.DUMMYFUNCTION("""COMPUTED_VALUE"""),"掃地/拖地機")</f>
        <v>掃地/拖地機</v>
      </c>
      <c r="O1171" s="12" t="str">
        <f ca="1">IFERROR(__xludf.DUMMYFUNCTION("""COMPUTED_VALUE"""),"雲朵白")</f>
        <v>雲朵白</v>
      </c>
      <c r="P1171" s="12"/>
      <c r="Q1171" s="12" t="str">
        <f ca="1">IFERROR(__xludf.DUMMYFUNCTION("""COMPUTED_VALUE"""),"高94.5*寬342*深342mm")</f>
        <v>高94.5*寬342*深342mm</v>
      </c>
      <c r="R1171" s="12" t="str">
        <f ca="1">IFERROR(__xludf.DUMMYFUNCTION("""COMPUTED_VALUE"""),"中國")</f>
        <v>中國</v>
      </c>
      <c r="S1171" s="12"/>
      <c r="T1171" s="12"/>
      <c r="U1171" s="12" t="str">
        <f ca="1">IFERROR(__xludf.DUMMYFUNCTION("""COMPUTED_VALUE"""),"1年")</f>
        <v>1年</v>
      </c>
      <c r="V1171" s="12" t="str">
        <f ca="1">IFERROR(__xludf.DUMMYFUNCTION("""COMPUTED_VALUE"""),"馬達1年保固")</f>
        <v>馬達1年保固</v>
      </c>
      <c r="W1171" s="12"/>
      <c r="X1171" s="12"/>
      <c r="Y1171" s="12"/>
      <c r="Z1171" s="14"/>
      <c r="AA1171" s="15" t="str">
        <f ca="1">IFERROR(__xludf.DUMMYFUNCTION("""COMPUTED_VALUE"""),"*乾吸濕拖 一次完成*360 LiDAR 雷射偵測並繪製環境圖面*ThinQ App 遠端控制、設定禁區、或限定打掃區域 *智慧吸力調整，偵測到地毯時吸力自動增強*懸崖感測器偵測並避開階差*全自動智慧給水裝置")</f>
        <v>*乾吸濕拖 一次完成*360 LiDAR 雷射偵測並繪製環境圖面*ThinQ App 遠端控制、設定禁區、或限定打掃區域 *智慧吸力調整，偵測到地毯時吸力自動增強*懸崖感測器偵測並避開階差*全自動智慧給水裝置</v>
      </c>
    </row>
    <row r="1172" spans="1:27" ht="19.5" customHeight="1">
      <c r="A1172" s="12" t="str">
        <f ca="1">IFERROR(__xludf.DUMMYFUNCTION("""COMPUTED_VALUE"""),"生活家電")</f>
        <v>生活家電</v>
      </c>
      <c r="B1172" s="12" t="str">
        <f ca="1">IFERROR(__xludf.DUMMYFUNCTION("""COMPUTED_VALUE"""),"神腦")</f>
        <v>神腦</v>
      </c>
      <c r="C1172" s="12" t="str">
        <f ca="1">IFERROR(__xludf.DUMMYFUNCTION("""COMPUTED_VALUE"""),"LG")</f>
        <v>LG</v>
      </c>
      <c r="D1172" s="12" t="str">
        <f ca="1">IFERROR(__xludf.DUMMYFUNCTION("""COMPUTED_VALUE"""),"LG CordZero™ R5 濕拖清潔機器人 R5-PROBL 石墨黑")</f>
        <v>LG CordZero™ R5 濕拖清潔機器人 R5-PROBL 石墨黑</v>
      </c>
      <c r="E1172" s="12" t="str">
        <f ca="1">IFERROR(__xludf.DUMMYFUNCTION("""COMPUTED_VALUE"""),"R5-PROBL")</f>
        <v>R5-PROBL</v>
      </c>
      <c r="F1172" s="12">
        <f ca="1">IFERROR(__xludf.DUMMYFUNCTION("""COMPUTED_VALUE"""),51016638)</f>
        <v>51016638</v>
      </c>
      <c r="G1172" s="12" t="str">
        <f ca="1">IFERROR(__xludf.DUMMYFUNCTION("""COMPUTED_VALUE"""),"IGEM119Q")</f>
        <v>IGEM119Q</v>
      </c>
      <c r="H1172" s="13">
        <f ca="1">IFERROR(__xludf.DUMMYFUNCTION("""COMPUTED_VALUE"""),12900)</f>
        <v>12900</v>
      </c>
      <c r="I1172" s="14">
        <f ca="1">IFERROR(__xludf.DUMMYFUNCTION("""COMPUTED_VALUE"""),9499)</f>
        <v>9499</v>
      </c>
      <c r="J1172" s="16">
        <f ca="1">IFERROR(__xludf.DUMMYFUNCTION("""COMPUTED_VALUE"""),45673)</f>
        <v>45673</v>
      </c>
      <c r="K1172" s="12" t="str">
        <f ca="1">IFERROR(__xludf.DUMMYFUNCTION("""COMPUTED_VALUE"""),"新機上架")</f>
        <v>新機上架</v>
      </c>
      <c r="L1172" s="12" t="str">
        <f ca="1">IFERROR(__xludf.DUMMYFUNCTION("""COMPUTED_VALUE"""),"上架中")</f>
        <v>上架中</v>
      </c>
      <c r="M1172" s="12" t="str">
        <f ca="1">IFERROR(__xludf.DUMMYFUNCTION("""COMPUTED_VALUE"""),"2025/1/16上架")</f>
        <v>2025/1/16上架</v>
      </c>
      <c r="N1172" s="12" t="str">
        <f ca="1">IFERROR(__xludf.DUMMYFUNCTION("""COMPUTED_VALUE"""),"掃地機器人")</f>
        <v>掃地機器人</v>
      </c>
      <c r="O1172" s="12" t="str">
        <f ca="1">IFERROR(__xludf.DUMMYFUNCTION("""COMPUTED_VALUE"""),"石墨黑")</f>
        <v>石墨黑</v>
      </c>
      <c r="P1172" s="12"/>
      <c r="Q1172" s="12" t="str">
        <f ca="1">IFERROR(__xludf.DUMMYFUNCTION("""COMPUTED_VALUE"""),"94.5 x 342 x 342mm")</f>
        <v>94.5 x 342 x 342mm</v>
      </c>
      <c r="R1172" s="12" t="str">
        <f ca="1">IFERROR(__xludf.DUMMYFUNCTION("""COMPUTED_VALUE"""),"中國")</f>
        <v>中國</v>
      </c>
      <c r="S1172" s="12"/>
      <c r="T1172" s="12"/>
      <c r="U1172" s="12" t="str">
        <f ca="1">IFERROR(__xludf.DUMMYFUNCTION("""COMPUTED_VALUE"""),"1年")</f>
        <v>1年</v>
      </c>
      <c r="V1172" s="12" t="str">
        <f ca="1">IFERROR(__xludf.DUMMYFUNCTION("""COMPUTED_VALUE"""),"變頻馬達1年")</f>
        <v>變頻馬達1年</v>
      </c>
      <c r="W1172" s="12"/>
      <c r="X1172" s="12"/>
      <c r="Y1172" s="12"/>
      <c r="Z1172" s="14"/>
      <c r="AA1172" s="15" t="str">
        <f ca="1">IFERROR(__xludf.DUMMYFUNCTION("""COMPUTED_VALUE"""),"*乾吸濕拖 一次完成*360 LiDAR 雷射偵測並繪製環境圖面*ThinQ App 遠端控制、設定禁區、或限定打掃區域*智慧吸力調整，偵測到地毯時吸力自動增強*懸崖感測器偵測並避開階差*全自動智慧給水裝置")</f>
        <v>*乾吸濕拖 一次完成*360 LiDAR 雷射偵測並繪製環境圖面*ThinQ App 遠端控制、設定禁區、或限定打掃區域*智慧吸力調整，偵測到地毯時吸力自動增強*懸崖感測器偵測並避開階差*全自動智慧給水裝置</v>
      </c>
    </row>
    <row r="1173" spans="1:27" ht="19.5" customHeight="1">
      <c r="A1173" s="12" t="str">
        <f ca="1">IFERROR(__xludf.DUMMYFUNCTION("""COMPUTED_VALUE"""),"投影機")</f>
        <v>投影機</v>
      </c>
      <c r="B1173" s="12" t="str">
        <f ca="1">IFERROR(__xludf.DUMMYFUNCTION("""COMPUTED_VALUE"""),"神腦")</f>
        <v>神腦</v>
      </c>
      <c r="C1173" s="12" t="str">
        <f ca="1">IFERROR(__xludf.DUMMYFUNCTION("""COMPUTED_VALUE"""),"Samsung")</f>
        <v>Samsung</v>
      </c>
      <c r="D1173" s="12" t="str">
        <f ca="1">IFERROR(__xludf.DUMMYFUNCTION("""COMPUTED_VALUE"""),"SAMSUNG The Freestyle 2(第二代)微型智慧投影機")</f>
        <v>SAMSUNG The Freestyle 2(第二代)微型智慧投影機</v>
      </c>
      <c r="E1173" s="12" t="str">
        <f ca="1">IFERROR(__xludf.DUMMYFUNCTION("""COMPUTED_VALUE"""),"SP-LFF3CLAXXZW")</f>
        <v>SP-LFF3CLAXXZW</v>
      </c>
      <c r="F1173" s="12">
        <f ca="1">IFERROR(__xludf.DUMMYFUNCTION("""COMPUTED_VALUE"""),51016346)</f>
        <v>51016346</v>
      </c>
      <c r="G1173" s="12" t="str">
        <f ca="1">IFERROR(__xludf.DUMMYFUNCTION("""COMPUTED_VALUE"""),"NCPR00BQ")</f>
        <v>NCPR00BQ</v>
      </c>
      <c r="H1173" s="13">
        <f ca="1">IFERROR(__xludf.DUMMYFUNCTION("""COMPUTED_VALUE"""),28900)</f>
        <v>28900</v>
      </c>
      <c r="I1173" s="14">
        <f ca="1">IFERROR(__xludf.DUMMYFUNCTION("""COMPUTED_VALUE"""),25900)</f>
        <v>25900</v>
      </c>
      <c r="J1173" s="12"/>
      <c r="K1173" s="12"/>
      <c r="L1173" s="12" t="str">
        <f ca="1">IFERROR(__xludf.DUMMYFUNCTION("""COMPUTED_VALUE"""),"上架中")</f>
        <v>上架中</v>
      </c>
      <c r="M1173" s="12" t="str">
        <f ca="1">IFERROR(__xludf.DUMMYFUNCTION("""COMPUTED_VALUE"""),"POS受理")</f>
        <v>POS受理</v>
      </c>
      <c r="N1173" s="12" t="str">
        <f ca="1">IFERROR(__xludf.DUMMYFUNCTION("""COMPUTED_VALUE"""),"投影機")</f>
        <v>投影機</v>
      </c>
      <c r="O1173" s="12"/>
      <c r="P1173" s="12" t="str">
        <f ca="1">IFERROR(__xludf.DUMMYFUNCTION("""COMPUTED_VALUE"""),"16:9")</f>
        <v>16:9</v>
      </c>
      <c r="Q1173" s="12" t="str">
        <f ca="1">IFERROR(__xludf.DUMMYFUNCTION("""COMPUTED_VALUE"""),"172.8mm*102.4mm*95.2mm")</f>
        <v>172.8mm*102.4mm*95.2mm</v>
      </c>
      <c r="R1173" s="12" t="str">
        <f ca="1">IFERROR(__xludf.DUMMYFUNCTION("""COMPUTED_VALUE"""),"台灣")</f>
        <v>台灣</v>
      </c>
      <c r="S1173" s="12"/>
      <c r="T1173" s="12"/>
      <c r="U1173" s="12" t="str">
        <f ca="1">IFERROR(__xludf.DUMMYFUNCTION("""COMPUTED_VALUE"""),"2年")</f>
        <v>2年</v>
      </c>
      <c r="V1173" s="12"/>
      <c r="W1173" s="12"/>
      <c r="X1173" s="12"/>
      <c r="Y1173" s="12"/>
      <c r="Z1173" s="14"/>
      <c r="AA1173" s="15" t="str">
        <f ca="1">IFERROR(__xludf.DUMMYFUNCTION("""COMPUTED_VALUE"""),"1. 超Easy 同樂零時差: 搭載 Smart Hub 智慧中心，內建Netflix等多款影音串流服務。
2. 超輕巧 隨身電影院: 機身0.8KG，可投影 30~100 吋巨型螢幕，支援1080P FHD HDR 影像。
3. 超靈活  影音雙享受 :180度廣域投影, 搭載360°立體音場, 影音雙重享受。
4. 四大智慧設定: 搭載自動對焦、梯形校正、水平調校、智慧畫面調校, 輕鬆享受投影內容
5. (New)智慧拼接投影: 直式橫式變化，不論是電影級超寬螢幕或是巨幅直拍影像, 好視成雙、放大享受"&amp;"。
6. (New)超環保 智慧遙控器: 支援Type C與太陽能等方式蓄電, 結合熱門影音快捷鍵, 享受熱門娛樂快速切換
7. 30,000小時 LED 最大可使用壽命, 較第一代提高50%
8. (New)中文語音聲控: 支援Bixby 中文語音操作
9: 跨裝置串聯: 三星Smart View, AirPlay 2, Windows 系統無線分享, 跨裝置、跨系統無線分享
10. 專屬情境模式: 內建20種情境模式, 營造不同氛圍")</f>
        <v>1. 超Easy 同樂零時差: 搭載 Smart Hub 智慧中心，內建Netflix等多款影音串流服務。
2. 超輕巧 隨身電影院: 機身0.8KG，可投影 30~100 吋巨型螢幕，支援1080P FHD HDR 影像。
3. 超靈活  影音雙享受 :180度廣域投影, 搭載360°立體音場, 影音雙重享受。
4. 四大智慧設定: 搭載自動對焦、梯形校正、水平調校、智慧畫面調校, 輕鬆享受投影內容
5. (New)智慧拼接投影: 直式橫式變化，不論是電影級超寬螢幕或是巨幅直拍影像, 好視成雙、放大享受。
6. (New)超環保 智慧遙控器: 支援Type C與太陽能等方式蓄電, 結合熱門影音快捷鍵, 享受熱門娛樂快速切換
7. 30,000小時 LED 最大可使用壽命, 較第一代提高50%
8. (New)中文語音聲控: 支援Bixby 中文語音操作
9: 跨裝置串聯: 三星Smart View, AirPlay 2, Windows 系統無線分享, 跨裝置、跨系統無線分享
10. 專屬情境模式: 內建20種情境模式, 營造不同氛圍</v>
      </c>
    </row>
    <row r="1174" spans="1:27" ht="19.5" customHeight="1">
      <c r="A1174" s="12" t="str">
        <f ca="1">IFERROR(__xludf.DUMMYFUNCTION("""COMPUTED_VALUE"""),"HDTV")</f>
        <v>HDTV</v>
      </c>
      <c r="B1174" s="12" t="str">
        <f ca="1">IFERROR(__xludf.DUMMYFUNCTION("""COMPUTED_VALUE"""),"神腦")</f>
        <v>神腦</v>
      </c>
      <c r="C1174" s="12" t="str">
        <f ca="1">IFERROR(__xludf.DUMMYFUNCTION("""COMPUTED_VALUE"""),"PANASONIC")</f>
        <v>PANASONIC</v>
      </c>
      <c r="D1174" s="12" t="str">
        <f ca="1">IFERROR(__xludf.DUMMYFUNCTION("""COMPUTED_VALUE"""),"Panasonic 43型Google聯網4K液晶顯示器(無視訊盒)TN-43W70AGT")</f>
        <v>Panasonic 43型Google聯網4K液晶顯示器(無視訊盒)TN-43W70AGT</v>
      </c>
      <c r="E1174" s="12" t="str">
        <f ca="1">IFERROR(__xludf.DUMMYFUNCTION("""COMPUTED_VALUE"""),"TN-43W70AGT")</f>
        <v>TN-43W70AGT</v>
      </c>
      <c r="F1174" s="12">
        <f ca="1">IFERROR(__xludf.DUMMYFUNCTION("""COMPUTED_VALUE"""),51016474)</f>
        <v>51016474</v>
      </c>
      <c r="G1174" s="12" t="str">
        <f ca="1">IFERROR(__xludf.DUMMYFUNCTION("""COMPUTED_VALUE"""),"NCTV01QG")</f>
        <v>NCTV01QG</v>
      </c>
      <c r="H1174" s="13">
        <f ca="1">IFERROR(__xludf.DUMMYFUNCTION("""COMPUTED_VALUE"""),17900)</f>
        <v>17900</v>
      </c>
      <c r="I1174" s="18">
        <f ca="1">IFERROR(__xludf.DUMMYFUNCTION("""COMPUTED_VALUE"""),15000)</f>
        <v>15000</v>
      </c>
      <c r="J1174" s="16">
        <f ca="1">IFERROR(__xludf.DUMMYFUNCTION("""COMPUTED_VALUE"""),45670)</f>
        <v>45670</v>
      </c>
      <c r="K1174" s="12" t="str">
        <f ca="1">IFERROR(__xludf.DUMMYFUNCTION("""COMPUTED_VALUE"""),"永久降價")</f>
        <v>永久降價</v>
      </c>
      <c r="L1174" s="12" t="str">
        <f ca="1">IFERROR(__xludf.DUMMYFUNCTION("""COMPUTED_VALUE"""),"上架中")</f>
        <v>上架中</v>
      </c>
      <c r="M1174" s="12"/>
      <c r="N1174" s="12" t="str">
        <f ca="1">IFERROR(__xludf.DUMMYFUNCTION("""COMPUTED_VALUE"""),"螢幕/液晶電視")</f>
        <v>螢幕/液晶電視</v>
      </c>
      <c r="O1174" s="12"/>
      <c r="P1174" s="12" t="str">
        <f ca="1">IFERROR(__xludf.DUMMYFUNCTION("""COMPUTED_VALUE"""),"43型")</f>
        <v>43型</v>
      </c>
      <c r="Q1174" s="12" t="str">
        <f ca="1">IFERROR(__xludf.DUMMYFUNCTION("""COMPUTED_VALUE"""),"含底座：609 x958 x 217mm
不含底座：559 x 958 x87mm ")</f>
        <v xml:space="preserve">含底座：609 x958 x 217mm
不含底座：559 x 958 x87mm </v>
      </c>
      <c r="R1174" s="12" t="str">
        <f ca="1">IFERROR(__xludf.DUMMYFUNCTION("""COMPUTED_VALUE"""),"台灣")</f>
        <v>台灣</v>
      </c>
      <c r="S1174" s="12"/>
      <c r="T1174" s="12"/>
      <c r="U1174" s="12" t="str">
        <f ca="1">IFERROR(__xludf.DUMMYFUNCTION("""COMPUTED_VALUE"""),"3年")</f>
        <v>3年</v>
      </c>
      <c r="V1174" s="12"/>
      <c r="W1174" s="12"/>
      <c r="X1174" s="12" t="str">
        <f ca="1">IFERROR(__xludf.DUMMYFUNCTION("""COMPUTED_VALUE"""),"(1/1~2/28)隨貨送Dan Nice石墨烯養生毯(SP-2402)")</f>
        <v>(1/1~2/28)隨貨送Dan Nice石墨烯養生毯(SP-2402)</v>
      </c>
      <c r="Y1174" s="12"/>
      <c r="Z1174" s="14"/>
      <c r="AA1174" s="15" t="str">
        <f ca="1">IFERROR(__xludf.DUMMYFUNCTION("""COMPUTED_VALUE"""),"*4K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f>
        <v>*4K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v>
      </c>
    </row>
    <row r="1175" spans="1:27" ht="19.5" customHeight="1">
      <c r="A1175" s="12" t="str">
        <f ca="1">IFERROR(__xludf.DUMMYFUNCTION("""COMPUTED_VALUE"""),"HDTV")</f>
        <v>HDTV</v>
      </c>
      <c r="B1175" s="12" t="str">
        <f ca="1">IFERROR(__xludf.DUMMYFUNCTION("""COMPUTED_VALUE"""),"神腦")</f>
        <v>神腦</v>
      </c>
      <c r="C1175" s="12" t="str">
        <f ca="1">IFERROR(__xludf.DUMMYFUNCTION("""COMPUTED_VALUE"""),"PANASONIC")</f>
        <v>PANASONIC</v>
      </c>
      <c r="D1175" s="12" t="str">
        <f ca="1">IFERROR(__xludf.DUMMYFUNCTION("""COMPUTED_VALUE"""),"Panasonic 50型Google聯網4K液晶顯示器(無視訊盒)TN-50W70AGT")</f>
        <v>Panasonic 50型Google聯網4K液晶顯示器(無視訊盒)TN-50W70AGT</v>
      </c>
      <c r="E1175" s="12" t="str">
        <f ca="1">IFERROR(__xludf.DUMMYFUNCTION("""COMPUTED_VALUE"""),"TN-50W70AGT")</f>
        <v>TN-50W70AGT</v>
      </c>
      <c r="F1175" s="12">
        <f ca="1">IFERROR(__xludf.DUMMYFUNCTION("""COMPUTED_VALUE"""),51016475)</f>
        <v>51016475</v>
      </c>
      <c r="G1175" s="12" t="str">
        <f ca="1">IFERROR(__xludf.DUMMYFUNCTION("""COMPUTED_VALUE"""),"NCTV01QH")</f>
        <v>NCTV01QH</v>
      </c>
      <c r="H1175" s="13">
        <f ca="1">IFERROR(__xludf.DUMMYFUNCTION("""COMPUTED_VALUE"""),20900)</f>
        <v>20900</v>
      </c>
      <c r="I1175" s="18">
        <f ca="1">IFERROR(__xludf.DUMMYFUNCTION("""COMPUTED_VALUE"""),17900)</f>
        <v>17900</v>
      </c>
      <c r="J1175" s="16">
        <f ca="1">IFERROR(__xludf.DUMMYFUNCTION("""COMPUTED_VALUE"""),45670)</f>
        <v>45670</v>
      </c>
      <c r="K1175" s="12" t="str">
        <f ca="1">IFERROR(__xludf.DUMMYFUNCTION("""COMPUTED_VALUE"""),"永久降價")</f>
        <v>永久降價</v>
      </c>
      <c r="L1175" s="12" t="str">
        <f ca="1">IFERROR(__xludf.DUMMYFUNCTION("""COMPUTED_VALUE"""),"上架中")</f>
        <v>上架中</v>
      </c>
      <c r="M1175" s="12"/>
      <c r="N1175" s="12" t="str">
        <f ca="1">IFERROR(__xludf.DUMMYFUNCTION("""COMPUTED_VALUE"""),"螢幕/液晶電視")</f>
        <v>螢幕/液晶電視</v>
      </c>
      <c r="O1175" s="12"/>
      <c r="P1175" s="12" t="str">
        <f ca="1">IFERROR(__xludf.DUMMYFUNCTION("""COMPUTED_VALUE"""),"50型")</f>
        <v>50型</v>
      </c>
      <c r="Q1175" s="12" t="str">
        <f ca="1">IFERROR(__xludf.DUMMYFUNCTION("""COMPUTED_VALUE"""),"含底座：703 x 1112 x 248mm
不含底座：645 x1112 x  88mm")</f>
        <v>含底座：703 x 1112 x 248mm
不含底座：645 x1112 x  88mm</v>
      </c>
      <c r="R1175" s="12" t="str">
        <f ca="1">IFERROR(__xludf.DUMMYFUNCTION("""COMPUTED_VALUE"""),"台灣")</f>
        <v>台灣</v>
      </c>
      <c r="S1175" s="12"/>
      <c r="T1175" s="12"/>
      <c r="U1175" s="12" t="str">
        <f ca="1">IFERROR(__xludf.DUMMYFUNCTION("""COMPUTED_VALUE"""),"3年")</f>
        <v>3年</v>
      </c>
      <c r="V1175" s="12"/>
      <c r="W1175" s="12"/>
      <c r="X1175" s="12" t="str">
        <f ca="1">IFERROR(__xludf.DUMMYFUNCTION("""COMPUTED_VALUE"""),"(1/1~2/28)隨貨送Dan Nice石墨烯養生毯(SP-2402)")</f>
        <v>(1/1~2/28)隨貨送Dan Nice石墨烯養生毯(SP-2402)</v>
      </c>
      <c r="Y1175" s="12"/>
      <c r="Z1175" s="14"/>
      <c r="AA1175" s="15" t="str">
        <f ca="1">IFERROR(__xludf.DUMMYFUNCTION("""COMPUTED_VALUE"""),"*4K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f>
        <v>*4K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v>
      </c>
    </row>
    <row r="1176" spans="1:27" ht="19.5" customHeight="1">
      <c r="A1176" s="12" t="str">
        <f ca="1">IFERROR(__xludf.DUMMYFUNCTION("""COMPUTED_VALUE"""),"HDTV")</f>
        <v>HDTV</v>
      </c>
      <c r="B1176" s="12" t="str">
        <f ca="1">IFERROR(__xludf.DUMMYFUNCTION("""COMPUTED_VALUE"""),"神腦")</f>
        <v>神腦</v>
      </c>
      <c r="C1176" s="12" t="str">
        <f ca="1">IFERROR(__xludf.DUMMYFUNCTION("""COMPUTED_VALUE"""),"PANASONIC")</f>
        <v>PANASONIC</v>
      </c>
      <c r="D1176" s="12" t="str">
        <f ca="1">IFERROR(__xludf.DUMMYFUNCTION("""COMPUTED_VALUE"""),"Panasonic 55型Google聯網4K液晶顯示器(無視訊盒)TN-55W70AGT")</f>
        <v>Panasonic 55型Google聯網4K液晶顯示器(無視訊盒)TN-55W70AGT</v>
      </c>
      <c r="E1176" s="12" t="str">
        <f ca="1">IFERROR(__xludf.DUMMYFUNCTION("""COMPUTED_VALUE"""),"TN-55W70AGT")</f>
        <v>TN-55W70AGT</v>
      </c>
      <c r="F1176" s="12">
        <f ca="1">IFERROR(__xludf.DUMMYFUNCTION("""COMPUTED_VALUE"""),51016476)</f>
        <v>51016476</v>
      </c>
      <c r="G1176" s="12" t="str">
        <f ca="1">IFERROR(__xludf.DUMMYFUNCTION("""COMPUTED_VALUE"""),"NCTV01QI")</f>
        <v>NCTV01QI</v>
      </c>
      <c r="H1176" s="13">
        <f ca="1">IFERROR(__xludf.DUMMYFUNCTION("""COMPUTED_VALUE"""),23900)</f>
        <v>23900</v>
      </c>
      <c r="I1176" s="18">
        <f ca="1">IFERROR(__xludf.DUMMYFUNCTION("""COMPUTED_VALUE"""),18900)</f>
        <v>18900</v>
      </c>
      <c r="J1176" s="16">
        <f ca="1">IFERROR(__xludf.DUMMYFUNCTION("""COMPUTED_VALUE"""),45670)</f>
        <v>45670</v>
      </c>
      <c r="K1176" s="12" t="str">
        <f ca="1">IFERROR(__xludf.DUMMYFUNCTION("""COMPUTED_VALUE"""),"永久降價")</f>
        <v>永久降價</v>
      </c>
      <c r="L1176" s="12" t="str">
        <f ca="1">IFERROR(__xludf.DUMMYFUNCTION("""COMPUTED_VALUE"""),"上架中")</f>
        <v>上架中</v>
      </c>
      <c r="M1176" s="12"/>
      <c r="N1176" s="12" t="str">
        <f ca="1">IFERROR(__xludf.DUMMYFUNCTION("""COMPUTED_VALUE"""),"螢幕/液晶電視")</f>
        <v>螢幕/液晶電視</v>
      </c>
      <c r="O1176" s="12"/>
      <c r="P1176" s="12" t="str">
        <f ca="1">IFERROR(__xludf.DUMMYFUNCTION("""COMPUTED_VALUE"""),"55型")</f>
        <v>55型</v>
      </c>
      <c r="Q1176" s="12" t="str">
        <f ca="1">IFERROR(__xludf.DUMMYFUNCTION("""COMPUTED_VALUE"""),"含底座： 770 x 1226 x248mm
不含底座： 712 x 1226 x88mm")</f>
        <v>含底座： 770 x 1226 x248mm
不含底座： 712 x 1226 x88mm</v>
      </c>
      <c r="R1176" s="12" t="str">
        <f ca="1">IFERROR(__xludf.DUMMYFUNCTION("""COMPUTED_VALUE"""),"台灣")</f>
        <v>台灣</v>
      </c>
      <c r="S1176" s="12"/>
      <c r="T1176" s="12"/>
      <c r="U1176" s="12" t="str">
        <f ca="1">IFERROR(__xludf.DUMMYFUNCTION("""COMPUTED_VALUE"""),"3年")</f>
        <v>3年</v>
      </c>
      <c r="V1176" s="12"/>
      <c r="W1176" s="12"/>
      <c r="X1176" s="12" t="str">
        <f ca="1">IFERROR(__xludf.DUMMYFUNCTION("""COMPUTED_VALUE"""),"(1/1~2/28)隨貨送Dan Nice石墨烯養生毯(SP-2402)")</f>
        <v>(1/1~2/28)隨貨送Dan Nice石墨烯養生毯(SP-2402)</v>
      </c>
      <c r="Y1176" s="12"/>
      <c r="Z1176" s="14"/>
      <c r="AA1176" s="15" t="str">
        <f ca="1">IFERROR(__xludf.DUMMYFUNCTION("""COMPUTED_VALUE"""),"*4K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f>
        <v>*4K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v>
      </c>
    </row>
    <row r="1177" spans="1:27" ht="19.5" customHeight="1">
      <c r="A1177" s="12" t="str">
        <f ca="1">IFERROR(__xludf.DUMMYFUNCTION("""COMPUTED_VALUE"""),"HDTV")</f>
        <v>HDTV</v>
      </c>
      <c r="B1177" s="12" t="str">
        <f ca="1">IFERROR(__xludf.DUMMYFUNCTION("""COMPUTED_VALUE"""),"神腦")</f>
        <v>神腦</v>
      </c>
      <c r="C1177" s="12" t="str">
        <f ca="1">IFERROR(__xludf.DUMMYFUNCTION("""COMPUTED_VALUE"""),"PANASONIC")</f>
        <v>PANASONIC</v>
      </c>
      <c r="D1177" s="12" t="str">
        <f ca="1">IFERROR(__xludf.DUMMYFUNCTION("""COMPUTED_VALUE"""),"Panasonic 65型Google聯網4K液晶顯示器(無視訊盒)TN-65W70AGT")</f>
        <v>Panasonic 65型Google聯網4K液晶顯示器(無視訊盒)TN-65W70AGT</v>
      </c>
      <c r="E1177" s="12" t="str">
        <f ca="1">IFERROR(__xludf.DUMMYFUNCTION("""COMPUTED_VALUE"""),"TN-65W70AGT")</f>
        <v>TN-65W70AGT</v>
      </c>
      <c r="F1177" s="12">
        <f ca="1">IFERROR(__xludf.DUMMYFUNCTION("""COMPUTED_VALUE"""),51016477)</f>
        <v>51016477</v>
      </c>
      <c r="G1177" s="12" t="str">
        <f ca="1">IFERROR(__xludf.DUMMYFUNCTION("""COMPUTED_VALUE"""),"NCTV01QJ")</f>
        <v>NCTV01QJ</v>
      </c>
      <c r="H1177" s="13">
        <f ca="1">IFERROR(__xludf.DUMMYFUNCTION("""COMPUTED_VALUE"""),33900)</f>
        <v>33900</v>
      </c>
      <c r="I1177" s="18">
        <f ca="1">IFERROR(__xludf.DUMMYFUNCTION("""COMPUTED_VALUE"""),27900)</f>
        <v>27900</v>
      </c>
      <c r="J1177" s="16">
        <f ca="1">IFERROR(__xludf.DUMMYFUNCTION("""COMPUTED_VALUE"""),45670)</f>
        <v>45670</v>
      </c>
      <c r="K1177" s="12" t="str">
        <f ca="1">IFERROR(__xludf.DUMMYFUNCTION("""COMPUTED_VALUE"""),"永久降價")</f>
        <v>永久降價</v>
      </c>
      <c r="L1177" s="12" t="str">
        <f ca="1">IFERROR(__xludf.DUMMYFUNCTION("""COMPUTED_VALUE"""),"上架中")</f>
        <v>上架中</v>
      </c>
      <c r="M1177" s="12"/>
      <c r="N1177" s="12" t="str">
        <f ca="1">IFERROR(__xludf.DUMMYFUNCTION("""COMPUTED_VALUE"""),"螢幕/液晶電視")</f>
        <v>螢幕/液晶電視</v>
      </c>
      <c r="O1177" s="12"/>
      <c r="P1177" s="12" t="str">
        <f ca="1">IFERROR(__xludf.DUMMYFUNCTION("""COMPUTED_VALUE"""),"65型")</f>
        <v>65型</v>
      </c>
      <c r="Q1177" s="12" t="str">
        <f ca="1">IFERROR(__xludf.DUMMYFUNCTION("""COMPUTED_VALUE"""),"含底座： 892 x 1447 x291mm
不含底座：834 x 1447 x 86mm ")</f>
        <v xml:space="preserve">含底座： 892 x 1447 x291mm
不含底座：834 x 1447 x 86mm </v>
      </c>
      <c r="R1177" s="12" t="str">
        <f ca="1">IFERROR(__xludf.DUMMYFUNCTION("""COMPUTED_VALUE"""),"台灣")</f>
        <v>台灣</v>
      </c>
      <c r="S1177" s="12"/>
      <c r="T1177" s="12"/>
      <c r="U1177" s="12" t="str">
        <f ca="1">IFERROR(__xludf.DUMMYFUNCTION("""COMPUTED_VALUE"""),"3年")</f>
        <v>3年</v>
      </c>
      <c r="V1177" s="12"/>
      <c r="W1177" s="12"/>
      <c r="X1177" s="12" t="str">
        <f ca="1">IFERROR(__xludf.DUMMYFUNCTION("""COMPUTED_VALUE"""),"(1/1~2/28)隨貨送Dan Nice石墨烯養生毯(SP-2402)")</f>
        <v>(1/1~2/28)隨貨送Dan Nice石墨烯養生毯(SP-2402)</v>
      </c>
      <c r="Y1177" s="12"/>
      <c r="Z1177" s="14"/>
      <c r="AA1177" s="15" t="str">
        <f ca="1">IFERROR(__xludf.DUMMYFUNCTION("""COMPUTED_VALUE"""),"*4K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f>
        <v>*4K HDR明亮面板*支援多重HDR格式訊號(HDR10+、HDR10、HLG)*Google TV智慧系統*智慧雜訊抑制功能*4K Studio Colour Engine處理器*内建Google助理*Ultra HD (3840 x 2160)高解析影像*多元多樣化Internet App 使用 (Disney+、YouTube、Netflix、Prime Video等)   *HDMI：4K 60p HDCP2.3 ( eARC支援 )</v>
      </c>
    </row>
    <row r="1178" spans="1:27" ht="19.5" customHeight="1">
      <c r="A1178" s="12" t="str">
        <f ca="1">IFERROR(__xludf.DUMMYFUNCTION("""COMPUTED_VALUE"""),"HDTV")</f>
        <v>HDTV</v>
      </c>
      <c r="B1178" s="12" t="str">
        <f ca="1">IFERROR(__xludf.DUMMYFUNCTION("""COMPUTED_VALUE"""),"神腦")</f>
        <v>神腦</v>
      </c>
      <c r="C1178" s="12" t="str">
        <f ca="1">IFERROR(__xludf.DUMMYFUNCTION("""COMPUTED_VALUE"""),"PANASONIC")</f>
        <v>PANASONIC</v>
      </c>
      <c r="D1178" s="12" t="str">
        <f ca="1">IFERROR(__xludf.DUMMYFUNCTION("""COMPUTED_VALUE"""),"Panasonic 43型6原色Google聯網4K液晶顯示器(無視訊盒)TN-43W80AGT")</f>
        <v>Panasonic 43型6原色Google聯網4K液晶顯示器(無視訊盒)TN-43W80AGT</v>
      </c>
      <c r="E1178" s="12" t="str">
        <f ca="1">IFERROR(__xludf.DUMMYFUNCTION("""COMPUTED_VALUE"""),"TN-43W80AGT")</f>
        <v>TN-43W80AGT</v>
      </c>
      <c r="F1178" s="12">
        <f ca="1">IFERROR(__xludf.DUMMYFUNCTION("""COMPUTED_VALUE"""),51016478)</f>
        <v>51016478</v>
      </c>
      <c r="G1178" s="12" t="str">
        <f ca="1">IFERROR(__xludf.DUMMYFUNCTION("""COMPUTED_VALUE"""),"NCTV01QK")</f>
        <v>NCTV01QK</v>
      </c>
      <c r="H1178" s="13">
        <f ca="1">IFERROR(__xludf.DUMMYFUNCTION("""COMPUTED_VALUE"""),19900)</f>
        <v>19900</v>
      </c>
      <c r="I1178" s="18">
        <f ca="1">IFERROR(__xludf.DUMMYFUNCTION("""COMPUTED_VALUE"""),16000)</f>
        <v>16000</v>
      </c>
      <c r="J1178" s="16">
        <f ca="1">IFERROR(__xludf.DUMMYFUNCTION("""COMPUTED_VALUE"""),45670)</f>
        <v>45670</v>
      </c>
      <c r="K1178" s="12" t="str">
        <f ca="1">IFERROR(__xludf.DUMMYFUNCTION("""COMPUTED_VALUE"""),"永久降價")</f>
        <v>永久降價</v>
      </c>
      <c r="L1178" s="12" t="str">
        <f ca="1">IFERROR(__xludf.DUMMYFUNCTION("""COMPUTED_VALUE"""),"上架中")</f>
        <v>上架中</v>
      </c>
      <c r="M1178" s="12"/>
      <c r="N1178" s="12" t="str">
        <f ca="1">IFERROR(__xludf.DUMMYFUNCTION("""COMPUTED_VALUE"""),"螢幕/液晶電視")</f>
        <v>螢幕/液晶電視</v>
      </c>
      <c r="O1178" s="12"/>
      <c r="P1178" s="12" t="str">
        <f ca="1">IFERROR(__xludf.DUMMYFUNCTION("""COMPUTED_VALUE"""),"43型")</f>
        <v>43型</v>
      </c>
      <c r="Q1178" s="12" t="str">
        <f ca="1">IFERROR(__xludf.DUMMYFUNCTION("""COMPUTED_VALUE"""),"含底座：617 x 965 x219mm
不含底座：572 x 965 x83mm")</f>
        <v>含底座：617 x 965 x219mm
不含底座：572 x 965 x83mm</v>
      </c>
      <c r="R1178" s="12" t="str">
        <f ca="1">IFERROR(__xludf.DUMMYFUNCTION("""COMPUTED_VALUE"""),"台灣")</f>
        <v>台灣</v>
      </c>
      <c r="S1178" s="12"/>
      <c r="T1178" s="12"/>
      <c r="U1178" s="12" t="str">
        <f ca="1">IFERROR(__xludf.DUMMYFUNCTION("""COMPUTED_VALUE"""),"3年")</f>
        <v>3年</v>
      </c>
      <c r="V1178" s="12"/>
      <c r="W1178" s="12"/>
      <c r="X1178" s="12" t="str">
        <f ca="1">IFERROR(__xludf.DUMMYFUNCTION("""COMPUTED_VALUE"""),"(1/1~2/28)隨貨送德國雙人Dinner五件式西餐組(SP-2502 )")</f>
        <v>(1/1~2/28)隨貨送德國雙人Dinner五件式西餐組(SP-2502 )</v>
      </c>
      <c r="Y1178" s="12"/>
      <c r="Z1178" s="14"/>
      <c r="AA1178" s="15" t="str">
        <f ca="1">IFERROR(__xludf.DUMMYFUNCTION("""COMPUTED_VALUE"""),"*4K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"&amp;"( eARC支援 )")</f>
        <v>*4K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 eARC支援 )</v>
      </c>
    </row>
    <row r="1179" spans="1:27" ht="19.5" customHeight="1">
      <c r="A1179" s="12" t="str">
        <f ca="1">IFERROR(__xludf.DUMMYFUNCTION("""COMPUTED_VALUE"""),"HDTV")</f>
        <v>HDTV</v>
      </c>
      <c r="B1179" s="12" t="str">
        <f ca="1">IFERROR(__xludf.DUMMYFUNCTION("""COMPUTED_VALUE"""),"神腦")</f>
        <v>神腦</v>
      </c>
      <c r="C1179" s="12" t="str">
        <f ca="1">IFERROR(__xludf.DUMMYFUNCTION("""COMPUTED_VALUE"""),"PANASONIC")</f>
        <v>PANASONIC</v>
      </c>
      <c r="D1179" s="12" t="str">
        <f ca="1">IFERROR(__xludf.DUMMYFUNCTION("""COMPUTED_VALUE"""),"Panasonic 50型6原色Google聯網4K液晶顯示器(無視訊盒)TN-50W80AGT")</f>
        <v>Panasonic 50型6原色Google聯網4K液晶顯示器(無視訊盒)TN-50W80AGT</v>
      </c>
      <c r="E1179" s="12" t="str">
        <f ca="1">IFERROR(__xludf.DUMMYFUNCTION("""COMPUTED_VALUE"""),"TN-50W80AGT")</f>
        <v>TN-50W80AGT</v>
      </c>
      <c r="F1179" s="12">
        <f ca="1">IFERROR(__xludf.DUMMYFUNCTION("""COMPUTED_VALUE"""),51016479)</f>
        <v>51016479</v>
      </c>
      <c r="G1179" s="12" t="str">
        <f ca="1">IFERROR(__xludf.DUMMYFUNCTION("""COMPUTED_VALUE"""),"NCTV01QL")</f>
        <v>NCTV01QL</v>
      </c>
      <c r="H1179" s="13">
        <f ca="1">IFERROR(__xludf.DUMMYFUNCTION("""COMPUTED_VALUE"""),21900)</f>
        <v>21900</v>
      </c>
      <c r="I1179" s="18">
        <f ca="1">IFERROR(__xludf.DUMMYFUNCTION("""COMPUTED_VALUE"""),18500)</f>
        <v>18500</v>
      </c>
      <c r="J1179" s="16">
        <f ca="1">IFERROR(__xludf.DUMMYFUNCTION("""COMPUTED_VALUE"""),45670)</f>
        <v>45670</v>
      </c>
      <c r="K1179" s="12" t="str">
        <f ca="1">IFERROR(__xludf.DUMMYFUNCTION("""COMPUTED_VALUE"""),"永久降價")</f>
        <v>永久降價</v>
      </c>
      <c r="L1179" s="12" t="str">
        <f ca="1">IFERROR(__xludf.DUMMYFUNCTION("""COMPUTED_VALUE"""),"上架中")</f>
        <v>上架中</v>
      </c>
      <c r="M1179" s="12"/>
      <c r="N1179" s="12" t="str">
        <f ca="1">IFERROR(__xludf.DUMMYFUNCTION("""COMPUTED_VALUE"""),"螢幕/液晶電視")</f>
        <v>螢幕/液晶電視</v>
      </c>
      <c r="O1179" s="12"/>
      <c r="P1179" s="12" t="str">
        <f ca="1">IFERROR(__xludf.DUMMYFUNCTION("""COMPUTED_VALUE"""),"50型")</f>
        <v>50型</v>
      </c>
      <c r="Q1179" s="12" t="str">
        <f ca="1">IFERROR(__xludf.DUMMYFUNCTION("""COMPUTED_VALUE"""),"含底座：720 x 1120 x269mm
不含底座：658 x 1120 x 83mm")</f>
        <v>含底座：720 x 1120 x269mm
不含底座：658 x 1120 x 83mm</v>
      </c>
      <c r="R1179" s="12" t="str">
        <f ca="1">IFERROR(__xludf.DUMMYFUNCTION("""COMPUTED_VALUE"""),"台灣")</f>
        <v>台灣</v>
      </c>
      <c r="S1179" s="12"/>
      <c r="T1179" s="12"/>
      <c r="U1179" s="12" t="str">
        <f ca="1">IFERROR(__xludf.DUMMYFUNCTION("""COMPUTED_VALUE"""),"3年")</f>
        <v>3年</v>
      </c>
      <c r="V1179" s="12"/>
      <c r="W1179" s="12"/>
      <c r="X1179" s="12" t="str">
        <f ca="1">IFERROR(__xludf.DUMMYFUNCTION("""COMPUTED_VALUE"""),"(1/1~2/28)隨貨送德國雙人Dinner五件式西餐組(SP-2502 )")</f>
        <v>(1/1~2/28)隨貨送德國雙人Dinner五件式西餐組(SP-2502 )</v>
      </c>
      <c r="Y1179" s="12"/>
      <c r="Z1179" s="14"/>
      <c r="AA1179" s="15" t="str">
        <f ca="1">IFERROR(__xludf.DUMMYFUNCTION("""COMPUTED_VALUE"""),"*4K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"&amp;"( eARC支援 )")</f>
        <v>*4K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 eARC支援 )</v>
      </c>
    </row>
    <row r="1180" spans="1:27" ht="19.5" customHeight="1">
      <c r="A1180" s="12" t="str">
        <f ca="1">IFERROR(__xludf.DUMMYFUNCTION("""COMPUTED_VALUE"""),"HDTV")</f>
        <v>HDTV</v>
      </c>
      <c r="B1180" s="12" t="str">
        <f ca="1">IFERROR(__xludf.DUMMYFUNCTION("""COMPUTED_VALUE"""),"神腦")</f>
        <v>神腦</v>
      </c>
      <c r="C1180" s="12" t="str">
        <f ca="1">IFERROR(__xludf.DUMMYFUNCTION("""COMPUTED_VALUE"""),"PANASONIC")</f>
        <v>PANASONIC</v>
      </c>
      <c r="D1180" s="12" t="str">
        <f ca="1">IFERROR(__xludf.DUMMYFUNCTION("""COMPUTED_VALUE"""),"Panasonic 55型6原色Google聯網4K液晶顯示器(無視訊盒)TN-55W80AGT")</f>
        <v>Panasonic 55型6原色Google聯網4K液晶顯示器(無視訊盒)TN-55W80AGT</v>
      </c>
      <c r="E1180" s="12" t="str">
        <f ca="1">IFERROR(__xludf.DUMMYFUNCTION("""COMPUTED_VALUE"""),"TN-55W80AGT")</f>
        <v>TN-55W80AGT</v>
      </c>
      <c r="F1180" s="12">
        <f ca="1">IFERROR(__xludf.DUMMYFUNCTION("""COMPUTED_VALUE"""),51016480)</f>
        <v>51016480</v>
      </c>
      <c r="G1180" s="12" t="str">
        <f ca="1">IFERROR(__xludf.DUMMYFUNCTION("""COMPUTED_VALUE"""),"NCTV01QM")</f>
        <v>NCTV01QM</v>
      </c>
      <c r="H1180" s="13">
        <f ca="1">IFERROR(__xludf.DUMMYFUNCTION("""COMPUTED_VALUE"""),26900)</f>
        <v>26900</v>
      </c>
      <c r="I1180" s="18">
        <f ca="1">IFERROR(__xludf.DUMMYFUNCTION("""COMPUTED_VALUE"""),19500)</f>
        <v>19500</v>
      </c>
      <c r="J1180" s="16">
        <f ca="1">IFERROR(__xludf.DUMMYFUNCTION("""COMPUTED_VALUE"""),45670)</f>
        <v>45670</v>
      </c>
      <c r="K1180" s="12" t="str">
        <f ca="1">IFERROR(__xludf.DUMMYFUNCTION("""COMPUTED_VALUE"""),"永久降價")</f>
        <v>永久降價</v>
      </c>
      <c r="L1180" s="12" t="str">
        <f ca="1">IFERROR(__xludf.DUMMYFUNCTION("""COMPUTED_VALUE"""),"上架中")</f>
        <v>上架中</v>
      </c>
      <c r="M1180" s="12"/>
      <c r="N1180" s="12" t="str">
        <f ca="1">IFERROR(__xludf.DUMMYFUNCTION("""COMPUTED_VALUE"""),"螢幕/液晶電視")</f>
        <v>螢幕/液晶電視</v>
      </c>
      <c r="O1180" s="12"/>
      <c r="P1180" s="12" t="str">
        <f ca="1">IFERROR(__xludf.DUMMYFUNCTION("""COMPUTED_VALUE"""),"55型")</f>
        <v>55型</v>
      </c>
      <c r="Q1180" s="12" t="str">
        <f ca="1">IFERROR(__xludf.DUMMYFUNCTION("""COMPUTED_VALUE"""),"含底座：787 x 1234 x269mm
不含底座：725 x1234 x 83mm")</f>
        <v>含底座：787 x 1234 x269mm
不含底座：725 x1234 x 83mm</v>
      </c>
      <c r="R1180" s="12" t="str">
        <f ca="1">IFERROR(__xludf.DUMMYFUNCTION("""COMPUTED_VALUE"""),"台灣")</f>
        <v>台灣</v>
      </c>
      <c r="S1180" s="12"/>
      <c r="T1180" s="12"/>
      <c r="U1180" s="12" t="str">
        <f ca="1">IFERROR(__xludf.DUMMYFUNCTION("""COMPUTED_VALUE"""),"3年")</f>
        <v>3年</v>
      </c>
      <c r="V1180" s="12"/>
      <c r="W1180" s="12"/>
      <c r="X1180" s="12" t="str">
        <f ca="1">IFERROR(__xludf.DUMMYFUNCTION("""COMPUTED_VALUE"""),"(1/1~2/28)隨貨送德國雙人Dinner五件式西餐組(SP-2502 )")</f>
        <v>(1/1~2/28)隨貨送德國雙人Dinner五件式西餐組(SP-2502 )</v>
      </c>
      <c r="Y1180" s="12"/>
      <c r="Z1180" s="14"/>
      <c r="AA1180" s="15" t="str">
        <f ca="1">IFERROR(__xludf.DUMMYFUNCTION("""COMPUTED_VALUE"""),"*4K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"&amp;"( eARC支援 )")</f>
        <v>*4K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 eARC支援 )</v>
      </c>
    </row>
    <row r="1181" spans="1:27" ht="19.5" customHeight="1">
      <c r="A1181" s="12" t="str">
        <f ca="1">IFERROR(__xludf.DUMMYFUNCTION("""COMPUTED_VALUE"""),"HDTV")</f>
        <v>HDTV</v>
      </c>
      <c r="B1181" s="12" t="str">
        <f ca="1">IFERROR(__xludf.DUMMYFUNCTION("""COMPUTED_VALUE"""),"神腦")</f>
        <v>神腦</v>
      </c>
      <c r="C1181" s="12" t="str">
        <f ca="1">IFERROR(__xludf.DUMMYFUNCTION("""COMPUTED_VALUE"""),"PANASONIC")</f>
        <v>PANASONIC</v>
      </c>
      <c r="D1181" s="12" t="str">
        <f ca="1">IFERROR(__xludf.DUMMYFUNCTION("""COMPUTED_VALUE"""),"Panasonic 65型6原色Google聯網4K液晶顯示器(無視訊盒)TN-65W80AGT")</f>
        <v>Panasonic 65型6原色Google聯網4K液晶顯示器(無視訊盒)TN-65W80AGT</v>
      </c>
      <c r="E1181" s="12" t="str">
        <f ca="1">IFERROR(__xludf.DUMMYFUNCTION("""COMPUTED_VALUE"""),"TN-65W80AGT")</f>
        <v>TN-65W80AGT</v>
      </c>
      <c r="F1181" s="12">
        <f ca="1">IFERROR(__xludf.DUMMYFUNCTION("""COMPUTED_VALUE"""),51016481)</f>
        <v>51016481</v>
      </c>
      <c r="G1181" s="12" t="str">
        <f ca="1">IFERROR(__xludf.DUMMYFUNCTION("""COMPUTED_VALUE"""),"NCTV01QN")</f>
        <v>NCTV01QN</v>
      </c>
      <c r="H1181" s="13">
        <f ca="1">IFERROR(__xludf.DUMMYFUNCTION("""COMPUTED_VALUE"""),36900)</f>
        <v>36900</v>
      </c>
      <c r="I1181" s="18">
        <f ca="1">IFERROR(__xludf.DUMMYFUNCTION("""COMPUTED_VALUE"""),28900)</f>
        <v>28900</v>
      </c>
      <c r="J1181" s="16">
        <f ca="1">IFERROR(__xludf.DUMMYFUNCTION("""COMPUTED_VALUE"""),45670)</f>
        <v>45670</v>
      </c>
      <c r="K1181" s="12" t="str">
        <f ca="1">IFERROR(__xludf.DUMMYFUNCTION("""COMPUTED_VALUE"""),"永久降價")</f>
        <v>永久降價</v>
      </c>
      <c r="L1181" s="12" t="str">
        <f ca="1">IFERROR(__xludf.DUMMYFUNCTION("""COMPUTED_VALUE"""),"上架中")</f>
        <v>上架中</v>
      </c>
      <c r="M1181" s="12"/>
      <c r="N1181" s="12" t="str">
        <f ca="1">IFERROR(__xludf.DUMMYFUNCTION("""COMPUTED_VALUE"""),"螢幕/液晶電視")</f>
        <v>螢幕/液晶電視</v>
      </c>
      <c r="O1181" s="12"/>
      <c r="P1181" s="12" t="str">
        <f ca="1">IFERROR(__xludf.DUMMYFUNCTION("""COMPUTED_VALUE"""),"65型")</f>
        <v>65型</v>
      </c>
      <c r="Q1181" s="12" t="str">
        <f ca="1">IFERROR(__xludf.DUMMYFUNCTION("""COMPUTED_VALUE"""),"含底座：912 x 1453 x 318mm
不含底座： 846 x1453 x 83mm")</f>
        <v>含底座：912 x 1453 x 318mm
不含底座： 846 x1453 x 83mm</v>
      </c>
      <c r="R1181" s="12" t="str">
        <f ca="1">IFERROR(__xludf.DUMMYFUNCTION("""COMPUTED_VALUE"""),"台灣")</f>
        <v>台灣</v>
      </c>
      <c r="S1181" s="12"/>
      <c r="T1181" s="12"/>
      <c r="U1181" s="12" t="str">
        <f ca="1">IFERROR(__xludf.DUMMYFUNCTION("""COMPUTED_VALUE"""),"3年")</f>
        <v>3年</v>
      </c>
      <c r="V1181" s="12"/>
      <c r="W1181" s="12"/>
      <c r="X1181" s="12" t="str">
        <f ca="1">IFERROR(__xludf.DUMMYFUNCTION("""COMPUTED_VALUE"""),"(1/1~2/28)隨貨送德國雙人Dinner五件式西餐組(SP-2502 )")</f>
        <v>(1/1~2/28)隨貨送德國雙人Dinner五件式西餐組(SP-2502 )</v>
      </c>
      <c r="Y1181" s="12"/>
      <c r="Z1181" s="14"/>
      <c r="AA1181" s="15" t="str">
        <f ca="1">IFERROR(__xludf.DUMMYFUNCTION("""COMPUTED_VALUE"""),"*4K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"&amp;"( eARC支援 )")</f>
        <v>*4K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 eARC支援 )</v>
      </c>
    </row>
    <row r="1182" spans="1:27" ht="19.5" customHeight="1">
      <c r="A1182" s="12" t="str">
        <f ca="1">IFERROR(__xludf.DUMMYFUNCTION("""COMPUTED_VALUE"""),"HDTV")</f>
        <v>HDTV</v>
      </c>
      <c r="B1182" s="12" t="str">
        <f ca="1">IFERROR(__xludf.DUMMYFUNCTION("""COMPUTED_VALUE"""),"神腦")</f>
        <v>神腦</v>
      </c>
      <c r="C1182" s="12" t="str">
        <f ca="1">IFERROR(__xludf.DUMMYFUNCTION("""COMPUTED_VALUE"""),"PANASONIC")</f>
        <v>PANASONIC</v>
      </c>
      <c r="D1182" s="12" t="str">
        <f ca="1">IFERROR(__xludf.DUMMYFUNCTION("""COMPUTED_VALUE"""),"Panasonic 75型6原色Google聯網4K液晶顯示器(無視訊盒)TN-75W80AGT")</f>
        <v>Panasonic 75型6原色Google聯網4K液晶顯示器(無視訊盒)TN-75W80AGT</v>
      </c>
      <c r="E1182" s="12" t="str">
        <f ca="1">IFERROR(__xludf.DUMMYFUNCTION("""COMPUTED_VALUE"""),"TN-75W80AGT")</f>
        <v>TN-75W80AGT</v>
      </c>
      <c r="F1182" s="12">
        <f ca="1">IFERROR(__xludf.DUMMYFUNCTION("""COMPUTED_VALUE"""),51016482)</f>
        <v>51016482</v>
      </c>
      <c r="G1182" s="12" t="str">
        <f ca="1">IFERROR(__xludf.DUMMYFUNCTION("""COMPUTED_VALUE"""),"NCTV01QO")</f>
        <v>NCTV01QO</v>
      </c>
      <c r="H1182" s="13">
        <f ca="1">IFERROR(__xludf.DUMMYFUNCTION("""COMPUTED_VALUE"""),65900)</f>
        <v>65900</v>
      </c>
      <c r="I1182" s="18">
        <f ca="1">IFERROR(__xludf.DUMMYFUNCTION("""COMPUTED_VALUE"""),49900)</f>
        <v>49900</v>
      </c>
      <c r="J1182" s="16">
        <f ca="1">IFERROR(__xludf.DUMMYFUNCTION("""COMPUTED_VALUE"""),45670)</f>
        <v>45670</v>
      </c>
      <c r="K1182" s="12" t="str">
        <f ca="1">IFERROR(__xludf.DUMMYFUNCTION("""COMPUTED_VALUE"""),"永久降價")</f>
        <v>永久降價</v>
      </c>
      <c r="L1182" s="12" t="str">
        <f ca="1">IFERROR(__xludf.DUMMYFUNCTION("""COMPUTED_VALUE"""),"上架中")</f>
        <v>上架中</v>
      </c>
      <c r="M1182" s="12"/>
      <c r="N1182" s="12" t="str">
        <f ca="1">IFERROR(__xludf.DUMMYFUNCTION("""COMPUTED_VALUE"""),"螢幕/液晶電視")</f>
        <v>螢幕/液晶電視</v>
      </c>
      <c r="O1182" s="12"/>
      <c r="P1182" s="12" t="str">
        <f ca="1">IFERROR(__xludf.DUMMYFUNCTION("""COMPUTED_VALUE"""),"75型")</f>
        <v>75型</v>
      </c>
      <c r="Q1182" s="12" t="str">
        <f ca="1">IFERROR(__xludf.DUMMYFUNCTION("""COMPUTED_VALUE"""),"含底座： 1036 x1673 x 365mm
不含底座：964 x 1673 x 83mm")</f>
        <v>含底座： 1036 x1673 x 365mm
不含底座：964 x 1673 x 83mm</v>
      </c>
      <c r="R1182" s="12" t="str">
        <f ca="1">IFERROR(__xludf.DUMMYFUNCTION("""COMPUTED_VALUE"""),"台灣")</f>
        <v>台灣</v>
      </c>
      <c r="S1182" s="12"/>
      <c r="T1182" s="12"/>
      <c r="U1182" s="12" t="str">
        <f ca="1">IFERROR(__xludf.DUMMYFUNCTION("""COMPUTED_VALUE"""),"3年")</f>
        <v>3年</v>
      </c>
      <c r="V1182" s="12"/>
      <c r="W1182" s="12"/>
      <c r="X1182" s="12" t="str">
        <f ca="1">IFERROR(__xludf.DUMMYFUNCTION("""COMPUTED_VALUE"""),"(1/1~2/28)隨貨送 鋁合金超輕量摺疊椅/兩入組(SP-2501)")</f>
        <v>(1/1~2/28)隨貨送 鋁合金超輕量摺疊椅/兩入組(SP-2501)</v>
      </c>
      <c r="Y1182" s="12"/>
      <c r="Z1182" s="14"/>
      <c r="AA1182" s="15" t="str">
        <f ca="1">IFERROR(__xludf.DUMMYFUNCTION("""COMPUTED_VALUE"""),"*4K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"&amp;"( eARC支援 )")</f>
        <v>*4K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 eARC支援 )</v>
      </c>
    </row>
    <row r="1183" spans="1:27" ht="19.5" customHeight="1">
      <c r="A1183" s="12" t="str">
        <f ca="1">IFERROR(__xludf.DUMMYFUNCTION("""COMPUTED_VALUE"""),"HDTV")</f>
        <v>HDTV</v>
      </c>
      <c r="B1183" s="12" t="str">
        <f ca="1">IFERROR(__xludf.DUMMYFUNCTION("""COMPUTED_VALUE"""),"神腦")</f>
        <v>神腦</v>
      </c>
      <c r="C1183" s="12" t="str">
        <f ca="1">IFERROR(__xludf.DUMMYFUNCTION("""COMPUTED_VALUE"""),"PANASONIC")</f>
        <v>PANASONIC</v>
      </c>
      <c r="D1183" s="12" t="str">
        <f ca="1">IFERROR(__xludf.DUMMYFUNCTION("""COMPUTED_VALUE"""),"Panasonic 85型6原色Google聯網4K液晶顯示器(無視訊盒)TN-85W80AGT")</f>
        <v>Panasonic 85型6原色Google聯網4K液晶顯示器(無視訊盒)TN-85W80AGT</v>
      </c>
      <c r="E1183" s="12" t="str">
        <f ca="1">IFERROR(__xludf.DUMMYFUNCTION("""COMPUTED_VALUE"""),"TN-85W80AGT")</f>
        <v>TN-85W80AGT</v>
      </c>
      <c r="F1183" s="12">
        <f ca="1">IFERROR(__xludf.DUMMYFUNCTION("""COMPUTED_VALUE"""),51016483)</f>
        <v>51016483</v>
      </c>
      <c r="G1183" s="12" t="str">
        <f ca="1">IFERROR(__xludf.DUMMYFUNCTION("""COMPUTED_VALUE"""),"NCTV01QP")</f>
        <v>NCTV01QP</v>
      </c>
      <c r="H1183" s="13">
        <f ca="1">IFERROR(__xludf.DUMMYFUNCTION("""COMPUTED_VALUE"""),114900)</f>
        <v>114900</v>
      </c>
      <c r="I1183" s="18">
        <f ca="1">IFERROR(__xludf.DUMMYFUNCTION("""COMPUTED_VALUE"""),94000)</f>
        <v>94000</v>
      </c>
      <c r="J1183" s="16">
        <f ca="1">IFERROR(__xludf.DUMMYFUNCTION("""COMPUTED_VALUE"""),45670)</f>
        <v>45670</v>
      </c>
      <c r="K1183" s="12" t="str">
        <f ca="1">IFERROR(__xludf.DUMMYFUNCTION("""COMPUTED_VALUE"""),"永久降價")</f>
        <v>永久降價</v>
      </c>
      <c r="L1183" s="12" t="str">
        <f ca="1">IFERROR(__xludf.DUMMYFUNCTION("""COMPUTED_VALUE"""),"上架中")</f>
        <v>上架中</v>
      </c>
      <c r="M1183" s="12"/>
      <c r="N1183" s="12" t="str">
        <f ca="1">IFERROR(__xludf.DUMMYFUNCTION("""COMPUTED_VALUE"""),"螢幕/液晶電視")</f>
        <v>螢幕/液晶電視</v>
      </c>
      <c r="O1183" s="12"/>
      <c r="P1183" s="12" t="str">
        <f ca="1">IFERROR(__xludf.DUMMYFUNCTION("""COMPUTED_VALUE"""),"85型")</f>
        <v>85型</v>
      </c>
      <c r="Q1183" s="12" t="str">
        <f ca="1">IFERROR(__xludf.DUMMYFUNCTION("""COMPUTED_VALUE"""),"含底座： 1198 x1894 x 479mm
不含底座：1097 x 1894 x 83mm")</f>
        <v>含底座： 1198 x1894 x 479mm
不含底座：1097 x 1894 x 83mm</v>
      </c>
      <c r="R1183" s="12" t="str">
        <f ca="1">IFERROR(__xludf.DUMMYFUNCTION("""COMPUTED_VALUE"""),"台灣")</f>
        <v>台灣</v>
      </c>
      <c r="S1183" s="12"/>
      <c r="T1183" s="12"/>
      <c r="U1183" s="12" t="str">
        <f ca="1">IFERROR(__xludf.DUMMYFUNCTION("""COMPUTED_VALUE"""),"3年")</f>
        <v>3年</v>
      </c>
      <c r="V1183" s="12"/>
      <c r="W1183" s="12"/>
      <c r="X1183" s="12" t="str">
        <f ca="1">IFERROR(__xludf.DUMMYFUNCTION("""COMPUTED_VALUE"""),"(1/1~2/28)隨貨送 鋁合金超輕量摺疊椅/兩入組(SP-2501)")</f>
        <v>(1/1~2/28)隨貨送 鋁合金超輕量摺疊椅/兩入組(SP-2501)</v>
      </c>
      <c r="Y1183" s="12"/>
      <c r="Z1183" s="14"/>
      <c r="AA1183" s="15" t="str">
        <f ca="1">IFERROR(__xludf.DUMMYFUNCTION("""COMPUTED_VALUE"""),"*4K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"&amp;"( eARC支援 )")</f>
        <v>*4K HDR超明亮面板Plus*支援多重HDR格式訊號 (Dolby vision、HDR10+、HDR10、HLG)*Google TV智慧系統*智慧雜訊抑制功能*真・自然６原色*4K Studio Colour Engine處理器*Ultra HD (3840 x 2160)高解析影像*多元多樣化Internet App 使用 (Disney+、YouTube、Netflix、Prime Video等)   *低音反射環繞音效系統搭載，全音域音量出力 20W*HDMI：4K 60p HDCP2.3 ( eARC支援 )</v>
      </c>
    </row>
    <row r="1184" spans="1:27" ht="19.5" customHeight="1">
      <c r="A1184" s="12" t="str">
        <f ca="1">IFERROR(__xludf.DUMMYFUNCTION("""COMPUTED_VALUE"""),"HDTV")</f>
        <v>HDTV</v>
      </c>
      <c r="B1184" s="12" t="str">
        <f ca="1">IFERROR(__xludf.DUMMYFUNCTION("""COMPUTED_VALUE"""),"神腦")</f>
        <v>神腦</v>
      </c>
      <c r="C1184" s="12" t="str">
        <f ca="1">IFERROR(__xludf.DUMMYFUNCTION("""COMPUTED_VALUE"""),"PANASONIC")</f>
        <v>PANASONIC</v>
      </c>
      <c r="D1184" s="12" t="str">
        <f ca="1">IFERROR(__xludf.DUMMYFUNCTION("""COMPUTED_VALUE"""),"Panasonic 55型Mini LED量子點FireTV 4K智慧顯示器(無視訊盒)TV-55W95AGT")</f>
        <v>Panasonic 55型Mini LED量子點FireTV 4K智慧顯示器(無視訊盒)TV-55W95AGT</v>
      </c>
      <c r="E1184" s="12" t="str">
        <f ca="1">IFERROR(__xludf.DUMMYFUNCTION("""COMPUTED_VALUE"""),"TV-55W95AGT")</f>
        <v>TV-55W95AGT</v>
      </c>
      <c r="F1184" s="12">
        <f ca="1">IFERROR(__xludf.DUMMYFUNCTION("""COMPUTED_VALUE"""),51016534)</f>
        <v>51016534</v>
      </c>
      <c r="G1184" s="12" t="str">
        <f ca="1">IFERROR(__xludf.DUMMYFUNCTION("""COMPUTED_VALUE"""),"NCTV01RY")</f>
        <v>NCTV01RY</v>
      </c>
      <c r="H1184" s="13">
        <f ca="1">IFERROR(__xludf.DUMMYFUNCTION("""COMPUTED_VALUE"""),49900)</f>
        <v>49900</v>
      </c>
      <c r="I1184" s="18">
        <f ca="1">IFERROR(__xludf.DUMMYFUNCTION("""COMPUTED_VALUE"""),39500)</f>
        <v>39500</v>
      </c>
      <c r="J1184" s="16">
        <f ca="1">IFERROR(__xludf.DUMMYFUNCTION("""COMPUTED_VALUE"""),45702)</f>
        <v>45702</v>
      </c>
      <c r="K1184" s="12" t="str">
        <f ca="1">IFERROR(__xludf.DUMMYFUNCTION("""COMPUTED_VALUE"""),"永久降價")</f>
        <v>永久降價</v>
      </c>
      <c r="L1184" s="12" t="str">
        <f ca="1">IFERROR(__xludf.DUMMYFUNCTION("""COMPUTED_VALUE"""),"上架中")</f>
        <v>上架中</v>
      </c>
      <c r="M1184" s="12" t="str">
        <f ca="1">IFERROR(__xludf.DUMMYFUNCTION("""COMPUTED_VALUE"""),"CQ2Q only")</f>
        <v>CQ2Q only</v>
      </c>
      <c r="N1184" s="12" t="str">
        <f ca="1">IFERROR(__xludf.DUMMYFUNCTION("""COMPUTED_VALUE"""),"螢幕/液晶電視")</f>
        <v>螢幕/液晶電視</v>
      </c>
      <c r="O1184" s="12"/>
      <c r="P1184" s="12" t="str">
        <f ca="1">IFERROR(__xludf.DUMMYFUNCTION("""COMPUTED_VALUE"""),"55型")</f>
        <v>55型</v>
      </c>
      <c r="Q1184" s="12" t="str">
        <f ca="1">IFERROR(__xludf.DUMMYFUNCTION("""COMPUTED_VALUE"""),"含腳座: 761 / 1228 / 303 mm
不含腳座:  709 / 1228 /71 mm")</f>
        <v>含腳座: 761 / 1228 / 303 mm
不含腳座:  709 / 1228 /71 mm</v>
      </c>
      <c r="R1184" s="12" t="str">
        <f ca="1">IFERROR(__xludf.DUMMYFUNCTION("""COMPUTED_VALUE"""),"台灣")</f>
        <v>台灣</v>
      </c>
      <c r="S1184" s="12"/>
      <c r="T1184" s="12"/>
      <c r="U1184" s="12" t="str">
        <f ca="1">IFERROR(__xludf.DUMMYFUNCTION("""COMPUTED_VALUE"""),"3年")</f>
        <v>3年</v>
      </c>
      <c r="V1184" s="12"/>
      <c r="W1184" s="12"/>
      <c r="X1184" s="12"/>
      <c r="Y1184" s="12"/>
      <c r="Z1184" s="14"/>
      <c r="AA1184" s="15" t="str">
        <f ca="1">IFERROR(__xludf.DUMMYFUNCTION("""COMPUTED_VALUE"""),"*4K Mini LED 量子點專業面板*支援多重HDR格式訊號 (Dolby vision IQ、HDR10+Adaptive、HDR10、HLG)*Fire TV智慧顯示器全新登場*AI智慧區域控光Ultra技術搭載*真・自然６原色*HCX pro AI MK II處理器搭載*Ultra HD (3840 x 2160)高解析影像*Amazon Store豐富串流影音 (Disney+、YouTube、Netflix等)   *Dynamic Theater Surround2.1聲道音效搭載(50W"&amp;")*HDMI：最高4K 144Hz 、支援HDCP2.3")</f>
        <v>*4K Mini LED 量子點專業面板*支援多重HDR格式訊號 (Dolby vision IQ、HDR10+Adaptive、HDR10、HLG)*Fire TV智慧顯示器全新登場*AI智慧區域控光Ultra技術搭載*真・自然６原色*HCX pro AI MK II處理器搭載*Ultra HD (3840 x 2160)高解析影像*Amazon Store豐富串流影音 (Disney+、YouTube、Netflix等)   *Dynamic Theater Surround2.1聲道音效搭載(50W)*HDMI：最高4K 144Hz 、支援HDCP2.3</v>
      </c>
    </row>
    <row r="1185" spans="1:27" ht="19.5" customHeight="1">
      <c r="A1185" s="12" t="str">
        <f ca="1">IFERROR(__xludf.DUMMYFUNCTION("""COMPUTED_VALUE"""),"HDTV")</f>
        <v>HDTV</v>
      </c>
      <c r="B1185" s="12" t="str">
        <f ca="1">IFERROR(__xludf.DUMMYFUNCTION("""COMPUTED_VALUE"""),"神腦")</f>
        <v>神腦</v>
      </c>
      <c r="C1185" s="12" t="str">
        <f ca="1">IFERROR(__xludf.DUMMYFUNCTION("""COMPUTED_VALUE"""),"PANASONIC")</f>
        <v>PANASONIC</v>
      </c>
      <c r="D1185" s="12" t="str">
        <f ca="1">IFERROR(__xludf.DUMMYFUNCTION("""COMPUTED_VALUE"""),"Panasonic 65型Mini LED量子點FireTV 4K智慧顯示器(無視訊盒)TV-65W95AGT")</f>
        <v>Panasonic 65型Mini LED量子點FireTV 4K智慧顯示器(無視訊盒)TV-65W95AGT</v>
      </c>
      <c r="E1185" s="12" t="str">
        <f ca="1">IFERROR(__xludf.DUMMYFUNCTION("""COMPUTED_VALUE"""),"TV-65W95AGT")</f>
        <v>TV-65W95AGT</v>
      </c>
      <c r="F1185" s="12">
        <f ca="1">IFERROR(__xludf.DUMMYFUNCTION("""COMPUTED_VALUE"""),51016535)</f>
        <v>51016535</v>
      </c>
      <c r="G1185" s="12" t="str">
        <f ca="1">IFERROR(__xludf.DUMMYFUNCTION("""COMPUTED_VALUE"""),"NCTV01RZ")</f>
        <v>NCTV01RZ</v>
      </c>
      <c r="H1185" s="13">
        <f ca="1">IFERROR(__xludf.DUMMYFUNCTION("""COMPUTED_VALUE"""),62900)</f>
        <v>62900</v>
      </c>
      <c r="I1185" s="18">
        <f ca="1">IFERROR(__xludf.DUMMYFUNCTION("""COMPUTED_VALUE"""),49400)</f>
        <v>49400</v>
      </c>
      <c r="J1185" s="16">
        <f ca="1">IFERROR(__xludf.DUMMYFUNCTION("""COMPUTED_VALUE"""),45702)</f>
        <v>45702</v>
      </c>
      <c r="K1185" s="12" t="str">
        <f ca="1">IFERROR(__xludf.DUMMYFUNCTION("""COMPUTED_VALUE"""),"永久降價")</f>
        <v>永久降價</v>
      </c>
      <c r="L1185" s="12" t="str">
        <f ca="1">IFERROR(__xludf.DUMMYFUNCTION("""COMPUTED_VALUE"""),"上架中")</f>
        <v>上架中</v>
      </c>
      <c r="M1185" s="12" t="str">
        <f ca="1">IFERROR(__xludf.DUMMYFUNCTION("""COMPUTED_VALUE"""),"CQ2Q only")</f>
        <v>CQ2Q only</v>
      </c>
      <c r="N1185" s="12" t="str">
        <f ca="1">IFERROR(__xludf.DUMMYFUNCTION("""COMPUTED_VALUE"""),"螢幕/液晶電視")</f>
        <v>螢幕/液晶電視</v>
      </c>
      <c r="O1185" s="12"/>
      <c r="P1185" s="12" t="str">
        <f ca="1">IFERROR(__xludf.DUMMYFUNCTION("""COMPUTED_VALUE"""),"65型")</f>
        <v>65型</v>
      </c>
      <c r="Q1185" s="12" t="str">
        <f ca="1">IFERROR(__xludf.DUMMYFUNCTION("""COMPUTED_VALUE"""),"含腳座: 885 /1448 / 303 mm
不含腳座: 833 / 1448 / 71 mm")</f>
        <v>含腳座: 885 /1448 / 303 mm
不含腳座: 833 / 1448 / 71 mm</v>
      </c>
      <c r="R1185" s="12" t="str">
        <f ca="1">IFERROR(__xludf.DUMMYFUNCTION("""COMPUTED_VALUE"""),"台灣")</f>
        <v>台灣</v>
      </c>
      <c r="S1185" s="12"/>
      <c r="T1185" s="12"/>
      <c r="U1185" s="12" t="str">
        <f ca="1">IFERROR(__xludf.DUMMYFUNCTION("""COMPUTED_VALUE"""),"3年")</f>
        <v>3年</v>
      </c>
      <c r="V1185" s="12"/>
      <c r="W1185" s="12"/>
      <c r="X1185" s="12"/>
      <c r="Y1185" s="12"/>
      <c r="Z1185" s="14"/>
      <c r="AA1185" s="15" t="str">
        <f ca="1">IFERROR(__xludf.DUMMYFUNCTION("""COMPUTED_VALUE"""),"*4K Mini LED 量子點專業面板*支援多重HDR格式訊號 (Dolby vision IQ、HDR10+Adaptive、HDR10、HLG)*Fire TV智慧顯示器全新登場*AI智慧區域控光Ultra技術搭載*真・自然６原色*HCX pro AI MK II處理器搭載*Ultra HD (3840 x 2160)高解析影像*Amazon Store豐富串流影音 (Disney+、YouTube、Netflix等)   *Dynamic Theater Surround2.1聲道音效搭載(50W"&amp;")*HDMI：最高4K 144Hz 、支援HDCP2.4")</f>
        <v>*4K Mini LED 量子點專業面板*支援多重HDR格式訊號 (Dolby vision IQ、HDR10+Adaptive、HDR10、HLG)*Fire TV智慧顯示器全新登場*AI智慧區域控光Ultra技術搭載*真・自然６原色*HCX pro AI MK II處理器搭載*Ultra HD (3840 x 2160)高解析影像*Amazon Store豐富串流影音 (Disney+、YouTube、Netflix等)   *Dynamic Theater Surround2.1聲道音效搭載(50W)*HDMI：最高4K 144Hz 、支援HDCP2.4</v>
      </c>
    </row>
    <row r="1186" spans="1:27" ht="19.5" customHeight="1">
      <c r="A1186" s="12" t="str">
        <f ca="1">IFERROR(__xludf.DUMMYFUNCTION("""COMPUTED_VALUE"""),"HDTV")</f>
        <v>HDTV</v>
      </c>
      <c r="B1186" s="12" t="str">
        <f ca="1">IFERROR(__xludf.DUMMYFUNCTION("""COMPUTED_VALUE"""),"神腦")</f>
        <v>神腦</v>
      </c>
      <c r="C1186" s="12" t="str">
        <f ca="1">IFERROR(__xludf.DUMMYFUNCTION("""COMPUTED_VALUE"""),"PANASONIC")</f>
        <v>PANASONIC</v>
      </c>
      <c r="D1186" s="12" t="str">
        <f ca="1">IFERROR(__xludf.DUMMYFUNCTION("""COMPUTED_VALUE"""),"Panasonic 75型Mini LED量子點FireTV 4K智慧顯示器(無視訊盒)TV-75W95AGT")</f>
        <v>Panasonic 75型Mini LED量子點FireTV 4K智慧顯示器(無視訊盒)TV-75W95AGT</v>
      </c>
      <c r="E1186" s="12" t="str">
        <f ca="1">IFERROR(__xludf.DUMMYFUNCTION("""COMPUTED_VALUE"""),"TV-75W95AGT")</f>
        <v>TV-75W95AGT</v>
      </c>
      <c r="F1186" s="12">
        <f ca="1">IFERROR(__xludf.DUMMYFUNCTION("""COMPUTED_VALUE"""),51016536)</f>
        <v>51016536</v>
      </c>
      <c r="G1186" s="12" t="str">
        <f ca="1">IFERROR(__xludf.DUMMYFUNCTION("""COMPUTED_VALUE"""),"NCTV01S1")</f>
        <v>NCTV01S1</v>
      </c>
      <c r="H1186" s="13">
        <f ca="1">IFERROR(__xludf.DUMMYFUNCTION("""COMPUTED_VALUE"""),99900)</f>
        <v>99900</v>
      </c>
      <c r="I1186" s="18">
        <f ca="1">IFERROR(__xludf.DUMMYFUNCTION("""COMPUTED_VALUE"""),73700)</f>
        <v>73700</v>
      </c>
      <c r="J1186" s="16">
        <f ca="1">IFERROR(__xludf.DUMMYFUNCTION("""COMPUTED_VALUE"""),45702)</f>
        <v>45702</v>
      </c>
      <c r="K1186" s="12" t="str">
        <f ca="1">IFERROR(__xludf.DUMMYFUNCTION("""COMPUTED_VALUE"""),"永久降價")</f>
        <v>永久降價</v>
      </c>
      <c r="L1186" s="12" t="str">
        <f ca="1">IFERROR(__xludf.DUMMYFUNCTION("""COMPUTED_VALUE"""),"上架中")</f>
        <v>上架中</v>
      </c>
      <c r="M1186" s="12" t="str">
        <f ca="1">IFERROR(__xludf.DUMMYFUNCTION("""COMPUTED_VALUE"""),"CQ2Q only")</f>
        <v>CQ2Q only</v>
      </c>
      <c r="N1186" s="12" t="str">
        <f ca="1">IFERROR(__xludf.DUMMYFUNCTION("""COMPUTED_VALUE"""),"螢幕/液晶電視")</f>
        <v>螢幕/液晶電視</v>
      </c>
      <c r="O1186" s="12"/>
      <c r="P1186" s="12" t="str">
        <f ca="1">IFERROR(__xludf.DUMMYFUNCTION("""COMPUTED_VALUE"""),"75型")</f>
        <v>75型</v>
      </c>
      <c r="Q1186" s="12" t="str">
        <f ca="1">IFERROR(__xludf.DUMMYFUNCTION("""COMPUTED_VALUE"""),"含腳座:  1013 /1672 / 350 mm     
不含腳座:  959 / 1672 /  71 mm ")</f>
        <v xml:space="preserve">含腳座:  1013 /1672 / 350 mm     
不含腳座:  959 / 1672 /  71 mm </v>
      </c>
      <c r="R1186" s="12" t="str">
        <f ca="1">IFERROR(__xludf.DUMMYFUNCTION("""COMPUTED_VALUE"""),"台灣")</f>
        <v>台灣</v>
      </c>
      <c r="S1186" s="12"/>
      <c r="T1186" s="12"/>
      <c r="U1186" s="12" t="str">
        <f ca="1">IFERROR(__xludf.DUMMYFUNCTION("""COMPUTED_VALUE"""),"3年")</f>
        <v>3年</v>
      </c>
      <c r="V1186" s="12"/>
      <c r="W1186" s="12"/>
      <c r="X1186" s="12"/>
      <c r="Y1186" s="12"/>
      <c r="Z1186" s="14"/>
      <c r="AA1186" s="15" t="str">
        <f ca="1">IFERROR(__xludf.DUMMYFUNCTION("""COMPUTED_VALUE"""),"*4K Mini LED 量子點專業面板*支援多重HDR格式訊號 (Dolby vision IQ、HDR10+Adaptive、HDR10、HLG)*Fire TV智慧顯示器全新登場*AI智慧區域控光Ultra技術搭載*真・自然６原色*HCX pro AI MK II處理器搭載*Ultra HD (3840 x 2160)高解析影像*Amazon Store豐富串流影音 (Disney+、YouTube、Netflix等)   *Dynamic Theater Surround2.1聲道音效搭載(50W"&amp;")*HDMI：最高4K 144Hz 、支援HDCP2.5")</f>
        <v>*4K Mini LED 量子點專業面板*支援多重HDR格式訊號 (Dolby vision IQ、HDR10+Adaptive、HDR10、HLG)*Fire TV智慧顯示器全新登場*AI智慧區域控光Ultra技術搭載*真・自然６原色*HCX pro AI MK II處理器搭載*Ultra HD (3840 x 2160)高解析影像*Amazon Store豐富串流影音 (Disney+、YouTube、Netflix等)   *Dynamic Theater Surround2.1聲道音效搭載(50W)*HDMI：最高4K 144Hz 、支援HDCP2.5</v>
      </c>
    </row>
    <row r="1187" spans="1:27" ht="19.5" customHeight="1">
      <c r="A1187" s="12" t="str">
        <f ca="1">IFERROR(__xludf.DUMMYFUNCTION("""COMPUTED_VALUE"""),"HDTV")</f>
        <v>HDTV</v>
      </c>
      <c r="B1187" s="12" t="str">
        <f ca="1">IFERROR(__xludf.DUMMYFUNCTION("""COMPUTED_VALUE"""),"神腦")</f>
        <v>神腦</v>
      </c>
      <c r="C1187" s="12" t="str">
        <f ca="1">IFERROR(__xludf.DUMMYFUNCTION("""COMPUTED_VALUE"""),"PANASONIC")</f>
        <v>PANASONIC</v>
      </c>
      <c r="D1187" s="12" t="str">
        <f ca="1">IFERROR(__xludf.DUMMYFUNCTION("""COMPUTED_VALUE"""),"Panasonic 55型OLED FireTV 4K智慧顯示器(無視訊盒)TV-55Z85AGT")</f>
        <v>Panasonic 55型OLED FireTV 4K智慧顯示器(無視訊盒)TV-55Z85AGT</v>
      </c>
      <c r="E1187" s="12" t="str">
        <f ca="1">IFERROR(__xludf.DUMMYFUNCTION("""COMPUTED_VALUE"""),"TV-55Z85AGT")</f>
        <v>TV-55Z85AGT</v>
      </c>
      <c r="F1187" s="12">
        <f ca="1">IFERROR(__xludf.DUMMYFUNCTION("""COMPUTED_VALUE"""),51016538)</f>
        <v>51016538</v>
      </c>
      <c r="G1187" s="12" t="str">
        <f ca="1">IFERROR(__xludf.DUMMYFUNCTION("""COMPUTED_VALUE"""),"NCTV01S3")</f>
        <v>NCTV01S3</v>
      </c>
      <c r="H1187" s="13">
        <f ca="1">IFERROR(__xludf.DUMMYFUNCTION("""COMPUTED_VALUE"""),54900)</f>
        <v>54900</v>
      </c>
      <c r="I1187" s="18">
        <f ca="1">IFERROR(__xludf.DUMMYFUNCTION("""COMPUTED_VALUE"""),42200)</f>
        <v>42200</v>
      </c>
      <c r="J1187" s="16">
        <f ca="1">IFERROR(__xludf.DUMMYFUNCTION("""COMPUTED_VALUE"""),45702)</f>
        <v>45702</v>
      </c>
      <c r="K1187" s="12" t="str">
        <f ca="1">IFERROR(__xludf.DUMMYFUNCTION("""COMPUTED_VALUE"""),"永久降價")</f>
        <v>永久降價</v>
      </c>
      <c r="L1187" s="12" t="str">
        <f ca="1">IFERROR(__xludf.DUMMYFUNCTION("""COMPUTED_VALUE"""),"上架中")</f>
        <v>上架中</v>
      </c>
      <c r="M1187" s="12" t="str">
        <f ca="1">IFERROR(__xludf.DUMMYFUNCTION("""COMPUTED_VALUE"""),"CQ2Q only")</f>
        <v>CQ2Q only</v>
      </c>
      <c r="N1187" s="12" t="str">
        <f ca="1">IFERROR(__xludf.DUMMYFUNCTION("""COMPUTED_VALUE"""),"螢幕/液晶電視")</f>
        <v>螢幕/液晶電視</v>
      </c>
      <c r="O1187" s="12"/>
      <c r="P1187" s="12" t="str">
        <f ca="1">IFERROR(__xludf.DUMMYFUNCTION("""COMPUTED_VALUE"""),"55型")</f>
        <v>55型</v>
      </c>
      <c r="Q1187" s="12" t="str">
        <f ca="1">IFERROR(__xludf.DUMMYFUNCTION("""COMPUTED_VALUE"""),"含腳座: 765 /1227 / 303 mm
不含腳座: 714 / 1227 / 69 mm")</f>
        <v>含腳座: 765 /1227 / 303 mm
不含腳座: 714 / 1227 / 69 mm</v>
      </c>
      <c r="R1187" s="12" t="str">
        <f ca="1">IFERROR(__xludf.DUMMYFUNCTION("""COMPUTED_VALUE"""),"台灣")</f>
        <v>台灣</v>
      </c>
      <c r="S1187" s="12"/>
      <c r="T1187" s="12"/>
      <c r="U1187" s="12" t="str">
        <f ca="1">IFERROR(__xludf.DUMMYFUNCTION("""COMPUTED_VALUE"""),"3年")</f>
        <v>3年</v>
      </c>
      <c r="V1187" s="12"/>
      <c r="W1187" s="12"/>
      <c r="X1187" s="12"/>
      <c r="Y1187" s="12"/>
      <c r="Z1187" s="14"/>
      <c r="AA1187" s="15" t="str">
        <f ca="1">IFERROR(__xludf.DUMMYFUNCTION("""COMPUTED_VALUE"""),"*4K OLED 專業面板、驅動散熱技術搭載*支援多重HDR格式訊號 (Dolby vision IQ、HDR10+Adaptive、HDR10、HLG)*Fire TV智慧顯示器全新登場*像素獨立控光，完美呈現自然對比*真・自然６原色*HCX pro AI MK II處理器搭載*Ultra HD (3840 x 2160)高解析影像*Amazon Store豐富串流影音 (Disney+、YouTube、Netflix等)   *Theater Surround Pro專業劇院環繞音效搭載(50W)*H"&amp;"DMI：最高4K 120Hz 、支援HDCP2.3*鏡像分享 : 支援AirPlay 3")</f>
        <v>*4K OLED 專業面板、驅動散熱技術搭載*支援多重HDR格式訊號 (Dolby vision IQ、HDR10+Adaptive、HDR10、HLG)*Fire TV智慧顯示器全新登場*像素獨立控光，完美呈現自然對比*真・自然６原色*HCX pro AI MK II處理器搭載*Ultra HD (3840 x 2160)高解析影像*Amazon Store豐富串流影音 (Disney+、YouTube、Netflix等)   *Theater Surround Pro專業劇院環繞音效搭載(50W)*HDMI：最高4K 120Hz 、支援HDCP2.3*鏡像分享 : 支援AirPlay 3</v>
      </c>
    </row>
    <row r="1188" spans="1:27" ht="19.5" customHeight="1">
      <c r="A1188" s="12" t="str">
        <f ca="1">IFERROR(__xludf.DUMMYFUNCTION("""COMPUTED_VALUE"""),"HDTV")</f>
        <v>HDTV</v>
      </c>
      <c r="B1188" s="12" t="str">
        <f ca="1">IFERROR(__xludf.DUMMYFUNCTION("""COMPUTED_VALUE"""),"神腦")</f>
        <v>神腦</v>
      </c>
      <c r="C1188" s="12" t="str">
        <f ca="1">IFERROR(__xludf.DUMMYFUNCTION("""COMPUTED_VALUE"""),"PANASONIC")</f>
        <v>PANASONIC</v>
      </c>
      <c r="D1188" s="12" t="str">
        <f ca="1">IFERROR(__xludf.DUMMYFUNCTION("""COMPUTED_VALUE"""),"Panasonic 65型OLED FireTV 4K智慧顯示器(無視訊盒)TV-65Z85AGT")</f>
        <v>Panasonic 65型OLED FireTV 4K智慧顯示器(無視訊盒)TV-65Z85AGT</v>
      </c>
      <c r="E1188" s="12" t="str">
        <f ca="1">IFERROR(__xludf.DUMMYFUNCTION("""COMPUTED_VALUE"""),"TV-65Z85AGT")</f>
        <v>TV-65Z85AGT</v>
      </c>
      <c r="F1188" s="12">
        <f ca="1">IFERROR(__xludf.DUMMYFUNCTION("""COMPUTED_VALUE"""),51016539)</f>
        <v>51016539</v>
      </c>
      <c r="G1188" s="12" t="str">
        <f ca="1">IFERROR(__xludf.DUMMYFUNCTION("""COMPUTED_VALUE"""),"NCTV01S4")</f>
        <v>NCTV01S4</v>
      </c>
      <c r="H1188" s="13">
        <f ca="1">IFERROR(__xludf.DUMMYFUNCTION("""COMPUTED_VALUE"""),82900)</f>
        <v>82900</v>
      </c>
      <c r="I1188" s="18">
        <f ca="1">IFERROR(__xludf.DUMMYFUNCTION("""COMPUTED_VALUE"""),62900)</f>
        <v>62900</v>
      </c>
      <c r="J1188" s="16">
        <f ca="1">IFERROR(__xludf.DUMMYFUNCTION("""COMPUTED_VALUE"""),45702)</f>
        <v>45702</v>
      </c>
      <c r="K1188" s="12" t="str">
        <f ca="1">IFERROR(__xludf.DUMMYFUNCTION("""COMPUTED_VALUE"""),"永久降價")</f>
        <v>永久降價</v>
      </c>
      <c r="L1188" s="12" t="str">
        <f ca="1">IFERROR(__xludf.DUMMYFUNCTION("""COMPUTED_VALUE"""),"上架中")</f>
        <v>上架中</v>
      </c>
      <c r="M1188" s="12" t="str">
        <f ca="1">IFERROR(__xludf.DUMMYFUNCTION("""COMPUTED_VALUE"""),"CQ2Q only")</f>
        <v>CQ2Q only</v>
      </c>
      <c r="N1188" s="12" t="str">
        <f ca="1">IFERROR(__xludf.DUMMYFUNCTION("""COMPUTED_VALUE"""),"螢幕/液晶電視")</f>
        <v>螢幕/液晶電視</v>
      </c>
      <c r="O1188" s="12"/>
      <c r="P1188" s="12" t="str">
        <f ca="1">IFERROR(__xludf.DUMMYFUNCTION("""COMPUTED_VALUE"""),"65型")</f>
        <v>65型</v>
      </c>
      <c r="Q1188" s="12" t="str">
        <f ca="1">IFERROR(__xludf.DUMMYFUNCTION("""COMPUTED_VALUE"""),"含腳座: 889 / 1448 / 303 mm
不含腳座: 838 / 1448 /  69 mm        ")</f>
        <v xml:space="preserve">含腳座: 889 / 1448 / 303 mm
不含腳座: 838 / 1448 /  69 mm        </v>
      </c>
      <c r="R1188" s="12" t="str">
        <f ca="1">IFERROR(__xludf.DUMMYFUNCTION("""COMPUTED_VALUE"""),"台灣")</f>
        <v>台灣</v>
      </c>
      <c r="S1188" s="12"/>
      <c r="T1188" s="12"/>
      <c r="U1188" s="12" t="str">
        <f ca="1">IFERROR(__xludf.DUMMYFUNCTION("""COMPUTED_VALUE"""),"3年")</f>
        <v>3年</v>
      </c>
      <c r="V1188" s="12"/>
      <c r="W1188" s="12"/>
      <c r="X1188" s="12"/>
      <c r="Y1188" s="12"/>
      <c r="Z1188" s="14"/>
      <c r="AA1188" s="15" t="str">
        <f ca="1">IFERROR(__xludf.DUMMYFUNCTION("""COMPUTED_VALUE"""),"*4K OLED 專業面板、驅動散熱技術搭載*支援多重HDR格式訊號 (Dolby vision IQ、HDR10+Adaptive、HDR10、HLG)*Fire TV智慧顯示器全新登場*像素獨立控光，完美呈現自然對比*真・自然６原色*HCX pro AI MK II處理器搭載*Ultra HD (3840 x 2160)高解析影像*Amazon Store豐富串流影音 (Disney+、YouTube、Netflix等)   *Theater Surround Pro專業劇院環繞音效搭載(50W)*H"&amp;"DMI：最高4K 120Hz 、支援HDCP2.3*鏡像分享 : 支援AirPlay 4")</f>
        <v>*4K OLED 專業面板、驅動散熱技術搭載*支援多重HDR格式訊號 (Dolby vision IQ、HDR10+Adaptive、HDR10、HLG)*Fire TV智慧顯示器全新登場*像素獨立控光，完美呈現自然對比*真・自然６原色*HCX pro AI MK II處理器搭載*Ultra HD (3840 x 2160)高解析影像*Amazon Store豐富串流影音 (Disney+、YouTube、Netflix等)   *Theater Surround Pro專業劇院環繞音效搭載(50W)*HDMI：最高4K 120Hz 、支援HDCP2.3*鏡像分享 : 支援AirPlay 4</v>
      </c>
    </row>
    <row r="1189" spans="1:27" ht="19.5" customHeight="1">
      <c r="A1189" s="12" t="str">
        <f ca="1">IFERROR(__xludf.DUMMYFUNCTION("""COMPUTED_VALUE"""),"HDTV")</f>
        <v>HDTV</v>
      </c>
      <c r="B1189" s="12" t="str">
        <f ca="1">IFERROR(__xludf.DUMMYFUNCTION("""COMPUTED_VALUE"""),"神腦")</f>
        <v>神腦</v>
      </c>
      <c r="C1189" s="12" t="str">
        <f ca="1">IFERROR(__xludf.DUMMYFUNCTION("""COMPUTED_VALUE"""),"PANASONIC")</f>
        <v>PANASONIC</v>
      </c>
      <c r="D1189" s="12" t="str">
        <f ca="1">IFERROR(__xludf.DUMMYFUNCTION("""COMPUTED_VALUE"""),"Panasonic 55型OLED 旗艦版FireTV 4K智慧顯示器(無視訊盒)TV-55Z95AGT")</f>
        <v>Panasonic 55型OLED 旗艦版FireTV 4K智慧顯示器(無視訊盒)TV-55Z95AGT</v>
      </c>
      <c r="E1189" s="12" t="str">
        <f ca="1">IFERROR(__xludf.DUMMYFUNCTION("""COMPUTED_VALUE"""),"TV-55Z95AGT")</f>
        <v>TV-55Z95AGT</v>
      </c>
      <c r="F1189" s="12">
        <f ca="1">IFERROR(__xludf.DUMMYFUNCTION("""COMPUTED_VALUE"""),51016540)</f>
        <v>51016540</v>
      </c>
      <c r="G1189" s="12" t="str">
        <f ca="1">IFERROR(__xludf.DUMMYFUNCTION("""COMPUTED_VALUE"""),"NCTV01S5")</f>
        <v>NCTV01S5</v>
      </c>
      <c r="H1189" s="13">
        <f ca="1">IFERROR(__xludf.DUMMYFUNCTION("""COMPUTED_VALUE"""),86900)</f>
        <v>86900</v>
      </c>
      <c r="I1189" s="18">
        <f ca="1">IFERROR(__xludf.DUMMYFUNCTION("""COMPUTED_VALUE"""),63800)</f>
        <v>63800</v>
      </c>
      <c r="J1189" s="16">
        <f ca="1">IFERROR(__xludf.DUMMYFUNCTION("""COMPUTED_VALUE"""),45702)</f>
        <v>45702</v>
      </c>
      <c r="K1189" s="12" t="str">
        <f ca="1">IFERROR(__xludf.DUMMYFUNCTION("""COMPUTED_VALUE"""),"永久降價")</f>
        <v>永久降價</v>
      </c>
      <c r="L1189" s="12" t="str">
        <f ca="1">IFERROR(__xludf.DUMMYFUNCTION("""COMPUTED_VALUE"""),"上架中")</f>
        <v>上架中</v>
      </c>
      <c r="M1189" s="12" t="str">
        <f ca="1">IFERROR(__xludf.DUMMYFUNCTION("""COMPUTED_VALUE"""),"CQ2Q only")</f>
        <v>CQ2Q only</v>
      </c>
      <c r="N1189" s="12" t="str">
        <f ca="1">IFERROR(__xludf.DUMMYFUNCTION("""COMPUTED_VALUE"""),"螢幕/液晶電視")</f>
        <v>螢幕/液晶電視</v>
      </c>
      <c r="O1189" s="12"/>
      <c r="P1189" s="12" t="str">
        <f ca="1">IFERROR(__xludf.DUMMYFUNCTION("""COMPUTED_VALUE"""),"55型")</f>
        <v>55型</v>
      </c>
      <c r="Q1189" s="12" t="str">
        <f ca="1">IFERROR(__xludf.DUMMYFUNCTION("""COMPUTED_VALUE"""),"含腳座: 792 / 1227 / 350 mm
不含腳座: 765 / 1227 /  69 mm")</f>
        <v>含腳座: 792 / 1227 / 350 mm
不含腳座: 765 / 1227 /  69 mm</v>
      </c>
      <c r="R1189" s="12" t="str">
        <f ca="1">IFERROR(__xludf.DUMMYFUNCTION("""COMPUTED_VALUE"""),"台灣")</f>
        <v>台灣</v>
      </c>
      <c r="S1189" s="12"/>
      <c r="T1189" s="12"/>
      <c r="U1189" s="12" t="str">
        <f ca="1">IFERROR(__xludf.DUMMYFUNCTION("""COMPUTED_VALUE"""),"3年")</f>
        <v>3年</v>
      </c>
      <c r="V1189" s="12"/>
      <c r="W1189" s="12"/>
      <c r="X1189" s="12"/>
      <c r="Y1189" s="12"/>
      <c r="Z1189" s="14"/>
      <c r="AA1189" s="15" t="str">
        <f ca="1">IFERROR(__xludf.DUMMYFUNCTION("""COMPUTED_VALUE"""),"*4K Master OLED Ultimate特製面板*支援多重HDR格式訊號 (Dolby vision IQ、HDR10+Adaptive、HDR10、HLG)*Fire TV智慧顯示器全新登場*像素獨立控光，完美呈現自然對比*真・自然６原色*HCX pro AI MK II處理器搭載*Ultra HD (3840 x 2160)高解析影像*Amazon Store豐富串流影音 (Disney+、YouTube、Netflix等)   *360°SoundScape Pro環繞音效系統(150W)*"&amp;"HDMI：最高4K 144Hz 、支援HDCP2.3*鏡像分享 : 支援AirPlay 2")</f>
        <v>*4K Master OLED Ultimate特製面板*支援多重HDR格式訊號 (Dolby vision IQ、HDR10+Adaptive、HDR10、HLG)*Fire TV智慧顯示器全新登場*像素獨立控光，完美呈現自然對比*真・自然６原色*HCX pro AI MK II處理器搭載*Ultra HD (3840 x 2160)高解析影像*Amazon Store豐富串流影音 (Disney+、YouTube、Netflix等)   *360°SoundScape Pro環繞音效系統(150W)*HDMI：最高4K 144Hz 、支援HDCP2.3*鏡像分享 : 支援AirPlay 2</v>
      </c>
    </row>
    <row r="1190" spans="1:27" ht="19.5" customHeight="1">
      <c r="A1190" s="12" t="str">
        <f ca="1">IFERROR(__xludf.DUMMYFUNCTION("""COMPUTED_VALUE"""),"HDTV")</f>
        <v>HDTV</v>
      </c>
      <c r="B1190" s="12" t="str">
        <f ca="1">IFERROR(__xludf.DUMMYFUNCTION("""COMPUTED_VALUE"""),"神腦")</f>
        <v>神腦</v>
      </c>
      <c r="C1190" s="12" t="str">
        <f ca="1">IFERROR(__xludf.DUMMYFUNCTION("""COMPUTED_VALUE"""),"PANASONIC")</f>
        <v>PANASONIC</v>
      </c>
      <c r="D1190" s="12" t="str">
        <f ca="1">IFERROR(__xludf.DUMMYFUNCTION("""COMPUTED_VALUE"""),"Panasonic 65型OLED 旗艦版FireTV 4K智慧顯示器(無視訊盒)TV-65Z95AGT")</f>
        <v>Panasonic 65型OLED 旗艦版FireTV 4K智慧顯示器(無視訊盒)TV-65Z95AGT</v>
      </c>
      <c r="E1190" s="12" t="str">
        <f ca="1">IFERROR(__xludf.DUMMYFUNCTION("""COMPUTED_VALUE"""),"TV-65Z95AGT")</f>
        <v>TV-65Z95AGT</v>
      </c>
      <c r="F1190" s="12">
        <f ca="1">IFERROR(__xludf.DUMMYFUNCTION("""COMPUTED_VALUE"""),51016541)</f>
        <v>51016541</v>
      </c>
      <c r="G1190" s="12" t="str">
        <f ca="1">IFERROR(__xludf.DUMMYFUNCTION("""COMPUTED_VALUE"""),"NCTV01S6")</f>
        <v>NCTV01S6</v>
      </c>
      <c r="H1190" s="13">
        <f ca="1">IFERROR(__xludf.DUMMYFUNCTION("""COMPUTED_VALUE"""),129900)</f>
        <v>129900</v>
      </c>
      <c r="I1190" s="18">
        <f ca="1">IFERROR(__xludf.DUMMYFUNCTION("""COMPUTED_VALUE"""),98000)</f>
        <v>98000</v>
      </c>
      <c r="J1190" s="16">
        <f ca="1">IFERROR(__xludf.DUMMYFUNCTION("""COMPUTED_VALUE"""),45702)</f>
        <v>45702</v>
      </c>
      <c r="K1190" s="12" t="str">
        <f ca="1">IFERROR(__xludf.DUMMYFUNCTION("""COMPUTED_VALUE"""),"永久降價")</f>
        <v>永久降價</v>
      </c>
      <c r="L1190" s="12" t="str">
        <f ca="1">IFERROR(__xludf.DUMMYFUNCTION("""COMPUTED_VALUE"""),"上架中")</f>
        <v>上架中</v>
      </c>
      <c r="M1190" s="12" t="str">
        <f ca="1">IFERROR(__xludf.DUMMYFUNCTION("""COMPUTED_VALUE"""),"CQ2Q only")</f>
        <v>CQ2Q only</v>
      </c>
      <c r="N1190" s="12" t="str">
        <f ca="1">IFERROR(__xludf.DUMMYFUNCTION("""COMPUTED_VALUE"""),"螢幕/液晶電視")</f>
        <v>螢幕/液晶電視</v>
      </c>
      <c r="O1190" s="12"/>
      <c r="P1190" s="12" t="str">
        <f ca="1">IFERROR(__xludf.DUMMYFUNCTION("""COMPUTED_VALUE"""),"65型")</f>
        <v>65型</v>
      </c>
      <c r="Q1190" s="12" t="str">
        <f ca="1">IFERROR(__xludf.DUMMYFUNCTION("""COMPUTED_VALUE"""),"含腳座:  916 / 1448 /350 mm
不含腳座:  889 / 1448 /69 mm")</f>
        <v>含腳座:  916 / 1448 /350 mm
不含腳座:  889 / 1448 /69 mm</v>
      </c>
      <c r="R1190" s="12" t="str">
        <f ca="1">IFERROR(__xludf.DUMMYFUNCTION("""COMPUTED_VALUE"""),"台灣")</f>
        <v>台灣</v>
      </c>
      <c r="S1190" s="12"/>
      <c r="T1190" s="12"/>
      <c r="U1190" s="12" t="str">
        <f ca="1">IFERROR(__xludf.DUMMYFUNCTION("""COMPUTED_VALUE"""),"3年")</f>
        <v>3年</v>
      </c>
      <c r="V1190" s="12"/>
      <c r="W1190" s="12"/>
      <c r="X1190" s="12"/>
      <c r="Y1190" s="12"/>
      <c r="Z1190" s="14"/>
      <c r="AA1190" s="15" t="str">
        <f ca="1">IFERROR(__xludf.DUMMYFUNCTION("""COMPUTED_VALUE"""),"*4K Master OLED Ultimate特製面板*支援多重HDR格式訊號 (Dolby vision IQ、HDR10+Adaptive、HDR10、HLG)*Fire TV智慧顯示器全新登場*像素獨立控光，完美呈現自然對比*真・自然６原色*HCX pro AI MK II處理器搭載*Ultra HD (3840 x 2160)高解析影像*Amazon Store豐富串流影音 (Disney+、YouTube、Netflix等)   *360°SoundScape Pro環繞音效系統(150W)*"&amp;"HDMI：最高4K 144Hz 、支援HDCP2.3*鏡像分享 : 支援AirPlay 3")</f>
        <v>*4K Master OLED Ultimate特製面板*支援多重HDR格式訊號 (Dolby vision IQ、HDR10+Adaptive、HDR10、HLG)*Fire TV智慧顯示器全新登場*像素獨立控光，完美呈現自然對比*真・自然６原色*HCX pro AI MK II處理器搭載*Ultra HD (3840 x 2160)高解析影像*Amazon Store豐富串流影音 (Disney+、YouTube、Netflix等)   *360°SoundScape Pro環繞音效系統(150W)*HDMI：最高4K 144Hz 、支援HDCP2.3*鏡像分享 : 支援AirPlay 3</v>
      </c>
    </row>
    <row r="1191" spans="1:27" ht="19.5" customHeight="1">
      <c r="A1191" s="12" t="str">
        <f ca="1">IFERROR(__xludf.DUMMYFUNCTION("""COMPUTED_VALUE"""),"HDTV")</f>
        <v>HDTV</v>
      </c>
      <c r="B1191" s="12" t="str">
        <f ca="1">IFERROR(__xludf.DUMMYFUNCTION("""COMPUTED_VALUE"""),"神腦")</f>
        <v>神腦</v>
      </c>
      <c r="C1191" s="12" t="str">
        <f ca="1">IFERROR(__xludf.DUMMYFUNCTION("""COMPUTED_VALUE"""),"PANASONIC")</f>
        <v>PANASONIC</v>
      </c>
      <c r="D1191" s="12" t="str">
        <f ca="1">IFERROR(__xludf.DUMMYFUNCTION("""COMPUTED_VALUE"""),"Panasonic 77型OLED 劇院級FireTV 4K智慧顯示器(無視訊盒)TV-77Z93AGT")</f>
        <v>Panasonic 77型OLED 劇院級FireTV 4K智慧顯示器(無視訊盒)TV-77Z93AGT</v>
      </c>
      <c r="E1191" s="12" t="str">
        <f ca="1">IFERROR(__xludf.DUMMYFUNCTION("""COMPUTED_VALUE"""),"TV-77Z93AGT")</f>
        <v>TV-77Z93AGT</v>
      </c>
      <c r="F1191" s="12">
        <f ca="1">IFERROR(__xludf.DUMMYFUNCTION("""COMPUTED_VALUE"""),51016542)</f>
        <v>51016542</v>
      </c>
      <c r="G1191" s="12" t="str">
        <f ca="1">IFERROR(__xludf.DUMMYFUNCTION("""COMPUTED_VALUE"""),"NCTV01S7")</f>
        <v>NCTV01S7</v>
      </c>
      <c r="H1191" s="13">
        <f ca="1">IFERROR(__xludf.DUMMYFUNCTION("""COMPUTED_VALUE"""),219900)</f>
        <v>219900</v>
      </c>
      <c r="I1191" s="18">
        <f ca="1">IFERROR(__xludf.DUMMYFUNCTION("""COMPUTED_VALUE"""),161900)</f>
        <v>161900</v>
      </c>
      <c r="J1191" s="16">
        <f ca="1">IFERROR(__xludf.DUMMYFUNCTION("""COMPUTED_VALUE"""),45702)</f>
        <v>45702</v>
      </c>
      <c r="K1191" s="12" t="str">
        <f ca="1">IFERROR(__xludf.DUMMYFUNCTION("""COMPUTED_VALUE"""),"永久降價")</f>
        <v>永久降價</v>
      </c>
      <c r="L1191" s="12" t="str">
        <f ca="1">IFERROR(__xludf.DUMMYFUNCTION("""COMPUTED_VALUE"""),"上架中")</f>
        <v>上架中</v>
      </c>
      <c r="M1191" s="12" t="str">
        <f ca="1">IFERROR(__xludf.DUMMYFUNCTION("""COMPUTED_VALUE"""),"CQ2Q only")</f>
        <v>CQ2Q only</v>
      </c>
      <c r="N1191" s="12" t="str">
        <f ca="1">IFERROR(__xludf.DUMMYFUNCTION("""COMPUTED_VALUE"""),"螢幕/液晶電視")</f>
        <v>螢幕/液晶電視</v>
      </c>
      <c r="O1191" s="12"/>
      <c r="P1191" s="12" t="str">
        <f ca="1">IFERROR(__xludf.DUMMYFUNCTION("""COMPUTED_VALUE"""),"77型")</f>
        <v>77型</v>
      </c>
      <c r="Q1191" s="12" t="str">
        <f ca="1">IFERROR(__xludf.DUMMYFUNCTION("""COMPUTED_VALUE"""),"含腳座:  1079 / 1723 /350 mm
不含腳座: 1050 / 1723 / 78 mm")</f>
        <v>含腳座:  1079 / 1723 /350 mm
不含腳座: 1050 / 1723 / 78 mm</v>
      </c>
      <c r="R1191" s="12"/>
      <c r="S1191" s="12"/>
      <c r="T1191" s="12"/>
      <c r="U1191" s="12"/>
      <c r="V1191" s="12"/>
      <c r="W1191" s="12"/>
      <c r="X1191" s="12"/>
      <c r="Y1191" s="12"/>
      <c r="Z1191" s="14"/>
      <c r="AA1191" s="15" t="str">
        <f ca="1">IFERROR(__xludf.DUMMYFUNCTION("""COMPUTED_VALUE"""),"*4K Master OLED Ultimate特製面板*支援多重HDR格式訊號 (Dolby vision IQ、HDR10+Adaptive、HDR10、HLG)*Fire TV智慧顯示器全新登場*像素獨立控光，完美呈現自然對比*真・自然６原色*HCX pro AI MK II處理器搭載*Ultra HD (3840 x 2160)高解析影像*Amazon Store豐富串流影音 (Disney+、YouTube、Netflix等)   *360°SoundScape Pro環繞音效系統(150W)*"&amp;"HDMI：最高4K 144Hz 、支援HDCP2.3*鏡像分享 : 支援AirPlay 4")</f>
        <v>*4K Master OLED Ultimate特製面板*支援多重HDR格式訊號 (Dolby vision IQ、HDR10+Adaptive、HDR10、HLG)*Fire TV智慧顯示器全新登場*像素獨立控光，完美呈現自然對比*真・自然６原色*HCX pro AI MK II處理器搭載*Ultra HD (3840 x 2160)高解析影像*Amazon Store豐富串流影音 (Disney+、YouTube、Netflix等)   *360°SoundScape Pro環繞音效系統(150W)*HDMI：最高4K 144Hz 、支援HDCP2.3*鏡像分享 : 支援AirPlay 4</v>
      </c>
    </row>
    <row r="1192" spans="1:27" ht="19.5" customHeight="1">
      <c r="A1192" s="12" t="str">
        <f ca="1">IFERROR(__xludf.DUMMYFUNCTION("""COMPUTED_VALUE"""),"HDTV")</f>
        <v>HDTV</v>
      </c>
      <c r="B1192" s="12" t="str">
        <f ca="1">IFERROR(__xludf.DUMMYFUNCTION("""COMPUTED_VALUE"""),"神腦")</f>
        <v>神腦</v>
      </c>
      <c r="C1192" s="12" t="str">
        <f ca="1">IFERROR(__xludf.DUMMYFUNCTION("""COMPUTED_VALUE"""),"PANASONIC")</f>
        <v>PANASONIC</v>
      </c>
      <c r="D1192" s="12" t="str">
        <f ca="1">IFERROR(__xludf.DUMMYFUNCTION("""COMPUTED_VALUE"""),"Panasonic 43型FHD Google聯網4K液晶顯示器(無視訊盒)TN-43S60AGT")</f>
        <v>Panasonic 43型FHD Google聯網4K液晶顯示器(無視訊盒)TN-43S60AGT</v>
      </c>
      <c r="E1192" s="12" t="str">
        <f ca="1">IFERROR(__xludf.DUMMYFUNCTION("""COMPUTED_VALUE"""),"TN-43S60AGT")</f>
        <v>TN-43S60AGT</v>
      </c>
      <c r="F1192" s="12">
        <f ca="1">IFERROR(__xludf.DUMMYFUNCTION("""COMPUTED_VALUE"""),51016573)</f>
        <v>51016573</v>
      </c>
      <c r="G1192" s="12" t="str">
        <f ca="1">IFERROR(__xludf.DUMMYFUNCTION("""COMPUTED_VALUE"""),"NCTV01TX")</f>
        <v>NCTV01TX</v>
      </c>
      <c r="H1192" s="13">
        <f ca="1">IFERROR(__xludf.DUMMYFUNCTION("""COMPUTED_VALUE"""),15900)</f>
        <v>15900</v>
      </c>
      <c r="I1192" s="18">
        <f ca="1">IFERROR(__xludf.DUMMYFUNCTION("""COMPUTED_VALUE"""),11500)</f>
        <v>11500</v>
      </c>
      <c r="J1192" s="16">
        <f ca="1">IFERROR(__xludf.DUMMYFUNCTION("""COMPUTED_VALUE"""),45670)</f>
        <v>45670</v>
      </c>
      <c r="K1192" s="12" t="str">
        <f ca="1">IFERROR(__xludf.DUMMYFUNCTION("""COMPUTED_VALUE"""),"新機上架")</f>
        <v>新機上架</v>
      </c>
      <c r="L1192" s="12" t="str">
        <f ca="1">IFERROR(__xludf.DUMMYFUNCTION("""COMPUTED_VALUE"""),"上架中")</f>
        <v>上架中</v>
      </c>
      <c r="M1192" s="12"/>
      <c r="N1192" s="12" t="str">
        <f ca="1">IFERROR(__xludf.DUMMYFUNCTION("""COMPUTED_VALUE"""),"螢幕/液晶電視")</f>
        <v>螢幕/液晶電視</v>
      </c>
      <c r="O1192" s="12"/>
      <c r="P1192" s="12" t="str">
        <f ca="1">IFERROR(__xludf.DUMMYFUNCTION("""COMPUTED_VALUE"""),"43型")</f>
        <v>43型</v>
      </c>
      <c r="Q1192" s="12" t="str">
        <f ca="1">IFERROR(__xludf.DUMMYFUNCTION("""COMPUTED_VALUE"""),"含腳座: 602 / 954 /209 mm
 不含腳座: 954 /556 /  86 mm")</f>
        <v>含腳座: 602 / 954 /209 mm
 不含腳座: 954 /556 /  86 mm</v>
      </c>
      <c r="R1192" s="12" t="str">
        <f ca="1">IFERROR(__xludf.DUMMYFUNCTION("""COMPUTED_VALUE"""),"台灣")</f>
        <v>台灣</v>
      </c>
      <c r="S1192" s="12"/>
      <c r="T1192" s="12"/>
      <c r="U1192" s="12" t="str">
        <f ca="1">IFERROR(__xludf.DUMMYFUNCTION("""COMPUTED_VALUE"""),"3年")</f>
        <v>3年</v>
      </c>
      <c r="V1192" s="12"/>
      <c r="W1192" s="12"/>
      <c r="X1192" s="12"/>
      <c r="Y1192" s="12"/>
      <c r="Z1192" s="14"/>
      <c r="AA1192" s="15" t="str">
        <f ca="1">IFERROR(__xludf.DUMMYFUNCTION("""COMPUTED_VALUE"""),"*2K HDR 明亮面板*Google TV智慧系統*VIVID DIGITAL PRO色彩技術*Full HD (1920 x 1080)像素*多元多樣化Internet App 使用 (Disney+、YouTube、Netflix、Prime Video等)   *全音域音量出力 20W*HDMI*2( eARC支援 )")</f>
        <v>*2K HDR 明亮面板*Google TV智慧系統*VIVID DIGITAL PRO色彩技術*Full HD (1920 x 1080)像素*多元多樣化Internet App 使用 (Disney+、YouTube、Netflix、Prime Video等)   *全音域音量出力 20W*HDMI*2( eARC支援 )</v>
      </c>
    </row>
    <row r="1193" spans="1:27" ht="19.5" customHeight="1">
      <c r="A1193" s="12" t="str">
        <f ca="1">IFERROR(__xludf.DUMMYFUNCTION("""COMPUTED_VALUE"""),"HDTV")</f>
        <v>HDTV</v>
      </c>
      <c r="B1193" s="12" t="str">
        <f ca="1">IFERROR(__xludf.DUMMYFUNCTION("""COMPUTED_VALUE"""),"神腦")</f>
        <v>神腦</v>
      </c>
      <c r="C1193" s="12" t="str">
        <f ca="1">IFERROR(__xludf.DUMMYFUNCTION("""COMPUTED_VALUE"""),"Philips")</f>
        <v>Philips</v>
      </c>
      <c r="D1193" s="12" t="str">
        <f ca="1">IFERROR(__xludf.DUMMYFUNCTION("""COMPUTED_VALUE"""),"Philips 50型安卓連網4K液晶顯示器(無視訊盒)50PUH7159(senao)")</f>
        <v>Philips 50型安卓連網4K液晶顯示器(無視訊盒)50PUH7159(senao)</v>
      </c>
      <c r="E1193" s="12" t="str">
        <f ca="1">IFERROR(__xludf.DUMMYFUNCTION("""COMPUTED_VALUE"""),"50PUH7159(senao)")</f>
        <v>50PUH7159(senao)</v>
      </c>
      <c r="F1193" s="12">
        <f ca="1">IFERROR(__xludf.DUMMYFUNCTION("""COMPUTED_VALUE"""),51016422)</f>
        <v>51016422</v>
      </c>
      <c r="G1193" s="12" t="str">
        <f ca="1">IFERROR(__xludf.DUMMYFUNCTION("""COMPUTED_VALUE"""),"NCTV01OM")</f>
        <v>NCTV01OM</v>
      </c>
      <c r="H1193" s="13">
        <f ca="1">IFERROR(__xludf.DUMMYFUNCTION("""COMPUTED_VALUE"""),18900)</f>
        <v>18900</v>
      </c>
      <c r="I1193" s="18">
        <f ca="1">IFERROR(__xludf.DUMMYFUNCTION("""COMPUTED_VALUE"""),14800)</f>
        <v>14800</v>
      </c>
      <c r="J1193" s="16">
        <f ca="1">IFERROR(__xludf.DUMMYFUNCTION("""COMPUTED_VALUE"""),45632)</f>
        <v>45632</v>
      </c>
      <c r="K1193" s="12" t="str">
        <f ca="1">IFERROR(__xludf.DUMMYFUNCTION("""COMPUTED_VALUE"""),"永久降價")</f>
        <v>永久降價</v>
      </c>
      <c r="L1193" s="12" t="str">
        <f ca="1">IFERROR(__xludf.DUMMYFUNCTION("""COMPUTED_VALUE"""),"上架中")</f>
        <v>上架中</v>
      </c>
      <c r="M1193" s="12"/>
      <c r="N1193" s="12" t="str">
        <f ca="1">IFERROR(__xludf.DUMMYFUNCTION("""COMPUTED_VALUE"""),"螢幕/液晶電視")</f>
        <v>螢幕/液晶電視</v>
      </c>
      <c r="O1193" s="12"/>
      <c r="P1193" s="12" t="str">
        <f ca="1">IFERROR(__xludf.DUMMYFUNCTION("""COMPUTED_VALUE"""),"50型")</f>
        <v>50型</v>
      </c>
      <c r="Q1193" s="12" t="str">
        <f ca="1">IFERROR(__xludf.DUMMYFUNCTION("""COMPUTED_VALUE"""),"含腳座 :695x1110x301mm
不含腳座 : 643x1110x88mm")</f>
        <v>含腳座 :695x1110x301mm
不含腳座 : 643x1110x88mm</v>
      </c>
      <c r="R1193" s="12" t="str">
        <f ca="1">IFERROR(__xludf.DUMMYFUNCTION("""COMPUTED_VALUE"""),"中國")</f>
        <v>中國</v>
      </c>
      <c r="S1193" s="12"/>
      <c r="T1193" s="12"/>
      <c r="U1193" s="12" t="str">
        <f ca="1">IFERROR(__xludf.DUMMYFUNCTION("""COMPUTED_VALUE"""),"3年")</f>
        <v>3年</v>
      </c>
      <c r="V1193" s="12"/>
      <c r="W1193" s="12"/>
      <c r="X1193" s="12"/>
      <c r="Y1193" s="12"/>
      <c r="Z1193" s="14"/>
      <c r="AA1193" s="15" t="str">
        <f ca="1">IFERROR(__xludf.DUMMYFUNCTION("""COMPUTED_VALUE"""),"*解析度：HD (3840 x 2160)*連接：HDMI 3組、USB 2組*音效輸出功率:16W*Google 助理。用聲音控制大型顯示器*搭配 Dolby Vision 與 Dolby Atmos 更有劇院級視聽效果")</f>
        <v>*解析度：HD (3840 x 2160)*連接：HDMI 3組、USB 2組*音效輸出功率:16W*Google 助理。用聲音控制大型顯示器*搭配 Dolby Vision 與 Dolby Atmos 更有劇院級視聽效果</v>
      </c>
    </row>
    <row r="1194" spans="1:27" ht="19.5" customHeight="1">
      <c r="A1194" s="12" t="str">
        <f ca="1">IFERROR(__xludf.DUMMYFUNCTION("""COMPUTED_VALUE"""),"HDTV")</f>
        <v>HDTV</v>
      </c>
      <c r="B1194" s="12" t="str">
        <f ca="1">IFERROR(__xludf.DUMMYFUNCTION("""COMPUTED_VALUE"""),"神腦")</f>
        <v>神腦</v>
      </c>
      <c r="C1194" s="12" t="str">
        <f ca="1">IFERROR(__xludf.DUMMYFUNCTION("""COMPUTED_VALUE"""),"Philips")</f>
        <v>Philips</v>
      </c>
      <c r="D1194" s="12" t="str">
        <f ca="1">IFERROR(__xludf.DUMMYFUNCTION("""COMPUTED_VALUE"""),"Philips 55型安卓連網4K液晶顯示器(無視訊盒)55PUH7159(senao)")</f>
        <v>Philips 55型安卓連網4K液晶顯示器(無視訊盒)55PUH7159(senao)</v>
      </c>
      <c r="E1194" s="12" t="str">
        <f ca="1">IFERROR(__xludf.DUMMYFUNCTION("""COMPUTED_VALUE"""),"55PUH7159(senao)")</f>
        <v>55PUH7159(senao)</v>
      </c>
      <c r="F1194" s="12">
        <f ca="1">IFERROR(__xludf.DUMMYFUNCTION("""COMPUTED_VALUE"""),51016423)</f>
        <v>51016423</v>
      </c>
      <c r="G1194" s="12" t="str">
        <f ca="1">IFERROR(__xludf.DUMMYFUNCTION("""COMPUTED_VALUE"""),"NCTV01ON")</f>
        <v>NCTV01ON</v>
      </c>
      <c r="H1194" s="13">
        <f ca="1">IFERROR(__xludf.DUMMYFUNCTION("""COMPUTED_VALUE"""),21900)</f>
        <v>21900</v>
      </c>
      <c r="I1194" s="18">
        <f ca="1">IFERROR(__xludf.DUMMYFUNCTION("""COMPUTED_VALUE"""),17800)</f>
        <v>17800</v>
      </c>
      <c r="J1194" s="16">
        <f ca="1">IFERROR(__xludf.DUMMYFUNCTION("""COMPUTED_VALUE"""),45632)</f>
        <v>45632</v>
      </c>
      <c r="K1194" s="12" t="str">
        <f ca="1">IFERROR(__xludf.DUMMYFUNCTION("""COMPUTED_VALUE"""),"永久降價")</f>
        <v>永久降價</v>
      </c>
      <c r="L1194" s="12" t="str">
        <f ca="1">IFERROR(__xludf.DUMMYFUNCTION("""COMPUTED_VALUE"""),"上架中")</f>
        <v>上架中</v>
      </c>
      <c r="M1194" s="12"/>
      <c r="N1194" s="12" t="str">
        <f ca="1">IFERROR(__xludf.DUMMYFUNCTION("""COMPUTED_VALUE"""),"螢幕/液晶電視")</f>
        <v>螢幕/液晶電視</v>
      </c>
      <c r="O1194" s="12"/>
      <c r="P1194" s="12" t="str">
        <f ca="1">IFERROR(__xludf.DUMMYFUNCTION("""COMPUTED_VALUE"""),"55型")</f>
        <v>55型</v>
      </c>
      <c r="Q1194" s="12" t="str">
        <f ca="1">IFERROR(__xludf.DUMMYFUNCTION("""COMPUTED_VALUE"""),"含腳座 :762x1226x302mm
不含腳座 : 710x1226x89mm")</f>
        <v>含腳座 :762x1226x302mm
不含腳座 : 710x1226x89mm</v>
      </c>
      <c r="R1194" s="12" t="str">
        <f ca="1">IFERROR(__xludf.DUMMYFUNCTION("""COMPUTED_VALUE"""),"中國")</f>
        <v>中國</v>
      </c>
      <c r="S1194" s="12"/>
      <c r="T1194" s="12"/>
      <c r="U1194" s="12" t="str">
        <f ca="1">IFERROR(__xludf.DUMMYFUNCTION("""COMPUTED_VALUE"""),"3年")</f>
        <v>3年</v>
      </c>
      <c r="V1194" s="12"/>
      <c r="W1194" s="12"/>
      <c r="X1194" s="12"/>
      <c r="Y1194" s="12"/>
      <c r="Z1194" s="14"/>
      <c r="AA1194" s="15" t="str">
        <f ca="1">IFERROR(__xludf.DUMMYFUNCTION("""COMPUTED_VALUE"""),"*解析度：HD (3840 x 2160)*連接：HDMI 3組、USB 2組*音效輸出功率:16W*Google 助理。用聲音控制大型顯示器*搭配 Dolby Vision 與 Dolby Atmos 更有劇院級視聽效果")</f>
        <v>*解析度：HD (3840 x 2160)*連接：HDMI 3組、USB 2組*音效輸出功率:16W*Google 助理。用聲音控制大型顯示器*搭配 Dolby Vision 與 Dolby Atmos 更有劇院級視聽效果</v>
      </c>
    </row>
    <row r="1195" spans="1:27" ht="19.5" customHeight="1">
      <c r="A1195" s="12" t="str">
        <f ca="1">IFERROR(__xludf.DUMMYFUNCTION("""COMPUTED_VALUE"""),"HDTV")</f>
        <v>HDTV</v>
      </c>
      <c r="B1195" s="12" t="str">
        <f ca="1">IFERROR(__xludf.DUMMYFUNCTION("""COMPUTED_VALUE"""),"神腦")</f>
        <v>神腦</v>
      </c>
      <c r="C1195" s="12" t="str">
        <f ca="1">IFERROR(__xludf.DUMMYFUNCTION("""COMPUTED_VALUE"""),"Philips")</f>
        <v>Philips</v>
      </c>
      <c r="D1195" s="12" t="str">
        <f ca="1">IFERROR(__xludf.DUMMYFUNCTION("""COMPUTED_VALUE"""),"Philips 65型安卓連網4K液晶顯示器(無視訊盒)65PUH7159(senao)")</f>
        <v>Philips 65型安卓連網4K液晶顯示器(無視訊盒)65PUH7159(senao)</v>
      </c>
      <c r="E1195" s="12" t="str">
        <f ca="1">IFERROR(__xludf.DUMMYFUNCTION("""COMPUTED_VALUE"""),"65PUH7159(senao)")</f>
        <v>65PUH7159(senao)</v>
      </c>
      <c r="F1195" s="12">
        <f ca="1">IFERROR(__xludf.DUMMYFUNCTION("""COMPUTED_VALUE"""),51016424)</f>
        <v>51016424</v>
      </c>
      <c r="G1195" s="12" t="str">
        <f ca="1">IFERROR(__xludf.DUMMYFUNCTION("""COMPUTED_VALUE"""),"NCTV01OO")</f>
        <v>NCTV01OO</v>
      </c>
      <c r="H1195" s="13">
        <f ca="1">IFERROR(__xludf.DUMMYFUNCTION("""COMPUTED_VALUE"""),25900)</f>
        <v>25900</v>
      </c>
      <c r="I1195" s="18">
        <f ca="1">IFERROR(__xludf.DUMMYFUNCTION("""COMPUTED_VALUE"""),22800)</f>
        <v>22800</v>
      </c>
      <c r="J1195" s="16">
        <f ca="1">IFERROR(__xludf.DUMMYFUNCTION("""COMPUTED_VALUE"""),45639)</f>
        <v>45639</v>
      </c>
      <c r="K1195" s="12" t="str">
        <f ca="1">IFERROR(__xludf.DUMMYFUNCTION("""COMPUTED_VALUE"""),"缺貨")</f>
        <v>缺貨</v>
      </c>
      <c r="L1195" s="12" t="str">
        <f ca="1">IFERROR(__xludf.DUMMYFUNCTION("""COMPUTED_VALUE"""),"上架中")</f>
        <v>上架中</v>
      </c>
      <c r="M1195" s="12"/>
      <c r="N1195" s="12" t="str">
        <f ca="1">IFERROR(__xludf.DUMMYFUNCTION("""COMPUTED_VALUE"""),"螢幕/液晶電視")</f>
        <v>螢幕/液晶電視</v>
      </c>
      <c r="O1195" s="12"/>
      <c r="P1195" s="12" t="str">
        <f ca="1">IFERROR(__xludf.DUMMYFUNCTION("""COMPUTED_VALUE"""),"65型")</f>
        <v>65型</v>
      </c>
      <c r="Q1195" s="12" t="str">
        <f ca="1">IFERROR(__xludf.DUMMYFUNCTION("""COMPUTED_VALUE"""),"含腳座 :887x1445x345mm
不含腳座 : 833x1445x87mm")</f>
        <v>含腳座 :887x1445x345mm
不含腳座 : 833x1445x87mm</v>
      </c>
      <c r="R1195" s="12" t="str">
        <f ca="1">IFERROR(__xludf.DUMMYFUNCTION("""COMPUTED_VALUE"""),"中國")</f>
        <v>中國</v>
      </c>
      <c r="S1195" s="12"/>
      <c r="T1195" s="12"/>
      <c r="U1195" s="12" t="str">
        <f ca="1">IFERROR(__xludf.DUMMYFUNCTION("""COMPUTED_VALUE"""),"3年")</f>
        <v>3年</v>
      </c>
      <c r="V1195" s="12"/>
      <c r="W1195" s="12"/>
      <c r="X1195" s="12"/>
      <c r="Y1195" s="12"/>
      <c r="Z1195" s="14"/>
      <c r="AA1195" s="15" t="str">
        <f ca="1">IFERROR(__xludf.DUMMYFUNCTION("""COMPUTED_VALUE"""),"*解析度：HD (3840 x 2160)*連接：HDMI 3組、USB 2組*音效輸出功率:16W*Google 助理。用聲音控制大型顯示器*搭配 Dolby Vision 與 Dolby Atmos 更有劇院級視聽效果")</f>
        <v>*解析度：HD (3840 x 2160)*連接：HDMI 3組、USB 2組*音效輸出功率:16W*Google 助理。用聲音控制大型顯示器*搭配 Dolby Vision 與 Dolby Atmos 更有劇院級視聽效果</v>
      </c>
    </row>
    <row r="1196" spans="1:27" ht="19.5" customHeight="1">
      <c r="A1196" s="12" t="str">
        <f ca="1">IFERROR(__xludf.DUMMYFUNCTION("""COMPUTED_VALUE"""),"HDTV")</f>
        <v>HDTV</v>
      </c>
      <c r="B1196" s="12" t="str">
        <f ca="1">IFERROR(__xludf.DUMMYFUNCTION("""COMPUTED_VALUE"""),"神腦")</f>
        <v>神腦</v>
      </c>
      <c r="C1196" s="12" t="str">
        <f ca="1">IFERROR(__xludf.DUMMYFUNCTION("""COMPUTED_VALUE"""),"Philips")</f>
        <v>Philips</v>
      </c>
      <c r="D1196" s="12" t="str">
        <f ca="1">IFERROR(__xludf.DUMMYFUNCTION("""COMPUTED_VALUE"""),"Philips 43型安卓智慧聯網4K液晶顯示器(無視訊盒)43HFL5214U(家用/商用)")</f>
        <v>Philips 43型安卓智慧聯網4K液晶顯示器(無視訊盒)43HFL5214U(家用/商用)</v>
      </c>
      <c r="E1196" s="12" t="str">
        <f ca="1">IFERROR(__xludf.DUMMYFUNCTION("""COMPUTED_VALUE"""),"43HFL5214U/96")</f>
        <v>43HFL5214U/96</v>
      </c>
      <c r="F1196" s="12">
        <f ca="1">IFERROR(__xludf.DUMMYFUNCTION("""COMPUTED_VALUE"""),51016468)</f>
        <v>51016468</v>
      </c>
      <c r="G1196" s="12" t="str">
        <f ca="1">IFERROR(__xludf.DUMMYFUNCTION("""COMPUTED_VALUE"""),"NCTV01QA")</f>
        <v>NCTV01QA</v>
      </c>
      <c r="H1196" s="13">
        <f ca="1">IFERROR(__xludf.DUMMYFUNCTION("""COMPUTED_VALUE"""),16900)</f>
        <v>16900</v>
      </c>
      <c r="I1196" s="18">
        <f ca="1">IFERROR(__xludf.DUMMYFUNCTION("""COMPUTED_VALUE"""),11500)</f>
        <v>11500</v>
      </c>
      <c r="J1196" s="21">
        <f ca="1">IFERROR(__xludf.DUMMYFUNCTION("""COMPUTED_VALUE"""),45702)</f>
        <v>45702</v>
      </c>
      <c r="K1196" s="12" t="str">
        <f ca="1">IFERROR(__xludf.DUMMYFUNCTION("""COMPUTED_VALUE"""),"永久降價")</f>
        <v>永久降價</v>
      </c>
      <c r="L1196" s="12" t="str">
        <f ca="1">IFERROR(__xludf.DUMMYFUNCTION("""COMPUTED_VALUE"""),"上架中")</f>
        <v>上架中</v>
      </c>
      <c r="M1196" s="12"/>
      <c r="N1196" s="12" t="str">
        <f ca="1">IFERROR(__xludf.DUMMYFUNCTION("""COMPUTED_VALUE"""),"螢幕/液晶電視")</f>
        <v>螢幕/液晶電視</v>
      </c>
      <c r="O1196" s="12"/>
      <c r="P1196" s="12" t="str">
        <f ca="1">IFERROR(__xludf.DUMMYFUNCTION("""COMPUTED_VALUE"""),"43型")</f>
        <v>43型</v>
      </c>
      <c r="Q1196" s="12" t="str">
        <f ca="1">IFERROR(__xludf.DUMMYFUNCTION("""COMPUTED_VALUE"""),"958 x 560 x 80 mm
 958 x 590 x 219 mm (含機座)")</f>
        <v>958 x 560 x 80 mm
 958 x 590 x 219 mm (含機座)</v>
      </c>
      <c r="R1196" s="12" t="str">
        <f ca="1">IFERROR(__xludf.DUMMYFUNCTION("""COMPUTED_VALUE"""),"中國")</f>
        <v>中國</v>
      </c>
      <c r="S1196" s="12"/>
      <c r="T1196" s="12"/>
      <c r="U1196" s="12" t="str">
        <f ca="1">IFERROR(__xludf.DUMMYFUNCTION("""COMPUTED_VALUE"""),"3年")</f>
        <v>3年</v>
      </c>
      <c r="V1196" s="12"/>
      <c r="W1196" s="12"/>
      <c r="X1196" s="12"/>
      <c r="Y1196" s="12"/>
      <c r="Z1196" s="14"/>
      <c r="AA1196" s="15" t="str">
        <f ca="1">IFERROR(__xludf.DUMMYFUNCTION("""COMPUTED_VALUE"""),"*解析度：Ultra HD (3840 x 2160)高解析影像*4K LED 明亮面板*輸入：HDMI 3組、USB 2組、RS232支援環控1組、內建Chrome Cast")</f>
        <v>*解析度：Ultra HD (3840 x 2160)高解析影像*4K LED 明亮面板*輸入：HDMI 3組、USB 2組、RS232支援環控1組、內建Chrome Cast</v>
      </c>
    </row>
    <row r="1197" spans="1:27" ht="19.5" customHeight="1">
      <c r="A1197" s="12" t="str">
        <f ca="1">IFERROR(__xludf.DUMMYFUNCTION("""COMPUTED_VALUE"""),"HDTV")</f>
        <v>HDTV</v>
      </c>
      <c r="B1197" s="12" t="str">
        <f ca="1">IFERROR(__xludf.DUMMYFUNCTION("""COMPUTED_VALUE"""),"神腦")</f>
        <v>神腦</v>
      </c>
      <c r="C1197" s="12" t="str">
        <f ca="1">IFERROR(__xludf.DUMMYFUNCTION("""COMPUTED_VALUE"""),"Philips")</f>
        <v>Philips</v>
      </c>
      <c r="D1197" s="12" t="str">
        <f ca="1">IFERROR(__xludf.DUMMYFUNCTION("""COMPUTED_VALUE"""),"Philips 50型安卓智慧聯網4K液晶顯示器(無視訊盒)50HFL5214U(家用/商用)")</f>
        <v>Philips 50型安卓智慧聯網4K液晶顯示器(無視訊盒)50HFL5214U(家用/商用)</v>
      </c>
      <c r="E1197" s="12" t="str">
        <f ca="1">IFERROR(__xludf.DUMMYFUNCTION("""COMPUTED_VALUE"""),"50HFL5214U/96")</f>
        <v>50HFL5214U/96</v>
      </c>
      <c r="F1197" s="12">
        <f ca="1">IFERROR(__xludf.DUMMYFUNCTION("""COMPUTED_VALUE"""),51016469)</f>
        <v>51016469</v>
      </c>
      <c r="G1197" s="12" t="str">
        <f ca="1">IFERROR(__xludf.DUMMYFUNCTION("""COMPUTED_VALUE"""),"NCTV01QB")</f>
        <v>NCTV01QB</v>
      </c>
      <c r="H1197" s="13">
        <f ca="1">IFERROR(__xludf.DUMMYFUNCTION("""COMPUTED_VALUE"""),18900)</f>
        <v>18900</v>
      </c>
      <c r="I1197" s="18">
        <f ca="1">IFERROR(__xludf.DUMMYFUNCTION("""COMPUTED_VALUE"""),14500)</f>
        <v>14500</v>
      </c>
      <c r="J1197" s="21">
        <f ca="1">IFERROR(__xludf.DUMMYFUNCTION("""COMPUTED_VALUE"""),45702)</f>
        <v>45702</v>
      </c>
      <c r="K1197" s="12" t="str">
        <f ca="1">IFERROR(__xludf.DUMMYFUNCTION("""COMPUTED_VALUE"""),"永久降價")</f>
        <v>永久降價</v>
      </c>
      <c r="L1197" s="12" t="str">
        <f ca="1">IFERROR(__xludf.DUMMYFUNCTION("""COMPUTED_VALUE"""),"上架中")</f>
        <v>上架中</v>
      </c>
      <c r="M1197" s="12"/>
      <c r="N1197" s="12" t="str">
        <f ca="1">IFERROR(__xludf.DUMMYFUNCTION("""COMPUTED_VALUE"""),"螢幕/液晶電視")</f>
        <v>螢幕/液晶電視</v>
      </c>
      <c r="O1197" s="12"/>
      <c r="P1197" s="12" t="str">
        <f ca="1">IFERROR(__xludf.DUMMYFUNCTION("""COMPUTED_VALUE"""),"50型")</f>
        <v>50型</v>
      </c>
      <c r="Q1197" s="12" t="str">
        <f ca="1">IFERROR(__xludf.DUMMYFUNCTION("""COMPUTED_VALUE"""),"1113 x 647 x 85 mm
 1113 x 679 x 256 mm (含機座)")</f>
        <v>1113 x 647 x 85 mm
 1113 x 679 x 256 mm (含機座)</v>
      </c>
      <c r="R1197" s="12" t="str">
        <f ca="1">IFERROR(__xludf.DUMMYFUNCTION("""COMPUTED_VALUE"""),"中國")</f>
        <v>中國</v>
      </c>
      <c r="S1197" s="12"/>
      <c r="T1197" s="12"/>
      <c r="U1197" s="12" t="str">
        <f ca="1">IFERROR(__xludf.DUMMYFUNCTION("""COMPUTED_VALUE"""),"3年")</f>
        <v>3年</v>
      </c>
      <c r="V1197" s="12"/>
      <c r="W1197" s="12"/>
      <c r="X1197" s="12"/>
      <c r="Y1197" s="12"/>
      <c r="Z1197" s="14"/>
      <c r="AA1197" s="15" t="str">
        <f ca="1">IFERROR(__xludf.DUMMYFUNCTION("""COMPUTED_VALUE"""),"*解析度：Ultra HD (3840 x 2160)高解析影像*4K LED 明亮面板*輸入：HDMI 3組、USB 2組、RS232支援環控1組、內建Chrome Cast")</f>
        <v>*解析度：Ultra HD (3840 x 2160)高解析影像*4K LED 明亮面板*輸入：HDMI 3組、USB 2組、RS232支援環控1組、內建Chrome Cast</v>
      </c>
    </row>
    <row r="1198" spans="1:27" ht="19.5" customHeight="1">
      <c r="A1198" s="12" t="str">
        <f ca="1">IFERROR(__xludf.DUMMYFUNCTION("""COMPUTED_VALUE"""),"HDTV")</f>
        <v>HDTV</v>
      </c>
      <c r="B1198" s="12" t="str">
        <f ca="1">IFERROR(__xludf.DUMMYFUNCTION("""COMPUTED_VALUE"""),"神腦")</f>
        <v>神腦</v>
      </c>
      <c r="C1198" s="12" t="str">
        <f ca="1">IFERROR(__xludf.DUMMYFUNCTION("""COMPUTED_VALUE"""),"Philips")</f>
        <v>Philips</v>
      </c>
      <c r="D1198" s="12" t="str">
        <f ca="1">IFERROR(__xludf.DUMMYFUNCTION("""COMPUTED_VALUE"""),"Philips 55型安卓智慧聯網4K液晶顯示器(無視訊盒)55HFL5214U(家用/商用)")</f>
        <v>Philips 55型安卓智慧聯網4K液晶顯示器(無視訊盒)55HFL5214U(家用/商用)</v>
      </c>
      <c r="E1198" s="12" t="str">
        <f ca="1">IFERROR(__xludf.DUMMYFUNCTION("""COMPUTED_VALUE"""),"55HFL5214U/96")</f>
        <v>55HFL5214U/96</v>
      </c>
      <c r="F1198" s="12">
        <f ca="1">IFERROR(__xludf.DUMMYFUNCTION("""COMPUTED_VALUE"""),51016470)</f>
        <v>51016470</v>
      </c>
      <c r="G1198" s="12" t="str">
        <f ca="1">IFERROR(__xludf.DUMMYFUNCTION("""COMPUTED_VALUE"""),"NCTV01QC")</f>
        <v>NCTV01QC</v>
      </c>
      <c r="H1198" s="13">
        <f ca="1">IFERROR(__xludf.DUMMYFUNCTION("""COMPUTED_VALUE"""),20900)</f>
        <v>20900</v>
      </c>
      <c r="I1198" s="18">
        <f ca="1">IFERROR(__xludf.DUMMYFUNCTION("""COMPUTED_VALUE"""),15900)</f>
        <v>15900</v>
      </c>
      <c r="J1198" s="12"/>
      <c r="K1198" s="12"/>
      <c r="L1198" s="12" t="str">
        <f ca="1">IFERROR(__xludf.DUMMYFUNCTION("""COMPUTED_VALUE"""),"上架中")</f>
        <v>上架中</v>
      </c>
      <c r="M1198" s="12"/>
      <c r="N1198" s="12" t="str">
        <f ca="1">IFERROR(__xludf.DUMMYFUNCTION("""COMPUTED_VALUE"""),"螢幕/液晶電視")</f>
        <v>螢幕/液晶電視</v>
      </c>
      <c r="O1198" s="12"/>
      <c r="P1198" s="12" t="str">
        <f ca="1">IFERROR(__xludf.DUMMYFUNCTION("""COMPUTED_VALUE"""),"55型")</f>
        <v>55型</v>
      </c>
      <c r="Q1198" s="12" t="str">
        <f ca="1">IFERROR(__xludf.DUMMYFUNCTION("""COMPUTED_VALUE"""),"1227 x 712 x 84 mm
 1227 x 744 x 256 mm (含機座)")</f>
        <v>1227 x 712 x 84 mm
 1227 x 744 x 256 mm (含機座)</v>
      </c>
      <c r="R1198" s="12" t="str">
        <f ca="1">IFERROR(__xludf.DUMMYFUNCTION("""COMPUTED_VALUE"""),"中國")</f>
        <v>中國</v>
      </c>
      <c r="S1198" s="12"/>
      <c r="T1198" s="12"/>
      <c r="U1198" s="12" t="str">
        <f ca="1">IFERROR(__xludf.DUMMYFUNCTION("""COMPUTED_VALUE"""),"3年")</f>
        <v>3年</v>
      </c>
      <c r="V1198" s="12"/>
      <c r="W1198" s="12"/>
      <c r="X1198" s="12"/>
      <c r="Y1198" s="12"/>
      <c r="Z1198" s="14"/>
      <c r="AA1198" s="15" t="str">
        <f ca="1">IFERROR(__xludf.DUMMYFUNCTION("""COMPUTED_VALUE"""),"*解析度：Ultra HD (3840 x 2160)高解析影像*4K LED 明亮面板*輸入：HDMI 3組、USB 2組、RS232支援環控1組、內建Chrome Cast")</f>
        <v>*解析度：Ultra HD (3840 x 2160)高解析影像*4K LED 明亮面板*輸入：HDMI 3組、USB 2組、RS232支援環控1組、內建Chrome Cast</v>
      </c>
    </row>
    <row r="1199" spans="1:27" ht="19.5" customHeight="1">
      <c r="A1199" s="12" t="str">
        <f ca="1">IFERROR(__xludf.DUMMYFUNCTION("""COMPUTED_VALUE"""),"HDTV")</f>
        <v>HDTV</v>
      </c>
      <c r="B1199" s="12" t="str">
        <f ca="1">IFERROR(__xludf.DUMMYFUNCTION("""COMPUTED_VALUE"""),"神腦")</f>
        <v>神腦</v>
      </c>
      <c r="C1199" s="12" t="str">
        <f ca="1">IFERROR(__xludf.DUMMYFUNCTION("""COMPUTED_VALUE"""),"Philips")</f>
        <v>Philips</v>
      </c>
      <c r="D1199" s="12" t="str">
        <f ca="1">IFERROR(__xludf.DUMMYFUNCTION("""COMPUTED_VALUE"""),"Philips 65型安卓智慧聯網4K液晶顯示器(無視訊盒)65HFL5214U(家用/商用)")</f>
        <v>Philips 65型安卓智慧聯網4K液晶顯示器(無視訊盒)65HFL5214U(家用/商用)</v>
      </c>
      <c r="E1199" s="12" t="str">
        <f ca="1">IFERROR(__xludf.DUMMYFUNCTION("""COMPUTED_VALUE"""),"65HFL5214U/96")</f>
        <v>65HFL5214U/96</v>
      </c>
      <c r="F1199" s="12">
        <f ca="1">IFERROR(__xludf.DUMMYFUNCTION("""COMPUTED_VALUE"""),51016471)</f>
        <v>51016471</v>
      </c>
      <c r="G1199" s="12" t="str">
        <f ca="1">IFERROR(__xludf.DUMMYFUNCTION("""COMPUTED_VALUE"""),"NCTV01QD")</f>
        <v>NCTV01QD</v>
      </c>
      <c r="H1199" s="13">
        <f ca="1">IFERROR(__xludf.DUMMYFUNCTION("""COMPUTED_VALUE"""),30900)</f>
        <v>30900</v>
      </c>
      <c r="I1199" s="18">
        <f ca="1">IFERROR(__xludf.DUMMYFUNCTION("""COMPUTED_VALUE"""),24900)</f>
        <v>24900</v>
      </c>
      <c r="J1199" s="21">
        <f ca="1">IFERROR(__xludf.DUMMYFUNCTION("""COMPUTED_VALUE"""),45702)</f>
        <v>45702</v>
      </c>
      <c r="K1199" s="12" t="str">
        <f ca="1">IFERROR(__xludf.DUMMYFUNCTION("""COMPUTED_VALUE"""),"永久降價")</f>
        <v>永久降價</v>
      </c>
      <c r="L1199" s="12" t="str">
        <f ca="1">IFERROR(__xludf.DUMMYFUNCTION("""COMPUTED_VALUE"""),"上架中")</f>
        <v>上架中</v>
      </c>
      <c r="M1199" s="12"/>
      <c r="N1199" s="12" t="str">
        <f ca="1">IFERROR(__xludf.DUMMYFUNCTION("""COMPUTED_VALUE"""),"螢幕/液晶電視")</f>
        <v>螢幕/液晶電視</v>
      </c>
      <c r="O1199" s="12"/>
      <c r="P1199" s="12" t="str">
        <f ca="1">IFERROR(__xludf.DUMMYFUNCTION("""COMPUTED_VALUE"""),"65型")</f>
        <v>65型</v>
      </c>
      <c r="Q1199" s="12" t="str">
        <f ca="1">IFERROR(__xludf.DUMMYFUNCTION("""COMPUTED_VALUE"""),"1446 x 837 x 76 mm
 1446 x 867 x 284 mm (含機座)")</f>
        <v>1446 x 837 x 76 mm
 1446 x 867 x 284 mm (含機座)</v>
      </c>
      <c r="R1199" s="12" t="str">
        <f ca="1">IFERROR(__xludf.DUMMYFUNCTION("""COMPUTED_VALUE"""),"中國")</f>
        <v>中國</v>
      </c>
      <c r="S1199" s="12"/>
      <c r="T1199" s="12"/>
      <c r="U1199" s="12" t="str">
        <f ca="1">IFERROR(__xludf.DUMMYFUNCTION("""COMPUTED_VALUE"""),"3年")</f>
        <v>3年</v>
      </c>
      <c r="V1199" s="12"/>
      <c r="W1199" s="12"/>
      <c r="X1199" s="12"/>
      <c r="Y1199" s="12"/>
      <c r="Z1199" s="14"/>
      <c r="AA1199" s="15" t="str">
        <f ca="1">IFERROR(__xludf.DUMMYFUNCTION("""COMPUTED_VALUE"""),"*解析度：Ultra HD (3840 x 2160)高解析影像*4K LED 明亮面板*輸入：HDMI 3組、USB 2組、RS232支援環控1組、內建Chrome Cast")</f>
        <v>*解析度：Ultra HD (3840 x 2160)高解析影像*4K LED 明亮面板*輸入：HDMI 3組、USB 2組、RS232支援環控1組、內建Chrome Cast</v>
      </c>
    </row>
    <row r="1200" spans="1:27" ht="19.5" customHeight="1">
      <c r="A1200" s="12" t="str">
        <f ca="1">IFERROR(__xludf.DUMMYFUNCTION("""COMPUTED_VALUE"""),"HDTV")</f>
        <v>HDTV</v>
      </c>
      <c r="B1200" s="12" t="str">
        <f ca="1">IFERROR(__xludf.DUMMYFUNCTION("""COMPUTED_VALUE"""),"神腦")</f>
        <v>神腦</v>
      </c>
      <c r="C1200" s="12" t="str">
        <f ca="1">IFERROR(__xludf.DUMMYFUNCTION("""COMPUTED_VALUE"""),"Philips")</f>
        <v>Philips</v>
      </c>
      <c r="D1200" s="12" t="str">
        <f ca="1">IFERROR(__xludf.DUMMYFUNCTION("""COMPUTED_VALUE"""),"PHILIPS 65BDL3650Q 65吋 4K商用顯示器(無腳架)")</f>
        <v>PHILIPS 65BDL3650Q 65吋 4K商用顯示器(無腳架)</v>
      </c>
      <c r="E1200" s="12" t="str">
        <f ca="1">IFERROR(__xludf.DUMMYFUNCTION("""COMPUTED_VALUE"""),"65BDL3650Q/96")</f>
        <v>65BDL3650Q/96</v>
      </c>
      <c r="F1200" s="12">
        <f ca="1">IFERROR(__xludf.DUMMYFUNCTION("""COMPUTED_VALUE"""),51016472)</f>
        <v>51016472</v>
      </c>
      <c r="G1200" s="12" t="str">
        <f ca="1">IFERROR(__xludf.DUMMYFUNCTION("""COMPUTED_VALUE"""),"NCTV01QE")</f>
        <v>NCTV01QE</v>
      </c>
      <c r="H1200" s="13">
        <f ca="1">IFERROR(__xludf.DUMMYFUNCTION("""COMPUTED_VALUE"""),46900)</f>
        <v>46900</v>
      </c>
      <c r="I1200" s="18">
        <f ca="1">IFERROR(__xludf.DUMMYFUNCTION("""COMPUTED_VALUE"""),39000)</f>
        <v>39000</v>
      </c>
      <c r="J1200" s="12"/>
      <c r="K1200" s="12"/>
      <c r="L1200" s="12" t="str">
        <f ca="1">IFERROR(__xludf.DUMMYFUNCTION("""COMPUTED_VALUE"""),"專案")</f>
        <v>專案</v>
      </c>
      <c r="M1200" s="12"/>
      <c r="N1200" s="12" t="str">
        <f ca="1">IFERROR(__xludf.DUMMYFUNCTION("""COMPUTED_VALUE"""),"螢幕/液晶電視")</f>
        <v>螢幕/液晶電視</v>
      </c>
      <c r="O1200" s="12"/>
      <c r="P1200" s="12" t="str">
        <f ca="1">IFERROR(__xludf.DUMMYFUNCTION("""COMPUTED_VALUE"""),"65型")</f>
        <v>65型</v>
      </c>
      <c r="Q1200" s="12" t="str">
        <f ca="1">IFERROR(__xludf.DUMMYFUNCTION("""COMPUTED_VALUE"""),"837.3 x 1462.3 x 68.9 mm")</f>
        <v>837.3 x 1462.3 x 68.9 mm</v>
      </c>
      <c r="R1200" s="12" t="str">
        <f ca="1">IFERROR(__xludf.DUMMYFUNCTION("""COMPUTED_VALUE"""),"中國")</f>
        <v>中國</v>
      </c>
      <c r="S1200" s="12"/>
      <c r="T1200" s="12"/>
      <c r="U1200" s="12" t="str">
        <f ca="1">IFERROR(__xludf.DUMMYFUNCTION("""COMPUTED_VALUE"""),"3年")</f>
        <v>3年</v>
      </c>
      <c r="V1200" s="12"/>
      <c r="W1200" s="12"/>
      <c r="X1200" s="12"/>
      <c r="Y1200" s="12"/>
      <c r="Z1200" s="14"/>
      <c r="AA1200" s="15" t="str">
        <f ca="1">IFERROR(__xludf.DUMMYFUNCTION("""COMPUTED_VALUE"""),"*解析度：3840 x 2160 @ 60 Hz 明亮面板*輸入：HDMI 2組、DVI-I 1組、USB(2.0) 2組、USB(3.0)1組、RS232C、RJ45：耳機端子1組* 作業系統：Android TV 10")</f>
        <v>*解析度：3840 x 2160 @ 60 Hz 明亮面板*輸入：HDMI 2組、DVI-I 1組、USB(2.0) 2組、USB(3.0)1組、RS232C、RJ45：耳機端子1組* 作業系統：Android TV 10</v>
      </c>
    </row>
    <row r="1201" spans="1:27" ht="19.5" customHeight="1">
      <c r="A1201" s="12" t="str">
        <f ca="1">IFERROR(__xludf.DUMMYFUNCTION("""COMPUTED_VALUE"""),"HDTV")</f>
        <v>HDTV</v>
      </c>
      <c r="B1201" s="12" t="str">
        <f ca="1">IFERROR(__xludf.DUMMYFUNCTION("""COMPUTED_VALUE"""),"神腦")</f>
        <v>神腦</v>
      </c>
      <c r="C1201" s="12" t="str">
        <f ca="1">IFERROR(__xludf.DUMMYFUNCTION("""COMPUTED_VALUE"""),"Philips")</f>
        <v>Philips</v>
      </c>
      <c r="D1201" s="12" t="str">
        <f ca="1">IFERROR(__xludf.DUMMYFUNCTION("""COMPUTED_VALUE"""),"PHILIPS 75BDL3650Q 75吋 4K商用顯示器(無腳架)")</f>
        <v>PHILIPS 75BDL3650Q 75吋 4K商用顯示器(無腳架)</v>
      </c>
      <c r="E1201" s="12" t="str">
        <f ca="1">IFERROR(__xludf.DUMMYFUNCTION("""COMPUTED_VALUE"""),"75BDL3650Q/96")</f>
        <v>75BDL3650Q/96</v>
      </c>
      <c r="F1201" s="12">
        <f ca="1">IFERROR(__xludf.DUMMYFUNCTION("""COMPUTED_VALUE"""),51016473)</f>
        <v>51016473</v>
      </c>
      <c r="G1201" s="12" t="str">
        <f ca="1">IFERROR(__xludf.DUMMYFUNCTION("""COMPUTED_VALUE"""),"NCTV01QF")</f>
        <v>NCTV01QF</v>
      </c>
      <c r="H1201" s="13">
        <f ca="1">IFERROR(__xludf.DUMMYFUNCTION("""COMPUTED_VALUE"""),99900)</f>
        <v>99900</v>
      </c>
      <c r="I1201" s="18">
        <f ca="1">IFERROR(__xludf.DUMMYFUNCTION("""COMPUTED_VALUE"""),49900)</f>
        <v>49900</v>
      </c>
      <c r="J1201" s="12"/>
      <c r="K1201" s="12"/>
      <c r="L1201" s="12" t="str">
        <f ca="1">IFERROR(__xludf.DUMMYFUNCTION("""COMPUTED_VALUE"""),"專案")</f>
        <v>專案</v>
      </c>
      <c r="M1201" s="12"/>
      <c r="N1201" s="12" t="str">
        <f ca="1">IFERROR(__xludf.DUMMYFUNCTION("""COMPUTED_VALUE"""),"螢幕/液晶電視")</f>
        <v>螢幕/液晶電視</v>
      </c>
      <c r="O1201" s="12"/>
      <c r="P1201" s="12" t="str">
        <f ca="1">IFERROR(__xludf.DUMMYFUNCTION("""COMPUTED_VALUE"""),"75型")</f>
        <v>75型</v>
      </c>
      <c r="Q1201" s="12" t="str">
        <f ca="1">IFERROR(__xludf.DUMMYFUNCTION("""COMPUTED_VALUE"""),"961.7 x 1683.5 x 69.5 mm")</f>
        <v>961.7 x 1683.5 x 69.5 mm</v>
      </c>
      <c r="R1201" s="12" t="str">
        <f ca="1">IFERROR(__xludf.DUMMYFUNCTION("""COMPUTED_VALUE"""),"中國")</f>
        <v>中國</v>
      </c>
      <c r="S1201" s="12"/>
      <c r="T1201" s="12"/>
      <c r="U1201" s="12" t="str">
        <f ca="1">IFERROR(__xludf.DUMMYFUNCTION("""COMPUTED_VALUE"""),"3年")</f>
        <v>3年</v>
      </c>
      <c r="V1201" s="12"/>
      <c r="W1201" s="12"/>
      <c r="X1201" s="12"/>
      <c r="Y1201" s="12"/>
      <c r="Z1201" s="14"/>
      <c r="AA1201" s="15" t="str">
        <f ca="1">IFERROR(__xludf.DUMMYFUNCTION("""COMPUTED_VALUE"""),"*解析度：3840 x 2160 @ 60 Hz 明亮面板*輸入：HDMI 2組、DVI-I 1組、USB(2.0) 2組、USB(3.0)1組、RS232C、RJ45：耳機端子1組* 作業系統：Android TV 11")</f>
        <v>*解析度：3840 x 2160 @ 60 Hz 明亮面板*輸入：HDMI 2組、DVI-I 1組、USB(2.0) 2組、USB(3.0)1組、RS232C、RJ45：耳機端子1組* 作業系統：Android TV 11</v>
      </c>
    </row>
    <row r="1202" spans="1:27" ht="19.5" customHeight="1">
      <c r="A1202" s="12" t="str">
        <f ca="1">IFERROR(__xludf.DUMMYFUNCTION("""COMPUTED_VALUE"""),"HDTV")</f>
        <v>HDTV</v>
      </c>
      <c r="B1202" s="12" t="str">
        <f ca="1">IFERROR(__xludf.DUMMYFUNCTION("""COMPUTED_VALUE"""),"聲寶")</f>
        <v>聲寶</v>
      </c>
      <c r="C1202" s="12" t="str">
        <f ca="1">IFERROR(__xludf.DUMMYFUNCTION("""COMPUTED_VALUE"""),"聲寶")</f>
        <v>聲寶</v>
      </c>
      <c r="D1202" s="12" t="str">
        <f ca="1">IFERROR(__xludf.DUMMYFUNCTION("""COMPUTED_VALUE"""),"聲寶 24型液晶顯示器(含視訊盒)EM-24FC600")</f>
        <v>聲寶 24型液晶顯示器(含視訊盒)EM-24FC600</v>
      </c>
      <c r="E1202" s="12" t="str">
        <f ca="1">IFERROR(__xludf.DUMMYFUNCTION("""COMPUTED_VALUE"""),"EM-24FC600")</f>
        <v>EM-24FC600</v>
      </c>
      <c r="F1202" s="12">
        <f ca="1">IFERROR(__xludf.DUMMYFUNCTION("""COMPUTED_VALUE"""),51001164)</f>
        <v>51001164</v>
      </c>
      <c r="G1202" s="12" t="str">
        <f ca="1">IFERROR(__xludf.DUMMYFUNCTION("""COMPUTED_VALUE"""),"NCTV01CC")</f>
        <v>NCTV01CC</v>
      </c>
      <c r="H1202" s="12">
        <f ca="1">IFERROR(__xludf.DUMMYFUNCTION("""COMPUTED_VALUE"""),5490)</f>
        <v>5490</v>
      </c>
      <c r="I1202" s="14">
        <f ca="1">IFERROR(__xludf.DUMMYFUNCTION("""COMPUTED_VALUE"""),4000)</f>
        <v>4000</v>
      </c>
      <c r="J1202" s="12"/>
      <c r="K1202" s="12"/>
      <c r="L1202" s="12" t="str">
        <f ca="1">IFERROR(__xludf.DUMMYFUNCTION("""COMPUTED_VALUE"""),"上架中")</f>
        <v>上架中</v>
      </c>
      <c r="M1202" s="12"/>
      <c r="N1202" s="12" t="str">
        <f ca="1">IFERROR(__xludf.DUMMYFUNCTION("""COMPUTED_VALUE"""),"螢幕/液晶電視")</f>
        <v>螢幕/液晶電視</v>
      </c>
      <c r="O1202" s="12"/>
      <c r="P1202" s="12" t="str">
        <f ca="1">IFERROR(__xludf.DUMMYFUNCTION("""COMPUTED_VALUE"""),"24型")</f>
        <v>24型</v>
      </c>
      <c r="Q1202" s="12" t="str">
        <f ca="1">IFERROR(__xludf.DUMMYFUNCTION("""COMPUTED_VALUE"""),"含底座：H367.33xW550.77xD160.99mm
不含底座：H329.47xW550.77xD81mm")</f>
        <v>含底座：H367.33xW550.77xD160.99mm
不含底座：H329.47xW550.77xD81mm</v>
      </c>
      <c r="R1202" s="12" t="str">
        <f ca="1">IFERROR(__xludf.DUMMYFUNCTION("""COMPUTED_VALUE"""),"中國")</f>
        <v>中國</v>
      </c>
      <c r="S1202" s="12"/>
      <c r="T1202" s="12"/>
      <c r="U1202" s="12" t="str">
        <f ca="1">IFERROR(__xludf.DUMMYFUNCTION("""COMPUTED_VALUE"""),"3年")</f>
        <v>3年</v>
      </c>
      <c r="V1202" s="12"/>
      <c r="W1202" s="12"/>
      <c r="X1202" s="12"/>
      <c r="Y1202" s="12"/>
      <c r="Z1202" s="14"/>
      <c r="AA1202" s="15" t="str">
        <f ca="1">IFERROR(__xludf.DUMMYFUNCTION("""COMPUTED_VALUE"""),"*解析度：HD(1366x768)*輸入：HDMI3組、USB1組、AV端子*1、VGA*輸出：SPDIF1組、3.5mmJack輸出1組*Dolby AUDIO 杜比環繞音響*Pro MD Driver 炫彩先驅影像技術")</f>
        <v>*解析度：HD(1366x768)*輸入：HDMI3組、USB1組、AV端子*1、VGA*輸出：SPDIF1組、3.5mmJack輸出1組*Dolby AUDIO 杜比環繞音響*Pro MD Driver 炫彩先驅影像技術</v>
      </c>
    </row>
    <row r="1203" spans="1:27" ht="19.5" customHeight="1">
      <c r="A1203" s="12" t="str">
        <f ca="1">IFERROR(__xludf.DUMMYFUNCTION("""COMPUTED_VALUE"""),"HDTV")</f>
        <v>HDTV</v>
      </c>
      <c r="B1203" s="12" t="str">
        <f ca="1">IFERROR(__xludf.DUMMYFUNCTION("""COMPUTED_VALUE"""),"聲寶")</f>
        <v>聲寶</v>
      </c>
      <c r="C1203" s="12" t="str">
        <f ca="1">IFERROR(__xludf.DUMMYFUNCTION("""COMPUTED_VALUE"""),"聲寶")</f>
        <v>聲寶</v>
      </c>
      <c r="D1203" s="12" t="str">
        <f ca="1">IFERROR(__xludf.DUMMYFUNCTION("""COMPUTED_VALUE"""),"聲寶40型液晶顯示器(含視訊盒)EM-40CBS200")</f>
        <v>聲寶40型液晶顯示器(含視訊盒)EM-40CBS200</v>
      </c>
      <c r="E1203" s="12" t="str">
        <f ca="1">IFERROR(__xludf.DUMMYFUNCTION("""COMPUTED_VALUE"""),"EM-40CBS200")</f>
        <v>EM-40CBS200</v>
      </c>
      <c r="F1203" s="12">
        <f ca="1">IFERROR(__xludf.DUMMYFUNCTION("""COMPUTED_VALUE"""),51001195)</f>
        <v>51001195</v>
      </c>
      <c r="G1203" s="12" t="str">
        <f ca="1">IFERROR(__xludf.DUMMYFUNCTION("""COMPUTED_VALUE"""),"NCTV01HT")</f>
        <v>NCTV01HT</v>
      </c>
      <c r="H1203" s="13">
        <f ca="1">IFERROR(__xludf.DUMMYFUNCTION("""COMPUTED_VALUE"""),7990)</f>
        <v>7990</v>
      </c>
      <c r="I1203" s="14">
        <f ca="1">IFERROR(__xludf.DUMMYFUNCTION("""COMPUTED_VALUE"""),7200)</f>
        <v>7200</v>
      </c>
      <c r="J1203" s="12"/>
      <c r="K1203" s="12"/>
      <c r="L1203" s="12" t="str">
        <f ca="1">IFERROR(__xludf.DUMMYFUNCTION("""COMPUTED_VALUE"""),"上架中")</f>
        <v>上架中</v>
      </c>
      <c r="M1203" s="12"/>
      <c r="N1203" s="12" t="str">
        <f ca="1">IFERROR(__xludf.DUMMYFUNCTION("""COMPUTED_VALUE"""),"螢幕/液晶電視")</f>
        <v>螢幕/液晶電視</v>
      </c>
      <c r="O1203" s="12"/>
      <c r="P1203" s="12" t="str">
        <f ca="1">IFERROR(__xludf.DUMMYFUNCTION("""COMPUTED_VALUE"""),"40型")</f>
        <v>40型</v>
      </c>
      <c r="Q1203" s="12" t="str">
        <f ca="1">IFERROR(__xludf.DUMMYFUNCTION("""COMPUTED_VALUE"""),"含底座：H568.9xW903.6xD220.4mm
不含底座：H520.2xW903.6xD85.3mm")</f>
        <v>含底座：H568.9xW903.6xD220.4mm
不含底座：H520.2xW903.6xD85.3mm</v>
      </c>
      <c r="R1203" s="12" t="str">
        <f ca="1">IFERROR(__xludf.DUMMYFUNCTION("""COMPUTED_VALUE"""),"中國")</f>
        <v>中國</v>
      </c>
      <c r="S1203" s="12"/>
      <c r="T1203" s="12"/>
      <c r="U1203" s="12" t="str">
        <f ca="1">IFERROR(__xludf.DUMMYFUNCTION("""COMPUTED_VALUE"""),"3年")</f>
        <v>3年</v>
      </c>
      <c r="V1203" s="12"/>
      <c r="W1203" s="12"/>
      <c r="X1203" s="12"/>
      <c r="Y1203" s="12"/>
      <c r="Z1203" s="14"/>
      <c r="AA1203" s="15" t="str">
        <f ca="1">IFERROR(__xludf.DUMMYFUNCTION("""COMPUTED_VALUE"""),"*40 型 Full HD LED*Pro MD Driver 炫彩先驅影像技術*新轟天雷音效技術*Dolby AUDIO 杜比環繞音響*低藍光影像功能")</f>
        <v>*40 型 Full HD LED*Pro MD Driver 炫彩先驅影像技術*新轟天雷音效技術*Dolby AUDIO 杜比環繞音響*低藍光影像功能</v>
      </c>
    </row>
    <row r="1204" spans="1:27" ht="19.5" customHeight="1">
      <c r="A1204" s="12" t="str">
        <f ca="1">IFERROR(__xludf.DUMMYFUNCTION("""COMPUTED_VALUE"""),"HDTV")</f>
        <v>HDTV</v>
      </c>
      <c r="B1204" s="12" t="str">
        <f ca="1">IFERROR(__xludf.DUMMYFUNCTION("""COMPUTED_VALUE"""),"聲寶")</f>
        <v>聲寶</v>
      </c>
      <c r="C1204" s="12" t="str">
        <f ca="1">IFERROR(__xludf.DUMMYFUNCTION("""COMPUTED_VALUE"""),"聲寶")</f>
        <v>聲寶</v>
      </c>
      <c r="D1204" s="12" t="str">
        <f ca="1">IFERROR(__xludf.DUMMYFUNCTION("""COMPUTED_VALUE"""),"聲寶32型液晶顯示器(含視訊盒)EM-32MDT200")</f>
        <v>聲寶32型液晶顯示器(含視訊盒)EM-32MDT200</v>
      </c>
      <c r="E1204" s="12" t="str">
        <f ca="1">IFERROR(__xludf.DUMMYFUNCTION("""COMPUTED_VALUE"""),"EM-32MDT200")</f>
        <v>EM-32MDT200</v>
      </c>
      <c r="F1204" s="12">
        <f ca="1">IFERROR(__xludf.DUMMYFUNCTION("""COMPUTED_VALUE"""),51001320)</f>
        <v>51001320</v>
      </c>
      <c r="G1204" s="12" t="str">
        <f ca="1">IFERROR(__xludf.DUMMYFUNCTION("""COMPUTED_VALUE"""),"NCTV01RA")</f>
        <v>NCTV01RA</v>
      </c>
      <c r="H1204" s="12">
        <f ca="1">IFERROR(__xludf.DUMMYFUNCTION("""COMPUTED_VALUE"""),8990)</f>
        <v>8990</v>
      </c>
      <c r="I1204" s="14">
        <f ca="1">IFERROR(__xludf.DUMMYFUNCTION("""COMPUTED_VALUE"""),5400)</f>
        <v>5400</v>
      </c>
      <c r="J1204" s="16">
        <f ca="1">IFERROR(__xludf.DUMMYFUNCTION("""COMPUTED_VALUE"""),45649)</f>
        <v>45649</v>
      </c>
      <c r="K1204" s="12" t="str">
        <f ca="1">IFERROR(__xludf.DUMMYFUNCTION("""COMPUTED_VALUE"""),"新機上架")</f>
        <v>新機上架</v>
      </c>
      <c r="L1204" s="12" t="str">
        <f ca="1">IFERROR(__xludf.DUMMYFUNCTION("""COMPUTED_VALUE"""),"上架中")</f>
        <v>上架中</v>
      </c>
      <c r="M1204" s="12" t="str">
        <f ca="1">IFERROR(__xludf.DUMMYFUNCTION("""COMPUTED_VALUE"""),"2024/12/23上架")</f>
        <v>2024/12/23上架</v>
      </c>
      <c r="N1204" s="12" t="str">
        <f ca="1">IFERROR(__xludf.DUMMYFUNCTION("""COMPUTED_VALUE"""),"螢幕/液晶電視")</f>
        <v>螢幕/液晶電視</v>
      </c>
      <c r="O1204" s="12"/>
      <c r="P1204" s="12" t="str">
        <f ca="1">IFERROR(__xludf.DUMMYFUNCTION("""COMPUTED_VALUE"""),"32型")</f>
        <v>32型</v>
      </c>
      <c r="Q1204" s="12" t="str">
        <f ca="1">IFERROR(__xludf.DUMMYFUNCTION("""COMPUTED_VALUE"""),"含底座：H481xW726xD120mm
不含底座：H428xW726xD82mm")</f>
        <v>含底座：H481xW726xD120mm
不含底座：H428xW726xD82mm</v>
      </c>
      <c r="R1204" s="12" t="str">
        <f ca="1">IFERROR(__xludf.DUMMYFUNCTION("""COMPUTED_VALUE"""),"台灣")</f>
        <v>台灣</v>
      </c>
      <c r="S1204" s="12"/>
      <c r="T1204" s="12"/>
      <c r="U1204" s="12" t="str">
        <f ca="1">IFERROR(__xludf.DUMMYFUNCTION("""COMPUTED_VALUE"""),"3年")</f>
        <v>3年</v>
      </c>
      <c r="V1204" s="12"/>
      <c r="W1204" s="12"/>
      <c r="X1204" s="12"/>
      <c r="Y1204" s="12"/>
      <c r="Z1204" s="14"/>
      <c r="AA1204" s="15" t="str">
        <f ca="1">IFERROR(__xludf.DUMMYFUNCTION("""COMPUTED_VALUE"""),"*解析度：HD(1366x768)*輸入：HDMI3組、USB2組、AV端子*1*輸出：3.5mmJack輸出1組*ProMDDriver炫彩先驅影像技術、DolbyAUDIO杜比環繞音響*低藍光影像功能、新轟天雷音效技術")</f>
        <v>*解析度：HD(1366x768)*輸入：HDMI3組、USB2組、AV端子*1*輸出：3.5mmJack輸出1組*ProMDDriver炫彩先驅影像技術、DolbyAUDIO杜比環繞音響*低藍光影像功能、新轟天雷音效技術</v>
      </c>
    </row>
    <row r="1205" spans="1:27" ht="19.5" customHeight="1">
      <c r="A1205" s="12" t="str">
        <f ca="1">IFERROR(__xludf.DUMMYFUNCTION("""COMPUTED_VALUE"""),"HDTV")</f>
        <v>HDTV</v>
      </c>
      <c r="B1205" s="12" t="str">
        <f ca="1">IFERROR(__xludf.DUMMYFUNCTION("""COMPUTED_VALUE"""),"聲寶")</f>
        <v>聲寶</v>
      </c>
      <c r="C1205" s="12" t="str">
        <f ca="1">IFERROR(__xludf.DUMMYFUNCTION("""COMPUTED_VALUE"""),"聲寶")</f>
        <v>聲寶</v>
      </c>
      <c r="D1205" s="12" t="str">
        <f ca="1">IFERROR(__xludf.DUMMYFUNCTION("""COMPUTED_VALUE"""),"聲寶43型液晶顯示器(含視訊盒)EM-43MDT200")</f>
        <v>聲寶43型液晶顯示器(含視訊盒)EM-43MDT200</v>
      </c>
      <c r="E1205" s="12" t="str">
        <f ca="1">IFERROR(__xludf.DUMMYFUNCTION("""COMPUTED_VALUE"""),"EM-43MDT200")</f>
        <v>EM-43MDT200</v>
      </c>
      <c r="F1205" s="12">
        <f ca="1">IFERROR(__xludf.DUMMYFUNCTION("""COMPUTED_VALUE"""),51001321)</f>
        <v>51001321</v>
      </c>
      <c r="G1205" s="12" t="str">
        <f ca="1">IFERROR(__xludf.DUMMYFUNCTION("""COMPUTED_VALUE"""),"NCTV01RB")</f>
        <v>NCTV01RB</v>
      </c>
      <c r="H1205" s="12">
        <f ca="1">IFERROR(__xludf.DUMMYFUNCTION("""COMPUTED_VALUE"""),9900)</f>
        <v>9900</v>
      </c>
      <c r="I1205" s="14">
        <f ca="1">IFERROR(__xludf.DUMMYFUNCTION("""COMPUTED_VALUE"""),8200)</f>
        <v>8200</v>
      </c>
      <c r="J1205" s="16">
        <f ca="1">IFERROR(__xludf.DUMMYFUNCTION("""COMPUTED_VALUE"""),45537)</f>
        <v>45537</v>
      </c>
      <c r="K1205" s="12" t="str">
        <f ca="1">IFERROR(__xludf.DUMMYFUNCTION("""COMPUTED_VALUE"""),"新機上架")</f>
        <v>新機上架</v>
      </c>
      <c r="L1205" s="12" t="str">
        <f ca="1">IFERROR(__xludf.DUMMYFUNCTION("""COMPUTED_VALUE"""),"上架中")</f>
        <v>上架中</v>
      </c>
      <c r="M1205" s="12" t="str">
        <f ca="1">IFERROR(__xludf.DUMMYFUNCTION("""COMPUTED_VALUE"""),"2024/9/2上架")</f>
        <v>2024/9/2上架</v>
      </c>
      <c r="N1205" s="12" t="str">
        <f ca="1">IFERROR(__xludf.DUMMYFUNCTION("""COMPUTED_VALUE"""),"螢幕/液晶電視")</f>
        <v>螢幕/液晶電視</v>
      </c>
      <c r="O1205" s="12"/>
      <c r="P1205" s="12" t="str">
        <f ca="1">IFERROR(__xludf.DUMMYFUNCTION("""COMPUTED_VALUE"""),"43型")</f>
        <v>43型</v>
      </c>
      <c r="Q1205" s="12" t="str">
        <f ca="1">IFERROR(__xludf.DUMMYFUNCTION("""COMPUTED_VALUE"""),"含底座：H616xW967xD221mm
不含底座：H567xW967xD89mm")</f>
        <v>含底座：H616xW967xD221mm
不含底座：H567xW967xD89mm</v>
      </c>
      <c r="R1205" s="12" t="str">
        <f ca="1">IFERROR(__xludf.DUMMYFUNCTION("""COMPUTED_VALUE"""),"台灣")</f>
        <v>台灣</v>
      </c>
      <c r="S1205" s="12"/>
      <c r="T1205" s="12"/>
      <c r="U1205" s="12" t="str">
        <f ca="1">IFERROR(__xludf.DUMMYFUNCTION("""COMPUTED_VALUE"""),"3年")</f>
        <v>3年</v>
      </c>
      <c r="V1205" s="12"/>
      <c r="W1205" s="12"/>
      <c r="X1205" s="12"/>
      <c r="Y1205" s="12"/>
      <c r="Z1205" s="14"/>
      <c r="AA1205" s="15" t="str">
        <f ca="1">IFERROR(__xludf.DUMMYFUNCTION("""COMPUTED_VALUE"""),"*解析度：FHD(1920x1080)*輸入：HDMI3組、USB1組、AV端子*1*輸出：SPDIF1組、3.5mmJack輸出1組*IPS面板、ProMDDriver炫彩先驅影像技術、DolbyAUDIO杜比環繞音響*低藍光影像功能、新轟天雷音效技術")</f>
        <v>*解析度：FHD(1920x1080)*輸入：HDMI3組、USB1組、AV端子*1*輸出：SPDIF1組、3.5mmJack輸出1組*IPS面板、ProMDDriver炫彩先驅影像技術、DolbyAUDIO杜比環繞音響*低藍光影像功能、新轟天雷音效技術</v>
      </c>
    </row>
    <row r="1206" spans="1:27" ht="19.5" customHeight="1">
      <c r="A1206" s="12" t="str">
        <f ca="1">IFERROR(__xludf.DUMMYFUNCTION("""COMPUTED_VALUE"""),"HDTV")</f>
        <v>HDTV</v>
      </c>
      <c r="B1206" s="12" t="str">
        <f ca="1">IFERROR(__xludf.DUMMYFUNCTION("""COMPUTED_VALUE"""),"聲寶")</f>
        <v>聲寶</v>
      </c>
      <c r="C1206" s="12" t="str">
        <f ca="1">IFERROR(__xludf.DUMMYFUNCTION("""COMPUTED_VALUE"""),"聲寶")</f>
        <v>聲寶</v>
      </c>
      <c r="D1206" s="12" t="str">
        <f ca="1">IFERROR(__xludf.DUMMYFUNCTION("""COMPUTED_VALUE"""),"聲寶32型液晶顯示器(含視訊盒)EM-32MDS200")</f>
        <v>聲寶32型液晶顯示器(含視訊盒)EM-32MDS200</v>
      </c>
      <c r="E1206" s="12" t="str">
        <f ca="1">IFERROR(__xludf.DUMMYFUNCTION("""COMPUTED_VALUE"""),"EM-32MDS200")</f>
        <v>EM-32MDS200</v>
      </c>
      <c r="F1206" s="12">
        <f ca="1">IFERROR(__xludf.DUMMYFUNCTION("""COMPUTED_VALUE"""),51001322)</f>
        <v>51001322</v>
      </c>
      <c r="G1206" s="12" t="str">
        <f ca="1">IFERROR(__xludf.DUMMYFUNCTION("""COMPUTED_VALUE"""),"NCTV01RC")</f>
        <v>NCTV01RC</v>
      </c>
      <c r="H1206" s="12">
        <f ca="1">IFERROR(__xludf.DUMMYFUNCTION("""COMPUTED_VALUE"""),8990)</f>
        <v>8990</v>
      </c>
      <c r="I1206" s="14">
        <f ca="1">IFERROR(__xludf.DUMMYFUNCTION("""COMPUTED_VALUE"""),5100)</f>
        <v>5100</v>
      </c>
      <c r="J1206" s="16">
        <f ca="1">IFERROR(__xludf.DUMMYFUNCTION("""COMPUTED_VALUE"""),45649)</f>
        <v>45649</v>
      </c>
      <c r="K1206" s="12" t="str">
        <f ca="1">IFERROR(__xludf.DUMMYFUNCTION("""COMPUTED_VALUE"""),"新機上架")</f>
        <v>新機上架</v>
      </c>
      <c r="L1206" s="12" t="str">
        <f ca="1">IFERROR(__xludf.DUMMYFUNCTION("""COMPUTED_VALUE"""),"上架中")</f>
        <v>上架中</v>
      </c>
      <c r="M1206" s="12" t="str">
        <f ca="1">IFERROR(__xludf.DUMMYFUNCTION("""COMPUTED_VALUE"""),"2024/12/23上架")</f>
        <v>2024/12/23上架</v>
      </c>
      <c r="N1206" s="12" t="str">
        <f ca="1">IFERROR(__xludf.DUMMYFUNCTION("""COMPUTED_VALUE"""),"螢幕/液晶電視")</f>
        <v>螢幕/液晶電視</v>
      </c>
      <c r="O1206" s="12"/>
      <c r="P1206" s="12" t="str">
        <f ca="1">IFERROR(__xludf.DUMMYFUNCTION("""COMPUTED_VALUE"""),"32型")</f>
        <v>32型</v>
      </c>
      <c r="Q1206" s="12" t="str">
        <f ca="1">IFERROR(__xludf.DUMMYFUNCTION("""COMPUTED_VALUE"""),"含底座：H481xW726xD120mm
不含底座：H428xW726xD82mm")</f>
        <v>含底座：H481xW726xD120mm
不含底座：H428xW726xD82mm</v>
      </c>
      <c r="R1206" s="12" t="str">
        <f ca="1">IFERROR(__xludf.DUMMYFUNCTION("""COMPUTED_VALUE"""),"中國")</f>
        <v>中國</v>
      </c>
      <c r="S1206" s="12"/>
      <c r="T1206" s="12"/>
      <c r="U1206" s="12" t="str">
        <f ca="1">IFERROR(__xludf.DUMMYFUNCTION("""COMPUTED_VALUE"""),"3年")</f>
        <v>3年</v>
      </c>
      <c r="V1206" s="12"/>
      <c r="W1206" s="12"/>
      <c r="X1206" s="12"/>
      <c r="Y1206" s="12"/>
      <c r="Z1206" s="14"/>
      <c r="AA1206" s="15" t="str">
        <f ca="1">IFERROR(__xludf.DUMMYFUNCTION("""COMPUTED_VALUE"""),"*解析度：HD(1366x768)*輸入：HDMI3組、USB2組、AV端子*1*輸出：3.5mmJack輸出1組*ProMDDriver炫彩先驅影像技術、DolbyAUDIO杜比環繞音響*低藍光影像功能、新轟天雷音效技術")</f>
        <v>*解析度：HD(1366x768)*輸入：HDMI3組、USB2組、AV端子*1*輸出：3.5mmJack輸出1組*ProMDDriver炫彩先驅影像技術、DolbyAUDIO杜比環繞音響*低藍光影像功能、新轟天雷音效技術</v>
      </c>
    </row>
    <row r="1207" spans="1:27" ht="19.5" customHeight="1">
      <c r="A1207" s="12" t="str">
        <f ca="1">IFERROR(__xludf.DUMMYFUNCTION("""COMPUTED_VALUE"""),"HDTV")</f>
        <v>HDTV</v>
      </c>
      <c r="B1207" s="12" t="str">
        <f ca="1">IFERROR(__xludf.DUMMYFUNCTION("""COMPUTED_VALUE"""),"聲寶")</f>
        <v>聲寶</v>
      </c>
      <c r="C1207" s="12" t="str">
        <f ca="1">IFERROR(__xludf.DUMMYFUNCTION("""COMPUTED_VALUE"""),"聲寶")</f>
        <v>聲寶</v>
      </c>
      <c r="D1207" s="12" t="str">
        <f ca="1">IFERROR(__xludf.DUMMYFUNCTION("""COMPUTED_VALUE"""),"聲寶43型液晶顯示器(含視訊盒)EM-43MDS200")</f>
        <v>聲寶43型液晶顯示器(含視訊盒)EM-43MDS200</v>
      </c>
      <c r="E1207" s="12" t="str">
        <f ca="1">IFERROR(__xludf.DUMMYFUNCTION("""COMPUTED_VALUE"""),"EM-43MDS200")</f>
        <v>EM-43MDS200</v>
      </c>
      <c r="F1207" s="12">
        <f ca="1">IFERROR(__xludf.DUMMYFUNCTION("""COMPUTED_VALUE"""),51001323)</f>
        <v>51001323</v>
      </c>
      <c r="G1207" s="12" t="str">
        <f ca="1">IFERROR(__xludf.DUMMYFUNCTION("""COMPUTED_VALUE"""),"NCTV01RD")</f>
        <v>NCTV01RD</v>
      </c>
      <c r="H1207" s="12">
        <f ca="1">IFERROR(__xludf.DUMMYFUNCTION("""COMPUTED_VALUE"""),9900)</f>
        <v>9900</v>
      </c>
      <c r="I1207" s="14">
        <f ca="1">IFERROR(__xludf.DUMMYFUNCTION("""COMPUTED_VALUE"""),7700)</f>
        <v>7700</v>
      </c>
      <c r="J1207" s="16">
        <f ca="1">IFERROR(__xludf.DUMMYFUNCTION("""COMPUTED_VALUE"""),45537)</f>
        <v>45537</v>
      </c>
      <c r="K1207" s="12" t="str">
        <f ca="1">IFERROR(__xludf.DUMMYFUNCTION("""COMPUTED_VALUE"""),"新機上架")</f>
        <v>新機上架</v>
      </c>
      <c r="L1207" s="12" t="str">
        <f ca="1">IFERROR(__xludf.DUMMYFUNCTION("""COMPUTED_VALUE"""),"上架中")</f>
        <v>上架中</v>
      </c>
      <c r="M1207" s="12" t="str">
        <f ca="1">IFERROR(__xludf.DUMMYFUNCTION("""COMPUTED_VALUE"""),"2024/9/2上架")</f>
        <v>2024/9/2上架</v>
      </c>
      <c r="N1207" s="12" t="str">
        <f ca="1">IFERROR(__xludf.DUMMYFUNCTION("""COMPUTED_VALUE"""),"螢幕/液晶電視")</f>
        <v>螢幕/液晶電視</v>
      </c>
      <c r="O1207" s="12"/>
      <c r="P1207" s="12" t="str">
        <f ca="1">IFERROR(__xludf.DUMMYFUNCTION("""COMPUTED_VALUE"""),"43型")</f>
        <v>43型</v>
      </c>
      <c r="Q1207" s="12" t="str">
        <f ca="1">IFERROR(__xludf.DUMMYFUNCTION("""COMPUTED_VALUE"""),"含底座：H616xW967xD221mm
不含底座：H567xW967xD89mm")</f>
        <v>含底座：H616xW967xD221mm
不含底座：H567xW967xD89mm</v>
      </c>
      <c r="R1207" s="12" t="str">
        <f ca="1">IFERROR(__xludf.DUMMYFUNCTION("""COMPUTED_VALUE"""),"中國")</f>
        <v>中國</v>
      </c>
      <c r="S1207" s="12"/>
      <c r="T1207" s="12"/>
      <c r="U1207" s="12" t="str">
        <f ca="1">IFERROR(__xludf.DUMMYFUNCTION("""COMPUTED_VALUE"""),"3年")</f>
        <v>3年</v>
      </c>
      <c r="V1207" s="12"/>
      <c r="W1207" s="12"/>
      <c r="X1207" s="12"/>
      <c r="Y1207" s="12"/>
      <c r="Z1207" s="14"/>
      <c r="AA1207" s="15" t="str">
        <f ca="1">IFERROR(__xludf.DUMMYFUNCTION("""COMPUTED_VALUE"""),"*解析度：FHD(1920x1080)*輸入：HDMI3組、USB1組、AV端子*1*輸出：SPDIF1組、3.5mmJack輸出1組*IPS面板、ProMDDriver炫彩先驅影像技術、DolbyAUDIO杜比環繞音響*低藍光影像功能、新轟天雷音效技術")</f>
        <v>*解析度：FHD(1920x1080)*輸入：HDMI3組、USB1組、AV端子*1*輸出：SPDIF1組、3.5mmJack輸出1組*IPS面板、ProMDDriver炫彩先驅影像技術、DolbyAUDIO杜比環繞音響*低藍光影像功能、新轟天雷音效技術</v>
      </c>
    </row>
    <row r="1208" spans="1:27" ht="19.5" customHeight="1">
      <c r="A1208" s="12" t="str">
        <f ca="1">IFERROR(__xludf.DUMMYFUNCTION("""COMPUTED_VALUE"""),"HDTV")</f>
        <v>HDTV</v>
      </c>
      <c r="B1208" s="12" t="str">
        <f ca="1">IFERROR(__xludf.DUMMYFUNCTION("""COMPUTED_VALUE"""),"聲寶")</f>
        <v>聲寶</v>
      </c>
      <c r="C1208" s="12" t="str">
        <f ca="1">IFERROR(__xludf.DUMMYFUNCTION("""COMPUTED_VALUE"""),"聲寶")</f>
        <v>聲寶</v>
      </c>
      <c r="D1208" s="12" t="str">
        <f ca="1">IFERROR(__xludf.DUMMYFUNCTION("""COMPUTED_VALUE"""),"聲寶 50型4K液晶顯示器(含視訊盒)EM-50FC610(N)")</f>
        <v>聲寶 50型4K液晶顯示器(含視訊盒)EM-50FC610(N)</v>
      </c>
      <c r="E1208" s="12" t="str">
        <f ca="1">IFERROR(__xludf.DUMMYFUNCTION("""COMPUTED_VALUE"""),"EM-50FC610(N)")</f>
        <v>EM-50FC610(N)</v>
      </c>
      <c r="F1208" s="12">
        <f ca="1">IFERROR(__xludf.DUMMYFUNCTION("""COMPUTED_VALUE"""),51086294)</f>
        <v>51086294</v>
      </c>
      <c r="G1208" s="12" t="str">
        <f ca="1">IFERROR(__xludf.DUMMYFUNCTION("""COMPUTED_VALUE"""),"NCTV01LE")</f>
        <v>NCTV01LE</v>
      </c>
      <c r="H1208" s="12">
        <f ca="1">IFERROR(__xludf.DUMMYFUNCTION("""COMPUTED_VALUE"""),19900)</f>
        <v>19900</v>
      </c>
      <c r="I1208" s="14">
        <f ca="1">IFERROR(__xludf.DUMMYFUNCTION("""COMPUTED_VALUE"""),11000)</f>
        <v>11000</v>
      </c>
      <c r="J1208" s="12"/>
      <c r="K1208" s="12"/>
      <c r="L1208" s="12" t="str">
        <f ca="1">IFERROR(__xludf.DUMMYFUNCTION("""COMPUTED_VALUE"""),"上架中")</f>
        <v>上架中</v>
      </c>
      <c r="M1208" s="12" t="str">
        <f ca="1">IFERROR(__xludf.DUMMYFUNCTION("""COMPUTED_VALUE"""),"9/6上架")</f>
        <v>9/6上架</v>
      </c>
      <c r="N1208" s="12" t="str">
        <f ca="1">IFERROR(__xludf.DUMMYFUNCTION("""COMPUTED_VALUE"""),"螢幕/液晶電視")</f>
        <v>螢幕/液晶電視</v>
      </c>
      <c r="O1208" s="12"/>
      <c r="P1208" s="12" t="str">
        <f ca="1">IFERROR(__xludf.DUMMYFUNCTION("""COMPUTED_VALUE"""),"50型")</f>
        <v>50型</v>
      </c>
      <c r="Q1208" s="12" t="str">
        <f ca="1">IFERROR(__xludf.DUMMYFUNCTION("""COMPUTED_VALUE"""),"含底座：1121.7x269.1x704.6mm
不含底座：1121.7x88.7x652.4mm")</f>
        <v>含底座：1121.7x269.1x704.6mm
不含底座：1121.7x88.7x652.4mm</v>
      </c>
      <c r="R1208" s="12" t="str">
        <f ca="1">IFERROR(__xludf.DUMMYFUNCTION("""COMPUTED_VALUE"""),"中國")</f>
        <v>中國</v>
      </c>
      <c r="S1208" s="12"/>
      <c r="T1208" s="12"/>
      <c r="U1208" s="12" t="str">
        <f ca="1">IFERROR(__xludf.DUMMYFUNCTION("""COMPUTED_VALUE"""),"3年")</f>
        <v>3年</v>
      </c>
      <c r="V1208" s="12"/>
      <c r="W1208" s="12"/>
      <c r="X1208" s="12"/>
      <c r="Y1208" s="12"/>
      <c r="Z1208" s="14"/>
      <c r="AA1208" s="15" t="str">
        <f ca="1">IFERROR(__xludf.DUMMYFUNCTION("""COMPUTED_VALUE"""),"*50型 4K UHD*10 Bit色階*ULTRA MD Driver炫彩先驅影像技術*雙頻HDR:HDR 10、HLG*Dolby AUDIO杜比音效解碼")</f>
        <v>*50型 4K UHD*10 Bit色階*ULTRA MD Driver炫彩先驅影像技術*雙頻HDR:HDR 10、HLG*Dolby AUDIO杜比音效解碼</v>
      </c>
    </row>
    <row r="1209" spans="1:27" ht="19.5" customHeight="1">
      <c r="A1209" s="12" t="str">
        <f ca="1">IFERROR(__xludf.DUMMYFUNCTION("""COMPUTED_VALUE"""),"HDTV")</f>
        <v>HDTV</v>
      </c>
      <c r="B1209" s="12" t="str">
        <f ca="1">IFERROR(__xludf.DUMMYFUNCTION("""COMPUTED_VALUE"""),"聲寶")</f>
        <v>聲寶</v>
      </c>
      <c r="C1209" s="12" t="str">
        <f ca="1">IFERROR(__xludf.DUMMYFUNCTION("""COMPUTED_VALUE"""),"聲寶")</f>
        <v>聲寶</v>
      </c>
      <c r="D1209" s="12" t="str">
        <f ca="1">IFERROR(__xludf.DUMMYFUNCTION("""COMPUTED_VALUE"""),"聲寶 55型4K液晶顯示器(含視訊盒)EM-55FC610(N)")</f>
        <v>聲寶 55型4K液晶顯示器(含視訊盒)EM-55FC610(N)</v>
      </c>
      <c r="E1209" s="12" t="str">
        <f ca="1">IFERROR(__xludf.DUMMYFUNCTION("""COMPUTED_VALUE"""),"EM-55FC610(N)")</f>
        <v>EM-55FC610(N)</v>
      </c>
      <c r="F1209" s="12">
        <f ca="1">IFERROR(__xludf.DUMMYFUNCTION("""COMPUTED_VALUE"""),51086295)</f>
        <v>51086295</v>
      </c>
      <c r="G1209" s="12" t="str">
        <f ca="1">IFERROR(__xludf.DUMMYFUNCTION("""COMPUTED_VALUE"""),"NCTV01LF")</f>
        <v>NCTV01LF</v>
      </c>
      <c r="H1209" s="12">
        <f ca="1">IFERROR(__xludf.DUMMYFUNCTION("""COMPUTED_VALUE"""),22900)</f>
        <v>22900</v>
      </c>
      <c r="I1209" s="14">
        <f ca="1">IFERROR(__xludf.DUMMYFUNCTION("""COMPUTED_VALUE"""),13000)</f>
        <v>13000</v>
      </c>
      <c r="J1209" s="12"/>
      <c r="K1209" s="12"/>
      <c r="L1209" s="12" t="str">
        <f ca="1">IFERROR(__xludf.DUMMYFUNCTION("""COMPUTED_VALUE"""),"上架中")</f>
        <v>上架中</v>
      </c>
      <c r="M1209" s="12" t="str">
        <f ca="1">IFERROR(__xludf.DUMMYFUNCTION("""COMPUTED_VALUE"""),"9/6上架")</f>
        <v>9/6上架</v>
      </c>
      <c r="N1209" s="12" t="str">
        <f ca="1">IFERROR(__xludf.DUMMYFUNCTION("""COMPUTED_VALUE"""),"螢幕/液晶電視")</f>
        <v>螢幕/液晶電視</v>
      </c>
      <c r="O1209" s="12"/>
      <c r="P1209" s="12" t="str">
        <f ca="1">IFERROR(__xludf.DUMMYFUNCTION("""COMPUTED_VALUE"""),"55型")</f>
        <v>55型</v>
      </c>
      <c r="Q1209" s="12" t="str">
        <f ca="1">IFERROR(__xludf.DUMMYFUNCTION("""COMPUTED_VALUE"""),"含底座：1236.1x269.1x771mm
不含底座：1236.1x88.7x720.8mm")</f>
        <v>含底座：1236.1x269.1x771mm
不含底座：1236.1x88.7x720.8mm</v>
      </c>
      <c r="R1209" s="12" t="str">
        <f ca="1">IFERROR(__xludf.DUMMYFUNCTION("""COMPUTED_VALUE"""),"中國")</f>
        <v>中國</v>
      </c>
      <c r="S1209" s="12"/>
      <c r="T1209" s="12"/>
      <c r="U1209" s="12" t="str">
        <f ca="1">IFERROR(__xludf.DUMMYFUNCTION("""COMPUTED_VALUE"""),"3年")</f>
        <v>3年</v>
      </c>
      <c r="V1209" s="12"/>
      <c r="W1209" s="12"/>
      <c r="X1209" s="12"/>
      <c r="Y1209" s="12"/>
      <c r="Z1209" s="14"/>
      <c r="AA1209" s="15" t="str">
        <f ca="1">IFERROR(__xludf.DUMMYFUNCTION("""COMPUTED_VALUE"""),"*55型 4K UHD*10 Bit色階*ULTRA MD Driver炫彩先驅影像技術*雙頻HDR:HDR 10、HLG*Dolby AUDIO杜比音效解碼")</f>
        <v>*55型 4K UHD*10 Bit色階*ULTRA MD Driver炫彩先驅影像技術*雙頻HDR:HDR 10、HLG*Dolby AUDIO杜比音效解碼</v>
      </c>
    </row>
    <row r="1210" spans="1:27" ht="19.5" customHeight="1">
      <c r="A1210" s="12" t="str">
        <f ca="1">IFERROR(__xludf.DUMMYFUNCTION("""COMPUTED_VALUE"""),"HDTV")</f>
        <v>HDTV</v>
      </c>
      <c r="B1210" s="12" t="str">
        <f ca="1">IFERROR(__xludf.DUMMYFUNCTION("""COMPUTED_VALUE"""),"聲寶")</f>
        <v>聲寶</v>
      </c>
      <c r="C1210" s="12" t="str">
        <f ca="1">IFERROR(__xludf.DUMMYFUNCTION("""COMPUTED_VALUE"""),"聲寶")</f>
        <v>聲寶</v>
      </c>
      <c r="D1210" s="12" t="str">
        <f ca="1">IFERROR(__xludf.DUMMYFUNCTION("""COMPUTED_VALUE"""),"聲寶 65型4K液晶顯示器(含視訊盒)EM-65FC610(N)")</f>
        <v>聲寶 65型4K液晶顯示器(含視訊盒)EM-65FC610(N)</v>
      </c>
      <c r="E1210" s="12" t="str">
        <f ca="1">IFERROR(__xludf.DUMMYFUNCTION("""COMPUTED_VALUE"""),"EM-65FC610(N)")</f>
        <v>EM-65FC610(N)</v>
      </c>
      <c r="F1210" s="12">
        <f ca="1">IFERROR(__xludf.DUMMYFUNCTION("""COMPUTED_VALUE"""),51086296)</f>
        <v>51086296</v>
      </c>
      <c r="G1210" s="12" t="str">
        <f ca="1">IFERROR(__xludf.DUMMYFUNCTION("""COMPUTED_VALUE"""),"NCTV01LG")</f>
        <v>NCTV01LG</v>
      </c>
      <c r="H1210" s="12">
        <f ca="1">IFERROR(__xludf.DUMMYFUNCTION("""COMPUTED_VALUE"""),24900)</f>
        <v>24900</v>
      </c>
      <c r="I1210" s="14">
        <f ca="1">IFERROR(__xludf.DUMMYFUNCTION("""COMPUTED_VALUE"""),18000)</f>
        <v>18000</v>
      </c>
      <c r="J1210" s="12"/>
      <c r="K1210" s="12"/>
      <c r="L1210" s="12" t="str">
        <f ca="1">IFERROR(__xludf.DUMMYFUNCTION("""COMPUTED_VALUE"""),"上架中")</f>
        <v>上架中</v>
      </c>
      <c r="M1210" s="12" t="str">
        <f ca="1">IFERROR(__xludf.DUMMYFUNCTION("""COMPUTED_VALUE"""),"9/6上架")</f>
        <v>9/6上架</v>
      </c>
      <c r="N1210" s="12" t="str">
        <f ca="1">IFERROR(__xludf.DUMMYFUNCTION("""COMPUTED_VALUE"""),"螢幕/液晶電視")</f>
        <v>螢幕/液晶電視</v>
      </c>
      <c r="O1210" s="12"/>
      <c r="P1210" s="12" t="str">
        <f ca="1">IFERROR(__xludf.DUMMYFUNCTION("""COMPUTED_VALUE"""),"65型")</f>
        <v>65型</v>
      </c>
      <c r="Q1210" s="12" t="str">
        <f ca="1">IFERROR(__xludf.DUMMYFUNCTION("""COMPUTED_VALUE"""),"含底座：1455.5x266.2x883.4mm
不含底座：1455.5x84.6x839.7mm")</f>
        <v>含底座：1455.5x266.2x883.4mm
不含底座：1455.5x84.6x839.7mm</v>
      </c>
      <c r="R1210" s="12" t="str">
        <f ca="1">IFERROR(__xludf.DUMMYFUNCTION("""COMPUTED_VALUE"""),"中國")</f>
        <v>中國</v>
      </c>
      <c r="S1210" s="12"/>
      <c r="T1210" s="12"/>
      <c r="U1210" s="12" t="str">
        <f ca="1">IFERROR(__xludf.DUMMYFUNCTION("""COMPUTED_VALUE"""),"3年")</f>
        <v>3年</v>
      </c>
      <c r="V1210" s="12"/>
      <c r="W1210" s="12"/>
      <c r="X1210" s="12"/>
      <c r="Y1210" s="12"/>
      <c r="Z1210" s="14"/>
      <c r="AA1210" s="15" t="str">
        <f ca="1">IFERROR(__xludf.DUMMYFUNCTION("""COMPUTED_VALUE"""),"*65型 4K UHD*10 Bit色階*ULTRA MD Driver炫彩先驅影像技術*雙頻HDR:HDR 10、HLG*Dolby AUDIO杜比音效解碼")</f>
        <v>*65型 4K UHD*10 Bit色階*ULTRA MD Driver炫彩先驅影像技術*雙頻HDR:HDR 10、HLG*Dolby AUDIO杜比音效解碼</v>
      </c>
    </row>
    <row r="1211" spans="1:27" ht="19.5" customHeight="1">
      <c r="A1211" s="12" t="str">
        <f ca="1">IFERROR(__xludf.DUMMYFUNCTION("""COMPUTED_VALUE"""),"HDTV")</f>
        <v>HDTV</v>
      </c>
      <c r="B1211" s="12" t="str">
        <f ca="1">IFERROR(__xludf.DUMMYFUNCTION("""COMPUTED_VALUE"""),"聲寶")</f>
        <v>聲寶</v>
      </c>
      <c r="C1211" s="12" t="str">
        <f ca="1">IFERROR(__xludf.DUMMYFUNCTION("""COMPUTED_VALUE"""),"聲寶")</f>
        <v>聲寶</v>
      </c>
      <c r="D1211" s="12" t="str">
        <f ca="1">IFERROR(__xludf.DUMMYFUNCTION("""COMPUTED_VALUE"""),"聲寶43型安卓聯網4K(轟天雷)立體音箱液晶顯示器EM-43JDT230(含視訊盒)")</f>
        <v>聲寶43型安卓聯網4K(轟天雷)立體音箱液晶顯示器EM-43JDT230(含視訊盒)</v>
      </c>
      <c r="E1211" s="12" t="str">
        <f ca="1">IFERROR(__xludf.DUMMYFUNCTION("""COMPUTED_VALUE"""),"EM-43JDT230")</f>
        <v>EM-43JDT230</v>
      </c>
      <c r="F1211" s="12">
        <f ca="1">IFERROR(__xludf.DUMMYFUNCTION("""COMPUTED_VALUE"""),51086309)</f>
        <v>51086309</v>
      </c>
      <c r="G1211" s="12" t="str">
        <f ca="1">IFERROR(__xludf.DUMMYFUNCTION("""COMPUTED_VALUE"""),"NCTV01OP")</f>
        <v>NCTV01OP</v>
      </c>
      <c r="H1211" s="12">
        <f ca="1">IFERROR(__xludf.DUMMYFUNCTION("""COMPUTED_VALUE"""),17900)</f>
        <v>17900</v>
      </c>
      <c r="I1211" s="14">
        <f ca="1">IFERROR(__xludf.DUMMYFUNCTION("""COMPUTED_VALUE"""),10500)</f>
        <v>10500</v>
      </c>
      <c r="J1211" s="12"/>
      <c r="K1211" s="12"/>
      <c r="L1211" s="12" t="str">
        <f ca="1">IFERROR(__xludf.DUMMYFUNCTION("""COMPUTED_VALUE"""),"上架中")</f>
        <v>上架中</v>
      </c>
      <c r="M1211" s="12" t="str">
        <f ca="1">IFERROR(__xludf.DUMMYFUNCTION("""COMPUTED_VALUE"""),"2024/6/12新機上架")</f>
        <v>2024/6/12新機上架</v>
      </c>
      <c r="N1211" s="12" t="str">
        <f ca="1">IFERROR(__xludf.DUMMYFUNCTION("""COMPUTED_VALUE"""),"螢幕/液晶電視")</f>
        <v>螢幕/液晶電視</v>
      </c>
      <c r="O1211" s="12"/>
      <c r="P1211" s="12" t="str">
        <f ca="1">IFERROR(__xludf.DUMMYFUNCTION("""COMPUTED_VALUE"""),"43型")</f>
        <v>43型</v>
      </c>
      <c r="Q1211" s="12" t="str">
        <f ca="1">IFERROR(__xludf.DUMMYFUNCTION("""COMPUTED_VALUE"""),"含底座：966x217x617mm
不含底座：966x110x567mm")</f>
        <v>含底座：966x217x617mm
不含底座：966x110x567mm</v>
      </c>
      <c r="R1211" s="12" t="str">
        <f ca="1">IFERROR(__xludf.DUMMYFUNCTION("""COMPUTED_VALUE"""),"台灣")</f>
        <v>台灣</v>
      </c>
      <c r="S1211" s="12"/>
      <c r="T1211" s="12"/>
      <c r="U1211" s="12" t="str">
        <f ca="1">IFERROR(__xludf.DUMMYFUNCTION("""COMPUTED_VALUE"""),"3年")</f>
        <v>3年</v>
      </c>
      <c r="V1211" s="12"/>
      <c r="W1211" s="12"/>
      <c r="X1211" s="12"/>
      <c r="Y1211" s="12"/>
      <c r="Z1211" s="14"/>
      <c r="AA1211" s="15" t="str">
        <f ca="1">IFERROR(__xludf.DUMMYFUNCTION("""COMPUTED_VALUE"""),"*4K UHD Smart LED*微區控光影像技術*MEMC動態流暢*Dolby Vision杜比視界*魔幻立體聲音箱*新轟天雷音效技術*Dolby Atmos 杜比全景聲*Google TV 3.0 (Android 11)*AI智慧語音 (Google Assistant)*Google Play應用商城*Chromecast智慧傳屏*GameMode*HDMI 2.1、eARC、ALLM、VRR*雙頻Wifi(2.4G/5G)*無線藍芽(5.0)*台灣製")</f>
        <v>*4K UHD Smart LED*微區控光影像技術*MEMC動態流暢*Dolby Vision杜比視界*魔幻立體聲音箱*新轟天雷音效技術*Dolby Atmos 杜比全景聲*Google TV 3.0 (Android 11)*AI智慧語音 (Google Assistant)*Google Play應用商城*Chromecast智慧傳屏*GameMode*HDMI 2.1、eARC、ALLM、VRR*雙頻Wifi(2.4G/5G)*無線藍芽(5.0)*台灣製</v>
      </c>
    </row>
    <row r="1212" spans="1:27" ht="19.5" customHeight="1">
      <c r="A1212" s="12" t="str">
        <f ca="1">IFERROR(__xludf.DUMMYFUNCTION("""COMPUTED_VALUE"""),"HDTV")</f>
        <v>HDTV</v>
      </c>
      <c r="B1212" s="12" t="str">
        <f ca="1">IFERROR(__xludf.DUMMYFUNCTION("""COMPUTED_VALUE"""),"聲寶")</f>
        <v>聲寶</v>
      </c>
      <c r="C1212" s="12" t="str">
        <f ca="1">IFERROR(__xludf.DUMMYFUNCTION("""COMPUTED_VALUE"""),"聲寶")</f>
        <v>聲寶</v>
      </c>
      <c r="D1212" s="12" t="str">
        <f ca="1">IFERROR(__xludf.DUMMYFUNCTION("""COMPUTED_VALUE"""),"聲寶50型安卓聯網4K(轟天雷)立體音箱液晶顯示器EM-50JDT230(含視訊盒)")</f>
        <v>聲寶50型安卓聯網4K(轟天雷)立體音箱液晶顯示器EM-50JDT230(含視訊盒)</v>
      </c>
      <c r="E1212" s="12" t="str">
        <f ca="1">IFERROR(__xludf.DUMMYFUNCTION("""COMPUTED_VALUE"""),"EM-50JDT230")</f>
        <v>EM-50JDT230</v>
      </c>
      <c r="F1212" s="12">
        <f ca="1">IFERROR(__xludf.DUMMYFUNCTION("""COMPUTED_VALUE"""),51086310)</f>
        <v>51086310</v>
      </c>
      <c r="G1212" s="12" t="str">
        <f ca="1">IFERROR(__xludf.DUMMYFUNCTION("""COMPUTED_VALUE"""),"NCTV01OQ")</f>
        <v>NCTV01OQ</v>
      </c>
      <c r="H1212" s="12">
        <f ca="1">IFERROR(__xludf.DUMMYFUNCTION("""COMPUTED_VALUE"""),21900)</f>
        <v>21900</v>
      </c>
      <c r="I1212" s="14">
        <f ca="1">IFERROR(__xludf.DUMMYFUNCTION("""COMPUTED_VALUE"""),13500)</f>
        <v>13500</v>
      </c>
      <c r="J1212" s="12"/>
      <c r="K1212" s="12"/>
      <c r="L1212" s="12" t="str">
        <f ca="1">IFERROR(__xludf.DUMMYFUNCTION("""COMPUTED_VALUE"""),"上架中")</f>
        <v>上架中</v>
      </c>
      <c r="M1212" s="12" t="str">
        <f ca="1">IFERROR(__xludf.DUMMYFUNCTION("""COMPUTED_VALUE"""),"2024/6/12新機上架")</f>
        <v>2024/6/12新機上架</v>
      </c>
      <c r="N1212" s="12" t="str">
        <f ca="1">IFERROR(__xludf.DUMMYFUNCTION("""COMPUTED_VALUE"""),"螢幕/液晶電視")</f>
        <v>螢幕/液晶電視</v>
      </c>
      <c r="O1212" s="12"/>
      <c r="P1212" s="12" t="str">
        <f ca="1">IFERROR(__xludf.DUMMYFUNCTION("""COMPUTED_VALUE"""),"50型")</f>
        <v>50型</v>
      </c>
      <c r="Q1212" s="12" t="str">
        <f ca="1">IFERROR(__xludf.DUMMYFUNCTION("""COMPUTED_VALUE"""),"含底座：1121x286x719mm
不含底座：1121x113x652mm")</f>
        <v>含底座：1121x286x719mm
不含底座：1121x113x652mm</v>
      </c>
      <c r="R1212" s="12" t="str">
        <f ca="1">IFERROR(__xludf.DUMMYFUNCTION("""COMPUTED_VALUE"""),"台灣")</f>
        <v>台灣</v>
      </c>
      <c r="S1212" s="12"/>
      <c r="T1212" s="12"/>
      <c r="U1212" s="12" t="str">
        <f ca="1">IFERROR(__xludf.DUMMYFUNCTION("""COMPUTED_VALUE"""),"3年")</f>
        <v>3年</v>
      </c>
      <c r="V1212" s="12"/>
      <c r="W1212" s="12"/>
      <c r="X1212" s="12"/>
      <c r="Y1212" s="12"/>
      <c r="Z1212" s="14"/>
      <c r="AA1212" s="15" t="str">
        <f ca="1">IFERROR(__xludf.DUMMYFUNCTION("""COMPUTED_VALUE"""),"*4K UHD Smart LED*微區控光影像技術*MEMC動態流暢*Dolby Vision杜比視界*魔幻立體聲音箱*新轟天雷音效技術*Dolby Atmos 杜比全景聲*Google TV 3.0 (Android 11)*AI智慧語音 (Google Assistant)*Google Play應用商城*Chromecast智慧傳屏*GameMode*HDMI 2.1、eARC、ALLM、VRR*雙頻Wifi(2.4G/5G)*無線藍芽(5.0)*台灣製")</f>
        <v>*4K UHD Smart LED*微區控光影像技術*MEMC動態流暢*Dolby Vision杜比視界*魔幻立體聲音箱*新轟天雷音效技術*Dolby Atmos 杜比全景聲*Google TV 3.0 (Android 11)*AI智慧語音 (Google Assistant)*Google Play應用商城*Chromecast智慧傳屏*GameMode*HDMI 2.1、eARC、ALLM、VRR*雙頻Wifi(2.4G/5G)*無線藍芽(5.0)*台灣製</v>
      </c>
    </row>
    <row r="1213" spans="1:27" ht="19.5" customHeight="1">
      <c r="A1213" s="12" t="str">
        <f ca="1">IFERROR(__xludf.DUMMYFUNCTION("""COMPUTED_VALUE"""),"HDTV")</f>
        <v>HDTV</v>
      </c>
      <c r="B1213" s="12" t="str">
        <f ca="1">IFERROR(__xludf.DUMMYFUNCTION("""COMPUTED_VALUE"""),"聲寶")</f>
        <v>聲寶</v>
      </c>
      <c r="C1213" s="12" t="str">
        <f ca="1">IFERROR(__xludf.DUMMYFUNCTION("""COMPUTED_VALUE"""),"聲寶")</f>
        <v>聲寶</v>
      </c>
      <c r="D1213" s="12" t="str">
        <f ca="1">IFERROR(__xludf.DUMMYFUNCTION("""COMPUTED_VALUE"""),"聲寶55型安卓聯網4K(轟天雷)立體音箱液晶顯示器EM-55JDT230(含視訊盒)")</f>
        <v>聲寶55型安卓聯網4K(轟天雷)立體音箱液晶顯示器EM-55JDT230(含視訊盒)</v>
      </c>
      <c r="E1213" s="12" t="str">
        <f ca="1">IFERROR(__xludf.DUMMYFUNCTION("""COMPUTED_VALUE"""),"EM-55JDT230")</f>
        <v>EM-55JDT230</v>
      </c>
      <c r="F1213" s="12">
        <f ca="1">IFERROR(__xludf.DUMMYFUNCTION("""COMPUTED_VALUE"""),51086311)</f>
        <v>51086311</v>
      </c>
      <c r="G1213" s="12" t="str">
        <f ca="1">IFERROR(__xludf.DUMMYFUNCTION("""COMPUTED_VALUE"""),"NCTV01OR")</f>
        <v>NCTV01OR</v>
      </c>
      <c r="H1213" s="12">
        <f ca="1">IFERROR(__xludf.DUMMYFUNCTION("""COMPUTED_VALUE"""),24900)</f>
        <v>24900</v>
      </c>
      <c r="I1213" s="14">
        <f ca="1">IFERROR(__xludf.DUMMYFUNCTION("""COMPUTED_VALUE"""),15500)</f>
        <v>15500</v>
      </c>
      <c r="J1213" s="12"/>
      <c r="K1213" s="12"/>
      <c r="L1213" s="12" t="str">
        <f ca="1">IFERROR(__xludf.DUMMYFUNCTION("""COMPUTED_VALUE"""),"上架中")</f>
        <v>上架中</v>
      </c>
      <c r="M1213" s="12" t="str">
        <f ca="1">IFERROR(__xludf.DUMMYFUNCTION("""COMPUTED_VALUE"""),"2024/6/12新機上架")</f>
        <v>2024/6/12新機上架</v>
      </c>
      <c r="N1213" s="12" t="str">
        <f ca="1">IFERROR(__xludf.DUMMYFUNCTION("""COMPUTED_VALUE"""),"螢幕/液晶電視")</f>
        <v>螢幕/液晶電視</v>
      </c>
      <c r="O1213" s="12"/>
      <c r="P1213" s="12" t="str">
        <f ca="1">IFERROR(__xludf.DUMMYFUNCTION("""COMPUTED_VALUE"""),"55型")</f>
        <v>55型</v>
      </c>
      <c r="Q1213" s="12" t="str">
        <f ca="1">IFERROR(__xludf.DUMMYFUNCTION("""COMPUTED_VALUE"""),"含底座：1235x291x784mm
不含底座：1235x113x714mm")</f>
        <v>含底座：1235x291x784mm
不含底座：1235x113x714mm</v>
      </c>
      <c r="R1213" s="12" t="str">
        <f ca="1">IFERROR(__xludf.DUMMYFUNCTION("""COMPUTED_VALUE"""),"台灣")</f>
        <v>台灣</v>
      </c>
      <c r="S1213" s="12"/>
      <c r="T1213" s="12"/>
      <c r="U1213" s="12" t="str">
        <f ca="1">IFERROR(__xludf.DUMMYFUNCTION("""COMPUTED_VALUE"""),"3年")</f>
        <v>3年</v>
      </c>
      <c r="V1213" s="12"/>
      <c r="W1213" s="12"/>
      <c r="X1213" s="12"/>
      <c r="Y1213" s="12"/>
      <c r="Z1213" s="14"/>
      <c r="AA1213" s="15" t="str">
        <f ca="1">IFERROR(__xludf.DUMMYFUNCTION("""COMPUTED_VALUE"""),"*4K UHD Smart LED*微區控光影像技術*MEMC動態流暢*Dolby Vision杜比視界*魔幻立體聲音箱*新轟天雷音效技術*Dolby Atmos 杜比全景聲*Google TV 3.0 (Android 11)*AI智慧語音 (Google Assistant)*Google Play應用商城*Chromecast智慧傳屏*GameMode*HDMI 2.1、eARC、ALLM、VRR*雙頻Wifi(2.4G/5G)*無線藍芽(5.0)*台灣製")</f>
        <v>*4K UHD Smart LED*微區控光影像技術*MEMC動態流暢*Dolby Vision杜比視界*魔幻立體聲音箱*新轟天雷音效技術*Dolby Atmos 杜比全景聲*Google TV 3.0 (Android 11)*AI智慧語音 (Google Assistant)*Google Play應用商城*Chromecast智慧傳屏*GameMode*HDMI 2.1、eARC、ALLM、VRR*雙頻Wifi(2.4G/5G)*無線藍芽(5.0)*台灣製</v>
      </c>
    </row>
    <row r="1214" spans="1:27" ht="19.5" customHeight="1">
      <c r="A1214" s="12" t="str">
        <f ca="1">IFERROR(__xludf.DUMMYFUNCTION("""COMPUTED_VALUE"""),"HDTV")</f>
        <v>HDTV</v>
      </c>
      <c r="B1214" s="12" t="str">
        <f ca="1">IFERROR(__xludf.DUMMYFUNCTION("""COMPUTED_VALUE"""),"聲寶")</f>
        <v>聲寶</v>
      </c>
      <c r="C1214" s="12" t="str">
        <f ca="1">IFERROR(__xludf.DUMMYFUNCTION("""COMPUTED_VALUE"""),"聲寶")</f>
        <v>聲寶</v>
      </c>
      <c r="D1214" s="12" t="str">
        <f ca="1">IFERROR(__xludf.DUMMYFUNCTION("""COMPUTED_VALUE"""),"聲寶65型安卓聯網4K(轟天雷)立體音箱液晶顯示器EM-65JDT230(含視訊盒)")</f>
        <v>聲寶65型安卓聯網4K(轟天雷)立體音箱液晶顯示器EM-65JDT230(含視訊盒)</v>
      </c>
      <c r="E1214" s="12" t="str">
        <f ca="1">IFERROR(__xludf.DUMMYFUNCTION("""COMPUTED_VALUE"""),"EM-65JDT230")</f>
        <v>EM-65JDT230</v>
      </c>
      <c r="F1214" s="12">
        <f ca="1">IFERROR(__xludf.DUMMYFUNCTION("""COMPUTED_VALUE"""),51086306)</f>
        <v>51086306</v>
      </c>
      <c r="G1214" s="12" t="str">
        <f ca="1">IFERROR(__xludf.DUMMYFUNCTION("""COMPUTED_VALUE"""),"NCTV01OG")</f>
        <v>NCTV01OG</v>
      </c>
      <c r="H1214" s="12">
        <f ca="1">IFERROR(__xludf.DUMMYFUNCTION("""COMPUTED_VALUE"""),24900)</f>
        <v>24900</v>
      </c>
      <c r="I1214" s="14">
        <f ca="1">IFERROR(__xludf.DUMMYFUNCTION("""COMPUTED_VALUE"""),21500)</f>
        <v>21500</v>
      </c>
      <c r="J1214" s="12"/>
      <c r="K1214" s="12"/>
      <c r="L1214" s="12" t="str">
        <f ca="1">IFERROR(__xludf.DUMMYFUNCTION("""COMPUTED_VALUE"""),"上架中")</f>
        <v>上架中</v>
      </c>
      <c r="M1214" s="12"/>
      <c r="N1214" s="12" t="str">
        <f ca="1">IFERROR(__xludf.DUMMYFUNCTION("""COMPUTED_VALUE"""),"螢幕/液晶電視")</f>
        <v>螢幕/液晶電視</v>
      </c>
      <c r="O1214" s="12"/>
      <c r="P1214" s="12" t="str">
        <f ca="1">IFERROR(__xludf.DUMMYFUNCTION("""COMPUTED_VALUE"""),"65型")</f>
        <v>65型</v>
      </c>
      <c r="Q1214" s="12" t="str">
        <f ca="1">IFERROR(__xludf.DUMMYFUNCTION("""COMPUTED_VALUE"""),"含底座：1447x905x331mm
不含底座：1446x831x85.1 mm")</f>
        <v>含底座：1447x905x331mm
不含底座：1446x831x85.1 mm</v>
      </c>
      <c r="R1214" s="12" t="str">
        <f ca="1">IFERROR(__xludf.DUMMYFUNCTION("""COMPUTED_VALUE"""),"台灣")</f>
        <v>台灣</v>
      </c>
      <c r="S1214" s="12"/>
      <c r="T1214" s="12"/>
      <c r="U1214" s="12" t="str">
        <f ca="1">IFERROR(__xludf.DUMMYFUNCTION("""COMPUTED_VALUE"""),"3年")</f>
        <v>3年</v>
      </c>
      <c r="V1214" s="12"/>
      <c r="W1214" s="12"/>
      <c r="X1214" s="12"/>
      <c r="Y1214" s="12"/>
      <c r="Z1214" s="14"/>
      <c r="AA1214" s="15" t="str">
        <f ca="1">IFERROR(__xludf.DUMMYFUNCTION("""COMPUTED_VALUE"""),"*微區域控光影像技術*MEMC動態流暢*新轟天雷音效杜比全景聲*MEMC動態流暢*炫彩先驅影像技術*3D立體聲音箱*雙頻Wifi(2.4G、5G)")</f>
        <v>*微區域控光影像技術*MEMC動態流暢*新轟天雷音效杜比全景聲*MEMC動態流暢*炫彩先驅影像技術*3D立體聲音箱*雙頻Wifi(2.4G、5G)</v>
      </c>
    </row>
    <row r="1215" spans="1:27" ht="19.5" customHeight="1">
      <c r="A1215" s="12" t="str">
        <f ca="1">IFERROR(__xludf.DUMMYFUNCTION("""COMPUTED_VALUE"""),"HDTV")</f>
        <v>HDTV</v>
      </c>
      <c r="B1215" s="12" t="str">
        <f ca="1">IFERROR(__xludf.DUMMYFUNCTION("""COMPUTED_VALUE"""),"聲寶")</f>
        <v>聲寶</v>
      </c>
      <c r="C1215" s="12" t="str">
        <f ca="1">IFERROR(__xludf.DUMMYFUNCTION("""COMPUTED_VALUE"""),"聲寶")</f>
        <v>聲寶</v>
      </c>
      <c r="D1215" s="12" t="str">
        <f ca="1">IFERROR(__xludf.DUMMYFUNCTION("""COMPUTED_VALUE"""),"聲寶75型安卓聯網4K(轟天雷)立體音箱液晶顯示器EM-75JD230(含視訊盒)")</f>
        <v>聲寶75型安卓聯網4K(轟天雷)立體音箱液晶顯示器EM-75JD230(含視訊盒)</v>
      </c>
      <c r="E1215" s="12" t="str">
        <f ca="1">IFERROR(__xludf.DUMMYFUNCTION("""COMPUTED_VALUE"""),"EM-75JD230
")</f>
        <v xml:space="preserve">EM-75JD230
</v>
      </c>
      <c r="F1215" s="12">
        <f ca="1">IFERROR(__xludf.DUMMYFUNCTION("""COMPUTED_VALUE"""),51001282)</f>
        <v>51001282</v>
      </c>
      <c r="G1215" s="12" t="str">
        <f ca="1">IFERROR(__xludf.DUMMYFUNCTION("""COMPUTED_VALUE"""),"NCTV01NZ")</f>
        <v>NCTV01NZ</v>
      </c>
      <c r="H1215" s="12">
        <f ca="1">IFERROR(__xludf.DUMMYFUNCTION("""COMPUTED_VALUE"""),39900)</f>
        <v>39900</v>
      </c>
      <c r="I1215" s="14">
        <f ca="1">IFERROR(__xludf.DUMMYFUNCTION("""COMPUTED_VALUE"""),25500)</f>
        <v>25500</v>
      </c>
      <c r="J1215" s="12"/>
      <c r="K1215" s="12"/>
      <c r="L1215" s="12" t="str">
        <f ca="1">IFERROR(__xludf.DUMMYFUNCTION("""COMPUTED_VALUE"""),"上架中")</f>
        <v>上架中</v>
      </c>
      <c r="M1215" s="12" t="str">
        <f ca="1">IFERROR(__xludf.DUMMYFUNCTION("""COMPUTED_VALUE"""),"2024/1/19新機上架")</f>
        <v>2024/1/19新機上架</v>
      </c>
      <c r="N1215" s="12" t="str">
        <f ca="1">IFERROR(__xludf.DUMMYFUNCTION("""COMPUTED_VALUE"""),"螢幕/液晶電視")</f>
        <v>螢幕/液晶電視</v>
      </c>
      <c r="O1215" s="12"/>
      <c r="P1215" s="12" t="str">
        <f ca="1">IFERROR(__xludf.DUMMYFUNCTION("""COMPUTED_VALUE"""),"75型")</f>
        <v>75型</v>
      </c>
      <c r="Q1215" s="12" t="str">
        <f ca="1">IFERROR(__xludf.DUMMYFUNCTION("""COMPUTED_VALUE"""),"含底座：1030.8x1688.14x371.3mm
不含底座：959.6x1668.14x88.3mm")</f>
        <v>含底座：1030.8x1688.14x371.3mm
不含底座：959.6x1668.14x88.3mm</v>
      </c>
      <c r="R1215" s="12" t="str">
        <f ca="1">IFERROR(__xludf.DUMMYFUNCTION("""COMPUTED_VALUE"""),"中國")</f>
        <v>中國</v>
      </c>
      <c r="S1215" s="12"/>
      <c r="T1215" s="12"/>
      <c r="U1215" s="12" t="str">
        <f ca="1">IFERROR(__xludf.DUMMYFUNCTION("""COMPUTED_VALUE"""),"3年")</f>
        <v>3年</v>
      </c>
      <c r="V1215" s="12"/>
      <c r="W1215" s="12"/>
      <c r="X1215" s="12"/>
      <c r="Y1215" s="12"/>
      <c r="Z1215" s="14"/>
      <c r="AA1215" s="15" t="str">
        <f ca="1">IFERROR(__xludf.DUMMYFUNCTION("""COMPUTED_VALUE"""),"*4K UHD Smart LED*微區控光影像技術*MEMC 動態流暢*Dolby Vision 杜比視界*3D 立體聲音箱*新轟天雷音效技術*Dolby Atmos 杜比全景聲*Google TV 3.0 (Android 11)*AI 智慧語音 (Google Assistant)*Google Play 應用商城*Chromecast 智慧傳屏*GameMode*HDMI 2.1、eARC、ALLM、VRR*雙頻 Wifi(2.4G/5G)*無線藍芽(5.0)*會議模式 / 數位看板模式")</f>
        <v>*4K UHD Smart LED*微區控光影像技術*MEMC 動態流暢*Dolby Vision 杜比視界*3D 立體聲音箱*新轟天雷音效技術*Dolby Atmos 杜比全景聲*Google TV 3.0 (Android 11)*AI 智慧語音 (Google Assistant)*Google Play 應用商城*Chromecast 智慧傳屏*GameMode*HDMI 2.1、eARC、ALLM、VRR*雙頻 Wifi(2.4G/5G)*無線藍芽(5.0)*會議模式 / 數位看板模式</v>
      </c>
    </row>
    <row r="1216" spans="1:27" ht="19.5" customHeight="1">
      <c r="A1216" s="12" t="str">
        <f ca="1">IFERROR(__xludf.DUMMYFUNCTION("""COMPUTED_VALUE"""),"HDTV")</f>
        <v>HDTV</v>
      </c>
      <c r="B1216" s="12" t="str">
        <f ca="1">IFERROR(__xludf.DUMMYFUNCTION("""COMPUTED_VALUE"""),"聲寶")</f>
        <v>聲寶</v>
      </c>
      <c r="C1216" s="12" t="str">
        <f ca="1">IFERROR(__xludf.DUMMYFUNCTION("""COMPUTED_VALUE"""),"聲寶")</f>
        <v>聲寶</v>
      </c>
      <c r="D1216" s="12" t="str">
        <f ca="1">IFERROR(__xludf.DUMMYFUNCTION("""COMPUTED_VALUE"""),"聲寶 43型Google TV 4K液晶顯示器(無視訊盒)EM-43KD620")</f>
        <v>聲寶 43型Google TV 4K液晶顯示器(無視訊盒)EM-43KD620</v>
      </c>
      <c r="E1216" s="12" t="str">
        <f ca="1">IFERROR(__xludf.DUMMYFUNCTION("""COMPUTED_VALUE"""),"EM-43KD620")</f>
        <v>EM-43KD620</v>
      </c>
      <c r="F1216" s="12">
        <f ca="1">IFERROR(__xludf.DUMMYFUNCTION("""COMPUTED_VALUE"""),51086312)</f>
        <v>51086312</v>
      </c>
      <c r="G1216" s="12" t="str">
        <f ca="1">IFERROR(__xludf.DUMMYFUNCTION("""COMPUTED_VALUE"""),"NCTV01OS")</f>
        <v>NCTV01OS</v>
      </c>
      <c r="H1216" s="12">
        <f ca="1">IFERROR(__xludf.DUMMYFUNCTION("""COMPUTED_VALUE"""),16900)</f>
        <v>16900</v>
      </c>
      <c r="I1216" s="14">
        <f ca="1">IFERROR(__xludf.DUMMYFUNCTION("""COMPUTED_VALUE"""),8999)</f>
        <v>8999</v>
      </c>
      <c r="J1216" s="12"/>
      <c r="K1216" s="12"/>
      <c r="L1216" s="12" t="str">
        <f ca="1">IFERROR(__xludf.DUMMYFUNCTION("""COMPUTED_VALUE"""),"上架中")</f>
        <v>上架中</v>
      </c>
      <c r="M1216" s="12" t="str">
        <f ca="1">IFERROR(__xludf.DUMMYFUNCTION("""COMPUTED_VALUE"""),"2024/6/12新機上架")</f>
        <v>2024/6/12新機上架</v>
      </c>
      <c r="N1216" s="12" t="str">
        <f ca="1">IFERROR(__xludf.DUMMYFUNCTION("""COMPUTED_VALUE"""),"螢幕/液晶電視")</f>
        <v>螢幕/液晶電視</v>
      </c>
      <c r="O1216" s="12"/>
      <c r="P1216" s="12" t="str">
        <f ca="1">IFERROR(__xludf.DUMMYFUNCTION("""COMPUTED_VALUE"""),"43型")</f>
        <v>43型</v>
      </c>
      <c r="Q1216" s="12" t="str">
        <f ca="1">IFERROR(__xludf.DUMMYFUNCTION("""COMPUTED_VALUE"""),"含底座：952x209x604mm
不含底座：955x72x561 mm")</f>
        <v>含底座：952x209x604mm
不含底座：955x72x561 mm</v>
      </c>
      <c r="R1216" s="12" t="str">
        <f ca="1">IFERROR(__xludf.DUMMYFUNCTION("""COMPUTED_VALUE"""),"中國")</f>
        <v>中國</v>
      </c>
      <c r="S1216" s="12"/>
      <c r="T1216" s="12"/>
      <c r="U1216" s="12" t="str">
        <f ca="1">IFERROR(__xludf.DUMMYFUNCTION("""COMPUTED_VALUE"""),"3年")</f>
        <v>3年</v>
      </c>
      <c r="V1216" s="12"/>
      <c r="W1216" s="12"/>
      <c r="X1216" s="12"/>
      <c r="Y1216" s="12"/>
      <c r="Z1216" s="14"/>
      <c r="AA1216" s="15" t="str">
        <f ca="1">IFERROR(__xludf.DUMMYFUNCTION("""COMPUTED_VALUE"""),"*4K UHD Smart LED*睛艷六原色、HDR 10*ULTRA MD Driver炫彩先驅影像技術*Google TV 3.0 (Android 11)*GameMode*HDMI 2.1、eARC、ALLM*雙頻Wifi(2.4G/5G)*無線藍芽(5.0)")</f>
        <v>*4K UHD Smart LED*睛艷六原色、HDR 10*ULTRA MD Driver炫彩先驅影像技術*Google TV 3.0 (Android 11)*GameMode*HDMI 2.1、eARC、ALLM*雙頻Wifi(2.4G/5G)*無線藍芽(5.0)</v>
      </c>
    </row>
    <row r="1217" spans="1:27" ht="19.5" customHeight="1">
      <c r="A1217" s="12" t="str">
        <f ca="1">IFERROR(__xludf.DUMMYFUNCTION("""COMPUTED_VALUE"""),"HDTV")</f>
        <v>HDTV</v>
      </c>
      <c r="B1217" s="12" t="str">
        <f ca="1">IFERROR(__xludf.DUMMYFUNCTION("""COMPUTED_VALUE"""),"聲寶")</f>
        <v>聲寶</v>
      </c>
      <c r="C1217" s="12" t="str">
        <f ca="1">IFERROR(__xludf.DUMMYFUNCTION("""COMPUTED_VALUE"""),"聲寶")</f>
        <v>聲寶</v>
      </c>
      <c r="D1217" s="12" t="str">
        <f ca="1">IFERROR(__xludf.DUMMYFUNCTION("""COMPUTED_VALUE"""),"聲寶 50型Google TV 4K液晶顯示器(無視訊盒)EM-50KD620")</f>
        <v>聲寶 50型Google TV 4K液晶顯示器(無視訊盒)EM-50KD620</v>
      </c>
      <c r="E1217" s="12" t="str">
        <f ca="1">IFERROR(__xludf.DUMMYFUNCTION("""COMPUTED_VALUE"""),"EM-50KD620")</f>
        <v>EM-50KD620</v>
      </c>
      <c r="F1217" s="12">
        <f ca="1">IFERROR(__xludf.DUMMYFUNCTION("""COMPUTED_VALUE"""),51086313)</f>
        <v>51086313</v>
      </c>
      <c r="G1217" s="12" t="str">
        <f ca="1">IFERROR(__xludf.DUMMYFUNCTION("""COMPUTED_VALUE"""),"NCTV01OT")</f>
        <v>NCTV01OT</v>
      </c>
      <c r="H1217" s="12">
        <f ca="1">IFERROR(__xludf.DUMMYFUNCTION("""COMPUTED_VALUE"""),21900)</f>
        <v>21900</v>
      </c>
      <c r="I1217" s="14">
        <f ca="1">IFERROR(__xludf.DUMMYFUNCTION("""COMPUTED_VALUE"""),10500)</f>
        <v>10500</v>
      </c>
      <c r="J1217" s="12"/>
      <c r="K1217" s="12"/>
      <c r="L1217" s="12" t="str">
        <f ca="1">IFERROR(__xludf.DUMMYFUNCTION("""COMPUTED_VALUE"""),"上架中")</f>
        <v>上架中</v>
      </c>
      <c r="M1217" s="12" t="str">
        <f ca="1">IFERROR(__xludf.DUMMYFUNCTION("""COMPUTED_VALUE"""),"2024/6/12新機上架")</f>
        <v>2024/6/12新機上架</v>
      </c>
      <c r="N1217" s="12" t="str">
        <f ca="1">IFERROR(__xludf.DUMMYFUNCTION("""COMPUTED_VALUE"""),"螢幕/液晶電視")</f>
        <v>螢幕/液晶電視</v>
      </c>
      <c r="O1217" s="12"/>
      <c r="P1217" s="12" t="str">
        <f ca="1">IFERROR(__xludf.DUMMYFUNCTION("""COMPUTED_VALUE"""),"50型")</f>
        <v>50型</v>
      </c>
      <c r="Q1217" s="12" t="str">
        <f ca="1">IFERROR(__xludf.DUMMYFUNCTION("""COMPUTED_VALUE"""),"含底座：1112x237x698mm
不含底座：1112x75x641 mm")</f>
        <v>含底座：1112x237x698mm
不含底座：1112x75x641 mm</v>
      </c>
      <c r="R1217" s="12" t="str">
        <f ca="1">IFERROR(__xludf.DUMMYFUNCTION("""COMPUTED_VALUE"""),"中國")</f>
        <v>中國</v>
      </c>
      <c r="S1217" s="12"/>
      <c r="T1217" s="12"/>
      <c r="U1217" s="12" t="str">
        <f ca="1">IFERROR(__xludf.DUMMYFUNCTION("""COMPUTED_VALUE"""),"3年")</f>
        <v>3年</v>
      </c>
      <c r="V1217" s="12"/>
      <c r="W1217" s="12"/>
      <c r="X1217" s="12"/>
      <c r="Y1217" s="12"/>
      <c r="Z1217" s="14"/>
      <c r="AA1217" s="15" t="str">
        <f ca="1">IFERROR(__xludf.DUMMYFUNCTION("""COMPUTED_VALUE"""),"*4K UHD Smart LED*睛艷六原色、HDR 10*ULTRA MD Driver炫彩先驅影像技術*Google TV 3.0 (Android 11)*GameMode*HDMI 2.1、eARC、ALLM*雙頻Wifi(2.4G/5G)*無線藍芽(5.0)")</f>
        <v>*4K UHD Smart LED*睛艷六原色、HDR 10*ULTRA MD Driver炫彩先驅影像技術*Google TV 3.0 (Android 11)*GameMode*HDMI 2.1、eARC、ALLM*雙頻Wifi(2.4G/5G)*無線藍芽(5.0)</v>
      </c>
    </row>
    <row r="1218" spans="1:27" ht="19.5" customHeight="1">
      <c r="A1218" s="12" t="str">
        <f ca="1">IFERROR(__xludf.DUMMYFUNCTION("""COMPUTED_VALUE"""),"HDTV")</f>
        <v>HDTV</v>
      </c>
      <c r="B1218" s="12" t="str">
        <f ca="1">IFERROR(__xludf.DUMMYFUNCTION("""COMPUTED_VALUE"""),"聲寶")</f>
        <v>聲寶</v>
      </c>
      <c r="C1218" s="12" t="str">
        <f ca="1">IFERROR(__xludf.DUMMYFUNCTION("""COMPUTED_VALUE"""),"聲寶")</f>
        <v>聲寶</v>
      </c>
      <c r="D1218" s="12" t="str">
        <f ca="1">IFERROR(__xludf.DUMMYFUNCTION("""COMPUTED_VALUE"""),"聲寶 55型Google TV 4K液晶顯示器(無視訊盒)EM-55KD620")</f>
        <v>聲寶 55型Google TV 4K液晶顯示器(無視訊盒)EM-55KD620</v>
      </c>
      <c r="E1218" s="12" t="str">
        <f ca="1">IFERROR(__xludf.DUMMYFUNCTION("""COMPUTED_VALUE"""),"EM-55KD620")</f>
        <v>EM-55KD620</v>
      </c>
      <c r="F1218" s="12">
        <f ca="1">IFERROR(__xludf.DUMMYFUNCTION("""COMPUTED_VALUE"""),51086314)</f>
        <v>51086314</v>
      </c>
      <c r="G1218" s="12" t="str">
        <f ca="1">IFERROR(__xludf.DUMMYFUNCTION("""COMPUTED_VALUE"""),"NCTV01OU")</f>
        <v>NCTV01OU</v>
      </c>
      <c r="H1218" s="12">
        <f ca="1">IFERROR(__xludf.DUMMYFUNCTION("""COMPUTED_VALUE"""),24900)</f>
        <v>24900</v>
      </c>
      <c r="I1218" s="14">
        <f ca="1">IFERROR(__xludf.DUMMYFUNCTION("""COMPUTED_VALUE"""),12500)</f>
        <v>12500</v>
      </c>
      <c r="J1218" s="12"/>
      <c r="K1218" s="12"/>
      <c r="L1218" s="12" t="str">
        <f ca="1">IFERROR(__xludf.DUMMYFUNCTION("""COMPUTED_VALUE"""),"上架中")</f>
        <v>上架中</v>
      </c>
      <c r="M1218" s="12" t="str">
        <f ca="1">IFERROR(__xludf.DUMMYFUNCTION("""COMPUTED_VALUE"""),"2024/6/12新機上架")</f>
        <v>2024/6/12新機上架</v>
      </c>
      <c r="N1218" s="12" t="str">
        <f ca="1">IFERROR(__xludf.DUMMYFUNCTION("""COMPUTED_VALUE"""),"螢幕/液晶電視")</f>
        <v>螢幕/液晶電視</v>
      </c>
      <c r="O1218" s="12"/>
      <c r="P1218" s="12" t="str">
        <f ca="1">IFERROR(__xludf.DUMMYFUNCTION("""COMPUTED_VALUE"""),"55型")</f>
        <v>55型</v>
      </c>
      <c r="Q1218" s="12" t="str">
        <f ca="1">IFERROR(__xludf.DUMMYFUNCTION("""COMPUTED_VALUE"""),"含底座：1226x237x764mm
不含底座：1226x75x710 mm")</f>
        <v>含底座：1226x237x764mm
不含底座：1226x75x710 mm</v>
      </c>
      <c r="R1218" s="12" t="str">
        <f ca="1">IFERROR(__xludf.DUMMYFUNCTION("""COMPUTED_VALUE"""),"中國")</f>
        <v>中國</v>
      </c>
      <c r="S1218" s="12"/>
      <c r="T1218" s="12"/>
      <c r="U1218" s="12" t="str">
        <f ca="1">IFERROR(__xludf.DUMMYFUNCTION("""COMPUTED_VALUE"""),"3年")</f>
        <v>3年</v>
      </c>
      <c r="V1218" s="12"/>
      <c r="W1218" s="12"/>
      <c r="X1218" s="12"/>
      <c r="Y1218" s="12"/>
      <c r="Z1218" s="14"/>
      <c r="AA1218" s="15" t="str">
        <f ca="1">IFERROR(__xludf.DUMMYFUNCTION("""COMPUTED_VALUE"""),"*4K UHD Smart LED*睛艷六原色、HDR 10*ULTRA MD Driver炫彩先驅影像技術*Google TV 3.0 (Android 11)*GameMode*HDMI 2.1、eARC、ALLM*雙頻Wifi(2.4G/5G)*無線藍芽(5.0)")</f>
        <v>*4K UHD Smart LED*睛艷六原色、HDR 10*ULTRA MD Driver炫彩先驅影像技術*Google TV 3.0 (Android 11)*GameMode*HDMI 2.1、eARC、ALLM*雙頻Wifi(2.4G/5G)*無線藍芽(5.0)</v>
      </c>
    </row>
    <row r="1219" spans="1:27" ht="19.5" customHeight="1">
      <c r="A1219" s="12" t="str">
        <f ca="1">IFERROR(__xludf.DUMMYFUNCTION("""COMPUTED_VALUE"""),"HDTV")</f>
        <v>HDTV</v>
      </c>
      <c r="B1219" s="12" t="str">
        <f ca="1">IFERROR(__xludf.DUMMYFUNCTION("""COMPUTED_VALUE"""),"聲寶")</f>
        <v>聲寶</v>
      </c>
      <c r="C1219" s="12" t="str">
        <f ca="1">IFERROR(__xludf.DUMMYFUNCTION("""COMPUTED_VALUE"""),"聲寶")</f>
        <v>聲寶</v>
      </c>
      <c r="D1219" s="12" t="str">
        <f ca="1">IFERROR(__xludf.DUMMYFUNCTION("""COMPUTED_VALUE"""),"聲寶 65型Google TV 4K液晶顯示器(無視訊盒)EM-65KD620")</f>
        <v>聲寶 65型Google TV 4K液晶顯示器(無視訊盒)EM-65KD620</v>
      </c>
      <c r="E1219" s="12" t="str">
        <f ca="1">IFERROR(__xludf.DUMMYFUNCTION("""COMPUTED_VALUE"""),"EM-65KD620")</f>
        <v>EM-65KD620</v>
      </c>
      <c r="F1219" s="12">
        <f ca="1">IFERROR(__xludf.DUMMYFUNCTION("""COMPUTED_VALUE"""),51086315)</f>
        <v>51086315</v>
      </c>
      <c r="G1219" s="12" t="str">
        <f ca="1">IFERROR(__xludf.DUMMYFUNCTION("""COMPUTED_VALUE"""),"NCTV01OV")</f>
        <v>NCTV01OV</v>
      </c>
      <c r="H1219" s="12">
        <f ca="1">IFERROR(__xludf.DUMMYFUNCTION("""COMPUTED_VALUE"""),29900)</f>
        <v>29900</v>
      </c>
      <c r="I1219" s="14">
        <f ca="1">IFERROR(__xludf.DUMMYFUNCTION("""COMPUTED_VALUE"""),17500)</f>
        <v>17500</v>
      </c>
      <c r="J1219" s="12"/>
      <c r="K1219" s="12"/>
      <c r="L1219" s="12" t="str">
        <f ca="1">IFERROR(__xludf.DUMMYFUNCTION("""COMPUTED_VALUE"""),"上架中")</f>
        <v>上架中</v>
      </c>
      <c r="M1219" s="12" t="str">
        <f ca="1">IFERROR(__xludf.DUMMYFUNCTION("""COMPUTED_VALUE"""),"2024/6/12新機上架")</f>
        <v>2024/6/12新機上架</v>
      </c>
      <c r="N1219" s="12" t="str">
        <f ca="1">IFERROR(__xludf.DUMMYFUNCTION("""COMPUTED_VALUE"""),"螢幕/液晶電視")</f>
        <v>螢幕/液晶電視</v>
      </c>
      <c r="O1219" s="12"/>
      <c r="P1219" s="12" t="str">
        <f ca="1">IFERROR(__xludf.DUMMYFUNCTION("""COMPUTED_VALUE"""),"65型")</f>
        <v>65型</v>
      </c>
      <c r="Q1219" s="12" t="str">
        <f ca="1">IFERROR(__xludf.DUMMYFUNCTION("""COMPUTED_VALUE"""),"含底座：1446x269x884mm
不含底座：1446x70x884mm")</f>
        <v>含底座：1446x269x884mm
不含底座：1446x70x884mm</v>
      </c>
      <c r="R1219" s="12" t="str">
        <f ca="1">IFERROR(__xludf.DUMMYFUNCTION("""COMPUTED_VALUE"""),"中國")</f>
        <v>中國</v>
      </c>
      <c r="S1219" s="12"/>
      <c r="T1219" s="12"/>
      <c r="U1219" s="12" t="str">
        <f ca="1">IFERROR(__xludf.DUMMYFUNCTION("""COMPUTED_VALUE"""),"3年")</f>
        <v>3年</v>
      </c>
      <c r="V1219" s="12"/>
      <c r="W1219" s="12"/>
      <c r="X1219" s="12"/>
      <c r="Y1219" s="12"/>
      <c r="Z1219" s="14"/>
      <c r="AA1219" s="15" t="str">
        <f ca="1">IFERROR(__xludf.DUMMYFUNCTION("""COMPUTED_VALUE"""),"*4K UHD Smart LED*睛艷六原色、HDR 10*ULTRA MD Driver炫彩先驅影像技術*Google TV 3.0 (Android 11)*GameMode*HDMI 2.1、eARC、ALLM*雙頻Wifi(2.4G/5G)*無線藍芽(5.0)")</f>
        <v>*4K UHD Smart LED*睛艷六原色、HDR 10*ULTRA MD Driver炫彩先驅影像技術*Google TV 3.0 (Android 11)*GameMode*HDMI 2.1、eARC、ALLM*雙頻Wifi(2.4G/5G)*無線藍芽(5.0)</v>
      </c>
    </row>
    <row r="1220" spans="1:27" ht="19.5" customHeight="1">
      <c r="A1220" s="12" t="str">
        <f ca="1">IFERROR(__xludf.DUMMYFUNCTION("""COMPUTED_VALUE"""),"HDTV")</f>
        <v>HDTV</v>
      </c>
      <c r="B1220" s="12" t="str">
        <f ca="1">IFERROR(__xludf.DUMMYFUNCTION("""COMPUTED_VALUE"""),"聲寶")</f>
        <v>聲寶</v>
      </c>
      <c r="C1220" s="12" t="str">
        <f ca="1">IFERROR(__xludf.DUMMYFUNCTION("""COMPUTED_VALUE"""),"聲寶")</f>
        <v>聲寶</v>
      </c>
      <c r="D1220" s="12" t="str">
        <f ca="1">IFERROR(__xludf.DUMMYFUNCTION("""COMPUTED_VALUE"""),"聲寶 75型Google TV 4K液晶顯示器(無視訊盒)EM-75KD620")</f>
        <v>聲寶 75型Google TV 4K液晶顯示器(無視訊盒)EM-75KD620</v>
      </c>
      <c r="E1220" s="12" t="str">
        <f ca="1">IFERROR(__xludf.DUMMYFUNCTION("""COMPUTED_VALUE"""),"EM-75KD620")</f>
        <v>EM-75KD620</v>
      </c>
      <c r="F1220" s="12">
        <f ca="1">IFERROR(__xludf.DUMMYFUNCTION("""COMPUTED_VALUE"""),51086316)</f>
        <v>51086316</v>
      </c>
      <c r="G1220" s="12" t="str">
        <f ca="1">IFERROR(__xludf.DUMMYFUNCTION("""COMPUTED_VALUE"""),"NCTV01OW")</f>
        <v>NCTV01OW</v>
      </c>
      <c r="H1220" s="12">
        <f ca="1">IFERROR(__xludf.DUMMYFUNCTION("""COMPUTED_VALUE"""),37900)</f>
        <v>37900</v>
      </c>
      <c r="I1220" s="14">
        <f ca="1">IFERROR(__xludf.DUMMYFUNCTION("""COMPUTED_VALUE"""),24500)</f>
        <v>24500</v>
      </c>
      <c r="J1220" s="12"/>
      <c r="K1220" s="12"/>
      <c r="L1220" s="12" t="str">
        <f ca="1">IFERROR(__xludf.DUMMYFUNCTION("""COMPUTED_VALUE"""),"上架中")</f>
        <v>上架中</v>
      </c>
      <c r="M1220" s="12" t="str">
        <f ca="1">IFERROR(__xludf.DUMMYFUNCTION("""COMPUTED_VALUE"""),"2024/6/12新機上架")</f>
        <v>2024/6/12新機上架</v>
      </c>
      <c r="N1220" s="12" t="str">
        <f ca="1">IFERROR(__xludf.DUMMYFUNCTION("""COMPUTED_VALUE"""),"螢幕/液晶電視")</f>
        <v>螢幕/液晶電視</v>
      </c>
      <c r="O1220" s="12"/>
      <c r="P1220" s="12" t="str">
        <f ca="1">IFERROR(__xludf.DUMMYFUNCTION("""COMPUTED_VALUE"""),"75型")</f>
        <v>75型</v>
      </c>
      <c r="Q1220" s="12" t="str">
        <f ca="1">IFERROR(__xludf.DUMMYFUNCTION("""COMPUTED_VALUE"""),"含底座：1669x333x1029mm
不含底座：1669x67x958mm")</f>
        <v>含底座：1669x333x1029mm
不含底座：1669x67x958mm</v>
      </c>
      <c r="R1220" s="12" t="str">
        <f ca="1">IFERROR(__xludf.DUMMYFUNCTION("""COMPUTED_VALUE"""),"中國")</f>
        <v>中國</v>
      </c>
      <c r="S1220" s="12"/>
      <c r="T1220" s="12"/>
      <c r="U1220" s="12" t="str">
        <f ca="1">IFERROR(__xludf.DUMMYFUNCTION("""COMPUTED_VALUE"""),"3年")</f>
        <v>3年</v>
      </c>
      <c r="V1220" s="12"/>
      <c r="W1220" s="12"/>
      <c r="X1220" s="12"/>
      <c r="Y1220" s="12"/>
      <c r="Z1220" s="14"/>
      <c r="AA1220" s="15" t="str">
        <f ca="1">IFERROR(__xludf.DUMMYFUNCTION("""COMPUTED_VALUE"""),"*4K UHD Smart LED*睛艷六原色、HDR 10*ULTRA MD Driver炫彩先驅影像技術*Google TV 3.0 (Android 11)*GameMode*HDMI 2.1、eARC、ALLM*雙頻Wifi(2.4G/5G)*無線藍芽(5.0)")</f>
        <v>*4K UHD Smart LED*睛艷六原色、HDR 10*ULTRA MD Driver炫彩先驅影像技術*Google TV 3.0 (Android 11)*GameMode*HDMI 2.1、eARC、ALLM*雙頻Wifi(2.4G/5G)*無線藍芽(5.0)</v>
      </c>
    </row>
    <row r="1221" spans="1:27" ht="19.5" customHeight="1">
      <c r="A1221" s="12" t="str">
        <f ca="1">IFERROR(__xludf.DUMMYFUNCTION("""COMPUTED_VALUE"""),"HDTV")</f>
        <v>HDTV</v>
      </c>
      <c r="B1221" s="12" t="str">
        <f ca="1">IFERROR(__xludf.DUMMYFUNCTION("""COMPUTED_VALUE"""),"聲寶")</f>
        <v>聲寶</v>
      </c>
      <c r="C1221" s="12" t="str">
        <f ca="1">IFERROR(__xludf.DUMMYFUNCTION("""COMPUTED_VALUE"""),"聲寶")</f>
        <v>聲寶</v>
      </c>
      <c r="D1221" s="12" t="str">
        <f ca="1">IFERROR(__xludf.DUMMYFUNCTION("""COMPUTED_VALUE"""),"聲寶轟天雷55型4K MINI QLED Google TV聯網液晶顯示器(無視訊盒)QM-55MI3200")</f>
        <v>聲寶轟天雷55型4K MINI QLED Google TV聯網液晶顯示器(無視訊盒)QM-55MI3200</v>
      </c>
      <c r="E1221" s="12" t="str">
        <f ca="1">IFERROR(__xludf.DUMMYFUNCTION("""COMPUTED_VALUE"""),"QM-55MI3200")</f>
        <v>QM-55MI3200</v>
      </c>
      <c r="F1221" s="12">
        <f ca="1">IFERROR(__xludf.DUMMYFUNCTION("""COMPUTED_VALUE"""),51001310)</f>
        <v>51001310</v>
      </c>
      <c r="G1221" s="12" t="str">
        <f ca="1">IFERROR(__xludf.DUMMYFUNCTION("""COMPUTED_VALUE"""),"NCTV01PH")</f>
        <v>NCTV01PH</v>
      </c>
      <c r="H1221" s="12">
        <f ca="1">IFERROR(__xludf.DUMMYFUNCTION("""COMPUTED_VALUE"""),36900)</f>
        <v>36900</v>
      </c>
      <c r="I1221" s="14">
        <f ca="1">IFERROR(__xludf.DUMMYFUNCTION("""COMPUTED_VALUE"""),20900)</f>
        <v>20900</v>
      </c>
      <c r="J1221" s="16">
        <f ca="1">IFERROR(__xludf.DUMMYFUNCTION("""COMPUTED_VALUE"""),45642)</f>
        <v>45642</v>
      </c>
      <c r="K1221" s="12" t="str">
        <f ca="1">IFERROR(__xludf.DUMMYFUNCTION("""COMPUTED_VALUE"""),"永久降價")</f>
        <v>永久降價</v>
      </c>
      <c r="L1221" s="12" t="str">
        <f ca="1">IFERROR(__xludf.DUMMYFUNCTION("""COMPUTED_VALUE"""),"上架中")</f>
        <v>上架中</v>
      </c>
      <c r="M1221" s="12"/>
      <c r="N1221" s="12" t="str">
        <f ca="1">IFERROR(__xludf.DUMMYFUNCTION("""COMPUTED_VALUE"""),"螢幕/液晶電視")</f>
        <v>螢幕/液晶電視</v>
      </c>
      <c r="O1221" s="12"/>
      <c r="P1221" s="12" t="str">
        <f ca="1">IFERROR(__xludf.DUMMYFUNCTION("""COMPUTED_VALUE"""),"55型")</f>
        <v>55型</v>
      </c>
      <c r="Q1221" s="12" t="str">
        <f ca="1">IFERROR(__xludf.DUMMYFUNCTION("""COMPUTED_VALUE"""),"(高*寬*深)
無腳座:713.7*1232.4*83.6mm
含腳座:783*1232.4*261.9mm")</f>
        <v>(高*寬*深)
無腳座:713.7*1232.4*83.6mm
含腳座:783*1232.4*261.9mm</v>
      </c>
      <c r="R1221" s="12" t="str">
        <f ca="1">IFERROR(__xludf.DUMMYFUNCTION("""COMPUTED_VALUE"""),"台灣")</f>
        <v>台灣</v>
      </c>
      <c r="S1221" s="12"/>
      <c r="T1221" s="12"/>
      <c r="U1221" s="12" t="str">
        <f ca="1">IFERROR(__xludf.DUMMYFUNCTION("""COMPUTED_VALUE"""),"3年")</f>
        <v>3年</v>
      </c>
      <c r="V1221" s="12"/>
      <c r="W1221" s="12"/>
      <c r="X1221" s="12"/>
      <c r="Y1221" s="12"/>
      <c r="Z1221" s="14"/>
      <c r="AA1221" s="15" t="str">
        <f ca="1">IFERROR(__xludf.DUMMYFUNCTION("""COMPUTED_VALUE"""),"*Mini QLED 量子點高色域 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2.1、eA"&amp;"RC、ALLM、VRR*雙頻Wifi(2.4G/5G)*無線藍芽(5.0)")</f>
        <v>*Mini QLED 量子點高色域 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2.1、eARC、ALLM、VRR*雙頻Wifi(2.4G/5G)*無線藍芽(5.0)</v>
      </c>
    </row>
    <row r="1222" spans="1:27" ht="19.5" customHeight="1">
      <c r="A1222" s="12" t="str">
        <f ca="1">IFERROR(__xludf.DUMMYFUNCTION("""COMPUTED_VALUE"""),"HDTV")</f>
        <v>HDTV</v>
      </c>
      <c r="B1222" s="12" t="str">
        <f ca="1">IFERROR(__xludf.DUMMYFUNCTION("""COMPUTED_VALUE"""),"聲寶")</f>
        <v>聲寶</v>
      </c>
      <c r="C1222" s="12" t="str">
        <f ca="1">IFERROR(__xludf.DUMMYFUNCTION("""COMPUTED_VALUE"""),"聲寶")</f>
        <v>聲寶</v>
      </c>
      <c r="D1222" s="12" t="str">
        <f ca="1">IFERROR(__xludf.DUMMYFUNCTION("""COMPUTED_VALUE"""),"聲寶轟天雷65型4K MINI QLED Google TV聯網液晶顯示器(無視訊盒)QM-65MI3200")</f>
        <v>聲寶轟天雷65型4K MINI QLED Google TV聯網液晶顯示器(無視訊盒)QM-65MI3200</v>
      </c>
      <c r="E1222" s="12" t="str">
        <f ca="1">IFERROR(__xludf.DUMMYFUNCTION("""COMPUTED_VALUE"""),"QM-65MI3200")</f>
        <v>QM-65MI3200</v>
      </c>
      <c r="F1222" s="12">
        <f ca="1">IFERROR(__xludf.DUMMYFUNCTION("""COMPUTED_VALUE"""),51001311)</f>
        <v>51001311</v>
      </c>
      <c r="G1222" s="12" t="str">
        <f ca="1">IFERROR(__xludf.DUMMYFUNCTION("""COMPUTED_VALUE"""),"NCTV01PI")</f>
        <v>NCTV01PI</v>
      </c>
      <c r="H1222" s="12">
        <f ca="1">IFERROR(__xludf.DUMMYFUNCTION("""COMPUTED_VALUE"""),39900)</f>
        <v>39900</v>
      </c>
      <c r="I1222" s="14">
        <f ca="1">IFERROR(__xludf.DUMMYFUNCTION("""COMPUTED_VALUE"""),24900)</f>
        <v>24900</v>
      </c>
      <c r="J1222" s="16">
        <f ca="1">IFERROR(__xludf.DUMMYFUNCTION("""COMPUTED_VALUE"""),45642)</f>
        <v>45642</v>
      </c>
      <c r="K1222" s="12" t="str">
        <f ca="1">IFERROR(__xludf.DUMMYFUNCTION("""COMPUTED_VALUE"""),"永久降價")</f>
        <v>永久降價</v>
      </c>
      <c r="L1222" s="12" t="str">
        <f ca="1">IFERROR(__xludf.DUMMYFUNCTION("""COMPUTED_VALUE"""),"上架中")</f>
        <v>上架中</v>
      </c>
      <c r="M1222" s="12"/>
      <c r="N1222" s="12" t="str">
        <f ca="1">IFERROR(__xludf.DUMMYFUNCTION("""COMPUTED_VALUE"""),"螢幕/液晶電視")</f>
        <v>螢幕/液晶電視</v>
      </c>
      <c r="O1222" s="12"/>
      <c r="P1222" s="12" t="str">
        <f ca="1">IFERROR(__xludf.DUMMYFUNCTION("""COMPUTED_VALUE"""),"65型")</f>
        <v>65型</v>
      </c>
      <c r="Q1222" s="12" t="str">
        <f ca="1">IFERROR(__xludf.DUMMYFUNCTION("""COMPUTED_VALUE"""),"(高*寬*深)
無腳座:835.7*1451.4*83.9mm
含腳座:910*1451.4*299.5mm")</f>
        <v>(高*寬*深)
無腳座:835.7*1451.4*83.9mm
含腳座:910*1451.4*299.5mm</v>
      </c>
      <c r="R1222" s="12" t="str">
        <f ca="1">IFERROR(__xludf.DUMMYFUNCTION("""COMPUTED_VALUE"""),"台灣")</f>
        <v>台灣</v>
      </c>
      <c r="S1222" s="12"/>
      <c r="T1222" s="12"/>
      <c r="U1222" s="12" t="str">
        <f ca="1">IFERROR(__xludf.DUMMYFUNCTION("""COMPUTED_VALUE"""),"3年")</f>
        <v>3年</v>
      </c>
      <c r="V1222" s="12"/>
      <c r="W1222" s="12"/>
      <c r="X1222" s="12"/>
      <c r="Y1222" s="12"/>
      <c r="Z1222" s="14"/>
      <c r="AA1222" s="15" t="str">
        <f ca="1">IFERROR(__xludf.DUMMYFUNCTION("""COMPUTED_VALUE"""),"*Mini QLED 量子點高色域 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2.1、eA"&amp;"RC、ALLM、VRR*雙頻Wifi(2.4G/5G)*無線藍芽(5.0)")</f>
        <v>*Mini QLED 量子點高色域 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2.1、eARC、ALLM、VRR*雙頻Wifi(2.4G/5G)*無線藍芽(5.0)</v>
      </c>
    </row>
    <row r="1223" spans="1:27" ht="19.5" customHeight="1">
      <c r="A1223" s="12" t="str">
        <f ca="1">IFERROR(__xludf.DUMMYFUNCTION("""COMPUTED_VALUE"""),"HDTV")</f>
        <v>HDTV</v>
      </c>
      <c r="B1223" s="12" t="str">
        <f ca="1">IFERROR(__xludf.DUMMYFUNCTION("""COMPUTED_VALUE"""),"聲寶")</f>
        <v>聲寶</v>
      </c>
      <c r="C1223" s="12" t="str">
        <f ca="1">IFERROR(__xludf.DUMMYFUNCTION("""COMPUTED_VALUE"""),"聲寶")</f>
        <v>聲寶</v>
      </c>
      <c r="D1223" s="12" t="str">
        <f ca="1">IFERROR(__xludf.DUMMYFUNCTION("""COMPUTED_VALUE"""),"聲寶轟天雷65型(2.1聲道)4K MINI QLED Google TV聯網液晶顯示器(無視訊盒)QM-65MIW6210")</f>
        <v>聲寶轟天雷65型(2.1聲道)4K MINI QLED Google TV聯網液晶顯示器(無視訊盒)QM-65MIW6210</v>
      </c>
      <c r="E1223" s="12" t="str">
        <f ca="1">IFERROR(__xludf.DUMMYFUNCTION("""COMPUTED_VALUE"""),"QM-65MIW6210")</f>
        <v>QM-65MIW6210</v>
      </c>
      <c r="F1223" s="12">
        <f ca="1">IFERROR(__xludf.DUMMYFUNCTION("""COMPUTED_VALUE"""),51001312)</f>
        <v>51001312</v>
      </c>
      <c r="G1223" s="12" t="str">
        <f ca="1">IFERROR(__xludf.DUMMYFUNCTION("""COMPUTED_VALUE"""),"NCTV01PJ")</f>
        <v>NCTV01PJ</v>
      </c>
      <c r="H1223" s="12">
        <f ca="1">IFERROR(__xludf.DUMMYFUNCTION("""COMPUTED_VALUE"""),59900)</f>
        <v>59900</v>
      </c>
      <c r="I1223" s="14">
        <f ca="1">IFERROR(__xludf.DUMMYFUNCTION("""COMPUTED_VALUE"""),31900)</f>
        <v>31900</v>
      </c>
      <c r="J1223" s="16">
        <f ca="1">IFERROR(__xludf.DUMMYFUNCTION("""COMPUTED_VALUE"""),45642)</f>
        <v>45642</v>
      </c>
      <c r="K1223" s="12" t="str">
        <f ca="1">IFERROR(__xludf.DUMMYFUNCTION("""COMPUTED_VALUE"""),"永久降價")</f>
        <v>永久降價</v>
      </c>
      <c r="L1223" s="12" t="str">
        <f ca="1">IFERROR(__xludf.DUMMYFUNCTION("""COMPUTED_VALUE"""),"上架中")</f>
        <v>上架中</v>
      </c>
      <c r="M1223" s="12"/>
      <c r="N1223" s="12" t="str">
        <f ca="1">IFERROR(__xludf.DUMMYFUNCTION("""COMPUTED_VALUE"""),"螢幕/液晶電視")</f>
        <v>螢幕/液晶電視</v>
      </c>
      <c r="O1223" s="12"/>
      <c r="P1223" s="12" t="str">
        <f ca="1">IFERROR(__xludf.DUMMYFUNCTION("""COMPUTED_VALUE"""),"65型")</f>
        <v>65型</v>
      </c>
      <c r="Q1223" s="12" t="str">
        <f ca="1">IFERROR(__xludf.DUMMYFUNCTION("""COMPUTED_VALUE"""),"(高*寬*深)
無腳座:838*1448*70mm
含腳座:885*1448*330mm")</f>
        <v>(高*寬*深)
無腳座:838*1448*70mm
含腳座:885*1448*330mm</v>
      </c>
      <c r="R1223" s="12" t="str">
        <f ca="1">IFERROR(__xludf.DUMMYFUNCTION("""COMPUTED_VALUE"""),"台灣")</f>
        <v>台灣</v>
      </c>
      <c r="S1223" s="12"/>
      <c r="T1223" s="12"/>
      <c r="U1223" s="12" t="str">
        <f ca="1">IFERROR(__xludf.DUMMYFUNCTION("""COMPUTED_VALUE"""),"3年")</f>
        <v>3年</v>
      </c>
      <c r="V1223" s="12"/>
      <c r="W1223" s="12"/>
      <c r="X1223" s="12"/>
      <c r="Y1223" s="12"/>
      <c r="Z1223" s="14"/>
      <c r="AA1223" s="15" t="str">
        <f ca="1">IFERROR(__xludf.DUMMYFUNCTION("""COMPUTED_VALUE"""),"*Mini QLED 量子點高色域色域標準 DCI-P3 達 97%以上*4K UHD Smart LED*144Hz刷新率*直下式分區控光影像技術*MEMC動態暢*Dolby Vision杜比視界*2.1聲道 50W (15W*2+20W低音)*新轟天雷音效技術*Dolby Atmos 杜比全景聲*Google TV 3.0 (Android 11)*AI智慧語音 (Google Assistant)*Google Play應用商城*Chromecast /iOS智慧傳屏*GameMode*HDMI 2"&amp;".1、eARC、ALLM、VRR*雙頻Wifi(2.4G/5G)*無線藍芽(5.0)")</f>
        <v>*Mini QLED 量子點高色域色域標準 DCI-P3 達 97%以上*4K UHD Smart LED*144Hz刷新率*直下式分區控光影像技術*MEMC動態暢*Dolby Vision杜比視界*2.1聲道 50W (15W*2+20W低音)*新轟天雷音效技術*Dolby Atmos 杜比全景聲*Google TV 3.0 (Android 11)*AI智慧語音 (Google Assistant)*Google Play應用商城*Chromecast /iOS智慧傳屏*GameMode*HDMI 2.1、eARC、ALLM、VRR*雙頻Wifi(2.4G/5G)*無線藍芽(5.0)</v>
      </c>
    </row>
    <row r="1224" spans="1:27" ht="19.5" customHeight="1">
      <c r="A1224" s="12" t="str">
        <f ca="1">IFERROR(__xludf.DUMMYFUNCTION("""COMPUTED_VALUE"""),"HDTV")</f>
        <v>HDTV</v>
      </c>
      <c r="B1224" s="12" t="str">
        <f ca="1">IFERROR(__xludf.DUMMYFUNCTION("""COMPUTED_VALUE"""),"聲寶")</f>
        <v>聲寶</v>
      </c>
      <c r="C1224" s="12" t="str">
        <f ca="1">IFERROR(__xludf.DUMMYFUNCTION("""COMPUTED_VALUE"""),"聲寶")</f>
        <v>聲寶</v>
      </c>
      <c r="D1224" s="12" t="str">
        <f ca="1">IFERROR(__xludf.DUMMYFUNCTION("""COMPUTED_VALUE"""),"聲寶轟天雷75型(2.1聲道)4K MINI QLED Google TV聯網液晶顯示器(無視訊盒)QM-75MIW6210")</f>
        <v>聲寶轟天雷75型(2.1聲道)4K MINI QLED Google TV聯網液晶顯示器(無視訊盒)QM-75MIW6210</v>
      </c>
      <c r="E1224" s="12" t="str">
        <f ca="1">IFERROR(__xludf.DUMMYFUNCTION("""COMPUTED_VALUE"""),"QM-75MIW6210")</f>
        <v>QM-75MIW6210</v>
      </c>
      <c r="F1224" s="12">
        <f ca="1">IFERROR(__xludf.DUMMYFUNCTION("""COMPUTED_VALUE"""),51001313)</f>
        <v>51001313</v>
      </c>
      <c r="G1224" s="12" t="str">
        <f ca="1">IFERROR(__xludf.DUMMYFUNCTION("""COMPUTED_VALUE"""),"NCTV01PK")</f>
        <v>NCTV01PK</v>
      </c>
      <c r="H1224" s="12">
        <f ca="1">IFERROR(__xludf.DUMMYFUNCTION("""COMPUTED_VALUE"""),76900)</f>
        <v>76900</v>
      </c>
      <c r="I1224" s="14">
        <f ca="1">IFERROR(__xludf.DUMMYFUNCTION("""COMPUTED_VALUE"""),43900)</f>
        <v>43900</v>
      </c>
      <c r="J1224" s="16">
        <f ca="1">IFERROR(__xludf.DUMMYFUNCTION("""COMPUTED_VALUE"""),45642)</f>
        <v>45642</v>
      </c>
      <c r="K1224" s="12" t="str">
        <f ca="1">IFERROR(__xludf.DUMMYFUNCTION("""COMPUTED_VALUE"""),"永久降價")</f>
        <v>永久降價</v>
      </c>
      <c r="L1224" s="12" t="str">
        <f ca="1">IFERROR(__xludf.DUMMYFUNCTION("""COMPUTED_VALUE"""),"上架中")</f>
        <v>上架中</v>
      </c>
      <c r="M1224" s="12"/>
      <c r="N1224" s="12" t="str">
        <f ca="1">IFERROR(__xludf.DUMMYFUNCTION("""COMPUTED_VALUE"""),"螢幕/液晶電視")</f>
        <v>螢幕/液晶電視</v>
      </c>
      <c r="O1224" s="12"/>
      <c r="P1224" s="12" t="str">
        <f ca="1">IFERROR(__xludf.DUMMYFUNCTION("""COMPUTED_VALUE"""),"75型")</f>
        <v>75型</v>
      </c>
      <c r="Q1224" s="12" t="str">
        <f ca="1">IFERROR(__xludf.DUMMYFUNCTION("""COMPUTED_VALUE"""),"(高*寬*深)
無腳座:964.5*1671.7*75.4mm
含腳座:1008.9*1671*330mm")</f>
        <v>(高*寬*深)
無腳座:964.5*1671.7*75.4mm
含腳座:1008.9*1671*330mm</v>
      </c>
      <c r="R1224" s="12" t="str">
        <f ca="1">IFERROR(__xludf.DUMMYFUNCTION("""COMPUTED_VALUE"""),"中國")</f>
        <v>中國</v>
      </c>
      <c r="S1224" s="12"/>
      <c r="T1224" s="12"/>
      <c r="U1224" s="12" t="str">
        <f ca="1">IFERROR(__xludf.DUMMYFUNCTION("""COMPUTED_VALUE"""),"3年")</f>
        <v>3年</v>
      </c>
      <c r="V1224" s="12"/>
      <c r="W1224" s="12"/>
      <c r="X1224" s="12"/>
      <c r="Y1224" s="12"/>
      <c r="Z1224" s="14"/>
      <c r="AA1224" s="15" t="str">
        <f ca="1">IFERROR(__xludf.DUMMYFUNCTION("""COMPUTED_VALUE"""),"*Mini QLED 量子點高色域色域標準 DCI-P3 達 97%以上*4K UHD Smart LED*144Hz刷新率*直下式分區控光影像技術*MEMC動態暢*Dolby Vision杜比視界*2.1聲道 50W (15W*2+20W低音)*新轟天雷音效技術*Dolby Atmos 杜比全景聲*Google TV 3.0 (Android 11)*AI智慧語音 (Google Assistant)*Google Play應用商城*Chromecast /iOS智慧傳屏*GameMode*HDMI 2"&amp;".1、eARC、ALLM、VRR*雙頻Wifi(2.4G/5G)*無線藍芽(5.0)")</f>
        <v>*Mini QLED 量子點高色域色域標準 DCI-P3 達 97%以上*4K UHD Smart LED*144Hz刷新率*直下式分區控光影像技術*MEMC動態暢*Dolby Vision杜比視界*2.1聲道 50W (15W*2+20W低音)*新轟天雷音效技術*Dolby Atmos 杜比全景聲*Google TV 3.0 (Android 11)*AI智慧語音 (Google Assistant)*Google Play應用商城*Chromecast /iOS智慧傳屏*GameMode*HDMI 2.1、eARC、ALLM、VRR*雙頻Wifi(2.4G/5G)*無線藍芽(5.0)</v>
      </c>
    </row>
    <row r="1225" spans="1:27" ht="19.5" customHeight="1">
      <c r="A1225" s="12" t="str">
        <f ca="1">IFERROR(__xludf.DUMMYFUNCTION("""COMPUTED_VALUE"""),"HDTV")</f>
        <v>HDTV</v>
      </c>
      <c r="B1225" s="12" t="str">
        <f ca="1">IFERROR(__xludf.DUMMYFUNCTION("""COMPUTED_VALUE"""),"聲寶")</f>
        <v>聲寶</v>
      </c>
      <c r="C1225" s="12" t="str">
        <f ca="1">IFERROR(__xludf.DUMMYFUNCTION("""COMPUTED_VALUE"""),"聲寶")</f>
        <v>聲寶</v>
      </c>
      <c r="D1225" s="12" t="str">
        <f ca="1">IFERROR(__xludf.DUMMYFUNCTION("""COMPUTED_VALUE"""),"聲寶轟天雷85型(2.2雙聲霸)4K MINI QLED Google TV聯網液晶顯示器(無視訊盒)QM-85MI5200")</f>
        <v>聲寶轟天雷85型(2.2雙聲霸)4K MINI QLED Google TV聯網液晶顯示器(無視訊盒)QM-85MI5200</v>
      </c>
      <c r="E1225" s="12" t="str">
        <f ca="1">IFERROR(__xludf.DUMMYFUNCTION("""COMPUTED_VALUE"""),"QM-85MI5200")</f>
        <v>QM-85MI5200</v>
      </c>
      <c r="F1225" s="12">
        <f ca="1">IFERROR(__xludf.DUMMYFUNCTION("""COMPUTED_VALUE"""),51001314)</f>
        <v>51001314</v>
      </c>
      <c r="G1225" s="12" t="str">
        <f ca="1">IFERROR(__xludf.DUMMYFUNCTION("""COMPUTED_VALUE"""),"NCTV01PL")</f>
        <v>NCTV01PL</v>
      </c>
      <c r="H1225" s="12">
        <f ca="1">IFERROR(__xludf.DUMMYFUNCTION("""COMPUTED_VALUE"""),99000)</f>
        <v>99000</v>
      </c>
      <c r="I1225" s="14">
        <f ca="1">IFERROR(__xludf.DUMMYFUNCTION("""COMPUTED_VALUE"""),68900)</f>
        <v>68900</v>
      </c>
      <c r="J1225" s="16">
        <f ca="1">IFERROR(__xludf.DUMMYFUNCTION("""COMPUTED_VALUE"""),45642)</f>
        <v>45642</v>
      </c>
      <c r="K1225" s="12" t="str">
        <f ca="1">IFERROR(__xludf.DUMMYFUNCTION("""COMPUTED_VALUE"""),"永久降價")</f>
        <v>永久降價</v>
      </c>
      <c r="L1225" s="12" t="str">
        <f ca="1">IFERROR(__xludf.DUMMYFUNCTION("""COMPUTED_VALUE"""),"上架中")</f>
        <v>上架中</v>
      </c>
      <c r="M1225" s="12"/>
      <c r="N1225" s="12" t="str">
        <f ca="1">IFERROR(__xludf.DUMMYFUNCTION("""COMPUTED_VALUE"""),"螢幕/液晶電視")</f>
        <v>螢幕/液晶電視</v>
      </c>
      <c r="O1225" s="12"/>
      <c r="P1225" s="12" t="str">
        <f ca="1">IFERROR(__xludf.DUMMYFUNCTION("""COMPUTED_VALUE"""),"85型")</f>
        <v>85型</v>
      </c>
      <c r="Q1225" s="12" t="str">
        <f ca="1">IFERROR(__xludf.DUMMYFUNCTION("""COMPUTED_VALUE"""),"(高*寬*深)
無腳座:1097*1893.5*109.9mm
含腳座:1198*1893.5*478.8mm")</f>
        <v>(高*寬*深)
無腳座:1097*1893.5*109.9mm
含腳座:1198*1893.5*478.8mm</v>
      </c>
      <c r="R1225" s="12" t="str">
        <f ca="1">IFERROR(__xludf.DUMMYFUNCTION("""COMPUTED_VALUE"""),"中國")</f>
        <v>中國</v>
      </c>
      <c r="S1225" s="12"/>
      <c r="T1225" s="12"/>
      <c r="U1225" s="12" t="str">
        <f ca="1">IFERROR(__xludf.DUMMYFUNCTION("""COMPUTED_VALUE"""),"3年")</f>
        <v>3年</v>
      </c>
      <c r="V1225" s="12"/>
      <c r="W1225" s="12"/>
      <c r="X1225" s="12"/>
      <c r="Y1225" s="12"/>
      <c r="Z1225" s="14"/>
      <c r="AA1225" s="15" t="str">
        <f ca="1">IFERROR(__xludf.DUMMYFUNCTION("""COMPUTED_VALUE"""),"*Mini QLED 量子點高色域色域標準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2.1、eAR"&amp;"C、ALLM、VRR*雙頻Wifi(2.4G/5G)*無線藍芽(5.0)")</f>
        <v>*Mini QLED 量子點高色域色域標準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2.1、eARC、ALLM、VRR*雙頻Wifi(2.4G/5G)*無線藍芽(5.0)</v>
      </c>
    </row>
    <row r="1226" spans="1:27" ht="19.5" customHeight="1">
      <c r="A1226" s="12" t="str">
        <f ca="1">IFERROR(__xludf.DUMMYFUNCTION("""COMPUTED_VALUE"""),"HDTV")</f>
        <v>HDTV</v>
      </c>
      <c r="B1226" s="12" t="str">
        <f ca="1">IFERROR(__xludf.DUMMYFUNCTION("""COMPUTED_VALUE"""),"聲寶")</f>
        <v>聲寶</v>
      </c>
      <c r="C1226" s="12" t="str">
        <f ca="1">IFERROR(__xludf.DUMMYFUNCTION("""COMPUTED_VALUE"""),"聲寶")</f>
        <v>聲寶</v>
      </c>
      <c r="D1226" s="12" t="str">
        <f ca="1">IFERROR(__xludf.DUMMYFUNCTION("""COMPUTED_VALUE"""),"聲寶轟天雷98型(2.2雙聲霸)4K MINI QLED Google TV聯網液晶顯示器(無視訊盒)QM-98MI5200")</f>
        <v>聲寶轟天雷98型(2.2雙聲霸)4K MINI QLED Google TV聯網液晶顯示器(無視訊盒)QM-98MI5200</v>
      </c>
      <c r="E1226" s="12" t="str">
        <f ca="1">IFERROR(__xludf.DUMMYFUNCTION("""COMPUTED_VALUE"""),"QM-98MI5200")</f>
        <v>QM-98MI5200</v>
      </c>
      <c r="F1226" s="12">
        <f ca="1">IFERROR(__xludf.DUMMYFUNCTION("""COMPUTED_VALUE"""),51001315)</f>
        <v>51001315</v>
      </c>
      <c r="G1226" s="12" t="str">
        <f ca="1">IFERROR(__xludf.DUMMYFUNCTION("""COMPUTED_VALUE"""),"NCTV01PM")</f>
        <v>NCTV01PM</v>
      </c>
      <c r="H1226" s="12">
        <f ca="1">IFERROR(__xludf.DUMMYFUNCTION("""COMPUTED_VALUE"""),199000)</f>
        <v>199000</v>
      </c>
      <c r="I1226" s="14">
        <f ca="1">IFERROR(__xludf.DUMMYFUNCTION("""COMPUTED_VALUE"""),139000)</f>
        <v>139000</v>
      </c>
      <c r="J1226" s="16">
        <f ca="1">IFERROR(__xludf.DUMMYFUNCTION("""COMPUTED_VALUE"""),45642)</f>
        <v>45642</v>
      </c>
      <c r="K1226" s="12" t="str">
        <f ca="1">IFERROR(__xludf.DUMMYFUNCTION("""COMPUTED_VALUE"""),"永久降價")</f>
        <v>永久降價</v>
      </c>
      <c r="L1226" s="12" t="str">
        <f ca="1">IFERROR(__xludf.DUMMYFUNCTION("""COMPUTED_VALUE"""),"上架中")</f>
        <v>上架中</v>
      </c>
      <c r="M1226" s="12"/>
      <c r="N1226" s="12" t="str">
        <f ca="1">IFERROR(__xludf.DUMMYFUNCTION("""COMPUTED_VALUE"""),"螢幕/液晶電視")</f>
        <v>螢幕/液晶電視</v>
      </c>
      <c r="O1226" s="12"/>
      <c r="P1226" s="12" t="str">
        <f ca="1">IFERROR(__xludf.DUMMYFUNCTION("""COMPUTED_VALUE"""),"98型")</f>
        <v>98型</v>
      </c>
      <c r="Q1226" s="12" t="str">
        <f ca="1">IFERROR(__xludf.DUMMYFUNCTION("""COMPUTED_VALUE"""),"(高*寬*深)
無腳座:1257.4*2182*109.9mm
含腳座:1358.4*2182*478.8mm")</f>
        <v>(高*寬*深)
無腳座:1257.4*2182*109.9mm
含腳座:1358.4*2182*478.8mm</v>
      </c>
      <c r="R1226" s="12" t="str">
        <f ca="1">IFERROR(__xludf.DUMMYFUNCTION("""COMPUTED_VALUE"""),"中國")</f>
        <v>中國</v>
      </c>
      <c r="S1226" s="12"/>
      <c r="T1226" s="12"/>
      <c r="U1226" s="12" t="str">
        <f ca="1">IFERROR(__xludf.DUMMYFUNCTION("""COMPUTED_VALUE"""),"3年")</f>
        <v>3年</v>
      </c>
      <c r="V1226" s="12"/>
      <c r="W1226" s="12"/>
      <c r="X1226" s="12"/>
      <c r="Y1226" s="12"/>
      <c r="Z1226" s="14"/>
      <c r="AA1226" s="15" t="str">
        <f ca="1">IFERROR(__xludf.DUMMYFUNCTION("""COMPUTED_VALUE"""),"*Mini QLED 量子點高色域色域標準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2.1、eAR"&amp;"C、ALLM、VRR*雙頻Wifi(2.4G/5G)*無線藍芽(5.0)")</f>
        <v>*Mini QLED 量子點高色域色域標準 DCI-P3 達 95%以上*4K UHD Smart LED*144Hz刷新率*直下式分區控光影像技術*MEMC動態流暢*Dolby Vision杜比視界*立體聲音箱30W (15W*2)*新轟天雷音效技術*Dolby Atmos 杜比全景聲*Google TV 3.0 (Android 11)*AI智慧語音 (Google Assistant)*Google Play應用商城*Chromecast /iOS智慧傳屏*GameMode*HDMI 2.1、eARC、ALLM、VRR*雙頻Wifi(2.4G/5G)*無線藍芽(5.0)</v>
      </c>
    </row>
    <row r="1227" spans="1:27" ht="19.5" customHeight="1">
      <c r="A1227" s="12" t="str">
        <f ca="1">IFERROR(__xludf.DUMMYFUNCTION("""COMPUTED_VALUE"""),"HDTV")</f>
        <v>HDTV</v>
      </c>
      <c r="B1227" s="12" t="str">
        <f ca="1">IFERROR(__xludf.DUMMYFUNCTION("""COMPUTED_VALUE"""),"聲寶")</f>
        <v>聲寶</v>
      </c>
      <c r="C1227" s="12" t="str">
        <f ca="1">IFERROR(__xludf.DUMMYFUNCTION("""COMPUTED_VALUE"""),"聲寶")</f>
        <v>聲寶</v>
      </c>
      <c r="D1227" s="12" t="str">
        <f ca="1">IFERROR(__xludf.DUMMYFUNCTION("""COMPUTED_VALUE"""),"聲寶32型液晶顯示器(無視訊盒)EM-32FD630")</f>
        <v>聲寶32型液晶顯示器(無視訊盒)EM-32FD630</v>
      </c>
      <c r="E1227" s="12" t="str">
        <f ca="1">IFERROR(__xludf.DUMMYFUNCTION("""COMPUTED_VALUE"""),"EM-32FD630")</f>
        <v>EM-32FD630</v>
      </c>
      <c r="F1227" s="12">
        <f ca="1">IFERROR(__xludf.DUMMYFUNCTION("""COMPUTED_VALUE"""),51001326)</f>
        <v>51001326</v>
      </c>
      <c r="G1227" s="12" t="str">
        <f ca="1">IFERROR(__xludf.DUMMYFUNCTION("""COMPUTED_VALUE"""),"NCTV01TY")</f>
        <v>NCTV01TY</v>
      </c>
      <c r="H1227" s="12">
        <f ca="1">IFERROR(__xludf.DUMMYFUNCTION("""COMPUTED_VALUE"""),5490)</f>
        <v>5490</v>
      </c>
      <c r="I1227" s="14">
        <f ca="1">IFERROR(__xludf.DUMMYFUNCTION("""COMPUTED_VALUE"""),4990)</f>
        <v>4990</v>
      </c>
      <c r="J1227" s="16">
        <f ca="1">IFERROR(__xludf.DUMMYFUNCTION("""COMPUTED_VALUE"""),45632)</f>
        <v>45632</v>
      </c>
      <c r="K1227" s="12" t="str">
        <f ca="1">IFERROR(__xludf.DUMMYFUNCTION("""COMPUTED_VALUE"""),"新機上架")</f>
        <v>新機上架</v>
      </c>
      <c r="L1227" s="12" t="str">
        <f ca="1">IFERROR(__xludf.DUMMYFUNCTION("""COMPUTED_VALUE"""),"上架中")</f>
        <v>上架中</v>
      </c>
      <c r="M1227" s="12"/>
      <c r="N1227" s="12" t="str">
        <f ca="1">IFERROR(__xludf.DUMMYFUNCTION("""COMPUTED_VALUE"""),"螢幕/液晶電視")</f>
        <v>螢幕/液晶電視</v>
      </c>
      <c r="O1227" s="12"/>
      <c r="P1227" s="12" t="str">
        <f ca="1">IFERROR(__xludf.DUMMYFUNCTION("""COMPUTED_VALUE"""),"32型")</f>
        <v>32型</v>
      </c>
      <c r="Q1227" s="12" t="str">
        <f ca="1">IFERROR(__xludf.DUMMYFUNCTION("""COMPUTED_VALUE"""),"(高*寬*深)
無腳座:430*716*64mm
含腳座:474*716*171mm")</f>
        <v>(高*寬*深)
無腳座:430*716*64mm
含腳座:474*716*171mm</v>
      </c>
      <c r="R1227" s="12" t="str">
        <f ca="1">IFERROR(__xludf.DUMMYFUNCTION("""COMPUTED_VALUE"""),"中國")</f>
        <v>中國</v>
      </c>
      <c r="S1227" s="12"/>
      <c r="T1227" s="12"/>
      <c r="U1227" s="12" t="str">
        <f ca="1">IFERROR(__xludf.DUMMYFUNCTION("""COMPUTED_VALUE"""),"3年")</f>
        <v>3年</v>
      </c>
      <c r="V1227" s="12"/>
      <c r="W1227" s="12"/>
      <c r="X1227" s="12"/>
      <c r="Y1227" s="12"/>
      <c r="Z1227" s="14"/>
      <c r="AA1227" s="15" t="str">
        <f ca="1">IFERROR(__xludf.DUMMYFUNCTION("""COMPUTED_VALUE"""),"*32型 HD LED*Pro MD Driver炫彩先驅影像技術*Dolby Audio 杜比音效解碼*HDMI *3 / USB*2 / VGA*1 / RCA*1*光籤*1 / 耳機*1*110V 50Hz / 60Hz")</f>
        <v>*32型 HD LED*Pro MD Driver炫彩先驅影像技術*Dolby Audio 杜比音效解碼*HDMI *3 / USB*2 / VGA*1 / RCA*1*光籤*1 / 耳機*1*110V 50Hz / 60Hz</v>
      </c>
    </row>
    <row r="1228" spans="1:27" ht="19.5" customHeight="1">
      <c r="A1228" s="12" t="str">
        <f ca="1">IFERROR(__xludf.DUMMYFUNCTION("""COMPUTED_VALUE"""),"HDTV")</f>
        <v>HDTV</v>
      </c>
      <c r="B1228" s="12" t="str">
        <f ca="1">IFERROR(__xludf.DUMMYFUNCTION("""COMPUTED_VALUE"""),"聲寶")</f>
        <v>聲寶</v>
      </c>
      <c r="C1228" s="12" t="str">
        <f ca="1">IFERROR(__xludf.DUMMYFUNCTION("""COMPUTED_VALUE"""),"聲寶")</f>
        <v>聲寶</v>
      </c>
      <c r="D1228" s="12" t="str">
        <f ca="1">IFERROR(__xludf.DUMMYFUNCTION("""COMPUTED_VALUE"""),"聲寶43型液晶顯示器(無視訊盒)EM-43FD630")</f>
        <v>聲寶43型液晶顯示器(無視訊盒)EM-43FD630</v>
      </c>
      <c r="E1228" s="12" t="str">
        <f ca="1">IFERROR(__xludf.DUMMYFUNCTION("""COMPUTED_VALUE"""),"EM-43FD630")</f>
        <v>EM-43FD630</v>
      </c>
      <c r="F1228" s="12">
        <f ca="1">IFERROR(__xludf.DUMMYFUNCTION("""COMPUTED_VALUE"""),51001327)</f>
        <v>51001327</v>
      </c>
      <c r="G1228" s="12" t="str">
        <f ca="1">IFERROR(__xludf.DUMMYFUNCTION("""COMPUTED_VALUE"""),"NCTV01TZ")</f>
        <v>NCTV01TZ</v>
      </c>
      <c r="H1228" s="12">
        <f ca="1">IFERROR(__xludf.DUMMYFUNCTION("""COMPUTED_VALUE"""),8490)</f>
        <v>8490</v>
      </c>
      <c r="I1228" s="14">
        <f ca="1">IFERROR(__xludf.DUMMYFUNCTION("""COMPUTED_VALUE"""),7390)</f>
        <v>7390</v>
      </c>
      <c r="J1228" s="16">
        <f ca="1">IFERROR(__xludf.DUMMYFUNCTION("""COMPUTED_VALUE"""),45632)</f>
        <v>45632</v>
      </c>
      <c r="K1228" s="12" t="str">
        <f ca="1">IFERROR(__xludf.DUMMYFUNCTION("""COMPUTED_VALUE"""),"新機上架")</f>
        <v>新機上架</v>
      </c>
      <c r="L1228" s="12" t="str">
        <f ca="1">IFERROR(__xludf.DUMMYFUNCTION("""COMPUTED_VALUE"""),"上架中")</f>
        <v>上架中</v>
      </c>
      <c r="M1228" s="12"/>
      <c r="N1228" s="12" t="str">
        <f ca="1">IFERROR(__xludf.DUMMYFUNCTION("""COMPUTED_VALUE"""),"螢幕/液晶電視")</f>
        <v>螢幕/液晶電視</v>
      </c>
      <c r="O1228" s="12"/>
      <c r="P1228" s="12" t="str">
        <f ca="1">IFERROR(__xludf.DUMMYFUNCTION("""COMPUTED_VALUE"""),"43型")</f>
        <v>43型</v>
      </c>
      <c r="Q1228" s="12" t="str">
        <f ca="1">IFERROR(__xludf.DUMMYFUNCTION("""COMPUTED_VALUE"""),"(高*寬*深)
無腳座:561*957*72mm
含腳座:605*957*207mm")</f>
        <v>(高*寬*深)
無腳座:561*957*72mm
含腳座:605*957*207mm</v>
      </c>
      <c r="R1228" s="12" t="str">
        <f ca="1">IFERROR(__xludf.DUMMYFUNCTION("""COMPUTED_VALUE"""),"中國")</f>
        <v>中國</v>
      </c>
      <c r="S1228" s="12"/>
      <c r="T1228" s="12"/>
      <c r="U1228" s="12" t="str">
        <f ca="1">IFERROR(__xludf.DUMMYFUNCTION("""COMPUTED_VALUE"""),"3年")</f>
        <v>3年</v>
      </c>
      <c r="V1228" s="12"/>
      <c r="W1228" s="12"/>
      <c r="X1228" s="12"/>
      <c r="Y1228" s="12"/>
      <c r="Z1228" s="14"/>
      <c r="AA1228" s="15" t="str">
        <f ca="1">IFERROR(__xludf.DUMMYFUNCTION("""COMPUTED_VALUE"""),"*43型 HD LED*Pro MD Driver炫彩先驅影像技術*Dolby Audio 杜比音效解碼*HDMI *3 / USB*2 / VGA*1 / RCA*1*光籤*1 / 耳機*1*110V 50Hz / 60Hz")</f>
        <v>*43型 HD LED*Pro MD Driver炫彩先驅影像技術*Dolby Audio 杜比音效解碼*HDMI *3 / USB*2 / VGA*1 / RCA*1*光籤*1 / 耳機*1*110V 50Hz / 60Hz</v>
      </c>
    </row>
    <row r="1229" spans="1:27" ht="19.5" customHeight="1">
      <c r="A1229" s="12" t="str">
        <f ca="1">IFERROR(__xludf.DUMMYFUNCTION("""COMPUTED_VALUE"""),"HDTV")</f>
        <v>HDTV</v>
      </c>
      <c r="B1229" s="12" t="str">
        <f ca="1">IFERROR(__xludf.DUMMYFUNCTION("""COMPUTED_VALUE"""),"神腦")</f>
        <v>神腦</v>
      </c>
      <c r="C1229" s="12" t="str">
        <f ca="1">IFERROR(__xludf.DUMMYFUNCTION("""COMPUTED_VALUE"""),"SAMSUNG")</f>
        <v>SAMSUNG</v>
      </c>
      <c r="D1229" s="12" t="str">
        <f ca="1">IFERROR(__xludf.DUMMYFUNCTION("""COMPUTED_VALUE"""),"SAMSUNG 43型4K聯網液晶顯示器 UA43DU8000XXZW")</f>
        <v>SAMSUNG 43型4K聯網液晶顯示器 UA43DU8000XXZW</v>
      </c>
      <c r="E1229" s="12" t="str">
        <f ca="1">IFERROR(__xludf.DUMMYFUNCTION("""COMPUTED_VALUE"""),"UA43DU8000XXZW")</f>
        <v>UA43DU8000XXZW</v>
      </c>
      <c r="F1229" s="12">
        <f ca="1">IFERROR(__xludf.DUMMYFUNCTION("""COMPUTED_VALUE"""),51016460)</f>
        <v>51016460</v>
      </c>
      <c r="G1229" s="12" t="str">
        <f ca="1">IFERROR(__xludf.DUMMYFUNCTION("""COMPUTED_VALUE"""),"NCTV01Q2")</f>
        <v>NCTV01Q2</v>
      </c>
      <c r="H1229" s="13">
        <f ca="1">IFERROR(__xludf.DUMMYFUNCTION("""COMPUTED_VALUE"""),20900)</f>
        <v>20900</v>
      </c>
      <c r="I1229" s="18">
        <f ca="1">IFERROR(__xludf.DUMMYFUNCTION("""COMPUTED_VALUE"""),17800)</f>
        <v>17800</v>
      </c>
      <c r="J1229" s="16">
        <f ca="1">IFERROR(__xludf.DUMMYFUNCTION("""COMPUTED_VALUE"""),45609)</f>
        <v>45609</v>
      </c>
      <c r="K1229" s="12" t="str">
        <f ca="1">IFERROR(__xludf.DUMMYFUNCTION("""COMPUTED_VALUE"""),"永久降價")</f>
        <v>永久降價</v>
      </c>
      <c r="L1229" s="12" t="str">
        <f ca="1">IFERROR(__xludf.DUMMYFUNCTION("""COMPUTED_VALUE"""),"上架中")</f>
        <v>上架中</v>
      </c>
      <c r="M1229" s="12"/>
      <c r="N1229" s="12" t="str">
        <f ca="1">IFERROR(__xludf.DUMMYFUNCTION("""COMPUTED_VALUE"""),"螢幕/液晶電視")</f>
        <v>螢幕/液晶電視</v>
      </c>
      <c r="O1229" s="12"/>
      <c r="P1229" s="12" t="str">
        <f ca="1">IFERROR(__xludf.DUMMYFUNCTION("""COMPUTED_VALUE"""),"43型")</f>
        <v>43型</v>
      </c>
      <c r="Q1229" s="12" t="str">
        <f ca="1">IFERROR(__xludf.DUMMYFUNCTION("""COMPUTED_VALUE"""),"含底座：965.5 x 600.1 x 195.1 
不含底座：965.5 x 559.8 x 25.7 ")</f>
        <v xml:space="preserve">含底座：965.5 x 600.1 x 195.1 
不含底座：965.5 x 559.8 x 25.7 </v>
      </c>
      <c r="R1229" s="12" t="str">
        <f ca="1">IFERROR(__xludf.DUMMYFUNCTION("""COMPUTED_VALUE"""),"越南")</f>
        <v>越南</v>
      </c>
      <c r="S1229" s="12"/>
      <c r="T1229" s="12"/>
      <c r="U1229" s="12" t="str">
        <f ca="1">IFERROR(__xludf.DUMMYFUNCTION("""COMPUTED_VALUE"""),"2年")</f>
        <v>2年</v>
      </c>
      <c r="V1229" s="12"/>
      <c r="W1229" s="12"/>
      <c r="X1229" s="12"/>
      <c r="Y1229" s="12"/>
      <c r="Z1229" s="14"/>
      <c r="AA1229" s="15" t="str">
        <f ca="1">IFERROR(__xludf.DUMMYFUNCTION("""COMPUTED_VALUE"""),"*純晶透顯色技術: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智慧"&amp;"遙控器上加入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搭配"&amp;"全新頁籤設計, 娛樂更加快速直覺。")</f>
        <v>*純晶透顯色技術: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v>
      </c>
    </row>
    <row r="1230" spans="1:27" ht="19.5" customHeight="1">
      <c r="A1230" s="12" t="str">
        <f ca="1">IFERROR(__xludf.DUMMYFUNCTION("""COMPUTED_VALUE"""),"HDTV")</f>
        <v>HDTV</v>
      </c>
      <c r="B1230" s="12" t="str">
        <f ca="1">IFERROR(__xludf.DUMMYFUNCTION("""COMPUTED_VALUE"""),"神腦")</f>
        <v>神腦</v>
      </c>
      <c r="C1230" s="12" t="str">
        <f ca="1">IFERROR(__xludf.DUMMYFUNCTION("""COMPUTED_VALUE"""),"SAMSUNG")</f>
        <v>SAMSUNG</v>
      </c>
      <c r="D1230" s="12" t="str">
        <f ca="1">IFERROR(__xludf.DUMMYFUNCTION("""COMPUTED_VALUE"""),"SAMSUNG 50型4K聯網液晶顯示器 UA50DU8000XXZW")</f>
        <v>SAMSUNG 50型4K聯網液晶顯示器 UA50DU8000XXZW</v>
      </c>
      <c r="E1230" s="12" t="str">
        <f ca="1">IFERROR(__xludf.DUMMYFUNCTION("""COMPUTED_VALUE"""),"UA50DU8000XXZW")</f>
        <v>UA50DU8000XXZW</v>
      </c>
      <c r="F1230" s="12">
        <f ca="1">IFERROR(__xludf.DUMMYFUNCTION("""COMPUTED_VALUE"""),51016461)</f>
        <v>51016461</v>
      </c>
      <c r="G1230" s="12" t="str">
        <f ca="1">IFERROR(__xludf.DUMMYFUNCTION("""COMPUTED_VALUE"""),"NCTV01Q3")</f>
        <v>NCTV01Q3</v>
      </c>
      <c r="H1230" s="13">
        <f ca="1">IFERROR(__xludf.DUMMYFUNCTION("""COMPUTED_VALUE"""),22900)</f>
        <v>22900</v>
      </c>
      <c r="I1230" s="18">
        <f ca="1">IFERROR(__xludf.DUMMYFUNCTION("""COMPUTED_VALUE"""),18800)</f>
        <v>18800</v>
      </c>
      <c r="J1230" s="16">
        <f ca="1">IFERROR(__xludf.DUMMYFUNCTION("""COMPUTED_VALUE"""),45609)</f>
        <v>45609</v>
      </c>
      <c r="K1230" s="12" t="str">
        <f ca="1">IFERROR(__xludf.DUMMYFUNCTION("""COMPUTED_VALUE"""),"永久降價")</f>
        <v>永久降價</v>
      </c>
      <c r="L1230" s="12" t="str">
        <f ca="1">IFERROR(__xludf.DUMMYFUNCTION("""COMPUTED_VALUE"""),"上架中")</f>
        <v>上架中</v>
      </c>
      <c r="M1230" s="12"/>
      <c r="N1230" s="12" t="str">
        <f ca="1">IFERROR(__xludf.DUMMYFUNCTION("""COMPUTED_VALUE"""),"螢幕/液晶電視")</f>
        <v>螢幕/液晶電視</v>
      </c>
      <c r="O1230" s="12"/>
      <c r="P1230" s="12" t="str">
        <f ca="1">IFERROR(__xludf.DUMMYFUNCTION("""COMPUTED_VALUE"""),"50型")</f>
        <v>50型</v>
      </c>
      <c r="Q1230" s="12" t="str">
        <f ca="1">IFERROR(__xludf.DUMMYFUNCTION("""COMPUTED_VALUE"""),"含底座：1118.3 x 684.6 x 226.3
不含底座：1118.3 x 644.6 x 25.7")</f>
        <v>含底座：1118.3 x 684.6 x 226.3
不含底座：1118.3 x 644.6 x 25.7</v>
      </c>
      <c r="R1230" s="12" t="str">
        <f ca="1">IFERROR(__xludf.DUMMYFUNCTION("""COMPUTED_VALUE"""),"越南")</f>
        <v>越南</v>
      </c>
      <c r="S1230" s="12"/>
      <c r="T1230" s="12"/>
      <c r="U1230" s="12" t="str">
        <f ca="1">IFERROR(__xludf.DUMMYFUNCTION("""COMPUTED_VALUE"""),"2年")</f>
        <v>2年</v>
      </c>
      <c r="V1230" s="12"/>
      <c r="W1230" s="12"/>
      <c r="X1230" s="12"/>
      <c r="Y1230" s="12"/>
      <c r="Z1230" s="14"/>
      <c r="AA1230" s="15" t="str">
        <f ca="1">IFERROR(__xludf.DUMMYFUNCTION("""COMPUTED_VALUE"""),"*純晶透顯色技術: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智慧"&amp;"遙控器上加入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搭配"&amp;"全新頁籤設計, 娛樂更加快速直覺。")</f>
        <v>*純晶透顯色技術: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v>
      </c>
    </row>
    <row r="1231" spans="1:27" ht="19.5" customHeight="1">
      <c r="A1231" s="12" t="str">
        <f ca="1">IFERROR(__xludf.DUMMYFUNCTION("""COMPUTED_VALUE"""),"HDTV")</f>
        <v>HDTV</v>
      </c>
      <c r="B1231" s="12" t="str">
        <f ca="1">IFERROR(__xludf.DUMMYFUNCTION("""COMPUTED_VALUE"""),"神腦")</f>
        <v>神腦</v>
      </c>
      <c r="C1231" s="12" t="str">
        <f ca="1">IFERROR(__xludf.DUMMYFUNCTION("""COMPUTED_VALUE"""),"SAMSUNG")</f>
        <v>SAMSUNG</v>
      </c>
      <c r="D1231" s="12" t="str">
        <f ca="1">IFERROR(__xludf.DUMMYFUNCTION("""COMPUTED_VALUE"""),"SAMSUNG 55型4K聯網液晶顯示器 UA55DU8000XXZW")</f>
        <v>SAMSUNG 55型4K聯網液晶顯示器 UA55DU8000XXZW</v>
      </c>
      <c r="E1231" s="12" t="str">
        <f ca="1">IFERROR(__xludf.DUMMYFUNCTION("""COMPUTED_VALUE"""),"UA55DU8000XXZW")</f>
        <v>UA55DU8000XXZW</v>
      </c>
      <c r="F1231" s="12">
        <f ca="1">IFERROR(__xludf.DUMMYFUNCTION("""COMPUTED_VALUE"""),51016462)</f>
        <v>51016462</v>
      </c>
      <c r="G1231" s="12" t="str">
        <f ca="1">IFERROR(__xludf.DUMMYFUNCTION("""COMPUTED_VALUE"""),"NCTV01Q4")</f>
        <v>NCTV01Q4</v>
      </c>
      <c r="H1231" s="13">
        <f ca="1">IFERROR(__xludf.DUMMYFUNCTION("""COMPUTED_VALUE"""),25900)</f>
        <v>25900</v>
      </c>
      <c r="I1231" s="18">
        <f ca="1">IFERROR(__xludf.DUMMYFUNCTION("""COMPUTED_VALUE"""),22900)</f>
        <v>22900</v>
      </c>
      <c r="J1231" s="16">
        <f ca="1">IFERROR(__xludf.DUMMYFUNCTION("""COMPUTED_VALUE"""),45632)</f>
        <v>45632</v>
      </c>
      <c r="K1231" s="12" t="str">
        <f ca="1">IFERROR(__xludf.DUMMYFUNCTION("""COMPUTED_VALUE"""),"永久降價")</f>
        <v>永久降價</v>
      </c>
      <c r="L1231" s="12" t="str">
        <f ca="1">IFERROR(__xludf.DUMMYFUNCTION("""COMPUTED_VALUE"""),"上架中")</f>
        <v>上架中</v>
      </c>
      <c r="M1231" s="12" t="str">
        <f ca="1">IFERROR(__xludf.DUMMYFUNCTION("""COMPUTED_VALUE"""),"改推55DU7700")</f>
        <v>改推55DU7700</v>
      </c>
      <c r="N1231" s="12" t="str">
        <f ca="1">IFERROR(__xludf.DUMMYFUNCTION("""COMPUTED_VALUE"""),"螢幕/液晶電視")</f>
        <v>螢幕/液晶電視</v>
      </c>
      <c r="O1231" s="12"/>
      <c r="P1231" s="12" t="str">
        <f ca="1">IFERROR(__xludf.DUMMYFUNCTION("""COMPUTED_VALUE"""),"55型")</f>
        <v>55型</v>
      </c>
      <c r="Q1231" s="12" t="str">
        <f ca="1">IFERROR(__xludf.DUMMYFUNCTION("""COMPUTED_VALUE"""),"含底座：1232.1 x 748.8 x 226.3
不含底座：1232.1 x 708.8 x 25.7")</f>
        <v>含底座：1232.1 x 748.8 x 226.3
不含底座：1232.1 x 708.8 x 25.7</v>
      </c>
      <c r="R1231" s="12" t="str">
        <f ca="1">IFERROR(__xludf.DUMMYFUNCTION("""COMPUTED_VALUE"""),"越南")</f>
        <v>越南</v>
      </c>
      <c r="S1231" s="12"/>
      <c r="T1231" s="12"/>
      <c r="U1231" s="12" t="str">
        <f ca="1">IFERROR(__xludf.DUMMYFUNCTION("""COMPUTED_VALUE"""),"2年")</f>
        <v>2年</v>
      </c>
      <c r="V1231" s="12"/>
      <c r="W1231" s="12"/>
      <c r="X1231" s="12"/>
      <c r="Y1231" s="12"/>
      <c r="Z1231" s="14"/>
      <c r="AA1231" s="15" t="str">
        <f ca="1">IFERROR(__xludf.DUMMYFUNCTION("""COMPUTED_VALUE"""),"*純晶透顯色技術: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智慧"&amp;"遙控器上加入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搭配"&amp;"全新頁籤設計, 娛樂更加快速直覺。")</f>
        <v>*純晶透顯色技術: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v>
      </c>
    </row>
    <row r="1232" spans="1:27" ht="19.5" customHeight="1">
      <c r="A1232" s="12" t="str">
        <f ca="1">IFERROR(__xludf.DUMMYFUNCTION("""COMPUTED_VALUE"""),"HDTV")</f>
        <v>HDTV</v>
      </c>
      <c r="B1232" s="12" t="str">
        <f ca="1">IFERROR(__xludf.DUMMYFUNCTION("""COMPUTED_VALUE"""),"神腦")</f>
        <v>神腦</v>
      </c>
      <c r="C1232" s="12" t="str">
        <f ca="1">IFERROR(__xludf.DUMMYFUNCTION("""COMPUTED_VALUE"""),"SAMSUNG")</f>
        <v>SAMSUNG</v>
      </c>
      <c r="D1232" s="12" t="str">
        <f ca="1">IFERROR(__xludf.DUMMYFUNCTION("""COMPUTED_VALUE"""),"SAMSUNG 65型4K聯網液晶顯示器 UA65DU8000XXZW")</f>
        <v>SAMSUNG 65型4K聯網液晶顯示器 UA65DU8000XXZW</v>
      </c>
      <c r="E1232" s="12" t="str">
        <f ca="1">IFERROR(__xludf.DUMMYFUNCTION("""COMPUTED_VALUE"""),"UA65DU8000XXZW")</f>
        <v>UA65DU8000XXZW</v>
      </c>
      <c r="F1232" s="12">
        <f ca="1">IFERROR(__xludf.DUMMYFUNCTION("""COMPUTED_VALUE"""),51016463)</f>
        <v>51016463</v>
      </c>
      <c r="G1232" s="12" t="str">
        <f ca="1">IFERROR(__xludf.DUMMYFUNCTION("""COMPUTED_VALUE"""),"NCTV01Q5")</f>
        <v>NCTV01Q5</v>
      </c>
      <c r="H1232" s="13">
        <f ca="1">IFERROR(__xludf.DUMMYFUNCTION("""COMPUTED_VALUE"""),34900)</f>
        <v>34900</v>
      </c>
      <c r="I1232" s="18">
        <f ca="1">IFERROR(__xludf.DUMMYFUNCTION("""COMPUTED_VALUE"""),29900)</f>
        <v>29900</v>
      </c>
      <c r="J1232" s="16">
        <f ca="1">IFERROR(__xludf.DUMMYFUNCTION("""COMPUTED_VALUE"""),45632)</f>
        <v>45632</v>
      </c>
      <c r="K1232" s="12" t="str">
        <f ca="1">IFERROR(__xludf.DUMMYFUNCTION("""COMPUTED_VALUE"""),"永久降價")</f>
        <v>永久降價</v>
      </c>
      <c r="L1232" s="12" t="str">
        <f ca="1">IFERROR(__xludf.DUMMYFUNCTION("""COMPUTED_VALUE"""),"上架中")</f>
        <v>上架中</v>
      </c>
      <c r="M1232" s="12" t="str">
        <f ca="1">IFERROR(__xludf.DUMMYFUNCTION("""COMPUTED_VALUE"""),"改推65DU7700")</f>
        <v>改推65DU7700</v>
      </c>
      <c r="N1232" s="12" t="str">
        <f ca="1">IFERROR(__xludf.DUMMYFUNCTION("""COMPUTED_VALUE"""),"螢幕/液晶電視")</f>
        <v>螢幕/液晶電視</v>
      </c>
      <c r="O1232" s="12"/>
      <c r="P1232" s="12" t="str">
        <f ca="1">IFERROR(__xludf.DUMMYFUNCTION("""COMPUTED_VALUE"""),"65型")</f>
        <v>65型</v>
      </c>
      <c r="Q1232" s="12" t="str">
        <f ca="1">IFERROR(__xludf.DUMMYFUNCTION("""COMPUTED_VALUE"""),"含底座：1450.9 x 874.3 x 279.4 mm
不含底座：1450.9 x 831.9 x 25.7  mm")</f>
        <v>含底座：1450.9 x 874.3 x 279.4 mm
不含底座：1450.9 x 831.9 x 25.7  mm</v>
      </c>
      <c r="R1232" s="12" t="str">
        <f ca="1">IFERROR(__xludf.DUMMYFUNCTION("""COMPUTED_VALUE"""),"越南")</f>
        <v>越南</v>
      </c>
      <c r="S1232" s="12"/>
      <c r="T1232" s="12"/>
      <c r="U1232" s="12" t="str">
        <f ca="1">IFERROR(__xludf.DUMMYFUNCTION("""COMPUTED_VALUE"""),"2年")</f>
        <v>2年</v>
      </c>
      <c r="V1232" s="12"/>
      <c r="W1232" s="12"/>
      <c r="X1232" s="12"/>
      <c r="Y1232" s="12"/>
      <c r="Z1232" s="14"/>
      <c r="AA1232" s="15" t="str">
        <f ca="1">IFERROR(__xludf.DUMMYFUNCTION("""COMPUTED_VALUE"""),"*純晶透顯色技術: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智慧"&amp;"遙控器上加入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搭配"&amp;"全新頁籤設計, 娛樂更加快速直覺。")</f>
        <v>*純晶透顯色技術: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v>
      </c>
    </row>
    <row r="1233" spans="1:27" ht="19.5" customHeight="1">
      <c r="A1233" s="12" t="str">
        <f ca="1">IFERROR(__xludf.DUMMYFUNCTION("""COMPUTED_VALUE"""),"HDTV")</f>
        <v>HDTV</v>
      </c>
      <c r="B1233" s="12" t="str">
        <f ca="1">IFERROR(__xludf.DUMMYFUNCTION("""COMPUTED_VALUE"""),"神腦")</f>
        <v>神腦</v>
      </c>
      <c r="C1233" s="12" t="str">
        <f ca="1">IFERROR(__xludf.DUMMYFUNCTION("""COMPUTED_VALUE"""),"SAMSUNG")</f>
        <v>SAMSUNG</v>
      </c>
      <c r="D1233" s="12" t="str">
        <f ca="1">IFERROR(__xludf.DUMMYFUNCTION("""COMPUTED_VALUE"""),"SAMSUNG 75型4K聯網液晶顯示器 UA75DU8000XXZW")</f>
        <v>SAMSUNG 75型4K聯網液晶顯示器 UA75DU8000XXZW</v>
      </c>
      <c r="E1233" s="12" t="str">
        <f ca="1">IFERROR(__xludf.DUMMYFUNCTION("""COMPUTED_VALUE"""),"UA75DU8000XXZW")</f>
        <v>UA75DU8000XXZW</v>
      </c>
      <c r="F1233" s="12">
        <f ca="1">IFERROR(__xludf.DUMMYFUNCTION("""COMPUTED_VALUE"""),51016464)</f>
        <v>51016464</v>
      </c>
      <c r="G1233" s="12" t="str">
        <f ca="1">IFERROR(__xludf.DUMMYFUNCTION("""COMPUTED_VALUE"""),"NCTV01Q6")</f>
        <v>NCTV01Q6</v>
      </c>
      <c r="H1233" s="13">
        <f ca="1">IFERROR(__xludf.DUMMYFUNCTION("""COMPUTED_VALUE"""),59900)</f>
        <v>59900</v>
      </c>
      <c r="I1233" s="18">
        <f ca="1">IFERROR(__xludf.DUMMYFUNCTION("""COMPUTED_VALUE"""),53800)</f>
        <v>53800</v>
      </c>
      <c r="J1233" s="16">
        <f ca="1">IFERROR(__xludf.DUMMYFUNCTION("""COMPUTED_VALUE"""),45609)</f>
        <v>45609</v>
      </c>
      <c r="K1233" s="12" t="str">
        <f ca="1">IFERROR(__xludf.DUMMYFUNCTION("""COMPUTED_VALUE"""),"永久降價")</f>
        <v>永久降價</v>
      </c>
      <c r="L1233" s="12" t="str">
        <f ca="1">IFERROR(__xludf.DUMMYFUNCTION("""COMPUTED_VALUE"""),"上架中")</f>
        <v>上架中</v>
      </c>
      <c r="M1233" s="12"/>
      <c r="N1233" s="12" t="str">
        <f ca="1">IFERROR(__xludf.DUMMYFUNCTION("""COMPUTED_VALUE"""),"螢幕/液晶電視")</f>
        <v>螢幕/液晶電視</v>
      </c>
      <c r="O1233" s="12"/>
      <c r="P1233" s="12" t="str">
        <f ca="1">IFERROR(__xludf.DUMMYFUNCTION("""COMPUTED_VALUE"""),"75型")</f>
        <v>75型</v>
      </c>
      <c r="Q1233" s="12" t="str">
        <f ca="1">IFERROR(__xludf.DUMMYFUNCTION("""COMPUTED_VALUE"""),"含底座：1676.7 x 1003.4 x 331.9 mm
不含底座：1676.7 x 960.3 x 26.6 mm")</f>
        <v>含底座：1676.7 x 1003.4 x 331.9 mm
不含底座：1676.7 x 960.3 x 26.6 mm</v>
      </c>
      <c r="R1233" s="12" t="str">
        <f ca="1">IFERROR(__xludf.DUMMYFUNCTION("""COMPUTED_VALUE"""),"越南")</f>
        <v>越南</v>
      </c>
      <c r="S1233" s="12"/>
      <c r="T1233" s="12"/>
      <c r="U1233" s="12" t="str">
        <f ca="1">IFERROR(__xludf.DUMMYFUNCTION("""COMPUTED_VALUE"""),"2年")</f>
        <v>2年</v>
      </c>
      <c r="V1233" s="12"/>
      <c r="W1233" s="12"/>
      <c r="X1233" s="12"/>
      <c r="Y1233" s="12"/>
      <c r="Z1233" s="14"/>
      <c r="AA1233" s="15" t="str">
        <f ca="1">IFERROR(__xludf.DUMMYFUNCTION("""COMPUTED_VALUE"""),"*純晶透顯色技術: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智慧"&amp;"遙控器上加入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搭配"&amp;"全新頁籤設計, 娛樂更加快速直覺。")</f>
        <v>*純晶透顯色技術: 激發更純粹的綠色與紅色，使色彩在呈現上能更飽和，呈現如水晶般清澈的影像。*UHD 區域控光技術: 支援4K解析度且結合分區控制亮度，清晰勾勒畫面細節。*魔術音效Lite: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v>
      </c>
    </row>
    <row r="1234" spans="1:27" ht="19.5" customHeight="1">
      <c r="A1234" s="12" t="str">
        <f ca="1">IFERROR(__xludf.DUMMYFUNCTION("""COMPUTED_VALUE"""),"HDTV")</f>
        <v>HDTV</v>
      </c>
      <c r="B1234" s="12" t="str">
        <f ca="1">IFERROR(__xludf.DUMMYFUNCTION("""COMPUTED_VALUE"""),"神腦")</f>
        <v>神腦</v>
      </c>
      <c r="C1234" s="12" t="str">
        <f ca="1">IFERROR(__xludf.DUMMYFUNCTION("""COMPUTED_VALUE"""),"SAMSUNG")</f>
        <v>SAMSUNG</v>
      </c>
      <c r="D1234" s="12" t="str">
        <f ca="1">IFERROR(__xludf.DUMMYFUNCTION("""COMPUTED_VALUE"""),"SAMSUNG 55型4K聯網液晶顯示器 UA55DU7700XXZW")</f>
        <v>SAMSUNG 55型4K聯網液晶顯示器 UA55DU7700XXZW</v>
      </c>
      <c r="E1234" s="12" t="str">
        <f ca="1">IFERROR(__xludf.DUMMYFUNCTION("""COMPUTED_VALUE"""),"UA55DU7700XXZW")</f>
        <v>UA55DU7700XXZW</v>
      </c>
      <c r="F1234" s="12">
        <f ca="1">IFERROR(__xludf.DUMMYFUNCTION("""COMPUTED_VALUE"""),51016466)</f>
        <v>51016466</v>
      </c>
      <c r="G1234" s="12" t="str">
        <f ca="1">IFERROR(__xludf.DUMMYFUNCTION("""COMPUTED_VALUE"""),"NCTV01Q8")</f>
        <v>NCTV01Q8</v>
      </c>
      <c r="H1234" s="13">
        <f ca="1">IFERROR(__xludf.DUMMYFUNCTION("""COMPUTED_VALUE"""),24900)</f>
        <v>24900</v>
      </c>
      <c r="I1234" s="18">
        <f ca="1">IFERROR(__xludf.DUMMYFUNCTION("""COMPUTED_VALUE"""),18900)</f>
        <v>18900</v>
      </c>
      <c r="J1234" s="16">
        <f ca="1">IFERROR(__xludf.DUMMYFUNCTION("""COMPUTED_VALUE"""),45609)</f>
        <v>45609</v>
      </c>
      <c r="K1234" s="12" t="str">
        <f ca="1">IFERROR(__xludf.DUMMYFUNCTION("""COMPUTED_VALUE"""),"永久降價")</f>
        <v>永久降價</v>
      </c>
      <c r="L1234" s="12" t="str">
        <f ca="1">IFERROR(__xludf.DUMMYFUNCTION("""COMPUTED_VALUE"""),"上架中")</f>
        <v>上架中</v>
      </c>
      <c r="M1234" s="12"/>
      <c r="N1234" s="12" t="str">
        <f ca="1">IFERROR(__xludf.DUMMYFUNCTION("""COMPUTED_VALUE"""),"螢幕/液晶電視")</f>
        <v>螢幕/液晶電視</v>
      </c>
      <c r="O1234" s="12"/>
      <c r="P1234" s="12" t="str">
        <f ca="1">IFERROR(__xludf.DUMMYFUNCTION("""COMPUTED_VALUE"""),"55型")</f>
        <v>55型</v>
      </c>
      <c r="Q1234" s="12" t="str">
        <f ca="1">IFERROR(__xludf.DUMMYFUNCTION("""COMPUTED_VALUE"""),"含底座：1234.1 x 758.0 x 237
不含底座：1234.1 x 710.8 x 60.3")</f>
        <v>含底座：1234.1 x 758.0 x 237
不含底座：1234.1 x 710.8 x 60.3</v>
      </c>
      <c r="R1234" s="12" t="str">
        <f ca="1">IFERROR(__xludf.DUMMYFUNCTION("""COMPUTED_VALUE"""),"越南")</f>
        <v>越南</v>
      </c>
      <c r="S1234" s="12"/>
      <c r="T1234" s="12"/>
      <c r="U1234" s="12" t="str">
        <f ca="1">IFERROR(__xludf.DUMMYFUNCTION("""COMPUTED_VALUE"""),"2年")</f>
        <v>2年</v>
      </c>
      <c r="V1234" s="12"/>
      <c r="W1234" s="12"/>
      <c r="X1234" s="12"/>
      <c r="Y1234" s="12"/>
      <c r="Z1234" s="14"/>
      <c r="AA1234" s="15" t="str">
        <f ca="1">IFERROR(__xludf.DUMMYFUNCTION("""COMPUTED_VALUE"""),"*純粹原色技術: 豐富色彩表現，為消費者帶來更逼真的觀賞體驗。*UHD 區域控光技術: 支援4K解析度且結合分區控制亮度，清晰勾勒畫面細節。*魔術音效Lite: 透過立體聲模擬技術, 強化聲音的包覆性與更豐富的環繞臨場感*熱門串流平台快捷鍵: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三星獨"&amp;"家！搭配三星Q系列Soundbar,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f>
        <v>*純粹原色技術: 豐富色彩表現，為消費者帶來更逼真的觀賞體驗。*UHD 區域控光技術: 支援4K解析度且結合分區控制亮度，清晰勾勒畫面細節。*魔術音效Lite: 透過立體聲模擬技術, 強化聲音的包覆性與更豐富的環繞臨場感*熱門串流平台快捷鍵: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v>
      </c>
    </row>
    <row r="1235" spans="1:27" ht="19.5" customHeight="1">
      <c r="A1235" s="12" t="str">
        <f ca="1">IFERROR(__xludf.DUMMYFUNCTION("""COMPUTED_VALUE"""),"HDTV")</f>
        <v>HDTV</v>
      </c>
      <c r="B1235" s="12" t="str">
        <f ca="1">IFERROR(__xludf.DUMMYFUNCTION("""COMPUTED_VALUE"""),"神腦")</f>
        <v>神腦</v>
      </c>
      <c r="C1235" s="12" t="str">
        <f ca="1">IFERROR(__xludf.DUMMYFUNCTION("""COMPUTED_VALUE"""),"SAMSUNG")</f>
        <v>SAMSUNG</v>
      </c>
      <c r="D1235" s="12" t="str">
        <f ca="1">IFERROR(__xludf.DUMMYFUNCTION("""COMPUTED_VALUE"""),"SAMSUNG 65型4K聯網液晶顯示器 UA65DU7700XXZW")</f>
        <v>SAMSUNG 65型4K聯網液晶顯示器 UA65DU7700XXZW</v>
      </c>
      <c r="E1235" s="12" t="str">
        <f ca="1">IFERROR(__xludf.DUMMYFUNCTION("""COMPUTED_VALUE"""),"UA65DU7700XXZW")</f>
        <v>UA65DU7700XXZW</v>
      </c>
      <c r="F1235" s="12">
        <f ca="1">IFERROR(__xludf.DUMMYFUNCTION("""COMPUTED_VALUE"""),51016467)</f>
        <v>51016467</v>
      </c>
      <c r="G1235" s="12" t="str">
        <f ca="1">IFERROR(__xludf.DUMMYFUNCTION("""COMPUTED_VALUE"""),"NCTV01Q9")</f>
        <v>NCTV01Q9</v>
      </c>
      <c r="H1235" s="13">
        <f ca="1">IFERROR(__xludf.DUMMYFUNCTION("""COMPUTED_VALUE"""),33900)</f>
        <v>33900</v>
      </c>
      <c r="I1235" s="18">
        <f ca="1">IFERROR(__xludf.DUMMYFUNCTION("""COMPUTED_VALUE"""),27900)</f>
        <v>27900</v>
      </c>
      <c r="J1235" s="16">
        <f ca="1">IFERROR(__xludf.DUMMYFUNCTION("""COMPUTED_VALUE"""),45667)</f>
        <v>45667</v>
      </c>
      <c r="K1235" s="12" t="str">
        <f ca="1">IFERROR(__xludf.DUMMYFUNCTION("""COMPUTED_VALUE"""),"新機上架")</f>
        <v>新機上架</v>
      </c>
      <c r="L1235" s="12" t="str">
        <f ca="1">IFERROR(__xludf.DUMMYFUNCTION("""COMPUTED_VALUE"""),"上架中")</f>
        <v>上架中</v>
      </c>
      <c r="M1235" s="12"/>
      <c r="N1235" s="12" t="str">
        <f ca="1">IFERROR(__xludf.DUMMYFUNCTION("""COMPUTED_VALUE"""),"螢幕/液晶電視")</f>
        <v>螢幕/液晶電視</v>
      </c>
      <c r="O1235" s="12"/>
      <c r="P1235" s="12" t="str">
        <f ca="1">IFERROR(__xludf.DUMMYFUNCTION("""COMPUTED_VALUE"""),"65型")</f>
        <v>65型</v>
      </c>
      <c r="Q1235" s="12" t="str">
        <f ca="1">IFERROR(__xludf.DUMMYFUNCTION("""COMPUTED_VALUE"""),"含底座：1452.9 x 879.5 x 267.4
不含底座：1452.9 x 834.0 x 60.6")</f>
        <v>含底座：1452.9 x 879.5 x 267.4
不含底座：1452.9 x 834.0 x 60.6</v>
      </c>
      <c r="R1235" s="12" t="str">
        <f ca="1">IFERROR(__xludf.DUMMYFUNCTION("""COMPUTED_VALUE"""),"越南")</f>
        <v>越南</v>
      </c>
      <c r="S1235" s="12"/>
      <c r="T1235" s="12"/>
      <c r="U1235" s="12" t="str">
        <f ca="1">IFERROR(__xludf.DUMMYFUNCTION("""COMPUTED_VALUE"""),"2年")</f>
        <v>2年</v>
      </c>
      <c r="V1235" s="12"/>
      <c r="W1235" s="12"/>
      <c r="X1235" s="12"/>
      <c r="Y1235" s="12"/>
      <c r="Z1235" s="14"/>
      <c r="AA1235" s="15" t="str">
        <f ca="1">IFERROR(__xludf.DUMMYFUNCTION("""COMPUTED_VALUE"""),"*純粹原色技術: 豐富色彩表現，為消費者帶來更逼真的觀賞體驗。*UHD 區域控光技術: 支援4K解析度且結合分區控制亮度，清晰勾勒畫面細節。*魔術音效Lite: 透過立體聲模擬技術, 強化聲音的包覆性與更豐富的環繞臨場感*熱門串流平台快捷鍵: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三星獨"&amp;"家！搭配三星Q系列Soundbar,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f>
        <v>*純粹原色技術: 豐富色彩表現，為消費者帶來更逼真的觀賞體驗。*UHD 區域控光技術: 支援4K解析度且結合分區控制亮度，清晰勾勒畫面細節。*魔術音效Lite: 透過立體聲模擬技術, 強化聲音的包覆性與更豐富的環繞臨場感*熱門串流平台快捷鍵: 智慧遙控器上加入 Netflix、Disney+等熱門影音平台鍵，一秒啟動精彩追劇生活。*Air Slim 纖薄機身設計: 厚度為傳統顯示器一半, 完美融入居家擺飾。*支援Airplay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創新且環保的新方式。*全新Smart Hub 介面: 新版個人化介面, 搭配全新頁籤設計, 娛樂更加快速直覺。</v>
      </c>
    </row>
    <row r="1236" spans="1:27" ht="19.5" customHeight="1">
      <c r="A1236" s="12" t="str">
        <f ca="1">IFERROR(__xludf.DUMMYFUNCTION("""COMPUTED_VALUE"""),"HDTV")</f>
        <v>HDTV</v>
      </c>
      <c r="B1236" s="12" t="str">
        <f ca="1">IFERROR(__xludf.DUMMYFUNCTION("""COMPUTED_VALUE"""),"神腦")</f>
        <v>神腦</v>
      </c>
      <c r="C1236" s="12" t="str">
        <f ca="1">IFERROR(__xludf.DUMMYFUNCTION("""COMPUTED_VALUE"""),"SHARP")</f>
        <v>SHARP</v>
      </c>
      <c r="D1236" s="12" t="str">
        <f ca="1">IFERROR(__xludf.DUMMYFUNCTION("""COMPUTED_VALUE"""),"SHARP 32型安卓連網液晶顯示器(無視訊盒)2T-C32EG1X(senao)")</f>
        <v>SHARP 32型安卓連網液晶顯示器(無視訊盒)2T-C32EG1X(senao)</v>
      </c>
      <c r="E1236" s="12" t="str">
        <f ca="1">IFERROR(__xludf.DUMMYFUNCTION("""COMPUTED_VALUE"""),"2T-C32EG1X(senao)")</f>
        <v>2T-C32EG1X(senao)</v>
      </c>
      <c r="F1236" s="12">
        <f ca="1">IFERROR(__xludf.DUMMYFUNCTION("""COMPUTED_VALUE"""),51016351)</f>
        <v>51016351</v>
      </c>
      <c r="G1236" s="12" t="str">
        <f ca="1">IFERROR(__xludf.DUMMYFUNCTION("""COMPUTED_VALUE"""),"NCTV01M2")</f>
        <v>NCTV01M2</v>
      </c>
      <c r="H1236" s="13">
        <f ca="1">IFERROR(__xludf.DUMMYFUNCTION("""COMPUTED_VALUE"""),8900)</f>
        <v>8900</v>
      </c>
      <c r="I1236" s="14">
        <f ca="1">IFERROR(__xludf.DUMMYFUNCTION("""COMPUTED_VALUE"""),7800)</f>
        <v>7800</v>
      </c>
      <c r="J1236" s="12"/>
      <c r="K1236" s="12"/>
      <c r="L1236" s="12" t="str">
        <f ca="1">IFERROR(__xludf.DUMMYFUNCTION("""COMPUTED_VALUE"""),"上架中")</f>
        <v>上架中</v>
      </c>
      <c r="M1236" s="12" t="str">
        <f ca="1">IFERROR(__xludf.DUMMYFUNCTION("""COMPUTED_VALUE"""),"10/16更換代理商-神腦")</f>
        <v>10/16更換代理商-神腦</v>
      </c>
      <c r="N1236" s="12" t="str">
        <f ca="1">IFERROR(__xludf.DUMMYFUNCTION("""COMPUTED_VALUE"""),"螢幕/液晶電視")</f>
        <v>螢幕/液晶電視</v>
      </c>
      <c r="O1236" s="12"/>
      <c r="P1236" s="12" t="str">
        <f ca="1">IFERROR(__xludf.DUMMYFUNCTION("""COMPUTED_VALUE"""),"32型")</f>
        <v>32型</v>
      </c>
      <c r="Q1236" s="12" t="str">
        <f ca="1">IFERROR(__xludf.DUMMYFUNCTION("""COMPUTED_VALUE"""),"外型尺寸(不含腳架)(高)x(寬)x(深)  466 *732 * 75 (mm)
 外型尺寸(含腳架) 519 *732 * 195 (mm)")</f>
        <v>外型尺寸(不含腳架)(高)x(寬)x(深)  466 *732 * 75 (mm)
 外型尺寸(含腳架) 519 *732 * 195 (mm)</v>
      </c>
      <c r="R1236" s="12" t="str">
        <f ca="1">IFERROR(__xludf.DUMMYFUNCTION("""COMPUTED_VALUE"""),"馬來西亞")</f>
        <v>馬來西亞</v>
      </c>
      <c r="S1236" s="12"/>
      <c r="T1236" s="12"/>
      <c r="U1236" s="12" t="str">
        <f ca="1">IFERROR(__xludf.DUMMYFUNCTION("""COMPUTED_VALUE"""),"2年+1(官網登錄延長)")</f>
        <v>2年+1(官網登錄延長)</v>
      </c>
      <c r="V1236" s="12"/>
      <c r="W1236" s="12"/>
      <c r="X1236" s="12"/>
      <c r="Y1236" s="12"/>
      <c r="Z1236" s="14"/>
      <c r="AA1236" s="15" t="str">
        <f ca="1">IFERROR(__xludf.DUMMYFUNCTION("""COMPUTED_VALUE"""),"*解析度: HD (1366 * 768)/ 直下式LED*首台搭載 SHARP COCORO VISION Hotkey 一鍵進入心視界*全新影像處理晶片S2 Revelation Processor *大師音效調教 Dolby Audio 認證*新增 舒適模式，低減50%藍光*HDR 10 / HLG*Google TV*藍牙語音遙控器 Chromecast/ Youtube/ Nexflix*聲音出力: 15W (7.5W + 7.5W)*藍芽5.0 USB / WiFi *多媒體分享 (2組):影"&amp;"像、音樂、照片*HDMI: 3組*AV輸入端子 : 1組(Sharing)*Sharp 品質 7 大保證")</f>
        <v>*解析度: HD (1366 * 768)/ 直下式LED*首台搭載 SHARP COCORO VISION Hotkey 一鍵進入心視界*全新影像處理晶片S2 Revelation Processor *大師音效調教 Dolby Audio 認證*新增 舒適模式，低減50%藍光*HDR 10 / HLG*Google TV*藍牙語音遙控器 Chromecast/ Youtube/ Nexflix*聲音出力: 15W (7.5W + 7.5W)*藍芽5.0 USB / WiFi *多媒體分享 (2組):影像、音樂、照片*HDMI: 3組*AV輸入端子 : 1組(Sharing)*Sharp 品質 7 大保證</v>
      </c>
    </row>
    <row r="1237" spans="1:27" ht="19.5" customHeight="1">
      <c r="A1237" s="12" t="str">
        <f ca="1">IFERROR(__xludf.DUMMYFUNCTION("""COMPUTED_VALUE"""),"HDTV")</f>
        <v>HDTV</v>
      </c>
      <c r="B1237" s="12" t="str">
        <f ca="1">IFERROR(__xludf.DUMMYFUNCTION("""COMPUTED_VALUE"""),"神腦")</f>
        <v>神腦</v>
      </c>
      <c r="C1237" s="12" t="str">
        <f ca="1">IFERROR(__xludf.DUMMYFUNCTION("""COMPUTED_VALUE"""),"SHARP")</f>
        <v>SHARP</v>
      </c>
      <c r="D1237" s="12" t="str">
        <f ca="1">IFERROR(__xludf.DUMMYFUNCTION("""COMPUTED_VALUE"""),"SHARP 42型安卓連網液晶顯示器(無視訊盒)2T-C42EG1X(senao)")</f>
        <v>SHARP 42型安卓連網液晶顯示器(無視訊盒)2T-C42EG1X(senao)</v>
      </c>
      <c r="E1237" s="12" t="str">
        <f ca="1">IFERROR(__xludf.DUMMYFUNCTION("""COMPUTED_VALUE"""),"2T-C42EG1X(senao)")</f>
        <v>2T-C42EG1X(senao)</v>
      </c>
      <c r="F1237" s="12">
        <f ca="1">IFERROR(__xludf.DUMMYFUNCTION("""COMPUTED_VALUE"""),51016352)</f>
        <v>51016352</v>
      </c>
      <c r="G1237" s="12" t="str">
        <f ca="1">IFERROR(__xludf.DUMMYFUNCTION("""COMPUTED_VALUE"""),"NCTV01M3")</f>
        <v>NCTV01M3</v>
      </c>
      <c r="H1237" s="13">
        <f ca="1">IFERROR(__xludf.DUMMYFUNCTION("""COMPUTED_VALUE"""),10900)</f>
        <v>10900</v>
      </c>
      <c r="I1237" s="14">
        <f ca="1">IFERROR(__xludf.DUMMYFUNCTION("""COMPUTED_VALUE"""),9800)</f>
        <v>9800</v>
      </c>
      <c r="J1237" s="12"/>
      <c r="K1237" s="12"/>
      <c r="L1237" s="12" t="str">
        <f ca="1">IFERROR(__xludf.DUMMYFUNCTION("""COMPUTED_VALUE"""),"上架中")</f>
        <v>上架中</v>
      </c>
      <c r="M1237" s="12" t="str">
        <f ca="1">IFERROR(__xludf.DUMMYFUNCTION("""COMPUTED_VALUE"""),"10/16更換代理商-神腦")</f>
        <v>10/16更換代理商-神腦</v>
      </c>
      <c r="N1237" s="12" t="str">
        <f ca="1">IFERROR(__xludf.DUMMYFUNCTION("""COMPUTED_VALUE"""),"螢幕/液晶電視")</f>
        <v>螢幕/液晶電視</v>
      </c>
      <c r="O1237" s="12"/>
      <c r="P1237" s="12" t="str">
        <f ca="1">IFERROR(__xludf.DUMMYFUNCTION("""COMPUTED_VALUE"""),"42型")</f>
        <v>42型</v>
      </c>
      <c r="Q1237" s="12" t="str">
        <f ca="1">IFERROR(__xludf.DUMMYFUNCTION("""COMPUTED_VALUE"""),"外型尺寸(不含腳架)(高)x(寬)x(深) 569 *956 * 81 (mm)
 外型尺寸(含腳架)  607 * 956 *248 (mm)")</f>
        <v>外型尺寸(不含腳架)(高)x(寬)x(深) 569 *956 * 81 (mm)
 外型尺寸(含腳架)  607 * 956 *248 (mm)</v>
      </c>
      <c r="R1237" s="12" t="str">
        <f ca="1">IFERROR(__xludf.DUMMYFUNCTION("""COMPUTED_VALUE"""),"馬來西亞")</f>
        <v>馬來西亞</v>
      </c>
      <c r="S1237" s="12"/>
      <c r="T1237" s="12"/>
      <c r="U1237" s="12" t="str">
        <f ca="1">IFERROR(__xludf.DUMMYFUNCTION("""COMPUTED_VALUE"""),"2年+1(官網登錄延長)")</f>
        <v>2年+1(官網登錄延長)</v>
      </c>
      <c r="V1237" s="12"/>
      <c r="W1237" s="12"/>
      <c r="X1237" s="12"/>
      <c r="Y1237" s="12"/>
      <c r="Z1237" s="14"/>
      <c r="AA1237" s="15" t="str">
        <f ca="1">IFERROR(__xludf.DUMMYFUNCTION("""COMPUTED_VALUE"""),"*日本原裝液晶面板*解析度: FHD (1,920 * 1,080)/ 直下式LED*首台搭載 SHARP COCORO VISION Hotkey 一鍵進入心視界*全新影像處理晶片S2 Revelation Processor*夏普獨家調色技術：Wide color 廣色域*HDR 10 / HLG*Google TV *藍牙語音遙控器*Chromecast/ Youtube/ Nexflix*大師音效調教, Dolby Audio認證,指向式揚聲技術*聲音出力: 15W (7.5W + 7.5W)* "&amp;"WiFi (802.11 a/b/g/n/ac)/藍牙5.0*USB 多媒體分享(2組):影像、音樂、照片*HDMI: 3組 (HDMI ARC*1)*Sharp 品質 7 大保證")</f>
        <v>*日本原裝液晶面板*解析度: FHD (1,920 * 1,080)/ 直下式LED*首台搭載 SHARP COCORO VISION Hotkey 一鍵進入心視界*全新影像處理晶片S2 Revelation Processor*夏普獨家調色技術：Wide color 廣色域*HDR 10 / HLG*Google TV *藍牙語音遙控器*Chromecast/ Youtube/ Nexflix*大師音效調教, Dolby Audio認證,指向式揚聲技術*聲音出力: 15W (7.5W + 7.5W)* WiFi (802.11 a/b/g/n/ac)/藍牙5.0*USB 多媒體分享(2組):影像、音樂、照片*HDMI: 3組 (HDMI ARC*1)*Sharp 品質 7 大保證</v>
      </c>
    </row>
    <row r="1238" spans="1:27" ht="19.5" customHeight="1">
      <c r="A1238" s="12" t="str">
        <f ca="1">IFERROR(__xludf.DUMMYFUNCTION("""COMPUTED_VALUE"""),"HDTV")</f>
        <v>HDTV</v>
      </c>
      <c r="B1238" s="12" t="str">
        <f ca="1">IFERROR(__xludf.DUMMYFUNCTION("""COMPUTED_VALUE"""),"神腦")</f>
        <v>神腦</v>
      </c>
      <c r="C1238" s="12" t="str">
        <f ca="1">IFERROR(__xludf.DUMMYFUNCTION("""COMPUTED_VALUE"""),"SHARP")</f>
        <v>SHARP</v>
      </c>
      <c r="D1238" s="12" t="str">
        <f ca="1">IFERROR(__xludf.DUMMYFUNCTION("""COMPUTED_VALUE"""),"SHARP 42型安卓連網液晶顯示器(無視訊盒) 4T-C42FK1X(senao)")</f>
        <v>SHARP 42型安卓連網液晶顯示器(無視訊盒) 4T-C42FK1X(senao)</v>
      </c>
      <c r="E1238" s="12" t="str">
        <f ca="1">IFERROR(__xludf.DUMMYFUNCTION("""COMPUTED_VALUE"""),"4T-C42FK1X(senao)")</f>
        <v>4T-C42FK1X(senao)</v>
      </c>
      <c r="F1238" s="12">
        <f ca="1">IFERROR(__xludf.DUMMYFUNCTION("""COMPUTED_VALUE"""),51016402)</f>
        <v>51016402</v>
      </c>
      <c r="G1238" s="12" t="str">
        <f ca="1">IFERROR(__xludf.DUMMYFUNCTION("""COMPUTED_VALUE"""),"NCTV01NS")</f>
        <v>NCTV01NS</v>
      </c>
      <c r="H1238" s="13">
        <f ca="1">IFERROR(__xludf.DUMMYFUNCTION("""COMPUTED_VALUE"""),14900)</f>
        <v>14900</v>
      </c>
      <c r="I1238" s="18">
        <f ca="1">IFERROR(__xludf.DUMMYFUNCTION("""COMPUTED_VALUE"""),12900)</f>
        <v>12900</v>
      </c>
      <c r="J1238" s="16">
        <f ca="1">IFERROR(__xludf.DUMMYFUNCTION("""COMPUTED_VALUE"""),45709)</f>
        <v>45709</v>
      </c>
      <c r="K1238" s="12" t="str">
        <f ca="1">IFERROR(__xludf.DUMMYFUNCTION("""COMPUTED_VALUE"""),"永久降價")</f>
        <v>永久降價</v>
      </c>
      <c r="L1238" s="12" t="str">
        <f ca="1">IFERROR(__xludf.DUMMYFUNCTION("""COMPUTED_VALUE"""),"上架中")</f>
        <v>上架中</v>
      </c>
      <c r="M1238" s="12" t="str">
        <f ca="1">IFERROR(__xludf.DUMMYFUNCTION("""COMPUTED_VALUE"""),"12/29新機上架")</f>
        <v>12/29新機上架</v>
      </c>
      <c r="N1238" s="12" t="str">
        <f ca="1">IFERROR(__xludf.DUMMYFUNCTION("""COMPUTED_VALUE"""),"螢幕/液晶電視")</f>
        <v>螢幕/液晶電視</v>
      </c>
      <c r="O1238" s="12"/>
      <c r="P1238" s="12" t="str">
        <f ca="1">IFERROR(__xludf.DUMMYFUNCTION("""COMPUTED_VALUE"""),"42型")</f>
        <v>42型</v>
      </c>
      <c r="Q1238" s="12" t="str">
        <f ca="1">IFERROR(__xludf.DUMMYFUNCTION("""COMPUTED_VALUE"""),"外型尺寸 (不含腳架)(高*寬*深) : 
544 *948 *  80 (mm)
外型尺寸 (含腳架) )(高*寬*深) :
 607 * 948 * 273 (mm)")</f>
        <v>外型尺寸 (不含腳架)(高*寬*深) : 
544 *948 *  80 (mm)
外型尺寸 (含腳架) )(高*寬*深) :
 607 * 948 * 273 (mm)</v>
      </c>
      <c r="R1238" s="12" t="str">
        <f ca="1">IFERROR(__xludf.DUMMYFUNCTION("""COMPUTED_VALUE"""),"馬來西亞")</f>
        <v>馬來西亞</v>
      </c>
      <c r="S1238" s="12"/>
      <c r="T1238" s="12"/>
      <c r="U1238" s="12" t="str">
        <f ca="1">IFERROR(__xludf.DUMMYFUNCTION("""COMPUTED_VALUE"""),"2年+1(官網登錄延長)")</f>
        <v>2年+1(官網登錄延長)</v>
      </c>
      <c r="V1238" s="12"/>
      <c r="W1238" s="12"/>
      <c r="X1238" s="12"/>
      <c r="Y1238" s="12"/>
      <c r="Z1238" s="14"/>
      <c r="AA1238" s="15" t="str">
        <f ca="1">IFERROR(__xludf.DUMMYFUNCTION("""COMPUTED_VALUE"""),"*全新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a"&amp;"/b/g/n/ac)/藍芽5.1* USB 多媒體分享(2組) : 影像、音樂、照片* HDMI : 4組 / HDMI 1 : eARC ARC* Sharp 品質 7 大保證")</f>
        <v>*全新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a/b/g/n/ac)/藍芽5.1* USB 多媒體分享(2組) : 影像、音樂、照片* HDMI : 4組 / HDMI 1 : eARC ARC* Sharp 品質 7 大保證</v>
      </c>
    </row>
    <row r="1239" spans="1:27" ht="19.5" customHeight="1">
      <c r="A1239" s="12" t="str">
        <f ca="1">IFERROR(__xludf.DUMMYFUNCTION("""COMPUTED_VALUE"""),"HDTV")</f>
        <v>HDTV</v>
      </c>
      <c r="B1239" s="12" t="str">
        <f ca="1">IFERROR(__xludf.DUMMYFUNCTION("""COMPUTED_VALUE"""),"神腦")</f>
        <v>神腦</v>
      </c>
      <c r="C1239" s="12" t="str">
        <f ca="1">IFERROR(__xludf.DUMMYFUNCTION("""COMPUTED_VALUE"""),"SHARP")</f>
        <v>SHARP</v>
      </c>
      <c r="D1239" s="12" t="str">
        <f ca="1">IFERROR(__xludf.DUMMYFUNCTION("""COMPUTED_VALUE"""),"SHARP 50型安卓連網液晶顯示器(無視訊盒) 4T-C50FK1X(senao)")</f>
        <v>SHARP 50型安卓連網液晶顯示器(無視訊盒) 4T-C50FK1X(senao)</v>
      </c>
      <c r="E1239" s="12" t="str">
        <f ca="1">IFERROR(__xludf.DUMMYFUNCTION("""COMPUTED_VALUE"""),"4T-C50FK1X(senao)")</f>
        <v>4T-C50FK1X(senao)</v>
      </c>
      <c r="F1239" s="12">
        <f ca="1">IFERROR(__xludf.DUMMYFUNCTION("""COMPUTED_VALUE"""),51016403)</f>
        <v>51016403</v>
      </c>
      <c r="G1239" s="12" t="str">
        <f ca="1">IFERROR(__xludf.DUMMYFUNCTION("""COMPUTED_VALUE"""),"NCTV01NT")</f>
        <v>NCTV01NT</v>
      </c>
      <c r="H1239" s="13">
        <f ca="1">IFERROR(__xludf.DUMMYFUNCTION("""COMPUTED_VALUE"""),20900)</f>
        <v>20900</v>
      </c>
      <c r="I1239" s="18">
        <f ca="1">IFERROR(__xludf.DUMMYFUNCTION("""COMPUTED_VALUE"""),14900)</f>
        <v>14900</v>
      </c>
      <c r="J1239" s="16">
        <f ca="1">IFERROR(__xludf.DUMMYFUNCTION("""COMPUTED_VALUE"""),45709)</f>
        <v>45709</v>
      </c>
      <c r="K1239" s="12" t="str">
        <f ca="1">IFERROR(__xludf.DUMMYFUNCTION("""COMPUTED_VALUE"""),"永久降價")</f>
        <v>永久降價</v>
      </c>
      <c r="L1239" s="12" t="str">
        <f ca="1">IFERROR(__xludf.DUMMYFUNCTION("""COMPUTED_VALUE"""),"上架中")</f>
        <v>上架中</v>
      </c>
      <c r="M1239" s="12" t="str">
        <f ca="1">IFERROR(__xludf.DUMMYFUNCTION("""COMPUTED_VALUE"""),"12/29新機上架")</f>
        <v>12/29新機上架</v>
      </c>
      <c r="N1239" s="12" t="str">
        <f ca="1">IFERROR(__xludf.DUMMYFUNCTION("""COMPUTED_VALUE"""),"螢幕/液晶電視")</f>
        <v>螢幕/液晶電視</v>
      </c>
      <c r="O1239" s="12"/>
      <c r="P1239" s="12" t="str">
        <f ca="1">IFERROR(__xludf.DUMMYFUNCTION("""COMPUTED_VALUE"""),"50型")</f>
        <v>50型</v>
      </c>
      <c r="Q1239" s="12" t="str">
        <f ca="1">IFERROR(__xludf.DUMMYFUNCTION("""COMPUTED_VALUE"""),"外型尺寸 (不含腳架)(高*寬*深) : 
655 * 1118 * 80 (mm) 
外型尺寸 (含腳架) )(高*寬*深) : 
 720 * 1118 *273 (mm)")</f>
        <v>外型尺寸 (不含腳架)(高*寬*深) : 
655 * 1118 * 80 (mm) 
外型尺寸 (含腳架) )(高*寬*深) : 
 720 * 1118 *273 (mm)</v>
      </c>
      <c r="R1239" s="12" t="str">
        <f ca="1">IFERROR(__xludf.DUMMYFUNCTION("""COMPUTED_VALUE"""),"馬來西亞")</f>
        <v>馬來西亞</v>
      </c>
      <c r="S1239" s="12"/>
      <c r="T1239" s="12"/>
      <c r="U1239" s="12" t="str">
        <f ca="1">IFERROR(__xludf.DUMMYFUNCTION("""COMPUTED_VALUE"""),"2年+1(官網登錄延長)")</f>
        <v>2年+1(官網登錄延長)</v>
      </c>
      <c r="V1239" s="12"/>
      <c r="W1239" s="12"/>
      <c r="X1239" s="12"/>
      <c r="Y1239" s="12"/>
      <c r="Z1239" s="14"/>
      <c r="AA1239" s="15" t="str">
        <f ca="1">IFERROR(__xludf.DUMMYFUNCTION("""COMPUTED_VALUE"""),"*全新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a"&amp;"/b/g/n/ac)/藍芽5.1* USB 多媒體分享(2組) : 影像、音樂、照片* HDMI : 4組 / HDMI 1 : eARC ARC* Sharp 品質 7 大保證")</f>
        <v>*全新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a/b/g/n/ac)/藍芽5.1* USB 多媒體分享(2組) : 影像、音樂、照片* HDMI : 4組 / HDMI 1 : eARC ARC* Sharp 品質 7 大保證</v>
      </c>
    </row>
    <row r="1240" spans="1:27" ht="19.5" customHeight="1">
      <c r="A1240" s="12" t="str">
        <f ca="1">IFERROR(__xludf.DUMMYFUNCTION("""COMPUTED_VALUE"""),"HDTV")</f>
        <v>HDTV</v>
      </c>
      <c r="B1240" s="12" t="str">
        <f ca="1">IFERROR(__xludf.DUMMYFUNCTION("""COMPUTED_VALUE"""),"神腦")</f>
        <v>神腦</v>
      </c>
      <c r="C1240" s="12" t="str">
        <f ca="1">IFERROR(__xludf.DUMMYFUNCTION("""COMPUTED_VALUE"""),"SHARP")</f>
        <v>SHARP</v>
      </c>
      <c r="D1240" s="12" t="str">
        <f ca="1">IFERROR(__xludf.DUMMYFUNCTION("""COMPUTED_VALUE"""),"SHARP 55型安卓連網液晶顯示器(無視訊盒) 4T-C55FK1X(senao)")</f>
        <v>SHARP 55型安卓連網液晶顯示器(無視訊盒) 4T-C55FK1X(senao)</v>
      </c>
      <c r="E1240" s="12" t="str">
        <f ca="1">IFERROR(__xludf.DUMMYFUNCTION("""COMPUTED_VALUE"""),"4T-C55FK1X(senao)")</f>
        <v>4T-C55FK1X(senao)</v>
      </c>
      <c r="F1240" s="12">
        <f ca="1">IFERROR(__xludf.DUMMYFUNCTION("""COMPUTED_VALUE"""),51016404)</f>
        <v>51016404</v>
      </c>
      <c r="G1240" s="12" t="str">
        <f ca="1">IFERROR(__xludf.DUMMYFUNCTION("""COMPUTED_VALUE"""),"NCTV01NU")</f>
        <v>NCTV01NU</v>
      </c>
      <c r="H1240" s="13">
        <f ca="1">IFERROR(__xludf.DUMMYFUNCTION("""COMPUTED_VALUE"""),23900)</f>
        <v>23900</v>
      </c>
      <c r="I1240" s="18">
        <f ca="1">IFERROR(__xludf.DUMMYFUNCTION("""COMPUTED_VALUE"""),16900)</f>
        <v>16900</v>
      </c>
      <c r="J1240" s="16">
        <f ca="1">IFERROR(__xludf.DUMMYFUNCTION("""COMPUTED_VALUE"""),45709)</f>
        <v>45709</v>
      </c>
      <c r="K1240" s="12" t="str">
        <f ca="1">IFERROR(__xludf.DUMMYFUNCTION("""COMPUTED_VALUE"""),"永久降價")</f>
        <v>永久降價</v>
      </c>
      <c r="L1240" s="12" t="str">
        <f ca="1">IFERROR(__xludf.DUMMYFUNCTION("""COMPUTED_VALUE"""),"上架中")</f>
        <v>上架中</v>
      </c>
      <c r="M1240" s="12" t="str">
        <f ca="1">IFERROR(__xludf.DUMMYFUNCTION("""COMPUTED_VALUE"""),"12/29新機上架")</f>
        <v>12/29新機上架</v>
      </c>
      <c r="N1240" s="12" t="str">
        <f ca="1">IFERROR(__xludf.DUMMYFUNCTION("""COMPUTED_VALUE"""),"螢幕/液晶電視")</f>
        <v>螢幕/液晶電視</v>
      </c>
      <c r="O1240" s="12"/>
      <c r="P1240" s="12" t="str">
        <f ca="1">IFERROR(__xludf.DUMMYFUNCTION("""COMPUTED_VALUE"""),"55型")</f>
        <v>55型</v>
      </c>
      <c r="Q1240" s="12" t="str">
        <f ca="1">IFERROR(__xludf.DUMMYFUNCTION("""COMPUTED_VALUE"""),"外型尺寸 (不含腳架)(高*寬*深) : 
722x1232x80(mm)
外型尺寸 (含腳架) )(高*寬*深) :
785x1232x273 (mm)")</f>
        <v>外型尺寸 (不含腳架)(高*寬*深) : 
722x1232x80(mm)
外型尺寸 (含腳架) )(高*寬*深) :
785x1232x273 (mm)</v>
      </c>
      <c r="R1240" s="12" t="str">
        <f ca="1">IFERROR(__xludf.DUMMYFUNCTION("""COMPUTED_VALUE"""),"馬來西亞")</f>
        <v>馬來西亞</v>
      </c>
      <c r="S1240" s="12"/>
      <c r="T1240" s="12"/>
      <c r="U1240" s="12" t="str">
        <f ca="1">IFERROR(__xludf.DUMMYFUNCTION("""COMPUTED_VALUE"""),"2年+1(官網登錄延長)")</f>
        <v>2年+1(官網登錄延長)</v>
      </c>
      <c r="V1240" s="12"/>
      <c r="W1240" s="12"/>
      <c r="X1240" s="12"/>
      <c r="Y1240" s="12"/>
      <c r="Z1240" s="14"/>
      <c r="AA1240" s="15" t="str">
        <f ca="1">IFERROR(__xludf.DUMMYFUNCTION("""COMPUTED_VALUE"""),"*全新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a"&amp;"/b/g/n/ac)/藍芽5.1* USB 多媒體分享(2組) : 影像、音樂、照片* HDMI : 4組 / HDMI 1 : eARC ARC* Sharp 品質 7 大保證")</f>
        <v>*全新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a/b/g/n/ac)/藍芽5.1* USB 多媒體分享(2組) : 影像、音樂、照片* HDMI : 4組 / HDMI 1 : eARC ARC* Sharp 品質 7 大保證</v>
      </c>
    </row>
    <row r="1241" spans="1:27" ht="19.5" customHeight="1">
      <c r="A1241" s="12" t="str">
        <f ca="1">IFERROR(__xludf.DUMMYFUNCTION("""COMPUTED_VALUE"""),"HDTV")</f>
        <v>HDTV</v>
      </c>
      <c r="B1241" s="12" t="str">
        <f ca="1">IFERROR(__xludf.DUMMYFUNCTION("""COMPUTED_VALUE"""),"神腦")</f>
        <v>神腦</v>
      </c>
      <c r="C1241" s="12" t="str">
        <f ca="1">IFERROR(__xludf.DUMMYFUNCTION("""COMPUTED_VALUE"""),"SHARP")</f>
        <v>SHARP</v>
      </c>
      <c r="D1241" s="12" t="str">
        <f ca="1">IFERROR(__xludf.DUMMYFUNCTION("""COMPUTED_VALUE"""),"SHARP 65型安卓連網液晶顯示器(無視訊盒) 4T-C65FK1X(senao)")</f>
        <v>SHARP 65型安卓連網液晶顯示器(無視訊盒) 4T-C65FK1X(senao)</v>
      </c>
      <c r="E1241" s="12" t="str">
        <f ca="1">IFERROR(__xludf.DUMMYFUNCTION("""COMPUTED_VALUE"""),"4T-C65FK1X(senao)")</f>
        <v>4T-C65FK1X(senao)</v>
      </c>
      <c r="F1241" s="12">
        <f ca="1">IFERROR(__xludf.DUMMYFUNCTION("""COMPUTED_VALUE"""),51016405)</f>
        <v>51016405</v>
      </c>
      <c r="G1241" s="12" t="str">
        <f ca="1">IFERROR(__xludf.DUMMYFUNCTION("""COMPUTED_VALUE"""),"NCTV01NV")</f>
        <v>NCTV01NV</v>
      </c>
      <c r="H1241" s="13">
        <f ca="1">IFERROR(__xludf.DUMMYFUNCTION("""COMPUTED_VALUE"""),30900)</f>
        <v>30900</v>
      </c>
      <c r="I1241" s="18">
        <f ca="1">IFERROR(__xludf.DUMMYFUNCTION("""COMPUTED_VALUE"""),24900)</f>
        <v>24900</v>
      </c>
      <c r="J1241" s="16">
        <f ca="1">IFERROR(__xludf.DUMMYFUNCTION("""COMPUTED_VALUE"""),45709)</f>
        <v>45709</v>
      </c>
      <c r="K1241" s="12" t="str">
        <f ca="1">IFERROR(__xludf.DUMMYFUNCTION("""COMPUTED_VALUE"""),"永久降價")</f>
        <v>永久降價</v>
      </c>
      <c r="L1241" s="12" t="str">
        <f ca="1">IFERROR(__xludf.DUMMYFUNCTION("""COMPUTED_VALUE"""),"上架中")</f>
        <v>上架中</v>
      </c>
      <c r="M1241" s="12" t="str">
        <f ca="1">IFERROR(__xludf.DUMMYFUNCTION("""COMPUTED_VALUE"""),"12/29新機上架")</f>
        <v>12/29新機上架</v>
      </c>
      <c r="N1241" s="12" t="str">
        <f ca="1">IFERROR(__xludf.DUMMYFUNCTION("""COMPUTED_VALUE"""),"螢幕/液晶電視")</f>
        <v>螢幕/液晶電視</v>
      </c>
      <c r="O1241" s="12"/>
      <c r="P1241" s="12" t="str">
        <f ca="1">IFERROR(__xludf.DUMMYFUNCTION("""COMPUTED_VALUE"""),"65型")</f>
        <v>65型</v>
      </c>
      <c r="Q1241" s="12" t="str">
        <f ca="1">IFERROR(__xludf.DUMMYFUNCTION("""COMPUTED_VALUE"""),"外型尺寸 (不含腳架)(高*寬*深) : 
854 * 1462 * 76 (mm)
外型尺寸 (含腳架) )(高*寬*深) :
 920 * 1462 * 289 (mm)")</f>
        <v>外型尺寸 (不含腳架)(高*寬*深) : 
854 * 1462 * 76 (mm)
外型尺寸 (含腳架) )(高*寬*深) :
 920 * 1462 * 289 (mm)</v>
      </c>
      <c r="R1241" s="12" t="str">
        <f ca="1">IFERROR(__xludf.DUMMYFUNCTION("""COMPUTED_VALUE"""),"馬來西亞")</f>
        <v>馬來西亞</v>
      </c>
      <c r="S1241" s="12"/>
      <c r="T1241" s="12"/>
      <c r="U1241" s="12" t="str">
        <f ca="1">IFERROR(__xludf.DUMMYFUNCTION("""COMPUTED_VALUE"""),"2年+1(官網登錄延長)")</f>
        <v>2年+1(官網登錄延長)</v>
      </c>
      <c r="V1241" s="12"/>
      <c r="W1241" s="12"/>
      <c r="X1241" s="12"/>
      <c r="Y1241" s="12"/>
      <c r="Z1241" s="14"/>
      <c r="AA1241" s="15" t="str">
        <f ca="1">IFERROR(__xludf.DUMMYFUNCTION("""COMPUTED_VALUE"""),"*全新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a"&amp;"/b/g/n/ac)/藍芽5.1* USB 多媒體分享(2組) : 影像、音樂、照片* HDMI : 4組 / HDMI 1 : eARC ARC* Sharp 品質 7 大保證")</f>
        <v>*全新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a/b/g/n/ac)/藍芽5.1* USB 多媒體分享(2組) : 影像、音樂、照片* HDMI : 4組 / HDMI 1 : eARC ARC* Sharp 品質 7 大保證</v>
      </c>
    </row>
    <row r="1242" spans="1:27" ht="19.5" customHeight="1">
      <c r="A1242" s="12" t="str">
        <f ca="1">IFERROR(__xludf.DUMMYFUNCTION("""COMPUTED_VALUE"""),"HDTV")</f>
        <v>HDTV</v>
      </c>
      <c r="B1242" s="12" t="str">
        <f ca="1">IFERROR(__xludf.DUMMYFUNCTION("""COMPUTED_VALUE"""),"神腦")</f>
        <v>神腦</v>
      </c>
      <c r="C1242" s="12" t="str">
        <f ca="1">IFERROR(__xludf.DUMMYFUNCTION("""COMPUTED_VALUE"""),"SHARP")</f>
        <v>SHARP</v>
      </c>
      <c r="D1242" s="12" t="str">
        <f ca="1">IFERROR(__xludf.DUMMYFUNCTION("""COMPUTED_VALUE"""),"SHARP 75型安卓連網液晶顯示器(無視訊盒) 4T-C75FK1X(senao)")</f>
        <v>SHARP 75型安卓連網液晶顯示器(無視訊盒) 4T-C75FK1X(senao)</v>
      </c>
      <c r="E1242" s="12" t="str">
        <f ca="1">IFERROR(__xludf.DUMMYFUNCTION("""COMPUTED_VALUE"""),"4T-C75FK1X(senao)")</f>
        <v>4T-C75FK1X(senao)</v>
      </c>
      <c r="F1242" s="12">
        <f ca="1">IFERROR(__xludf.DUMMYFUNCTION("""COMPUTED_VALUE"""),51016406)</f>
        <v>51016406</v>
      </c>
      <c r="G1242" s="12" t="str">
        <f ca="1">IFERROR(__xludf.DUMMYFUNCTION("""COMPUTED_VALUE"""),"NCTV01NW")</f>
        <v>NCTV01NW</v>
      </c>
      <c r="H1242" s="13">
        <f ca="1">IFERROR(__xludf.DUMMYFUNCTION("""COMPUTED_VALUE"""),54900)</f>
        <v>54900</v>
      </c>
      <c r="I1242" s="18">
        <f ca="1">IFERROR(__xludf.DUMMYFUNCTION("""COMPUTED_VALUE"""),38900)</f>
        <v>38900</v>
      </c>
      <c r="J1242" s="12"/>
      <c r="K1242" s="12"/>
      <c r="L1242" s="12" t="str">
        <f ca="1">IFERROR(__xludf.DUMMYFUNCTION("""COMPUTED_VALUE"""),"上架中")</f>
        <v>上架中</v>
      </c>
      <c r="M1242" s="12" t="str">
        <f ca="1">IFERROR(__xludf.DUMMYFUNCTION("""COMPUTED_VALUE"""),"12/29新機上架")</f>
        <v>12/29新機上架</v>
      </c>
      <c r="N1242" s="12" t="str">
        <f ca="1">IFERROR(__xludf.DUMMYFUNCTION("""COMPUTED_VALUE"""),"螢幕/液晶電視")</f>
        <v>螢幕/液晶電視</v>
      </c>
      <c r="O1242" s="12"/>
      <c r="P1242" s="12" t="str">
        <f ca="1">IFERROR(__xludf.DUMMYFUNCTION("""COMPUTED_VALUE"""),"75型")</f>
        <v>75型</v>
      </c>
      <c r="Q1242" s="12" t="str">
        <f ca="1">IFERROR(__xludf.DUMMYFUNCTION("""COMPUTED_VALUE"""),"外型尺寸 (不含腳架)(高*寬*深) : 
975 * 1678 * 74 (mm)
外型尺寸 (含腳架) )(高*寬*深) :
1056 * 1678 * 403 (mm)")</f>
        <v>外型尺寸 (不含腳架)(高*寬*深) : 
975 * 1678 * 74 (mm)
外型尺寸 (含腳架) )(高*寬*深) :
1056 * 1678 * 403 (mm)</v>
      </c>
      <c r="R1242" s="12" t="str">
        <f ca="1">IFERROR(__xludf.DUMMYFUNCTION("""COMPUTED_VALUE"""),"馬來西亞")</f>
        <v>馬來西亞</v>
      </c>
      <c r="S1242" s="12"/>
      <c r="T1242" s="12"/>
      <c r="U1242" s="12" t="str">
        <f ca="1">IFERROR(__xludf.DUMMYFUNCTION("""COMPUTED_VALUE"""),"2年+1(官網登錄延長)")</f>
        <v>2年+1(官網登錄延長)</v>
      </c>
      <c r="V1242" s="12"/>
      <c r="W1242" s="12"/>
      <c r="X1242" s="12"/>
      <c r="Y1242" s="12"/>
      <c r="Z1242" s="14"/>
      <c r="AA1242" s="15" t="str">
        <f ca="1">IFERROR(__xludf.DUMMYFUNCTION("""COMPUTED_VALUE"""),"*全新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a"&amp;"/b/g/n/ac)/藍芽5.1* USB 多媒體分享(2組) : 影像、音樂、照片* HDMI : 4組 / HDMI 1 : eARC ARC* Sharp 品質 7 大保證")</f>
        <v>*全新 X5 Revelation Processor 影像處理晶片* 8種觀賞模式，獨家Comfort mode模式，國際萊茵認證，低減50%藍光* HDR 10 / HLG / Dolby vision IQ* Google TV 操作系統* 藍牙語音遙控器* Dolby Audio / Dolby Digital Plus / Dolby Atmos* ALLM 自動低延遲模式 / VRR 可變刷新率 /MEMC動態補償* 聲音出力 : 20W (10W + 10W)* WiFi (802.11 a/b/g/n/ac)/藍芽5.1* USB 多媒體分享(2組) : 影像、音樂、照片* HDMI : 4組 / HDMI 1 : eARC ARC* Sharp 品質 7 大保證</v>
      </c>
    </row>
    <row r="1243" spans="1:27" ht="19.5" customHeight="1">
      <c r="A1243" s="12" t="str">
        <f ca="1">IFERROR(__xludf.DUMMYFUNCTION("""COMPUTED_VALUE"""),"HDTV")</f>
        <v>HDTV</v>
      </c>
      <c r="B1243" s="12" t="str">
        <f ca="1">IFERROR(__xludf.DUMMYFUNCTION("""COMPUTED_VALUE"""),"神腦")</f>
        <v>神腦</v>
      </c>
      <c r="C1243" s="12" t="str">
        <f ca="1">IFERROR(__xludf.DUMMYFUNCTION("""COMPUTED_VALUE"""),"SAMSUNG")</f>
        <v>SAMSUNG</v>
      </c>
      <c r="D1243" s="12" t="str">
        <f ca="1">IFERROR(__xludf.DUMMYFUNCTION("""COMPUTED_VALUE"""),"SAMSUNG 43型QLED聯網4K智慧顯示器QA43Q60DAXXZW")</f>
        <v>SAMSUNG 43型QLED聯網4K智慧顯示器QA43Q60DAXXZW</v>
      </c>
      <c r="E1243" s="12" t="str">
        <f ca="1">IFERROR(__xludf.DUMMYFUNCTION("""COMPUTED_VALUE"""),"QA43Q60DAXXZW")</f>
        <v>QA43Q60DAXXZW</v>
      </c>
      <c r="F1243" s="12">
        <f ca="1">IFERROR(__xludf.DUMMYFUNCTION("""COMPUTED_VALUE"""),51016488)</f>
        <v>51016488</v>
      </c>
      <c r="G1243" s="12" t="str">
        <f ca="1">IFERROR(__xludf.DUMMYFUNCTION("""COMPUTED_VALUE"""),"NCTV01QR")</f>
        <v>NCTV01QR</v>
      </c>
      <c r="H1243" s="13">
        <f ca="1">IFERROR(__xludf.DUMMYFUNCTION("""COMPUTED_VALUE"""),23900)</f>
        <v>23900</v>
      </c>
      <c r="I1243" s="18">
        <f ca="1">IFERROR(__xludf.DUMMYFUNCTION("""COMPUTED_VALUE"""),22000)</f>
        <v>22000</v>
      </c>
      <c r="J1243" s="16">
        <f ca="1">IFERROR(__xludf.DUMMYFUNCTION("""COMPUTED_VALUE"""),45609)</f>
        <v>45609</v>
      </c>
      <c r="K1243" s="12" t="str">
        <f ca="1">IFERROR(__xludf.DUMMYFUNCTION("""COMPUTED_VALUE"""),"永久降價")</f>
        <v>永久降價</v>
      </c>
      <c r="L1243" s="12" t="str">
        <f ca="1">IFERROR(__xludf.DUMMYFUNCTION("""COMPUTED_VALUE"""),"上架中")</f>
        <v>上架中</v>
      </c>
      <c r="M1243" s="12"/>
      <c r="N1243" s="12" t="str">
        <f ca="1">IFERROR(__xludf.DUMMYFUNCTION("""COMPUTED_VALUE"""),"螢幕/液晶電視")</f>
        <v>螢幕/液晶電視</v>
      </c>
      <c r="O1243" s="12"/>
      <c r="P1243" s="12" t="str">
        <f ca="1">IFERROR(__xludf.DUMMYFUNCTION("""COMPUTED_VALUE"""),"43型")</f>
        <v>43型</v>
      </c>
      <c r="Q1243" s="12" t="str">
        <f ca="1">IFERROR(__xludf.DUMMYFUNCTION("""COMPUTED_VALUE"""),"含底座：965.5 x 598.1 x 181 mm
 不含底座：965.5 x 559.4 x 25.7 mm")</f>
        <v>含底座：965.5 x 598.1 x 181 mm
 不含底座：965.5 x 559.4 x 25.7 mm</v>
      </c>
      <c r="R1243" s="12" t="str">
        <f ca="1">IFERROR(__xludf.DUMMYFUNCTION("""COMPUTED_VALUE"""),"越南")</f>
        <v>越南</v>
      </c>
      <c r="S1243" s="12"/>
      <c r="T1243" s="12"/>
      <c r="U1243" s="12" t="str">
        <f ca="1">IFERROR(__xludf.DUMMYFUNCTION("""COMPUTED_VALUE"""),"2年")</f>
        <v>2年</v>
      </c>
      <c r="V1243" s="12"/>
      <c r="W1243" s="12"/>
      <c r="X1243" s="12"/>
      <c r="Y1243" s="12"/>
      <c r="Z1243" s="14"/>
      <c r="AA1243" s="15" t="str">
        <f ca="1">IFERROR(__xludf.DUMMYFUNCTION("""COMPUTED_VALUE"""),"*金屬量子點顯色技術: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Sli"&amp;"m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擺放更自由*全新Smart"&amp;" Hub 介面: 新版個人化介面, 搭配全新頁籤設計, 娛樂更加快速直覺。")</f>
        <v>*金屬量子點顯色技術: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 Hub 介面: 新版個人化介面, 搭配全新頁籤設計, 娛樂更加快速直覺。</v>
      </c>
    </row>
    <row r="1244" spans="1:27" ht="19.5" customHeight="1">
      <c r="A1244" s="12" t="str">
        <f ca="1">IFERROR(__xludf.DUMMYFUNCTION("""COMPUTED_VALUE"""),"HDTV")</f>
        <v>HDTV</v>
      </c>
      <c r="B1244" s="12" t="str">
        <f ca="1">IFERROR(__xludf.DUMMYFUNCTION("""COMPUTED_VALUE"""),"神腦")</f>
        <v>神腦</v>
      </c>
      <c r="C1244" s="12" t="str">
        <f ca="1">IFERROR(__xludf.DUMMYFUNCTION("""COMPUTED_VALUE"""),"SAMSUNG")</f>
        <v>SAMSUNG</v>
      </c>
      <c r="D1244" s="12" t="str">
        <f ca="1">IFERROR(__xludf.DUMMYFUNCTION("""COMPUTED_VALUE"""),"SAMSUNG 50型QLED聯網4K智慧顯示器QA50Q60DAXXZW")</f>
        <v>SAMSUNG 50型QLED聯網4K智慧顯示器QA50Q60DAXXZW</v>
      </c>
      <c r="E1244" s="12" t="str">
        <f ca="1">IFERROR(__xludf.DUMMYFUNCTION("""COMPUTED_VALUE"""),"QA50Q60DAXXZW")</f>
        <v>QA50Q60DAXXZW</v>
      </c>
      <c r="F1244" s="12">
        <f ca="1">IFERROR(__xludf.DUMMYFUNCTION("""COMPUTED_VALUE"""),51016489)</f>
        <v>51016489</v>
      </c>
      <c r="G1244" s="12" t="str">
        <f ca="1">IFERROR(__xludf.DUMMYFUNCTION("""COMPUTED_VALUE"""),"NCTV01QS")</f>
        <v>NCTV01QS</v>
      </c>
      <c r="H1244" s="13">
        <f ca="1">IFERROR(__xludf.DUMMYFUNCTION("""COMPUTED_VALUE"""),26900)</f>
        <v>26900</v>
      </c>
      <c r="I1244" s="18">
        <f ca="1">IFERROR(__xludf.DUMMYFUNCTION("""COMPUTED_VALUE"""),24300)</f>
        <v>24300</v>
      </c>
      <c r="J1244" s="16">
        <f ca="1">IFERROR(__xludf.DUMMYFUNCTION("""COMPUTED_VALUE"""),45609)</f>
        <v>45609</v>
      </c>
      <c r="K1244" s="12" t="str">
        <f ca="1">IFERROR(__xludf.DUMMYFUNCTION("""COMPUTED_VALUE"""),"永久降價")</f>
        <v>永久降價</v>
      </c>
      <c r="L1244" s="12" t="str">
        <f ca="1">IFERROR(__xludf.DUMMYFUNCTION("""COMPUTED_VALUE"""),"上架中")</f>
        <v>上架中</v>
      </c>
      <c r="M1244" s="12"/>
      <c r="N1244" s="12" t="str">
        <f ca="1">IFERROR(__xludf.DUMMYFUNCTION("""COMPUTED_VALUE"""),"螢幕/液晶電視")</f>
        <v>螢幕/液晶電視</v>
      </c>
      <c r="O1244" s="12"/>
      <c r="P1244" s="12" t="str">
        <f ca="1">IFERROR(__xludf.DUMMYFUNCTION("""COMPUTED_VALUE"""),"50型")</f>
        <v>50型</v>
      </c>
      <c r="Q1244" s="12" t="str">
        <f ca="1">IFERROR(__xludf.DUMMYFUNCTION("""COMPUTED_VALUE"""),"含底座：1118.3 x 681.7 x 224 mm
 不含底座：1118.3 x 644.1 x 25.7 mm")</f>
        <v>含底座：1118.3 x 681.7 x 224 mm
 不含底座：1118.3 x 644.1 x 25.7 mm</v>
      </c>
      <c r="R1244" s="12" t="str">
        <f ca="1">IFERROR(__xludf.DUMMYFUNCTION("""COMPUTED_VALUE"""),"越南")</f>
        <v>越南</v>
      </c>
      <c r="S1244" s="12"/>
      <c r="T1244" s="12"/>
      <c r="U1244" s="12" t="str">
        <f ca="1">IFERROR(__xludf.DUMMYFUNCTION("""COMPUTED_VALUE"""),"2年")</f>
        <v>2年</v>
      </c>
      <c r="V1244" s="12"/>
      <c r="W1244" s="12"/>
      <c r="X1244" s="12"/>
      <c r="Y1244" s="12"/>
      <c r="Z1244" s="14"/>
      <c r="AA1244" s="15" t="str">
        <f ca="1">IFERROR(__xludf.DUMMYFUNCTION("""COMPUTED_VALUE"""),"*金屬量子點顯色技術: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Sli"&amp;"m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擺放更自由*全新Smart"&amp;" Hub 介面: 新版個人化介面, 搭配全新頁籤設計, 娛樂更加快速直覺。")</f>
        <v>*金屬量子點顯色技術: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 Hub 介面: 新版個人化介面, 搭配全新頁籤設計, 娛樂更加快速直覺。</v>
      </c>
    </row>
    <row r="1245" spans="1:27" ht="19.5" customHeight="1">
      <c r="A1245" s="12" t="str">
        <f ca="1">IFERROR(__xludf.DUMMYFUNCTION("""COMPUTED_VALUE"""),"HDTV")</f>
        <v>HDTV</v>
      </c>
      <c r="B1245" s="12" t="str">
        <f ca="1">IFERROR(__xludf.DUMMYFUNCTION("""COMPUTED_VALUE"""),"神腦")</f>
        <v>神腦</v>
      </c>
      <c r="C1245" s="12" t="str">
        <f ca="1">IFERROR(__xludf.DUMMYFUNCTION("""COMPUTED_VALUE"""),"SAMSUNG")</f>
        <v>SAMSUNG</v>
      </c>
      <c r="D1245" s="12" t="str">
        <f ca="1">IFERROR(__xludf.DUMMYFUNCTION("""COMPUTED_VALUE"""),"SAMSUNG 55型QLED聯網4K智慧顯示器QA55Q60DAXXZW")</f>
        <v>SAMSUNG 55型QLED聯網4K智慧顯示器QA55Q60DAXXZW</v>
      </c>
      <c r="E1245" s="12" t="str">
        <f ca="1">IFERROR(__xludf.DUMMYFUNCTION("""COMPUTED_VALUE"""),"QA55Q60DAXXZW")</f>
        <v>QA55Q60DAXXZW</v>
      </c>
      <c r="F1245" s="12">
        <f ca="1">IFERROR(__xludf.DUMMYFUNCTION("""COMPUTED_VALUE"""),51016490)</f>
        <v>51016490</v>
      </c>
      <c r="G1245" s="12" t="str">
        <f ca="1">IFERROR(__xludf.DUMMYFUNCTION("""COMPUTED_VALUE"""),"NCTV01QT")</f>
        <v>NCTV01QT</v>
      </c>
      <c r="H1245" s="13">
        <f ca="1">IFERROR(__xludf.DUMMYFUNCTION("""COMPUTED_VALUE"""),33900)</f>
        <v>33900</v>
      </c>
      <c r="I1245" s="18">
        <f ca="1">IFERROR(__xludf.DUMMYFUNCTION("""COMPUTED_VALUE"""),23900)</f>
        <v>23900</v>
      </c>
      <c r="J1245" s="16">
        <f ca="1">IFERROR(__xludf.DUMMYFUNCTION("""COMPUTED_VALUE"""),45632)</f>
        <v>45632</v>
      </c>
      <c r="K1245" s="12" t="str">
        <f ca="1">IFERROR(__xludf.DUMMYFUNCTION("""COMPUTED_VALUE"""),"永久降價")</f>
        <v>永久降價</v>
      </c>
      <c r="L1245" s="12" t="str">
        <f ca="1">IFERROR(__xludf.DUMMYFUNCTION("""COMPUTED_VALUE"""),"上架中")</f>
        <v>上架中</v>
      </c>
      <c r="M1245" s="12"/>
      <c r="N1245" s="12" t="str">
        <f ca="1">IFERROR(__xludf.DUMMYFUNCTION("""COMPUTED_VALUE"""),"螢幕/液晶電視")</f>
        <v>螢幕/液晶電視</v>
      </c>
      <c r="O1245" s="12"/>
      <c r="P1245" s="12" t="str">
        <f ca="1">IFERROR(__xludf.DUMMYFUNCTION("""COMPUTED_VALUE"""),"55型")</f>
        <v>55型</v>
      </c>
      <c r="Q1245" s="12" t="str">
        <f ca="1">IFERROR(__xludf.DUMMYFUNCTION("""COMPUTED_VALUE"""),"含底座：1232.1 x 745.9 x 224 mm
 不含底座：1232.1 x 708.3 x 25.7 mm")</f>
        <v>含底座：1232.1 x 745.9 x 224 mm
 不含底座：1232.1 x 708.3 x 25.7 mm</v>
      </c>
      <c r="R1245" s="12" t="str">
        <f ca="1">IFERROR(__xludf.DUMMYFUNCTION("""COMPUTED_VALUE"""),"越南")</f>
        <v>越南</v>
      </c>
      <c r="S1245" s="12"/>
      <c r="T1245" s="12"/>
      <c r="U1245" s="12" t="str">
        <f ca="1">IFERROR(__xludf.DUMMYFUNCTION("""COMPUTED_VALUE"""),"2年")</f>
        <v>2年</v>
      </c>
      <c r="V1245" s="12"/>
      <c r="W1245" s="12"/>
      <c r="X1245" s="12"/>
      <c r="Y1245" s="12"/>
      <c r="Z1245" s="14"/>
      <c r="AA1245" s="15" t="str">
        <f ca="1">IFERROR(__xludf.DUMMYFUNCTION("""COMPUTED_VALUE"""),"*金屬量子點顯色技術: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Sli"&amp;"m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擺放更自由*全新Smart"&amp;" Hub 介面: 新版個人化介面, 搭配全新頁籤設計, 娛樂更加快速直覺。")</f>
        <v>*金屬量子點顯色技術: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 Hub 介面: 新版個人化介面, 搭配全新頁籤設計, 娛樂更加快速直覺。</v>
      </c>
    </row>
    <row r="1246" spans="1:27" ht="19.5" customHeight="1">
      <c r="A1246" s="12" t="str">
        <f ca="1">IFERROR(__xludf.DUMMYFUNCTION("""COMPUTED_VALUE"""),"HDTV")</f>
        <v>HDTV</v>
      </c>
      <c r="B1246" s="12" t="str">
        <f ca="1">IFERROR(__xludf.DUMMYFUNCTION("""COMPUTED_VALUE"""),"神腦")</f>
        <v>神腦</v>
      </c>
      <c r="C1246" s="12" t="str">
        <f ca="1">IFERROR(__xludf.DUMMYFUNCTION("""COMPUTED_VALUE"""),"SAMSUNG")</f>
        <v>SAMSUNG</v>
      </c>
      <c r="D1246" s="12" t="str">
        <f ca="1">IFERROR(__xludf.DUMMYFUNCTION("""COMPUTED_VALUE"""),"SAMSUNG 65型QLED聯網4K智慧顯示器QA65Q60DAXXZW")</f>
        <v>SAMSUNG 65型QLED聯網4K智慧顯示器QA65Q60DAXXZW</v>
      </c>
      <c r="E1246" s="12" t="str">
        <f ca="1">IFERROR(__xludf.DUMMYFUNCTION("""COMPUTED_VALUE"""),"QA65Q60DAXXZW")</f>
        <v>QA65Q60DAXXZW</v>
      </c>
      <c r="F1246" s="12">
        <f ca="1">IFERROR(__xludf.DUMMYFUNCTION("""COMPUTED_VALUE"""),51016491)</f>
        <v>51016491</v>
      </c>
      <c r="G1246" s="12" t="str">
        <f ca="1">IFERROR(__xludf.DUMMYFUNCTION("""COMPUTED_VALUE"""),"NCTV01QU")</f>
        <v>NCTV01QU</v>
      </c>
      <c r="H1246" s="13">
        <f ca="1">IFERROR(__xludf.DUMMYFUNCTION("""COMPUTED_VALUE"""),44900)</f>
        <v>44900</v>
      </c>
      <c r="I1246" s="18">
        <f ca="1">IFERROR(__xludf.DUMMYFUNCTION("""COMPUTED_VALUE"""),30900)</f>
        <v>30900</v>
      </c>
      <c r="J1246" s="16">
        <f ca="1">IFERROR(__xludf.DUMMYFUNCTION("""COMPUTED_VALUE"""),45632)</f>
        <v>45632</v>
      </c>
      <c r="K1246" s="12" t="str">
        <f ca="1">IFERROR(__xludf.DUMMYFUNCTION("""COMPUTED_VALUE"""),"永久降價")</f>
        <v>永久降價</v>
      </c>
      <c r="L1246" s="12" t="str">
        <f ca="1">IFERROR(__xludf.DUMMYFUNCTION("""COMPUTED_VALUE"""),"上架中")</f>
        <v>上架中</v>
      </c>
      <c r="M1246" s="12"/>
      <c r="N1246" s="12" t="str">
        <f ca="1">IFERROR(__xludf.DUMMYFUNCTION("""COMPUTED_VALUE"""),"螢幕/液晶電視")</f>
        <v>螢幕/液晶電視</v>
      </c>
      <c r="O1246" s="12"/>
      <c r="P1246" s="12" t="str">
        <f ca="1">IFERROR(__xludf.DUMMYFUNCTION("""COMPUTED_VALUE"""),"65型")</f>
        <v>65型</v>
      </c>
      <c r="Q1246" s="12" t="str">
        <f ca="1">IFERROR(__xludf.DUMMYFUNCTION("""COMPUTED_VALUE"""),"含底座：1450.9 x 872.2 x 274.0 mm
 不含底座：1450.9 x 831.4 x 25.7 mm")</f>
        <v>含底座：1450.9 x 872.2 x 274.0 mm
 不含底座：1450.9 x 831.4 x 25.7 mm</v>
      </c>
      <c r="R1246" s="12" t="str">
        <f ca="1">IFERROR(__xludf.DUMMYFUNCTION("""COMPUTED_VALUE"""),"越南")</f>
        <v>越南</v>
      </c>
      <c r="S1246" s="12"/>
      <c r="T1246" s="12"/>
      <c r="U1246" s="12" t="str">
        <f ca="1">IFERROR(__xludf.DUMMYFUNCTION("""COMPUTED_VALUE"""),"2年")</f>
        <v>2年</v>
      </c>
      <c r="V1246" s="12"/>
      <c r="W1246" s="12"/>
      <c r="X1246" s="12"/>
      <c r="Y1246" s="12"/>
      <c r="Z1246" s="14"/>
      <c r="AA1246" s="15" t="str">
        <f ca="1">IFERROR(__xludf.DUMMYFUNCTION("""COMPUTED_VALUE"""),"*金屬量子點顯色技術: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Sli"&amp;"m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擺放更自由*全新Smart"&amp;" Hub 介面: 新版個人化介面, 搭配全新頁籤設計, 娛樂更加快速直覺。")</f>
        <v>*金屬量子點顯色技術: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 Hub 介面: 新版個人化介面, 搭配全新頁籤設計, 娛樂更加快速直覺。</v>
      </c>
    </row>
    <row r="1247" spans="1:27" ht="19.5" customHeight="1">
      <c r="A1247" s="12" t="str">
        <f ca="1">IFERROR(__xludf.DUMMYFUNCTION("""COMPUTED_VALUE"""),"HDTV")</f>
        <v>HDTV</v>
      </c>
      <c r="B1247" s="12" t="str">
        <f ca="1">IFERROR(__xludf.DUMMYFUNCTION("""COMPUTED_VALUE"""),"神腦")</f>
        <v>神腦</v>
      </c>
      <c r="C1247" s="12" t="str">
        <f ca="1">IFERROR(__xludf.DUMMYFUNCTION("""COMPUTED_VALUE"""),"SAMSUNG")</f>
        <v>SAMSUNG</v>
      </c>
      <c r="D1247" s="12" t="str">
        <f ca="1">IFERROR(__xludf.DUMMYFUNCTION("""COMPUTED_VALUE"""),"SAMSUNG 75型QLED聯網4K智慧顯示器QA75Q60DAXXZW")</f>
        <v>SAMSUNG 75型QLED聯網4K智慧顯示器QA75Q60DAXXZW</v>
      </c>
      <c r="E1247" s="12" t="str">
        <f ca="1">IFERROR(__xludf.DUMMYFUNCTION("""COMPUTED_VALUE"""),"QA75Q60DAXXZW")</f>
        <v>QA75Q60DAXXZW</v>
      </c>
      <c r="F1247" s="12">
        <f ca="1">IFERROR(__xludf.DUMMYFUNCTION("""COMPUTED_VALUE"""),51016492)</f>
        <v>51016492</v>
      </c>
      <c r="G1247" s="12" t="str">
        <f ca="1">IFERROR(__xludf.DUMMYFUNCTION("""COMPUTED_VALUE"""),"NCTV01QV")</f>
        <v>NCTV01QV</v>
      </c>
      <c r="H1247" s="13">
        <f ca="1">IFERROR(__xludf.DUMMYFUNCTION("""COMPUTED_VALUE"""),69900)</f>
        <v>69900</v>
      </c>
      <c r="I1247" s="18">
        <f ca="1">IFERROR(__xludf.DUMMYFUNCTION("""COMPUTED_VALUE"""),51900)</f>
        <v>51900</v>
      </c>
      <c r="J1247" s="16">
        <f ca="1">IFERROR(__xludf.DUMMYFUNCTION("""COMPUTED_VALUE"""),45632)</f>
        <v>45632</v>
      </c>
      <c r="K1247" s="12" t="str">
        <f ca="1">IFERROR(__xludf.DUMMYFUNCTION("""COMPUTED_VALUE"""),"永久降價")</f>
        <v>永久降價</v>
      </c>
      <c r="L1247" s="12" t="str">
        <f ca="1">IFERROR(__xludf.DUMMYFUNCTION("""COMPUTED_VALUE"""),"上架中")</f>
        <v>上架中</v>
      </c>
      <c r="M1247" s="12"/>
      <c r="N1247" s="12" t="str">
        <f ca="1">IFERROR(__xludf.DUMMYFUNCTION("""COMPUTED_VALUE"""),"螢幕/液晶電視")</f>
        <v>螢幕/液晶電視</v>
      </c>
      <c r="O1247" s="12"/>
      <c r="P1247" s="12" t="str">
        <f ca="1">IFERROR(__xludf.DUMMYFUNCTION("""COMPUTED_VALUE"""),"75型")</f>
        <v>75型</v>
      </c>
      <c r="Q1247" s="12" t="str">
        <f ca="1">IFERROR(__xludf.DUMMYFUNCTION("""COMPUTED_VALUE"""),"含底座：1676.7 x 997.3 x 320 mm
 不含底座：1676.7 x 959.8 x 26.6 mm")</f>
        <v>含底座：1676.7 x 997.3 x 320 mm
 不含底座：1676.7 x 959.8 x 26.6 mm</v>
      </c>
      <c r="R1247" s="12" t="str">
        <f ca="1">IFERROR(__xludf.DUMMYFUNCTION("""COMPUTED_VALUE"""),"越南")</f>
        <v>越南</v>
      </c>
      <c r="S1247" s="12"/>
      <c r="T1247" s="12"/>
      <c r="U1247" s="12" t="str">
        <f ca="1">IFERROR(__xludf.DUMMYFUNCTION("""COMPUTED_VALUE"""),"2年")</f>
        <v>2年</v>
      </c>
      <c r="V1247" s="12"/>
      <c r="W1247" s="12"/>
      <c r="X1247" s="12"/>
      <c r="Y1247" s="12"/>
      <c r="Z1247" s="14"/>
      <c r="AA1247" s="15" t="str">
        <f ca="1">IFERROR(__xludf.DUMMYFUNCTION("""COMPUTED_VALUE"""),"*金屬量子點顯色技術: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Sli"&amp;"m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擺放更自由*全新Smart"&amp;" Hub 介面: 新版個人化介面, 搭配全新頁籤設計, 娛樂更加快速直覺。")</f>
        <v>*金屬量子點顯色技術: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 Hub 介面: 新版個人化介面, 搭配全新頁籤設計, 娛樂更加快速直覺。</v>
      </c>
    </row>
    <row r="1248" spans="1:27" ht="19.5" customHeight="1">
      <c r="A1248" s="12" t="str">
        <f ca="1">IFERROR(__xludf.DUMMYFUNCTION("""COMPUTED_VALUE"""),"HDTV")</f>
        <v>HDTV</v>
      </c>
      <c r="B1248" s="12" t="str">
        <f ca="1">IFERROR(__xludf.DUMMYFUNCTION("""COMPUTED_VALUE"""),"神腦")</f>
        <v>神腦</v>
      </c>
      <c r="C1248" s="12" t="str">
        <f ca="1">IFERROR(__xludf.DUMMYFUNCTION("""COMPUTED_VALUE"""),"SAMSUNG")</f>
        <v>SAMSUNG</v>
      </c>
      <c r="D1248" s="12" t="str">
        <f ca="1">IFERROR(__xludf.DUMMYFUNCTION("""COMPUTED_VALUE"""),"SAMSUNG 85型QLED聯網4K智慧顯示器QA85Q60DAXXZW")</f>
        <v>SAMSUNG 85型QLED聯網4K智慧顯示器QA85Q60DAXXZW</v>
      </c>
      <c r="E1248" s="12" t="str">
        <f ca="1">IFERROR(__xludf.DUMMYFUNCTION("""COMPUTED_VALUE"""),"QA85Q60DAXXZW")</f>
        <v>QA85Q60DAXXZW</v>
      </c>
      <c r="F1248" s="12">
        <f ca="1">IFERROR(__xludf.DUMMYFUNCTION("""COMPUTED_VALUE"""),51016493)</f>
        <v>51016493</v>
      </c>
      <c r="G1248" s="12" t="str">
        <f ca="1">IFERROR(__xludf.DUMMYFUNCTION("""COMPUTED_VALUE"""),"NCTV01QW")</f>
        <v>NCTV01QW</v>
      </c>
      <c r="H1248" s="13">
        <f ca="1">IFERROR(__xludf.DUMMYFUNCTION("""COMPUTED_VALUE"""),129900)</f>
        <v>129900</v>
      </c>
      <c r="I1248" s="18">
        <f ca="1">IFERROR(__xludf.DUMMYFUNCTION("""COMPUTED_VALUE"""),115000)</f>
        <v>115000</v>
      </c>
      <c r="J1248" s="16">
        <f ca="1">IFERROR(__xludf.DUMMYFUNCTION("""COMPUTED_VALUE"""),45609)</f>
        <v>45609</v>
      </c>
      <c r="K1248" s="12" t="str">
        <f ca="1">IFERROR(__xludf.DUMMYFUNCTION("""COMPUTED_VALUE"""),"永久降價")</f>
        <v>永久降價</v>
      </c>
      <c r="L1248" s="12" t="str">
        <f ca="1">IFERROR(__xludf.DUMMYFUNCTION("""COMPUTED_VALUE"""),"上架中")</f>
        <v>上架中</v>
      </c>
      <c r="M1248" s="12"/>
      <c r="N1248" s="12" t="str">
        <f ca="1">IFERROR(__xludf.DUMMYFUNCTION("""COMPUTED_VALUE"""),"螢幕/液晶電視")</f>
        <v>螢幕/液晶電視</v>
      </c>
      <c r="O1248" s="12"/>
      <c r="P1248" s="12" t="str">
        <f ca="1">IFERROR(__xludf.DUMMYFUNCTION("""COMPUTED_VALUE"""),"85型")</f>
        <v>85型</v>
      </c>
      <c r="Q1248" s="12" t="str">
        <f ca="1">IFERROR(__xludf.DUMMYFUNCTION("""COMPUTED_VALUE"""),"含底座：1900.9 x 1123.3 x 345.1 mm
 不含底座：1900.9 x 1085.7 x 26.9 mm")</f>
        <v>含底座：1900.9 x 1123.3 x 345.1 mm
 不含底座：1900.9 x 1085.7 x 26.9 mm</v>
      </c>
      <c r="R1248" s="12" t="str">
        <f ca="1">IFERROR(__xludf.DUMMYFUNCTION("""COMPUTED_VALUE"""),"越南")</f>
        <v>越南</v>
      </c>
      <c r="S1248" s="12"/>
      <c r="T1248" s="12"/>
      <c r="U1248" s="12" t="str">
        <f ca="1">IFERROR(__xludf.DUMMYFUNCTION("""COMPUTED_VALUE"""),"2年")</f>
        <v>2年</v>
      </c>
      <c r="V1248" s="12"/>
      <c r="W1248" s="12"/>
      <c r="X1248" s="12"/>
      <c r="Y1248" s="12"/>
      <c r="Z1248" s="14"/>
      <c r="AA1248" s="15" t="str">
        <f ca="1">IFERROR(__xludf.DUMMYFUNCTION("""COMPUTED_VALUE"""),"*金屬量子點顯色技術: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Sli"&amp;"m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擺放更自由*全新Smart"&amp;" Hub 介面: 新版個人化介面, 搭配全新頁籤設計, 娛樂更加快速直覺。")</f>
        <v>*金屬量子點顯色技術: 德國VDE認證，業界最高呈現100%色域空間。*魔術音效Lite: 透過立體聲模擬技術, 強化聲音的包覆性與更豐富的環繞臨場感*跨裝置無線分享: 透過三星Smart View, iOS AirPlay2, Windows, 無線分享小螢幕到大螢幕, 娛樂或工作更加輕鬆*中文語音操控: 僅需按遙控器的麥克風鍵，即可透過語音辨識，進行頻道切換、音量變化等指令。*熱門串流平台快捷鍵: 智慧遙控器上加入 Netflix、Disney+等熱門影音平台鍵，一秒啟動精彩追劇生活。*Air Slim 纖薄機身設計: 厚度為傳統顯示器一半, 完美融入居家擺飾。*雙視光增豔技術: 獨家採用雙色背光源設計，大幅提高對比及色彩飽和度。*支援Airplay 2: 將iOS裝置的音樂,影片, 相片無線投影於大螢幕上。*魔幻音場: 三星獨家！搭配三星Q系列Soundbar, 享受螢幕喇叭結合Soundbar 的環繞立體音效。*太陽能智慧遙控器: 使用室外光線、室內光線或是Type C  就可幫遙控器充電, 創新且環保的新方式。*可調式腳座: 85"/75"更可兩段式調整腳座寬度, 擺放更自由*全新Smart Hub 介面: 新版個人化介面, 搭配全新頁籤設計, 娛樂更加快速直覺。</v>
      </c>
    </row>
    <row r="1249" spans="1:27" ht="19.5" customHeight="1">
      <c r="A1249" s="12" t="str">
        <f ca="1">IFERROR(__xludf.DUMMYFUNCTION("""COMPUTED_VALUE"""),"HDTV")</f>
        <v>HDTV</v>
      </c>
      <c r="B1249" s="12" t="str">
        <f ca="1">IFERROR(__xludf.DUMMYFUNCTION("""COMPUTED_VALUE"""),"神腦")</f>
        <v>神腦</v>
      </c>
      <c r="C1249" s="12" t="str">
        <f ca="1">IFERROR(__xludf.DUMMYFUNCTION("""COMPUTED_VALUE"""),"SAMSUNG")</f>
        <v>SAMSUNG</v>
      </c>
      <c r="D1249" s="12" t="str">
        <f ca="1">IFERROR(__xludf.DUMMYFUNCTION("""COMPUTED_VALUE"""),"SAMSUNG 55型OLED(自體發光)聯網4K智慧顯示器QA55S95DAXXZW")</f>
        <v>SAMSUNG 55型OLED(自體發光)聯網4K智慧顯示器QA55S95DAXXZW</v>
      </c>
      <c r="E1249" s="12" t="str">
        <f ca="1">IFERROR(__xludf.DUMMYFUNCTION("""COMPUTED_VALUE"""),"QA55S95DAXXZW")</f>
        <v>QA55S95DAXXZW</v>
      </c>
      <c r="F1249" s="12">
        <f ca="1">IFERROR(__xludf.DUMMYFUNCTION("""COMPUTED_VALUE"""),51016494)</f>
        <v>51016494</v>
      </c>
      <c r="G1249" s="12" t="str">
        <f ca="1">IFERROR(__xludf.DUMMYFUNCTION("""COMPUTED_VALUE"""),"NCTV01QX")</f>
        <v>NCTV01QX</v>
      </c>
      <c r="H1249" s="13">
        <f ca="1">IFERROR(__xludf.DUMMYFUNCTION("""COMPUTED_VALUE"""),79900)</f>
        <v>79900</v>
      </c>
      <c r="I1249" s="18">
        <f ca="1">IFERROR(__xludf.DUMMYFUNCTION("""COMPUTED_VALUE"""),64000)</f>
        <v>64000</v>
      </c>
      <c r="J1249" s="16">
        <f ca="1">IFERROR(__xludf.DUMMYFUNCTION("""COMPUTED_VALUE"""),45609)</f>
        <v>45609</v>
      </c>
      <c r="K1249" s="12" t="str">
        <f ca="1">IFERROR(__xludf.DUMMYFUNCTION("""COMPUTED_VALUE"""),"永久降價")</f>
        <v>永久降價</v>
      </c>
      <c r="L1249" s="12" t="str">
        <f ca="1">IFERROR(__xludf.DUMMYFUNCTION("""COMPUTED_VALUE"""),"上架中")</f>
        <v>上架中</v>
      </c>
      <c r="M1249" s="12"/>
      <c r="N1249" s="12" t="str">
        <f ca="1">IFERROR(__xludf.DUMMYFUNCTION("""COMPUTED_VALUE"""),"螢幕/液晶電視")</f>
        <v>螢幕/液晶電視</v>
      </c>
      <c r="O1249" s="12"/>
      <c r="P1249" s="12" t="str">
        <f ca="1">IFERROR(__xludf.DUMMYFUNCTION("""COMPUTED_VALUE"""),"55型")</f>
        <v>55型</v>
      </c>
      <c r="Q1249" s="12" t="str">
        <f ca="1">IFERROR(__xludf.DUMMYFUNCTION("""COMPUTED_VALUE"""),"含底座：1224.6 x 771.4 x 267.9 mm
 不含底座：1224.6 x 706.3 x 11.0 mm")</f>
        <v>含底座：1224.6 x 771.4 x 267.9 mm
 不含底座：1224.6 x 706.3 x 11.0 mm</v>
      </c>
      <c r="R1249" s="12" t="str">
        <f ca="1">IFERROR(__xludf.DUMMYFUNCTION("""COMPUTED_VALUE"""),"越南")</f>
        <v>越南</v>
      </c>
      <c r="S1249" s="12"/>
      <c r="T1249" s="12"/>
      <c r="U1249" s="12" t="str">
        <f ca="1">IFERROR(__xludf.DUMMYFUNCTION("""COMPUTED_VALUE"""),"2年")</f>
        <v>2年</v>
      </c>
      <c r="V1249" s="12"/>
      <c r="W1249" s="12"/>
      <c r="X1249" s="12"/>
      <c r="Y1249" s="12"/>
      <c r="Z1249" s="14"/>
      <c r="AA1249" s="15" t="str">
        <f ca="1">IFERROR(__xludf.DUMMYFUNCTION("""COMPUTED_VALUE"""),"*OLED 自體發光科技: 每個像素獨立發光，提供最純淨極緻的黑白對比。*量子點塗層: 透過獨家量子點薄膜，獲得Pantone色彩認證，展現豐富色彩表現。*抗反光真星黑面板: 降低漫射，柔和光線反射, 猶如黑洞吸收外來光線。*NQ4 AI 第二代高校處理器: 搭載20個AI神經網絡, NPU速度較上一代提升4倍。*4K AI 影像升頻技術:最新AI 科技提升為類4K影像, 提供最適合且最佳的畫面呈現。*極廣域視角: 背光源集中且均勻擴散至螢幕,放大消費者觀賞角度, 享受一致色彩表現。*70W總輸出 4.2"&amp;".2聲道: 完美還原Dolby Atmos且結合三星獨家音效技術, 影音最高等級享受 *獨家美型集線器: 首款結合三星獨家美型集線器設計之OLED, 整合電源及訊號源, 收納擺放更得心應手*護眼認證: 榮獲德國VDE護眼認證，提供最舒適的觀看體驗。*最高支援4K 144 Hz: 內建4組HDMI 2.1,還原HDR遊戲體驗且Freestyle Premium Pro認證,  遊戲流暢不卡頓*跨裝置無線分享: 透過三星Smart View, iOS AirPlay2, Windows, 無線分享小螢幕到大螢"&amp;"幕, 娛樂或工作更加輕鬆*中文語音操控: 僅需按遙控器的麥克風鍵，即可透過語音辨識，進行頻道切換、音量變化等指令。*熱門串流平台快捷鍵: 太陽能智慧遙控器上加入 Netflix、Disney+等熱門影音平台鍵，一秒啟動精彩追劇生活。")</f>
        <v>*OLED 自體發光科技: 每個像素獨立發光，提供最純淨極緻的黑白對比。*量子點塗層: 透過獨家量子點薄膜，獲得Pantone色彩認證，展現豐富色彩表現。*抗反光真星黑面板: 降低漫射，柔和光線反射, 猶如黑洞吸收外來光線。*NQ4 AI 第二代高校處理器: 搭載20個AI神經網絡, NPU速度較上一代提升4倍。*4K AI 影像升頻技術:最新AI 科技提升為類4K影像, 提供最適合且最佳的畫面呈現。*極廣域視角: 背光源集中且均勻擴散至螢幕,放大消費者觀賞角度, 享受一致色彩表現。*70W總輸出 4.2.2聲道: 完美還原Dolby Atmos且結合三星獨家音效技術, 影音最高等級享受 *獨家美型集線器: 首款結合三星獨家美型集線器設計之OLED, 整合電源及訊號源, 收納擺放更得心應手*護眼認證: 榮獲德國VDE護眼認證，提供最舒適的觀看體驗。*最高支援4K 144 Hz: 內建4組HDMI 2.1,還原HDR遊戲體驗且Freestyle Premium Pro認證,  遊戲流暢不卡頓*跨裝置無線分享: 透過三星Smart View, iOS AirPlay2, Windows, 無線分享小螢幕到大螢幕, 娛樂或工作更加輕鬆*中文語音操控: 僅需按遙控器的麥克風鍵，即可透過語音辨識，進行頻道切換、音量變化等指令。*熱門串流平台快捷鍵: 太陽能智慧遙控器上加入 Netflix、Disney+等熱門影音平台鍵，一秒啟動精彩追劇生活。</v>
      </c>
    </row>
    <row r="1250" spans="1:27" ht="19.5" customHeight="1">
      <c r="A1250" s="12" t="str">
        <f ca="1">IFERROR(__xludf.DUMMYFUNCTION("""COMPUTED_VALUE"""),"HDTV")</f>
        <v>HDTV</v>
      </c>
      <c r="B1250" s="12" t="str">
        <f ca="1">IFERROR(__xludf.DUMMYFUNCTION("""COMPUTED_VALUE"""),"神腦")</f>
        <v>神腦</v>
      </c>
      <c r="C1250" s="12" t="str">
        <f ca="1">IFERROR(__xludf.DUMMYFUNCTION("""COMPUTED_VALUE"""),"SAMSUNG")</f>
        <v>SAMSUNG</v>
      </c>
      <c r="D1250" s="12" t="str">
        <f ca="1">IFERROR(__xludf.DUMMYFUNCTION("""COMPUTED_VALUE"""),"SAMSUNG 65型OLED(自體發光)聯網4K智慧顯示器QA65S95DAXXZW")</f>
        <v>SAMSUNG 65型OLED(自體發光)聯網4K智慧顯示器QA65S95DAXXZW</v>
      </c>
      <c r="E1250" s="12" t="str">
        <f ca="1">IFERROR(__xludf.DUMMYFUNCTION("""COMPUTED_VALUE"""),"QA65S95DAXXZW")</f>
        <v>QA65S95DAXXZW</v>
      </c>
      <c r="F1250" s="12">
        <f ca="1">IFERROR(__xludf.DUMMYFUNCTION("""COMPUTED_VALUE"""),51016495)</f>
        <v>51016495</v>
      </c>
      <c r="G1250" s="12" t="str">
        <f ca="1">IFERROR(__xludf.DUMMYFUNCTION("""COMPUTED_VALUE"""),"NCTV01QY")</f>
        <v>NCTV01QY</v>
      </c>
      <c r="H1250" s="13">
        <f ca="1">IFERROR(__xludf.DUMMYFUNCTION("""COMPUTED_VALUE"""),114900)</f>
        <v>114900</v>
      </c>
      <c r="I1250" s="18">
        <f ca="1">IFERROR(__xludf.DUMMYFUNCTION("""COMPUTED_VALUE"""),89000)</f>
        <v>89000</v>
      </c>
      <c r="J1250" s="16">
        <f ca="1">IFERROR(__xludf.DUMMYFUNCTION("""COMPUTED_VALUE"""),45632)</f>
        <v>45632</v>
      </c>
      <c r="K1250" s="12" t="str">
        <f ca="1">IFERROR(__xludf.DUMMYFUNCTION("""COMPUTED_VALUE"""),"永久降價")</f>
        <v>永久降價</v>
      </c>
      <c r="L1250" s="12" t="str">
        <f ca="1">IFERROR(__xludf.DUMMYFUNCTION("""COMPUTED_VALUE"""),"上架中")</f>
        <v>上架中</v>
      </c>
      <c r="M1250" s="12"/>
      <c r="N1250" s="12" t="str">
        <f ca="1">IFERROR(__xludf.DUMMYFUNCTION("""COMPUTED_VALUE"""),"螢幕/液晶電視")</f>
        <v>螢幕/液晶電視</v>
      </c>
      <c r="O1250" s="12"/>
      <c r="P1250" s="12" t="str">
        <f ca="1">IFERROR(__xludf.DUMMYFUNCTION("""COMPUTED_VALUE"""),"65型")</f>
        <v>65型</v>
      </c>
      <c r="Q1250" s="12" t="str">
        <f ca="1">IFERROR(__xludf.DUMMYFUNCTION("""COMPUTED_VALUE"""),"含底座：1443.5 x 894.4 x 267.9 mm
 不含底座：1443.5 x 829.4 x 11.0 mm")</f>
        <v>含底座：1443.5 x 894.4 x 267.9 mm
 不含底座：1443.5 x 829.4 x 11.0 mm</v>
      </c>
      <c r="R1250" s="12" t="str">
        <f ca="1">IFERROR(__xludf.DUMMYFUNCTION("""COMPUTED_VALUE"""),"越南")</f>
        <v>越南</v>
      </c>
      <c r="S1250" s="12"/>
      <c r="T1250" s="12"/>
      <c r="U1250" s="12" t="str">
        <f ca="1">IFERROR(__xludf.DUMMYFUNCTION("""COMPUTED_VALUE"""),"2年")</f>
        <v>2年</v>
      </c>
      <c r="V1250" s="12"/>
      <c r="W1250" s="12"/>
      <c r="X1250" s="12"/>
      <c r="Y1250" s="12"/>
      <c r="Z1250" s="14"/>
      <c r="AA1250" s="15" t="str">
        <f ca="1">IFERROR(__xludf.DUMMYFUNCTION("""COMPUTED_VALUE"""),"*OLED 自體發光科技: 每個像素獨立發光，提供最純淨極緻的黑白對比。*量子點塗層: 透過獨家量子點薄膜，獲得Pantone色彩認證，展現豐富色彩表現。*抗反光真星黑面板: 降低漫射，柔和光線反射, 猶如黑洞吸收外來光線。*NQ4 AI 第二代高校處理器: 搭載20個AI神經網絡, NPU速度較上一代提升4倍。*4K AI 影像升頻技術:最新AI 科技提升為類4K影像, 提供最適合且最佳的畫面呈現。*極廣域視角: 背光源集中且均勻擴散至螢幕,放大消費者觀賞角度, 享受一致色彩表現。*70W總輸出 4.2"&amp;".2聲道: 完美還原Dolby Atmos且結合三星獨家音效技術, 影音最高等級享受 *獨家美型集線器: 首款結合三星獨家美型集線器設計之OLED, 整合電源及訊號源, 收納擺放更得心應手*護眼認證: 榮獲德國VDE護眼認證，提供最舒適的觀看體驗。*最高支援4K 144 Hz: 內建4組HDMI 2.1,還原HDR遊戲體驗且Freestyle Premium Pro認證,  遊戲流暢不卡頓*跨裝置無線分享: 透過三星Smart View, iOS AirPlay2, Windows, 無線分享小螢幕到大螢"&amp;"幕, 娛樂或工作更加輕鬆*中文語音操控: 僅需按遙控器的麥克風鍵，即可透過語音辨識，進行頻道切換、音量變化等指令。*熱門串流平台快捷鍵: 太陽能智慧遙控器上加入 Netflix、Disney+等熱門影音平台鍵，一秒啟動精彩追劇生活。")</f>
        <v>*OLED 自體發光科技: 每個像素獨立發光，提供最純淨極緻的黑白對比。*量子點塗層: 透過獨家量子點薄膜，獲得Pantone色彩認證，展現豐富色彩表現。*抗反光真星黑面板: 降低漫射，柔和光線反射, 猶如黑洞吸收外來光線。*NQ4 AI 第二代高校處理器: 搭載20個AI神經網絡, NPU速度較上一代提升4倍。*4K AI 影像升頻技術:最新AI 科技提升為類4K影像, 提供最適合且最佳的畫面呈現。*極廣域視角: 背光源集中且均勻擴散至螢幕,放大消費者觀賞角度, 享受一致色彩表現。*70W總輸出 4.2.2聲道: 完美還原Dolby Atmos且結合三星獨家音效技術, 影音最高等級享受 *獨家美型集線器: 首款結合三星獨家美型集線器設計之OLED, 整合電源及訊號源, 收納擺放更得心應手*護眼認證: 榮獲德國VDE護眼認證，提供最舒適的觀看體驗。*最高支援4K 144 Hz: 內建4組HDMI 2.1,還原HDR遊戲體驗且Freestyle Premium Pro認證,  遊戲流暢不卡頓*跨裝置無線分享: 透過三星Smart View, iOS AirPlay2, Windows, 無線分享小螢幕到大螢幕, 娛樂或工作更加輕鬆*中文語音操控: 僅需按遙控器的麥克風鍵，即可透過語音辨識，進行頻道切換、音量變化等指令。*熱門串流平台快捷鍵: 太陽能智慧遙控器上加入 Netflix、Disney+等熱門影音平台鍵，一秒啟動精彩追劇生活。</v>
      </c>
    </row>
    <row r="1251" spans="1:27" ht="19.5" customHeight="1">
      <c r="A1251" s="12" t="str">
        <f ca="1">IFERROR(__xludf.DUMMYFUNCTION("""COMPUTED_VALUE"""),"HDTV")</f>
        <v>HDTV</v>
      </c>
      <c r="B1251" s="12" t="str">
        <f ca="1">IFERROR(__xludf.DUMMYFUNCTION("""COMPUTED_VALUE"""),"神腦")</f>
        <v>神腦</v>
      </c>
      <c r="C1251" s="12" t="str">
        <f ca="1">IFERROR(__xludf.DUMMYFUNCTION("""COMPUTED_VALUE"""),"SAMSUNG")</f>
        <v>SAMSUNG</v>
      </c>
      <c r="D1251" s="12" t="str">
        <f ca="1">IFERROR(__xludf.DUMMYFUNCTION("""COMPUTED_VALUE"""),"SAMSUNG 77型OLED(自體發光)聯網4K智慧顯示器QA77S95DAXXZW")</f>
        <v>SAMSUNG 77型OLED(自體發光)聯網4K智慧顯示器QA77S95DAXXZW</v>
      </c>
      <c r="E1251" s="12" t="str">
        <f ca="1">IFERROR(__xludf.DUMMYFUNCTION("""COMPUTED_VALUE"""),"QA77S95DAXXZW")</f>
        <v>QA77S95DAXXZW</v>
      </c>
      <c r="F1251" s="12">
        <f ca="1">IFERROR(__xludf.DUMMYFUNCTION("""COMPUTED_VALUE"""),51016496)</f>
        <v>51016496</v>
      </c>
      <c r="G1251" s="12" t="str">
        <f ca="1">IFERROR(__xludf.DUMMYFUNCTION("""COMPUTED_VALUE"""),"NCTV01QZ")</f>
        <v>NCTV01QZ</v>
      </c>
      <c r="H1251" s="13">
        <f ca="1">IFERROR(__xludf.DUMMYFUNCTION("""COMPUTED_VALUE"""),154900)</f>
        <v>154900</v>
      </c>
      <c r="I1251" s="18">
        <f ca="1">IFERROR(__xludf.DUMMYFUNCTION("""COMPUTED_VALUE"""),119000)</f>
        <v>119000</v>
      </c>
      <c r="J1251" s="16">
        <f ca="1">IFERROR(__xludf.DUMMYFUNCTION("""COMPUTED_VALUE"""),45632)</f>
        <v>45632</v>
      </c>
      <c r="K1251" s="12" t="str">
        <f ca="1">IFERROR(__xludf.DUMMYFUNCTION("""COMPUTED_VALUE"""),"永久降價")</f>
        <v>永久降價</v>
      </c>
      <c r="L1251" s="12" t="str">
        <f ca="1">IFERROR(__xludf.DUMMYFUNCTION("""COMPUTED_VALUE"""),"上架中")</f>
        <v>上架中</v>
      </c>
      <c r="M1251" s="12"/>
      <c r="N1251" s="12" t="str">
        <f ca="1">IFERROR(__xludf.DUMMYFUNCTION("""COMPUTED_VALUE"""),"螢幕/液晶電視")</f>
        <v>螢幕/液晶電視</v>
      </c>
      <c r="O1251" s="12"/>
      <c r="P1251" s="12" t="str">
        <f ca="1">IFERROR(__xludf.DUMMYFUNCTION("""COMPUTED_VALUE"""),"77型")</f>
        <v>77型</v>
      </c>
      <c r="Q1251" s="12" t="str">
        <f ca="1">IFERROR(__xludf.DUMMYFUNCTION("""COMPUTED_VALUE"""),"含底座：1716.6 x 1048.1 x 286.4 mm
 不含底座：1716.6 x 984.1 x 11.2 mm")</f>
        <v>含底座：1716.6 x 1048.1 x 286.4 mm
 不含底座：1716.6 x 984.1 x 11.2 mm</v>
      </c>
      <c r="R1251" s="12" t="str">
        <f ca="1">IFERROR(__xludf.DUMMYFUNCTION("""COMPUTED_VALUE"""),"越南")</f>
        <v>越南</v>
      </c>
      <c r="S1251" s="12"/>
      <c r="T1251" s="12"/>
      <c r="U1251" s="12" t="str">
        <f ca="1">IFERROR(__xludf.DUMMYFUNCTION("""COMPUTED_VALUE"""),"2年")</f>
        <v>2年</v>
      </c>
      <c r="V1251" s="12"/>
      <c r="W1251" s="12"/>
      <c r="X1251" s="12"/>
      <c r="Y1251" s="12"/>
      <c r="Z1251" s="14"/>
      <c r="AA1251" s="15" t="str">
        <f ca="1">IFERROR(__xludf.DUMMYFUNCTION("""COMPUTED_VALUE"""),"*OLED 自體發光科技: 每個像素獨立發光，提供最純淨極緻的黑白對比。*量子點塗層: 透過獨家量子點薄膜，獲得Pantone色彩認證，展現豐富色彩表現。*抗反光真星黑面板: 降低漫射，柔和光線反射, 猶如黑洞吸收外來光線。*NQ4 AI 第二代高校處理器: 搭載20個AI神經網絡, NPU速度較上一代提升4倍。*4K AI 影像升頻技術:最新AI 科技提升為類4K影像, 提供最適合且最佳的畫面呈現。*極廣域視角: 背光源集中且均勻擴散至螢幕,放大消費者觀賞角度, 享受一致色彩表現。*70W總輸出 4.2"&amp;".2聲道: 完美還原Dolby Atmos且結合三星獨家音效技術, 影音最高等級享受 *獨家美型集線器: 首款結合三星獨家美型集線器設計之OLED, 整合電源及訊號源, 收納擺放更得心應手*護眼認證: 榮獲德國VDE護眼認證，提供最舒適的觀看體驗。*最高支援4K 144 Hz: 內建4組HDMI 2.1,還原HDR遊戲體驗且Freestyle Premium Pro認證,  遊戲流暢不卡頓*跨裝置無線分享: 透過三星Smart View, iOS AirPlay2, Windows, 無線分享小螢幕到大螢"&amp;"幕, 娛樂或工作更加輕鬆*中文語音操控: 僅需按遙控器的麥克風鍵，即可透過語音辨識，進行頻道切換、音量變化等指令。*熱門串流平台快捷鍵: 太陽能智慧遙控器上加入 Netflix、Disney+等熱門影音平台鍵，一秒啟動精彩追劇生活。")</f>
        <v>*OLED 自體發光科技: 每個像素獨立發光，提供最純淨極緻的黑白對比。*量子點塗層: 透過獨家量子點薄膜，獲得Pantone色彩認證，展現豐富色彩表現。*抗反光真星黑面板: 降低漫射，柔和光線反射, 猶如黑洞吸收外來光線。*NQ4 AI 第二代高校處理器: 搭載20個AI神經網絡, NPU速度較上一代提升4倍。*4K AI 影像升頻技術:最新AI 科技提升為類4K影像, 提供最適合且最佳的畫面呈現。*極廣域視角: 背光源集中且均勻擴散至螢幕,放大消費者觀賞角度, 享受一致色彩表現。*70W總輸出 4.2.2聲道: 完美還原Dolby Atmos且結合三星獨家音效技術, 影音最高等級享受 *獨家美型集線器: 首款結合三星獨家美型集線器設計之OLED, 整合電源及訊號源, 收納擺放更得心應手*護眼認證: 榮獲德國VDE護眼認證，提供最舒適的觀看體驗。*最高支援4K 144 Hz: 內建4組HDMI 2.1,還原HDR遊戲體驗且Freestyle Premium Pro認證,  遊戲流暢不卡頓*跨裝置無線分享: 透過三星Smart View, iOS AirPlay2, Windows, 無線分享小螢幕到大螢幕, 娛樂或工作更加輕鬆*中文語音操控: 僅需按遙控器的麥克風鍵，即可透過語音辨識，進行頻道切換、音量變化等指令。*熱門串流平台快捷鍵: 太陽能智慧遙控器上加入 Netflix、Disney+等熱門影音平台鍵，一秒啟動精彩追劇生活。</v>
      </c>
    </row>
    <row r="1252" spans="1:27" ht="19.5" customHeight="1">
      <c r="A1252" s="12" t="str">
        <f ca="1">IFERROR(__xludf.DUMMYFUNCTION("""COMPUTED_VALUE"""),"HDTV")</f>
        <v>HDTV</v>
      </c>
      <c r="B1252" s="12" t="str">
        <f ca="1">IFERROR(__xludf.DUMMYFUNCTION("""COMPUTED_VALUE"""),"神腦")</f>
        <v>神腦</v>
      </c>
      <c r="C1252" s="12" t="str">
        <f ca="1">IFERROR(__xludf.DUMMYFUNCTION("""COMPUTED_VALUE"""),"SAMSUNG")</f>
        <v>SAMSUNG</v>
      </c>
      <c r="D1252" s="12" t="str">
        <f ca="1">IFERROR(__xludf.DUMMYFUNCTION("""COMPUTED_VALUE"""),"SAMSUNG 55型Neo QLED 4K智慧聯網120Hz Mini LED液晶顯示器QA55QN87DAXXZW")</f>
        <v>SAMSUNG 55型Neo QLED 4K智慧聯網120Hz Mini LED液晶顯示器QA55QN87DAXXZW</v>
      </c>
      <c r="E1252" s="12" t="str">
        <f ca="1">IFERROR(__xludf.DUMMYFUNCTION("""COMPUTED_VALUE"""),"QA55QN87DAXXZW")</f>
        <v>QA55QN87DAXXZW</v>
      </c>
      <c r="F1252" s="12">
        <f ca="1">IFERROR(__xludf.DUMMYFUNCTION("""COMPUTED_VALUE"""),51016549)</f>
        <v>51016549</v>
      </c>
      <c r="G1252" s="12" t="str">
        <f ca="1">IFERROR(__xludf.DUMMYFUNCTION("""COMPUTED_VALUE"""),"NCTV01T7")</f>
        <v>NCTV01T7</v>
      </c>
      <c r="H1252" s="13">
        <f ca="1">IFERROR(__xludf.DUMMYFUNCTION("""COMPUTED_VALUE"""),54900)</f>
        <v>54900</v>
      </c>
      <c r="I1252" s="18">
        <f ca="1">IFERROR(__xludf.DUMMYFUNCTION("""COMPUTED_VALUE"""),45900)</f>
        <v>45900</v>
      </c>
      <c r="J1252" s="16">
        <f ca="1">IFERROR(__xludf.DUMMYFUNCTION("""COMPUTED_VALUE"""),45632)</f>
        <v>45632</v>
      </c>
      <c r="K1252" s="12" t="str">
        <f ca="1">IFERROR(__xludf.DUMMYFUNCTION("""COMPUTED_VALUE"""),"新機上架")</f>
        <v>新機上架</v>
      </c>
      <c r="L1252" s="12" t="str">
        <f ca="1">IFERROR(__xludf.DUMMYFUNCTION("""COMPUTED_VALUE"""),"上架中")</f>
        <v>上架中</v>
      </c>
      <c r="M1252" s="12"/>
      <c r="N1252" s="12" t="str">
        <f ca="1">IFERROR(__xludf.DUMMYFUNCTION("""COMPUTED_VALUE"""),"螢幕/液晶電視")</f>
        <v>螢幕/液晶電視</v>
      </c>
      <c r="O1252" s="12"/>
      <c r="P1252" s="12" t="str">
        <f ca="1">IFERROR(__xludf.DUMMYFUNCTION("""COMPUTED_VALUE"""),"55型")</f>
        <v>55型</v>
      </c>
      <c r="Q1252" s="12" t="str">
        <f ca="1">IFERROR(__xludf.DUMMYFUNCTION("""COMPUTED_VALUE"""),"含底座：1227.4 x 768.7 x 243.9 mm
不含底座：1227.4 x 705.6 x 26.9 mm")</f>
        <v>含底座：1227.4 x 768.7 x 243.9 mm
不含底座：1227.4 x 705.6 x 26.9 mm</v>
      </c>
      <c r="R1252" s="12" t="str">
        <f ca="1">IFERROR(__xludf.DUMMYFUNCTION("""COMPUTED_VALUE"""),"越南")</f>
        <v>越南</v>
      </c>
      <c r="S1252" s="12"/>
      <c r="T1252" s="12"/>
      <c r="U1252" s="12" t="str">
        <f ca="1">IFERROR(__xludf.DUMMYFUNCTION("""COMPUTED_VALUE"""),"2年")</f>
        <v>2年</v>
      </c>
      <c r="V1252" s="12"/>
      <c r="W1252" s="12"/>
      <c r="X1252" s="12"/>
      <c r="Y1252" s="12"/>
      <c r="Z1252" s="14"/>
      <c r="AA1252" s="15" t="str">
        <f ca="1">IFERROR(__xludf.DUMMYFUNCTION("""COMPUTED_VALUE"""),"*NQ4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"&amp;"2.2.2聲道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搭配次世代遊戲機首選*太陽能"&amp;"智慧遙控器: 使用室外光線、室內光線或是Type C , 新導入無線射頻獵能技術, 以環保的概念永續愛地球。*全新Smart Hub 介面: 新版個人化介面, 搭配全新頁籤設計, 娛樂更加快速直覺。")</f>
        <v>*NQ4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搭配次世代遊戲機首選*太陽能智慧遙控器: 使用室外光線、室內光線或是Type C , 新導入無線射頻獵能技術, 以環保的概念永續愛地球。*全新Smart Hub 介面: 新版個人化介面, 搭配全新頁籤設計, 娛樂更加快速直覺。</v>
      </c>
    </row>
    <row r="1253" spans="1:27" ht="19.5" customHeight="1">
      <c r="A1253" s="12" t="str">
        <f ca="1">IFERROR(__xludf.DUMMYFUNCTION("""COMPUTED_VALUE"""),"HDTV")</f>
        <v>HDTV</v>
      </c>
      <c r="B1253" s="12" t="str">
        <f ca="1">IFERROR(__xludf.DUMMYFUNCTION("""COMPUTED_VALUE"""),"神腦")</f>
        <v>神腦</v>
      </c>
      <c r="C1253" s="12" t="str">
        <f ca="1">IFERROR(__xludf.DUMMYFUNCTION("""COMPUTED_VALUE"""),"SAMSUNG")</f>
        <v>SAMSUNG</v>
      </c>
      <c r="D1253" s="12" t="str">
        <f ca="1">IFERROR(__xludf.DUMMYFUNCTION("""COMPUTED_VALUE"""),"SAMSUNG 65型Neo QLED 4K智慧聯網120Hz Mini LED液晶顯示器QA65QN87DAXXZW")</f>
        <v>SAMSUNG 65型Neo QLED 4K智慧聯網120Hz Mini LED液晶顯示器QA65QN87DAXXZW</v>
      </c>
      <c r="E1253" s="12" t="str">
        <f ca="1">IFERROR(__xludf.DUMMYFUNCTION("""COMPUTED_VALUE"""),"QA65QN87DAXXZW")</f>
        <v>QA65QN87DAXXZW</v>
      </c>
      <c r="F1253" s="12">
        <f ca="1">IFERROR(__xludf.DUMMYFUNCTION("""COMPUTED_VALUE"""),51016550)</f>
        <v>51016550</v>
      </c>
      <c r="G1253" s="12" t="str">
        <f ca="1">IFERROR(__xludf.DUMMYFUNCTION("""COMPUTED_VALUE"""),"NCTV01T8")</f>
        <v>NCTV01T8</v>
      </c>
      <c r="H1253" s="13">
        <f ca="1">IFERROR(__xludf.DUMMYFUNCTION("""COMPUTED_VALUE"""),67900)</f>
        <v>67900</v>
      </c>
      <c r="I1253" s="18">
        <f ca="1">IFERROR(__xludf.DUMMYFUNCTION("""COMPUTED_VALUE"""),48900)</f>
        <v>48900</v>
      </c>
      <c r="J1253" s="16">
        <f ca="1">IFERROR(__xludf.DUMMYFUNCTION("""COMPUTED_VALUE"""),45632)</f>
        <v>45632</v>
      </c>
      <c r="K1253" s="12" t="str">
        <f ca="1">IFERROR(__xludf.DUMMYFUNCTION("""COMPUTED_VALUE"""),"新機上架")</f>
        <v>新機上架</v>
      </c>
      <c r="L1253" s="12" t="str">
        <f ca="1">IFERROR(__xludf.DUMMYFUNCTION("""COMPUTED_VALUE"""),"上架中")</f>
        <v>上架中</v>
      </c>
      <c r="M1253" s="12"/>
      <c r="N1253" s="12" t="str">
        <f ca="1">IFERROR(__xludf.DUMMYFUNCTION("""COMPUTED_VALUE"""),"螢幕/液晶電視")</f>
        <v>螢幕/液晶電視</v>
      </c>
      <c r="O1253" s="12"/>
      <c r="P1253" s="12" t="str">
        <f ca="1">IFERROR(__xludf.DUMMYFUNCTION("""COMPUTED_VALUE"""),"65型")</f>
        <v>65型</v>
      </c>
      <c r="Q1253" s="12" t="str">
        <f ca="1">IFERROR(__xludf.DUMMYFUNCTION("""COMPUTED_VALUE"""),"含底座：1446.3 x 889.8 x 259.6 mm
不含底座：1446.3 x 828.7 x 26.9 mm")</f>
        <v>含底座：1446.3 x 889.8 x 259.6 mm
不含底座：1446.3 x 828.7 x 26.9 mm</v>
      </c>
      <c r="R1253" s="12" t="str">
        <f ca="1">IFERROR(__xludf.DUMMYFUNCTION("""COMPUTED_VALUE"""),"越南")</f>
        <v>越南</v>
      </c>
      <c r="S1253" s="12"/>
      <c r="T1253" s="12"/>
      <c r="U1253" s="12" t="str">
        <f ca="1">IFERROR(__xludf.DUMMYFUNCTION("""COMPUTED_VALUE"""),"2年")</f>
        <v>2年</v>
      </c>
      <c r="V1253" s="12"/>
      <c r="W1253" s="12"/>
      <c r="X1253" s="12"/>
      <c r="Y1253" s="12"/>
      <c r="Z1253" s="14"/>
      <c r="AA1253" s="15" t="str">
        <f ca="1">IFERROR(__xludf.DUMMYFUNCTION("""COMPUTED_VALUE"""),"*NQ4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"&amp;"2.2.2聲道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搭配次世代遊戲機首選*太陽能"&amp;"智慧遙控器: 使用室外光線、室內光線或是Type C , 新導入無線射頻獵能技術, 以環保的概念永續愛地球。*全新Smart Hub 介面: 新版個人化介面, 搭配全新頁籤設計, 娛樂更加快速直覺。")</f>
        <v>*NQ4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搭配次世代遊戲機首選*太陽能智慧遙控器: 使用室外光線、室內光線或是Type C , 新導入無線射頻獵能技術, 以環保的概念永續愛地球。*全新Smart Hub 介面: 新版個人化介面, 搭配全新頁籤設計, 娛樂更加快速直覺。</v>
      </c>
    </row>
    <row r="1254" spans="1:27" ht="19.5" customHeight="1">
      <c r="A1254" s="12" t="str">
        <f ca="1">IFERROR(__xludf.DUMMYFUNCTION("""COMPUTED_VALUE"""),"HDTV")</f>
        <v>HDTV</v>
      </c>
      <c r="B1254" s="12" t="str">
        <f ca="1">IFERROR(__xludf.DUMMYFUNCTION("""COMPUTED_VALUE"""),"神腦")</f>
        <v>神腦</v>
      </c>
      <c r="C1254" s="12" t="str">
        <f ca="1">IFERROR(__xludf.DUMMYFUNCTION("""COMPUTED_VALUE"""),"SAMSUNG")</f>
        <v>SAMSUNG</v>
      </c>
      <c r="D1254" s="12" t="str">
        <f ca="1">IFERROR(__xludf.DUMMYFUNCTION("""COMPUTED_VALUE"""),"SAMSUNG 75型Neo QLED 4K智慧聯網120Hz Mini LED液晶顯示器QA75QN87DAXXZW")</f>
        <v>SAMSUNG 75型Neo QLED 4K智慧聯網120Hz Mini LED液晶顯示器QA75QN87DAXXZW</v>
      </c>
      <c r="E1254" s="12" t="str">
        <f ca="1">IFERROR(__xludf.DUMMYFUNCTION("""COMPUTED_VALUE"""),"QA75QN87DAXXZW")</f>
        <v>QA75QN87DAXXZW</v>
      </c>
      <c r="F1254" s="12">
        <f ca="1">IFERROR(__xludf.DUMMYFUNCTION("""COMPUTED_VALUE"""),51016551)</f>
        <v>51016551</v>
      </c>
      <c r="G1254" s="12" t="str">
        <f ca="1">IFERROR(__xludf.DUMMYFUNCTION("""COMPUTED_VALUE"""),"NCTV01T9")</f>
        <v>NCTV01T9</v>
      </c>
      <c r="H1254" s="13">
        <f ca="1">IFERROR(__xludf.DUMMYFUNCTION("""COMPUTED_VALUE"""),94900)</f>
        <v>94900</v>
      </c>
      <c r="I1254" s="18">
        <f ca="1">IFERROR(__xludf.DUMMYFUNCTION("""COMPUTED_VALUE"""),69900)</f>
        <v>69900</v>
      </c>
      <c r="J1254" s="16">
        <f ca="1">IFERROR(__xludf.DUMMYFUNCTION("""COMPUTED_VALUE"""),45632)</f>
        <v>45632</v>
      </c>
      <c r="K1254" s="12" t="str">
        <f ca="1">IFERROR(__xludf.DUMMYFUNCTION("""COMPUTED_VALUE"""),"新機上架")</f>
        <v>新機上架</v>
      </c>
      <c r="L1254" s="12" t="str">
        <f ca="1">IFERROR(__xludf.DUMMYFUNCTION("""COMPUTED_VALUE"""),"上架中")</f>
        <v>上架中</v>
      </c>
      <c r="M1254" s="12"/>
      <c r="N1254" s="12" t="str">
        <f ca="1">IFERROR(__xludf.DUMMYFUNCTION("""COMPUTED_VALUE"""),"螢幕/液晶電視")</f>
        <v>螢幕/液晶電視</v>
      </c>
      <c r="O1254" s="12"/>
      <c r="P1254" s="12" t="str">
        <f ca="1">IFERROR(__xludf.DUMMYFUNCTION("""COMPUTED_VALUE"""),"75型")</f>
        <v>75型</v>
      </c>
      <c r="Q1254" s="12" t="str">
        <f ca="1">IFERROR(__xludf.DUMMYFUNCTION("""COMPUTED_VALUE"""),"含底座：1670.0 x 1015.5 x 274.8 mm
不含底座：1670.0 x 957.4 x 27.7 mm")</f>
        <v>含底座：1670.0 x 1015.5 x 274.8 mm
不含底座：1670.0 x 957.4 x 27.7 mm</v>
      </c>
      <c r="R1254" s="12" t="str">
        <f ca="1">IFERROR(__xludf.DUMMYFUNCTION("""COMPUTED_VALUE"""),"越南")</f>
        <v>越南</v>
      </c>
      <c r="S1254" s="12"/>
      <c r="T1254" s="12"/>
      <c r="U1254" s="12" t="str">
        <f ca="1">IFERROR(__xludf.DUMMYFUNCTION("""COMPUTED_VALUE"""),"2年")</f>
        <v>2年</v>
      </c>
      <c r="V1254" s="12"/>
      <c r="W1254" s="12"/>
      <c r="X1254" s="12"/>
      <c r="Y1254" s="12"/>
      <c r="Z1254" s="14"/>
      <c r="AA1254" s="15" t="str">
        <f ca="1">IFERROR(__xludf.DUMMYFUNCTION("""COMPUTED_VALUE"""),"*NQ4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"&amp;"2.2.2聲道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搭配次世代遊戲機首選*太陽能"&amp;"智慧遙控器: 使用室外光線、室內光線或是Type C , 新導入無線射頻獵能技術, 以環保的概念永續愛地球。*全新Smart Hub 介面: 新版個人化介面, 搭配全新頁籤設計, 娛樂更加快速直覺。")</f>
        <v>*NQ4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搭配次世代遊戲機首選*太陽能智慧遙控器: 使用室外光線、室內光線或是Type C , 新導入無線射頻獵能技術, 以環保的概念永續愛地球。*全新Smart Hub 介面: 新版個人化介面, 搭配全新頁籤設計, 娛樂更加快速直覺。</v>
      </c>
    </row>
    <row r="1255" spans="1:27" ht="19.5" customHeight="1">
      <c r="A1255" s="12" t="str">
        <f ca="1">IFERROR(__xludf.DUMMYFUNCTION("""COMPUTED_VALUE"""),"HDTV")</f>
        <v>HDTV</v>
      </c>
      <c r="B1255" s="12" t="str">
        <f ca="1">IFERROR(__xludf.DUMMYFUNCTION("""COMPUTED_VALUE"""),"神腦")</f>
        <v>神腦</v>
      </c>
      <c r="C1255" s="12" t="str">
        <f ca="1">IFERROR(__xludf.DUMMYFUNCTION("""COMPUTED_VALUE"""),"SAMSUNG")</f>
        <v>SAMSUNG</v>
      </c>
      <c r="D1255" s="12" t="str">
        <f ca="1">IFERROR(__xludf.DUMMYFUNCTION("""COMPUTED_VALUE"""),"SAMSUNG 85型Neo QLED 4K智慧聯網120Hz Mini LED液晶顯示器QA85QN87DAXXZW")</f>
        <v>SAMSUNG 85型Neo QLED 4K智慧聯網120Hz Mini LED液晶顯示器QA85QN87DAXXZW</v>
      </c>
      <c r="E1255" s="12" t="str">
        <f ca="1">IFERROR(__xludf.DUMMYFUNCTION("""COMPUTED_VALUE"""),"QA85QN87DAXXZW")</f>
        <v>QA85QN87DAXXZW</v>
      </c>
      <c r="F1255" s="12">
        <f ca="1">IFERROR(__xludf.DUMMYFUNCTION("""COMPUTED_VALUE"""),51016552)</f>
        <v>51016552</v>
      </c>
      <c r="G1255" s="12" t="str">
        <f ca="1">IFERROR(__xludf.DUMMYFUNCTION("""COMPUTED_VALUE"""),"NCTV01TA")</f>
        <v>NCTV01TA</v>
      </c>
      <c r="H1255" s="13">
        <f ca="1">IFERROR(__xludf.DUMMYFUNCTION("""COMPUTED_VALUE"""),209900)</f>
        <v>209900</v>
      </c>
      <c r="I1255" s="18">
        <f ca="1">IFERROR(__xludf.DUMMYFUNCTION("""COMPUTED_VALUE"""),168000)</f>
        <v>168000</v>
      </c>
      <c r="J1255" s="16">
        <f ca="1">IFERROR(__xludf.DUMMYFUNCTION("""COMPUTED_VALUE"""),45632)</f>
        <v>45632</v>
      </c>
      <c r="K1255" s="12" t="str">
        <f ca="1">IFERROR(__xludf.DUMMYFUNCTION("""COMPUTED_VALUE"""),"新機上架")</f>
        <v>新機上架</v>
      </c>
      <c r="L1255" s="12" t="str">
        <f ca="1">IFERROR(__xludf.DUMMYFUNCTION("""COMPUTED_VALUE"""),"上架中")</f>
        <v>上架中</v>
      </c>
      <c r="M1255" s="12"/>
      <c r="N1255" s="12" t="str">
        <f ca="1">IFERROR(__xludf.DUMMYFUNCTION("""COMPUTED_VALUE"""),"螢幕/液晶電視")</f>
        <v>螢幕/液晶電視</v>
      </c>
      <c r="O1255" s="12"/>
      <c r="P1255" s="12" t="str">
        <f ca="1">IFERROR(__xludf.DUMMYFUNCTION("""COMPUTED_VALUE"""),"85型")</f>
        <v>85型</v>
      </c>
      <c r="Q1255" s="12" t="str">
        <f ca="1">IFERROR(__xludf.DUMMYFUNCTION("""COMPUTED_VALUE"""),"含底座：1892.2 x 1139.2 x 310.4 mm
不含底座：1892.2 x 1081.9 x 27.9 mm")</f>
        <v>含底座：1892.2 x 1139.2 x 310.4 mm
不含底座：1892.2 x 1081.9 x 27.9 mm</v>
      </c>
      <c r="R1255" s="12" t="str">
        <f ca="1">IFERROR(__xludf.DUMMYFUNCTION("""COMPUTED_VALUE"""),"越南")</f>
        <v>越南</v>
      </c>
      <c r="S1255" s="12"/>
      <c r="T1255" s="12"/>
      <c r="U1255" s="12" t="str">
        <f ca="1">IFERROR(__xludf.DUMMYFUNCTION("""COMPUTED_VALUE"""),"2年")</f>
        <v>2年</v>
      </c>
      <c r="V1255" s="12"/>
      <c r="W1255" s="12"/>
      <c r="X1255" s="12"/>
      <c r="Y1255" s="12"/>
      <c r="Z1255" s="14"/>
      <c r="AA1255" s="15" t="str">
        <f ca="1">IFERROR(__xludf.DUMMYFUNCTION("""COMPUTED_VALUE"""),"*NQ4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"&amp;"2.2.2聲道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搭配次世代遊戲機首選*太陽能"&amp;"智慧遙控器: 使用室外光線、室內光線或是Type C , 新導入無線射頻獵能技術, 以環保的概念永續愛地球。*全新Smart Hub 介面: 新版個人化介面, 搭配全新頁籤設計, 娛樂更加快速直覺。")</f>
        <v>*NQ4 AI 第二代高校處理器: 搭載20個AI神經網絡, NPU速度較上一代提升4倍。*4K AI 影像升頻技術:最新AI 科技提升為類4K影像, 提供最適合且最佳的畫面呈現。*立體景深強化:自動偵測分析影像，凸顯前後景的主體與光影對比，如臨實境的立體影像*量子Mini LED : 採用全新Mini LED技術作為電視背光源, 大小為傳統LED的1/40, 卻能帶來精確控光表現與畫面細節*金屬量子點顯色技術: 德國VDE認證，業界最高呈現100%色域空間。*杜比全景聲: 支援Dolby Atmos, 2.2.2聲道 60瓦總輸出, 結合三星獨家魔術音效, 呈現真實天空聲道。*魔幻音場: 三星獨家！搭配三星Q系列Soundbar, 享受電視喇叭結合Soundbar 的環繞立體音效。*AI 迴聲定位技術: 針對電視擺放方式與環境分析,透過AI 技術呈現最適合的聲音表現。*智慧抗噪模式Pro: 聲音表現再進化, 區分背景音,人物發聲及背景音, 自動優化人聲，觀賞不中斷。*4組HDMI 2.1: 最高支援 4K@120hz 且 獲得Freestyle Premium Pro認證, 搭配次世代遊戲機首選*太陽能智慧遙控器: 使用室外光線、室內光線或是Type C , 新導入無線射頻獵能技術, 以環保的概念永續愛地球。*全新Smart Hub 介面: 新版個人化介面, 搭配全新頁籤設計, 娛樂更加快速直覺。</v>
      </c>
    </row>
    <row r="1256" spans="1:27" ht="19.5" customHeight="1">
      <c r="A1256" s="12" t="str">
        <f ca="1">IFERROR(__xludf.DUMMYFUNCTION("""COMPUTED_VALUE"""),"HDTV")</f>
        <v>HDTV</v>
      </c>
      <c r="B1256" s="12" t="str">
        <f ca="1">IFERROR(__xludf.DUMMYFUNCTION("""COMPUTED_VALUE"""),"神腦")</f>
        <v>神腦</v>
      </c>
      <c r="C1256" s="12" t="str">
        <f ca="1">IFERROR(__xludf.DUMMYFUNCTION("""COMPUTED_VALUE"""),"SAMSUNG")</f>
        <v>SAMSUNG</v>
      </c>
      <c r="D1256" s="12" t="str">
        <f ca="1">IFERROR(__xludf.DUMMYFUNCTION("""COMPUTED_VALUE"""),"SAMSUNG 55型OLED(自體發光)聯網4K AI智慧顯示器QA55S90DAXXZW")</f>
        <v>SAMSUNG 55型OLED(自體發光)聯網4K AI智慧顯示器QA55S90DAXXZW</v>
      </c>
      <c r="E1256" s="12" t="str">
        <f ca="1">IFERROR(__xludf.DUMMYFUNCTION("""COMPUTED_VALUE"""),"QA55S90DAXXZW")</f>
        <v>QA55S90DAXXZW</v>
      </c>
      <c r="F1256" s="12">
        <f ca="1">IFERROR(__xludf.DUMMYFUNCTION("""COMPUTED_VALUE"""),51016545)</f>
        <v>51016545</v>
      </c>
      <c r="G1256" s="12" t="str">
        <f ca="1">IFERROR(__xludf.DUMMYFUNCTION("""COMPUTED_VALUE"""),"NCTV01T3")</f>
        <v>NCTV01T3</v>
      </c>
      <c r="H1256" s="13">
        <f ca="1">IFERROR(__xludf.DUMMYFUNCTION("""COMPUTED_VALUE"""),58900)</f>
        <v>58900</v>
      </c>
      <c r="I1256" s="18">
        <f ca="1">IFERROR(__xludf.DUMMYFUNCTION("""COMPUTED_VALUE"""),46900)</f>
        <v>46900</v>
      </c>
      <c r="J1256" s="16">
        <f ca="1">IFERROR(__xludf.DUMMYFUNCTION("""COMPUTED_VALUE"""),45632)</f>
        <v>45632</v>
      </c>
      <c r="K1256" s="12" t="str">
        <f ca="1">IFERROR(__xludf.DUMMYFUNCTION("""COMPUTED_VALUE"""),"永久降價")</f>
        <v>永久降價</v>
      </c>
      <c r="L1256" s="12" t="str">
        <f ca="1">IFERROR(__xludf.DUMMYFUNCTION("""COMPUTED_VALUE"""),"上架中")</f>
        <v>上架中</v>
      </c>
      <c r="M1256" s="12" t="str">
        <f ca="1">IFERROR(__xludf.DUMMYFUNCTION("""COMPUTED_VALUE"""),"CQ2Q only")</f>
        <v>CQ2Q only</v>
      </c>
      <c r="N1256" s="12" t="str">
        <f ca="1">IFERROR(__xludf.DUMMYFUNCTION("""COMPUTED_VALUE"""),"螢幕/液晶電視")</f>
        <v>螢幕/液晶電視</v>
      </c>
      <c r="O1256" s="12"/>
      <c r="P1256" s="12" t="str">
        <f ca="1">IFERROR(__xludf.DUMMYFUNCTION("""COMPUTED_VALUE"""),"55型")</f>
        <v>55型</v>
      </c>
      <c r="Q1256" s="12" t="str">
        <f ca="1">IFERROR(__xludf.DUMMYFUNCTION("""COMPUTED_VALUE"""),"含底座：1225.4 x 773.6 x 265.2 mm
不含底座：1225.4 x 708.6 x 39.9 mm")</f>
        <v>含底座：1225.4 x 773.6 x 265.2 mm
不含底座：1225.4 x 708.6 x 39.9 mm</v>
      </c>
      <c r="R1256" s="12" t="str">
        <f ca="1">IFERROR(__xludf.DUMMYFUNCTION("""COMPUTED_VALUE"""),"越南")</f>
        <v>越南</v>
      </c>
      <c r="S1256" s="12"/>
      <c r="T1256" s="12"/>
      <c r="U1256" s="12" t="str">
        <f ca="1">IFERROR(__xludf.DUMMYFUNCTION("""COMPUTED_VALUE"""),"2年")</f>
        <v>2年</v>
      </c>
      <c r="V1256" s="12"/>
      <c r="W1256" s="12"/>
      <c r="X1256" s="12"/>
      <c r="Y1256" s="12"/>
      <c r="Z1256" s="14"/>
      <c r="AA1256" s="15" t="str">
        <f ca="1">IFERROR(__xludf.DUMMYFUNCTION("""COMPUTED_VALUE"""),"*OLED 自體發光科技: 每個像素獨立發光，提供最純淨極緻的黑白對比。
*Pantone 色彩認證: 獲得Pantone色彩認證，展現豐富色彩表現。
*NQ4 AI 第二代高校處理器: 搭載20個AI神經網絡, NPU速度較上一代提升4倍。
*Dolby Atmos 真實天空音效: 結合三星獨家魔術音效, 感受由上而下的立體3D音效
*4K AI 影像升頻技術:最新AI 科技提升為類4K影像, 提供最適合且最佳的畫面呈現。
*最高支援4K 144 Hz: 內建4組HDMI 2.1,支援HGiG與VRR規"&amp;"格, 還原HDR遊戲體驗, 遊戲流暢不卡頓
*0.4公分纖薄機身設計: 纖薄機身設計,完美融入居家裝潢。
*極廣域視角: 背光源集中且均勻擴散至螢幕,放大消費者觀賞角度, 享受一致色彩表現。
*護眼認證: 榮獲德國VDE護眼認證，提供最舒適的觀看體驗。
*跨裝置無線分享: 透過三星Smart View, iOS AirPlay2, Windows, 無線分享小螢幕到大螢幕, 娛樂或工作更加輕鬆
*中文語音操控: 僅需按遙控器的麥克風鍵，即可透過語音辨識，進行頻道切換、音量變化等指令。
*熱門串流平台快捷鍵"&amp;": 智慧遙控器上加入 Netflix、Disney+等熱門影音平台鍵，一秒啟動精彩追劇生活。")</f>
        <v>*OLED 自體發光科技: 每個像素獨立發光，提供最純淨極緻的黑白對比。
*Pantone 色彩認證: 獲得Pantone色彩認證，展現豐富色彩表現。
*NQ4 AI 第二代高校處理器: 搭載20個AI神經網絡, NPU速度較上一代提升4倍。
*Dolby Atmos 真實天空音效: 結合三星獨家魔術音效, 感受由上而下的立體3D音效
*4K AI 影像升頻技術:最新AI 科技提升為類4K影像, 提供最適合且最佳的畫面呈現。
*最高支援4K 144 Hz: 內建4組HDMI 2.1,支援HGiG與VRR規格, 還原HDR遊戲體驗, 遊戲流暢不卡頓
*0.4公分纖薄機身設計: 纖薄機身設計,完美融入居家裝潢。
*極廣域視角: 背光源集中且均勻擴散至螢幕,放大消費者觀賞角度, 享受一致色彩表現。
*護眼認證: 榮獲德國VDE護眼認證，提供最舒適的觀看體驗。
*跨裝置無線分享: 透過三星Smart View, iOS AirPlay2, Windows, 無線分享小螢幕到大螢幕, 娛樂或工作更加輕鬆
*中文語音操控: 僅需按遙控器的麥克風鍵，即可透過語音辨識，進行頻道切換、音量變化等指令。
*熱門串流平台快捷鍵: 智慧遙控器上加入 Netflix、Disney+等熱門影音平台鍵，一秒啟動精彩追劇生活。</v>
      </c>
    </row>
    <row r="1257" spans="1:27" ht="19.5" customHeight="1">
      <c r="A1257" s="12" t="str">
        <f ca="1">IFERROR(__xludf.DUMMYFUNCTION("""COMPUTED_VALUE"""),"HDTV")</f>
        <v>HDTV</v>
      </c>
      <c r="B1257" s="12" t="str">
        <f ca="1">IFERROR(__xludf.DUMMYFUNCTION("""COMPUTED_VALUE"""),"神腦")</f>
        <v>神腦</v>
      </c>
      <c r="C1257" s="12" t="str">
        <f ca="1">IFERROR(__xludf.DUMMYFUNCTION("""COMPUTED_VALUE"""),"SAMSUNG")</f>
        <v>SAMSUNG</v>
      </c>
      <c r="D1257" s="12" t="str">
        <f ca="1">IFERROR(__xludf.DUMMYFUNCTION("""COMPUTED_VALUE"""),"SAMSUNG 65型OLED(自體發光)聯網4K AI智慧顯示器QA65S90DAXXZW")</f>
        <v>SAMSUNG 65型OLED(自體發光)聯網4K AI智慧顯示器QA65S90DAXXZW</v>
      </c>
      <c r="E1257" s="12" t="str">
        <f ca="1">IFERROR(__xludf.DUMMYFUNCTION("""COMPUTED_VALUE"""),"QA65S90DAXXZW")</f>
        <v>QA65S90DAXXZW</v>
      </c>
      <c r="F1257" s="12">
        <f ca="1">IFERROR(__xludf.DUMMYFUNCTION("""COMPUTED_VALUE"""),51016546)</f>
        <v>51016546</v>
      </c>
      <c r="G1257" s="12" t="str">
        <f ca="1">IFERROR(__xludf.DUMMYFUNCTION("""COMPUTED_VALUE"""),"NCTV01T4")</f>
        <v>NCTV01T4</v>
      </c>
      <c r="H1257" s="13">
        <f ca="1">IFERROR(__xludf.DUMMYFUNCTION("""COMPUTED_VALUE"""),84900)</f>
        <v>84900</v>
      </c>
      <c r="I1257" s="18">
        <f ca="1">IFERROR(__xludf.DUMMYFUNCTION("""COMPUTED_VALUE"""),61900)</f>
        <v>61900</v>
      </c>
      <c r="J1257" s="16">
        <f ca="1">IFERROR(__xludf.DUMMYFUNCTION("""COMPUTED_VALUE"""),45632)</f>
        <v>45632</v>
      </c>
      <c r="K1257" s="12" t="str">
        <f ca="1">IFERROR(__xludf.DUMMYFUNCTION("""COMPUTED_VALUE"""),"永久降價")</f>
        <v>永久降價</v>
      </c>
      <c r="L1257" s="12" t="str">
        <f ca="1">IFERROR(__xludf.DUMMYFUNCTION("""COMPUTED_VALUE"""),"上架中")</f>
        <v>上架中</v>
      </c>
      <c r="M1257" s="12" t="str">
        <f ca="1">IFERROR(__xludf.DUMMYFUNCTION("""COMPUTED_VALUE"""),"CQ2Q only")</f>
        <v>CQ2Q only</v>
      </c>
      <c r="N1257" s="12" t="str">
        <f ca="1">IFERROR(__xludf.DUMMYFUNCTION("""COMPUTED_VALUE"""),"螢幕/液晶電視")</f>
        <v>螢幕/液晶電視</v>
      </c>
      <c r="O1257" s="12"/>
      <c r="P1257" s="12" t="str">
        <f ca="1">IFERROR(__xludf.DUMMYFUNCTION("""COMPUTED_VALUE"""),"65型")</f>
        <v>65型</v>
      </c>
      <c r="Q1257" s="12" t="str">
        <f ca="1">IFERROR(__xludf.DUMMYFUNCTION("""COMPUTED_VALUE"""),"含底座：1444.3 x 896.7 x 265.2 mm
不含底座：1444.3 x 831.7 x 39.9 mm")</f>
        <v>含底座：1444.3 x 896.7 x 265.2 mm
不含底座：1444.3 x 831.7 x 39.9 mm</v>
      </c>
      <c r="R1257" s="12" t="str">
        <f ca="1">IFERROR(__xludf.DUMMYFUNCTION("""COMPUTED_VALUE"""),"越南")</f>
        <v>越南</v>
      </c>
      <c r="S1257" s="12"/>
      <c r="T1257" s="12"/>
      <c r="U1257" s="12" t="str">
        <f ca="1">IFERROR(__xludf.DUMMYFUNCTION("""COMPUTED_VALUE"""),"2年")</f>
        <v>2年</v>
      </c>
      <c r="V1257" s="12"/>
      <c r="W1257" s="12"/>
      <c r="X1257" s="12"/>
      <c r="Y1257" s="12"/>
      <c r="Z1257" s="14"/>
      <c r="AA1257" s="15" t="str">
        <f ca="1">IFERROR(__xludf.DUMMYFUNCTION("""COMPUTED_VALUE"""),"*OLED 自體發光科技: 每個像素獨立發光，提供最純淨極緻的黑白對比。
*Pantone 色彩認證: 獲得Pantone色彩認證，展現豐富色彩表現。
*NQ4 AI 第二代高校處理器: 搭載20個AI神經網絡, NPU速度較上一代提升4倍。
*Dolby Atmos 真實天空音效: 結合三星獨家魔術音效, 感受由上而下的立體3D音效
*4K AI 影像升頻技術:最新AI 科技提升為類4K影像, 提供最適合且最佳的畫面呈現。
*最高支援4K 144 Hz: 內建4組HDMI 2.1,支援HGiG"&amp;"與VRR規格, 還原HDR遊戲體驗, 遊戲流暢不卡頓
*0.4公分纖薄機身設計: 纖薄機身設計,完美融入居家裝潢。
*極廣域視角: 背光源集中且均勻擴散至螢幕,放大消費者觀賞角度, 享受一致色彩表現。
*護眼認證: 榮獲德國VDE護眼認證，提供最舒適的觀看體驗。
*跨裝置無線分享: 透過三星Smart View, iOS AirPlay2, Windows, 無線分享小螢幕到大螢幕, 娛樂或工作更加輕鬆
*中文語音操控: 僅需按遙控器的麥克風鍵，即可透過語音辨識，進行頻道切換、音量變化等指令。
"&amp;"
*熱門串流平台快捷鍵: 智慧遙控器上加入 Netflix、Disney+等熱門影音平台鍵，一秒啟動精彩追劇生活。")</f>
        <v>*OLED 自體發光科技: 每個像素獨立發光，提供最純淨極緻的黑白對比。
*Pantone 色彩認證: 獲得Pantone色彩認證，展現豐富色彩表現。
*NQ4 AI 第二代高校處理器: 搭載20個AI神經網絡, NPU速度較上一代提升4倍。
*Dolby Atmos 真實天空音效: 結合三星獨家魔術音效, 感受由上而下的立體3D音效
*4K AI 影像升頻技術:最新AI 科技提升為類4K影像, 提供最適合且最佳的畫面呈現。
*最高支援4K 144 Hz: 內建4組HDMI 2.1,支援HGiG與VRR規格, 還原HDR遊戲體驗, 遊戲流暢不卡頓
*0.4公分纖薄機身設計: 纖薄機身設計,完美融入居家裝潢。
*極廣域視角: 背光源集中且均勻擴散至螢幕,放大消費者觀賞角度, 享受一致色彩表現。
*護眼認證: 榮獲德國VDE護眼認證，提供最舒適的觀看體驗。
*跨裝置無線分享: 透過三星Smart View, iOS AirPlay2, Windows, 無線分享小螢幕到大螢幕, 娛樂或工作更加輕鬆
*中文語音操控: 僅需按遙控器的麥克風鍵，即可透過語音辨識，進行頻道切換、音量變化等指令。
*熱門串流平台快捷鍵: 智慧遙控器上加入 Netflix、Disney+等熱門影音平台鍵，一秒啟動精彩追劇生活。</v>
      </c>
    </row>
    <row r="1258" spans="1:27" ht="19.5" customHeight="1">
      <c r="A1258" s="12" t="str">
        <f ca="1">IFERROR(__xludf.DUMMYFUNCTION("""COMPUTED_VALUE"""),"HDTV")</f>
        <v>HDTV</v>
      </c>
      <c r="B1258" s="12" t="str">
        <f ca="1">IFERROR(__xludf.DUMMYFUNCTION("""COMPUTED_VALUE"""),"神腦")</f>
        <v>神腦</v>
      </c>
      <c r="C1258" s="12" t="str">
        <f ca="1">IFERROR(__xludf.DUMMYFUNCTION("""COMPUTED_VALUE"""),"Xiaomi")</f>
        <v>Xiaomi</v>
      </c>
      <c r="D1258" s="12" t="str">
        <f ca="1">IFERROR(__xludf.DUMMYFUNCTION("""COMPUTED_VALUE"""),"小米 Xiaomi A Pro 2025 55型 4K QLED 智慧顯示器")</f>
        <v>小米 Xiaomi A Pro 2025 55型 4K QLED 智慧顯示器</v>
      </c>
      <c r="E1258" s="12" t="str">
        <f ca="1">IFERROR(__xludf.DUMMYFUNCTION("""COMPUTED_VALUE"""),"Xiaomi_APro2025_55")</f>
        <v>Xiaomi_APro2025_55</v>
      </c>
      <c r="F1258" s="12">
        <f ca="1">IFERROR(__xludf.DUMMYFUNCTION("""COMPUTED_VALUE"""),51016560)</f>
        <v>51016560</v>
      </c>
      <c r="G1258" s="12" t="str">
        <f ca="1">IFERROR(__xludf.DUMMYFUNCTION("""COMPUTED_VALUE"""),"NCTV01TI")</f>
        <v>NCTV01TI</v>
      </c>
      <c r="H1258" s="13">
        <f ca="1">IFERROR(__xludf.DUMMYFUNCTION("""COMPUTED_VALUE"""),12995)</f>
        <v>12995</v>
      </c>
      <c r="I1258" s="18">
        <f ca="1">IFERROR(__xludf.DUMMYFUNCTION("""COMPUTED_VALUE"""),12995)</f>
        <v>12995</v>
      </c>
      <c r="J1258" s="12"/>
      <c r="K1258" s="12" t="str">
        <f ca="1">IFERROR(__xludf.DUMMYFUNCTION("""COMPUTED_VALUE"""),"新機上架")</f>
        <v>新機上架</v>
      </c>
      <c r="L1258" s="12" t="str">
        <f ca="1">IFERROR(__xludf.DUMMYFUNCTION("""COMPUTED_VALUE"""),"上架中")</f>
        <v>上架中</v>
      </c>
      <c r="M1258" s="12" t="str">
        <f ca="1">IFERROR(__xludf.DUMMYFUNCTION("""COMPUTED_VALUE"""),"CQ2Q only")</f>
        <v>CQ2Q only</v>
      </c>
      <c r="N1258" s="12" t="str">
        <f ca="1">IFERROR(__xludf.DUMMYFUNCTION("""COMPUTED_VALUE"""),"螢幕/液晶電視")</f>
        <v>螢幕/液晶電視</v>
      </c>
      <c r="O1258" s="12"/>
      <c r="P1258" s="12" t="str">
        <f ca="1">IFERROR(__xludf.DUMMYFUNCTION("""COMPUTED_VALUE"""),"55型")</f>
        <v>55型</v>
      </c>
      <c r="Q1258" s="12" t="str">
        <f ca="1">IFERROR(__xludf.DUMMYFUNCTION("""COMPUTED_VALUE"""),"含腳座 : 1226.4mm x 313mm x 768mm
 不含腳座 : 1226.4mm x 81.7mm x 715mm")</f>
        <v>含腳座 : 1226.4mm x 313mm x 768mm
 不含腳座 : 1226.4mm x 81.7mm x 715mm</v>
      </c>
      <c r="R1258" s="12" t="str">
        <f ca="1">IFERROR(__xludf.DUMMYFUNCTION("""COMPUTED_VALUE"""),"中國")</f>
        <v>中國</v>
      </c>
      <c r="S1258" s="12"/>
      <c r="T1258" s="12"/>
      <c r="U1258" s="12" t="str">
        <f ca="1">IFERROR(__xludf.DUMMYFUNCTION("""COMPUTED_VALUE"""),"2年")</f>
        <v>2年</v>
      </c>
      <c r="V1258" s="12"/>
      <c r="W1258" s="12"/>
      <c r="X1258" s="12"/>
      <c r="Y1258" s="12"/>
      <c r="Z1258" s="14"/>
      <c r="AA1258" s="15" t="str">
        <f ca="1">IFERROR(__xludf.DUMMYFUNCTION("""COMPUTED_VALUE"""),"*色彩精準的明亮 4K QLED 螢幕 *頂級金屬外觀與超纖薄邊框設計 *支援 Dolby Audio™、DTS-X、DTS Virtual:X，盡情享受沉浸式音效 * GOOGLE TV")</f>
        <v>*色彩精準的明亮 4K QLED 螢幕 *頂級金屬外觀與超纖薄邊框設計 *支援 Dolby Audio™、DTS-X、DTS Virtual:X，盡情享受沉浸式音效 * GOOGLE TV</v>
      </c>
    </row>
    <row r="1259" spans="1:27" ht="19.5" customHeight="1">
      <c r="A1259" s="12" t="str">
        <f ca="1">IFERROR(__xludf.DUMMYFUNCTION("""COMPUTED_VALUE"""),"HDTV")</f>
        <v>HDTV</v>
      </c>
      <c r="B1259" s="12" t="str">
        <f ca="1">IFERROR(__xludf.DUMMYFUNCTION("""COMPUTED_VALUE"""),"神腦")</f>
        <v>神腦</v>
      </c>
      <c r="C1259" s="12" t="str">
        <f ca="1">IFERROR(__xludf.DUMMYFUNCTION("""COMPUTED_VALUE"""),"Xiaomi")</f>
        <v>Xiaomi</v>
      </c>
      <c r="D1259" s="12" t="str">
        <f ca="1">IFERROR(__xludf.DUMMYFUNCTION("""COMPUTED_VALUE"""),"小米 Xiaomi A Pro 2025 65型 4K QLED 智慧顯示器")</f>
        <v>小米 Xiaomi A Pro 2025 65型 4K QLED 智慧顯示器</v>
      </c>
      <c r="E1259" s="12" t="str">
        <f ca="1">IFERROR(__xludf.DUMMYFUNCTION("""COMPUTED_VALUE"""),"Xiaomi_APro2025_65")</f>
        <v>Xiaomi_APro2025_65</v>
      </c>
      <c r="F1259" s="12">
        <f ca="1">IFERROR(__xludf.DUMMYFUNCTION("""COMPUTED_VALUE"""),51016561)</f>
        <v>51016561</v>
      </c>
      <c r="G1259" s="12" t="str">
        <f ca="1">IFERROR(__xludf.DUMMYFUNCTION("""COMPUTED_VALUE"""),"NCTV01TJ")</f>
        <v>NCTV01TJ</v>
      </c>
      <c r="H1259" s="13">
        <f ca="1">IFERROR(__xludf.DUMMYFUNCTION("""COMPUTED_VALUE"""),15995)</f>
        <v>15995</v>
      </c>
      <c r="I1259" s="18">
        <f ca="1">IFERROR(__xludf.DUMMYFUNCTION("""COMPUTED_VALUE"""),15995)</f>
        <v>15995</v>
      </c>
      <c r="J1259" s="12"/>
      <c r="K1259" s="12" t="str">
        <f ca="1">IFERROR(__xludf.DUMMYFUNCTION("""COMPUTED_VALUE"""),"新機上架")</f>
        <v>新機上架</v>
      </c>
      <c r="L1259" s="12" t="str">
        <f ca="1">IFERROR(__xludf.DUMMYFUNCTION("""COMPUTED_VALUE"""),"上架中")</f>
        <v>上架中</v>
      </c>
      <c r="M1259" s="12" t="str">
        <f ca="1">IFERROR(__xludf.DUMMYFUNCTION("""COMPUTED_VALUE"""),"CQ2Q only")</f>
        <v>CQ2Q only</v>
      </c>
      <c r="N1259" s="12" t="str">
        <f ca="1">IFERROR(__xludf.DUMMYFUNCTION("""COMPUTED_VALUE"""),"螢幕/液晶電視")</f>
        <v>螢幕/液晶電視</v>
      </c>
      <c r="O1259" s="12"/>
      <c r="P1259" s="12" t="str">
        <f ca="1">IFERROR(__xludf.DUMMYFUNCTION("""COMPUTED_VALUE"""),"65型")</f>
        <v>65型</v>
      </c>
      <c r="Q1259" s="12" t="str">
        <f ca="1">IFERROR(__xludf.DUMMYFUNCTION("""COMPUTED_VALUE"""),"含腳座 : 1446mm x 390.5mm x 901mm
 不含腳座 : 1446mm x 83mm x 839mm")</f>
        <v>含腳座 : 1446mm x 390.5mm x 901mm
 不含腳座 : 1446mm x 83mm x 839mm</v>
      </c>
      <c r="R1259" s="12" t="str">
        <f ca="1">IFERROR(__xludf.DUMMYFUNCTION("""COMPUTED_VALUE"""),"中國")</f>
        <v>中國</v>
      </c>
      <c r="S1259" s="12"/>
      <c r="T1259" s="12"/>
      <c r="U1259" s="12" t="str">
        <f ca="1">IFERROR(__xludf.DUMMYFUNCTION("""COMPUTED_VALUE"""),"2年")</f>
        <v>2年</v>
      </c>
      <c r="V1259" s="12"/>
      <c r="W1259" s="12"/>
      <c r="X1259" s="12"/>
      <c r="Y1259" s="12"/>
      <c r="Z1259" s="14"/>
      <c r="AA1259" s="15" t="str">
        <f ca="1">IFERROR(__xludf.DUMMYFUNCTION("""COMPUTED_VALUE"""),"*色彩精準的明亮 4K QLED 螢幕 *頂級金屬外觀與超纖薄邊框設計 *支援 Dolby Audio™、DTS-X、DTS Virtual:X，盡情享受沉浸式音效 * GOOGLE TV")</f>
        <v>*色彩精準的明亮 4K QLED 螢幕 *頂級金屬外觀與超纖薄邊框設計 *支援 Dolby Audio™、DTS-X、DTS Virtual:X，盡情享受沉浸式音效 * GOOGLE TV</v>
      </c>
    </row>
    <row r="1260" spans="1:27" ht="19.5" customHeight="1">
      <c r="A1260" s="12" t="str">
        <f ca="1">IFERROR(__xludf.DUMMYFUNCTION("""COMPUTED_VALUE"""),"HDTV")</f>
        <v>HDTV</v>
      </c>
      <c r="B1260" s="12" t="str">
        <f ca="1">IFERROR(__xludf.DUMMYFUNCTION("""COMPUTED_VALUE"""),"神腦")</f>
        <v>神腦</v>
      </c>
      <c r="C1260" s="12" t="str">
        <f ca="1">IFERROR(__xludf.DUMMYFUNCTION("""COMPUTED_VALUE"""),"Xiaomi")</f>
        <v>Xiaomi</v>
      </c>
      <c r="D1260" s="12" t="str">
        <f ca="1">IFERROR(__xludf.DUMMYFUNCTION("""COMPUTED_VALUE"""),"小米 Xiaomi A Pro 2025 75型 4K QLED 智慧顯示器")</f>
        <v>小米 Xiaomi A Pro 2025 75型 4K QLED 智慧顯示器</v>
      </c>
      <c r="E1260" s="12" t="str">
        <f ca="1">IFERROR(__xludf.DUMMYFUNCTION("""COMPUTED_VALUE"""),"Xiaomi_APro2025_75")</f>
        <v>Xiaomi_APro2025_75</v>
      </c>
      <c r="F1260" s="12">
        <f ca="1">IFERROR(__xludf.DUMMYFUNCTION("""COMPUTED_VALUE"""),51016562)</f>
        <v>51016562</v>
      </c>
      <c r="G1260" s="12" t="str">
        <f ca="1">IFERROR(__xludf.DUMMYFUNCTION("""COMPUTED_VALUE"""),"NCTV01TK")</f>
        <v>NCTV01TK</v>
      </c>
      <c r="H1260" s="13">
        <f ca="1">IFERROR(__xludf.DUMMYFUNCTION("""COMPUTED_VALUE"""),19995)</f>
        <v>19995</v>
      </c>
      <c r="I1260" s="18">
        <f ca="1">IFERROR(__xludf.DUMMYFUNCTION("""COMPUTED_VALUE"""),19995)</f>
        <v>19995</v>
      </c>
      <c r="J1260" s="12"/>
      <c r="K1260" s="12" t="str">
        <f ca="1">IFERROR(__xludf.DUMMYFUNCTION("""COMPUTED_VALUE"""),"新機上架")</f>
        <v>新機上架</v>
      </c>
      <c r="L1260" s="12" t="str">
        <f ca="1">IFERROR(__xludf.DUMMYFUNCTION("""COMPUTED_VALUE"""),"上架中")</f>
        <v>上架中</v>
      </c>
      <c r="M1260" s="12" t="str">
        <f ca="1">IFERROR(__xludf.DUMMYFUNCTION("""COMPUTED_VALUE"""),"CQ2Q only")</f>
        <v>CQ2Q only</v>
      </c>
      <c r="N1260" s="12" t="str">
        <f ca="1">IFERROR(__xludf.DUMMYFUNCTION("""COMPUTED_VALUE"""),"螢幕/液晶電視")</f>
        <v>螢幕/液晶電視</v>
      </c>
      <c r="O1260" s="12"/>
      <c r="P1260" s="12" t="str">
        <f ca="1">IFERROR(__xludf.DUMMYFUNCTION("""COMPUTED_VALUE"""),"75型")</f>
        <v>75型</v>
      </c>
      <c r="Q1260" s="12" t="str">
        <f ca="1">IFERROR(__xludf.DUMMYFUNCTION("""COMPUTED_VALUE"""),"含腳座 : 1668mm x 425mm x 1028mm
 不含腳座 : 1668mm x 85mm x 964mm")</f>
        <v>含腳座 : 1668mm x 425mm x 1028mm
 不含腳座 : 1668mm x 85mm x 964mm</v>
      </c>
      <c r="R1260" s="12" t="str">
        <f ca="1">IFERROR(__xludf.DUMMYFUNCTION("""COMPUTED_VALUE"""),"中國")</f>
        <v>中國</v>
      </c>
      <c r="S1260" s="12"/>
      <c r="T1260" s="12"/>
      <c r="U1260" s="12" t="str">
        <f ca="1">IFERROR(__xludf.DUMMYFUNCTION("""COMPUTED_VALUE"""),"2年")</f>
        <v>2年</v>
      </c>
      <c r="V1260" s="12"/>
      <c r="W1260" s="12"/>
      <c r="X1260" s="12"/>
      <c r="Y1260" s="12"/>
      <c r="Z1260" s="14"/>
      <c r="AA1260" s="15" t="str">
        <f ca="1">IFERROR(__xludf.DUMMYFUNCTION("""COMPUTED_VALUE"""),"*色彩精準的明亮 4K QLED 螢幕 *頂級金屬外觀與超纖薄邊框設計 *支援 Dolby Audio™、DTS-X、DTS Virtual:X，盡情享受沉浸式音效 * GOOGLE TV")</f>
        <v>*色彩精準的明亮 4K QLED 螢幕 *頂級金屬外觀與超纖薄邊框設計 *支援 Dolby Audio™、DTS-X、DTS Virtual:X，盡情享受沉浸式音效 * GOOGLE TV</v>
      </c>
    </row>
    <row r="1261" spans="1:27" ht="19.5" customHeight="1">
      <c r="A1261" s="12" t="str">
        <f ca="1">IFERROR(__xludf.DUMMYFUNCTION("""COMPUTED_VALUE"""),"HDTV")</f>
        <v>HDTV</v>
      </c>
      <c r="B1261" s="12" t="str">
        <f ca="1">IFERROR(__xludf.DUMMYFUNCTION("""COMPUTED_VALUE"""),"神腦")</f>
        <v>神腦</v>
      </c>
      <c r="C1261" s="12" t="str">
        <f ca="1">IFERROR(__xludf.DUMMYFUNCTION("""COMPUTED_VALUE"""),"Xiaomi")</f>
        <v>Xiaomi</v>
      </c>
      <c r="D1261" s="12" t="str">
        <f ca="1">IFERROR(__xludf.DUMMYFUNCTION("""COMPUTED_VALUE"""),"小米 Xiaomi S Mini LED 2025 55型 智慧顯示器")</f>
        <v>小米 Xiaomi S Mini LED 2025 55型 智慧顯示器</v>
      </c>
      <c r="E1261" s="12" t="str">
        <f ca="1">IFERROR(__xludf.DUMMYFUNCTION("""COMPUTED_VALUE"""),"Xiaomi_S_MiniLED_55")</f>
        <v>Xiaomi_S_MiniLED_55</v>
      </c>
      <c r="F1261" s="12">
        <f ca="1">IFERROR(__xludf.DUMMYFUNCTION("""COMPUTED_VALUE"""),51016563)</f>
        <v>51016563</v>
      </c>
      <c r="G1261" s="12" t="str">
        <f ca="1">IFERROR(__xludf.DUMMYFUNCTION("""COMPUTED_VALUE"""),"NCTV01TL")</f>
        <v>NCTV01TL</v>
      </c>
      <c r="H1261" s="13">
        <f ca="1">IFERROR(__xludf.DUMMYFUNCTION("""COMPUTED_VALUE"""),18995)</f>
        <v>18995</v>
      </c>
      <c r="I1261" s="18">
        <f ca="1">IFERROR(__xludf.DUMMYFUNCTION("""COMPUTED_VALUE"""),18995)</f>
        <v>18995</v>
      </c>
      <c r="J1261" s="12"/>
      <c r="K1261" s="12" t="str">
        <f ca="1">IFERROR(__xludf.DUMMYFUNCTION("""COMPUTED_VALUE"""),"新機上架")</f>
        <v>新機上架</v>
      </c>
      <c r="L1261" s="12" t="str">
        <f ca="1">IFERROR(__xludf.DUMMYFUNCTION("""COMPUTED_VALUE"""),"上架中")</f>
        <v>上架中</v>
      </c>
      <c r="M1261" s="12" t="str">
        <f ca="1">IFERROR(__xludf.DUMMYFUNCTION("""COMPUTED_VALUE"""),"CQ2Q only")</f>
        <v>CQ2Q only</v>
      </c>
      <c r="N1261" s="12" t="str">
        <f ca="1">IFERROR(__xludf.DUMMYFUNCTION("""COMPUTED_VALUE"""),"螢幕/液晶電視")</f>
        <v>螢幕/液晶電視</v>
      </c>
      <c r="O1261" s="12"/>
      <c r="P1261" s="12" t="str">
        <f ca="1">IFERROR(__xludf.DUMMYFUNCTION("""COMPUTED_VALUE"""),"55型")</f>
        <v>55型</v>
      </c>
      <c r="Q1261" s="12" t="str">
        <f ca="1">IFERROR(__xludf.DUMMYFUNCTION("""COMPUTED_VALUE"""),"含腳座 : 1226 × 280 × 767mm
 不含腳座 : 1226 × 85 × 716mm")</f>
        <v>含腳座 : 1226 × 280 × 767mm
 不含腳座 : 1226 × 85 × 716mm</v>
      </c>
      <c r="R1261" s="12" t="str">
        <f ca="1">IFERROR(__xludf.DUMMYFUNCTION("""COMPUTED_VALUE"""),"中國")</f>
        <v>中國</v>
      </c>
      <c r="S1261" s="12"/>
      <c r="T1261" s="12"/>
      <c r="U1261" s="12" t="str">
        <f ca="1">IFERROR(__xludf.DUMMYFUNCTION("""COMPUTED_VALUE"""),"2年")</f>
        <v>2年</v>
      </c>
      <c r="V1261" s="12"/>
      <c r="W1261" s="12"/>
      <c r="X1261" s="12"/>
      <c r="Y1261" s="12"/>
      <c r="Z1261" s="14"/>
      <c r="AA1261" s="15" t="str">
        <f ca="1">IFERROR(__xludf.DUMMYFUNCTION("""COMPUTED_VALUE"""),"*QD-Mini LED 512 個分區控光可提供卓越對比度 *1200 nits 峰值亮度 絕佳的亮度，呈現令人驚豔的視覺效果 *144Hz 螢幕更新頻率
極致流暢的動態影像 *Dolby Vision® IQ、Dolby Atmos®沉浸式視聽體驗 *AI 處理器強大的 AI 引擎強化所有影像 * GOOGLE TV")</f>
        <v>*QD-Mini LED 512 個分區控光可提供卓越對比度 *1200 nits 峰值亮度 絕佳的亮度，呈現令人驚豔的視覺效果 *144Hz 螢幕更新頻率
極致流暢的動態影像 *Dolby Vision® IQ、Dolby Atmos®沉浸式視聽體驗 *AI 處理器強大的 AI 引擎強化所有影像 * GOOGLE TV</v>
      </c>
    </row>
    <row r="1262" spans="1:27" ht="19.5" customHeight="1">
      <c r="A1262" s="12" t="str">
        <f ca="1">IFERROR(__xludf.DUMMYFUNCTION("""COMPUTED_VALUE"""),"HDTV")</f>
        <v>HDTV</v>
      </c>
      <c r="B1262" s="12" t="str">
        <f ca="1">IFERROR(__xludf.DUMMYFUNCTION("""COMPUTED_VALUE"""),"神腦")</f>
        <v>神腦</v>
      </c>
      <c r="C1262" s="12" t="str">
        <f ca="1">IFERROR(__xludf.DUMMYFUNCTION("""COMPUTED_VALUE"""),"Xiaomi")</f>
        <v>Xiaomi</v>
      </c>
      <c r="D1262" s="12" t="str">
        <f ca="1">IFERROR(__xludf.DUMMYFUNCTION("""COMPUTED_VALUE"""),"小米 Xiaomi S Mini LED 2025 65型 智慧顯示器")</f>
        <v>小米 Xiaomi S Mini LED 2025 65型 智慧顯示器</v>
      </c>
      <c r="E1262" s="12" t="str">
        <f ca="1">IFERROR(__xludf.DUMMYFUNCTION("""COMPUTED_VALUE"""),"Xiaomi_S_MiniLED_65")</f>
        <v>Xiaomi_S_MiniLED_65</v>
      </c>
      <c r="F1262" s="12">
        <f ca="1">IFERROR(__xludf.DUMMYFUNCTION("""COMPUTED_VALUE"""),51016564)</f>
        <v>51016564</v>
      </c>
      <c r="G1262" s="12" t="str">
        <f ca="1">IFERROR(__xludf.DUMMYFUNCTION("""COMPUTED_VALUE"""),"NCTV01TM")</f>
        <v>NCTV01TM</v>
      </c>
      <c r="H1262" s="13">
        <f ca="1">IFERROR(__xludf.DUMMYFUNCTION("""COMPUTED_VALUE"""),24995)</f>
        <v>24995</v>
      </c>
      <c r="I1262" s="18">
        <f ca="1">IFERROR(__xludf.DUMMYFUNCTION("""COMPUTED_VALUE"""),24995)</f>
        <v>24995</v>
      </c>
      <c r="J1262" s="12"/>
      <c r="K1262" s="12" t="str">
        <f ca="1">IFERROR(__xludf.DUMMYFUNCTION("""COMPUTED_VALUE"""),"新機上架")</f>
        <v>新機上架</v>
      </c>
      <c r="L1262" s="12" t="str">
        <f ca="1">IFERROR(__xludf.DUMMYFUNCTION("""COMPUTED_VALUE"""),"上架中")</f>
        <v>上架中</v>
      </c>
      <c r="M1262" s="12" t="str">
        <f ca="1">IFERROR(__xludf.DUMMYFUNCTION("""COMPUTED_VALUE"""),"CQ2Q only")</f>
        <v>CQ2Q only</v>
      </c>
      <c r="N1262" s="12" t="str">
        <f ca="1">IFERROR(__xludf.DUMMYFUNCTION("""COMPUTED_VALUE"""),"螢幕/液晶電視")</f>
        <v>螢幕/液晶電視</v>
      </c>
      <c r="O1262" s="12"/>
      <c r="P1262" s="12" t="str">
        <f ca="1">IFERROR(__xludf.DUMMYFUNCTION("""COMPUTED_VALUE"""),"65型")</f>
        <v>65型</v>
      </c>
      <c r="Q1262" s="12" t="str">
        <f ca="1">IFERROR(__xludf.DUMMYFUNCTION("""COMPUTED_VALUE"""),"含腳座 : 1445.7 × 390 × 904mm
 不含腳座 : 1445.7 × 84.6 × 838.2mm")</f>
        <v>含腳座 : 1445.7 × 390 × 904mm
 不含腳座 : 1445.7 × 84.6 × 838.2mm</v>
      </c>
      <c r="R1262" s="12" t="str">
        <f ca="1">IFERROR(__xludf.DUMMYFUNCTION("""COMPUTED_VALUE"""),"中國")</f>
        <v>中國</v>
      </c>
      <c r="S1262" s="12"/>
      <c r="T1262" s="12"/>
      <c r="U1262" s="12" t="str">
        <f ca="1">IFERROR(__xludf.DUMMYFUNCTION("""COMPUTED_VALUE"""),"2年")</f>
        <v>2年</v>
      </c>
      <c r="V1262" s="12"/>
      <c r="W1262" s="12"/>
      <c r="X1262" s="12"/>
      <c r="Y1262" s="12"/>
      <c r="Z1262" s="14"/>
      <c r="AA1262" s="15" t="str">
        <f ca="1">IFERROR(__xludf.DUMMYFUNCTION("""COMPUTED_VALUE"""),"*QD-Mini LED 512 個分區控光可提供卓越對比度 *1200 nits 峰值亮度 絕佳的亮度，呈現令人驚豔的視覺效果 *144Hz 螢幕更新頻率
極致流暢的動態影像 *Dolby Vision® IQ、Dolby Atmos®沉浸式視聽體驗 *AI 處理器強大的 AI 引擎強化所有影像 * GOOGLE TV")</f>
        <v>*QD-Mini LED 512 個分區控光可提供卓越對比度 *1200 nits 峰值亮度 絕佳的亮度，呈現令人驚豔的視覺效果 *144Hz 螢幕更新頻率
極致流暢的動態影像 *Dolby Vision® IQ、Dolby Atmos®沉浸式視聽體驗 *AI 處理器強大的 AI 引擎強化所有影像 * GOOGLE TV</v>
      </c>
    </row>
    <row r="1263" spans="1:27" ht="19.5" customHeight="1">
      <c r="A1263" s="12" t="str">
        <f ca="1">IFERROR(__xludf.DUMMYFUNCTION("""COMPUTED_VALUE"""),"HDTV")</f>
        <v>HDTV</v>
      </c>
      <c r="B1263" s="12" t="str">
        <f ca="1">IFERROR(__xludf.DUMMYFUNCTION("""COMPUTED_VALUE"""),"神腦")</f>
        <v>神腦</v>
      </c>
      <c r="C1263" s="12" t="str">
        <f ca="1">IFERROR(__xludf.DUMMYFUNCTION("""COMPUTED_VALUE"""),"Xiaomi")</f>
        <v>Xiaomi</v>
      </c>
      <c r="D1263" s="12" t="str">
        <f ca="1">IFERROR(__xludf.DUMMYFUNCTION("""COMPUTED_VALUE"""),"小米 Xiaomi S Mini LED 2025 75型 智慧顯示器")</f>
        <v>小米 Xiaomi S Mini LED 2025 75型 智慧顯示器</v>
      </c>
      <c r="E1263" s="12" t="str">
        <f ca="1">IFERROR(__xludf.DUMMYFUNCTION("""COMPUTED_VALUE"""),"Xiaomi_S_MiniLED_75")</f>
        <v>Xiaomi_S_MiniLED_75</v>
      </c>
      <c r="F1263" s="12">
        <f ca="1">IFERROR(__xludf.DUMMYFUNCTION("""COMPUTED_VALUE"""),51016565)</f>
        <v>51016565</v>
      </c>
      <c r="G1263" s="12" t="str">
        <f ca="1">IFERROR(__xludf.DUMMYFUNCTION("""COMPUTED_VALUE"""),"NCTV01TN")</f>
        <v>NCTV01TN</v>
      </c>
      <c r="H1263" s="13">
        <f ca="1">IFERROR(__xludf.DUMMYFUNCTION("""COMPUTED_VALUE"""),29995)</f>
        <v>29995</v>
      </c>
      <c r="I1263" s="18">
        <f ca="1">IFERROR(__xludf.DUMMYFUNCTION("""COMPUTED_VALUE"""),29995)</f>
        <v>29995</v>
      </c>
      <c r="J1263" s="12"/>
      <c r="K1263" s="12" t="str">
        <f ca="1">IFERROR(__xludf.DUMMYFUNCTION("""COMPUTED_VALUE"""),"新機上架")</f>
        <v>新機上架</v>
      </c>
      <c r="L1263" s="12" t="str">
        <f ca="1">IFERROR(__xludf.DUMMYFUNCTION("""COMPUTED_VALUE"""),"上架中")</f>
        <v>上架中</v>
      </c>
      <c r="M1263" s="12" t="str">
        <f ca="1">IFERROR(__xludf.DUMMYFUNCTION("""COMPUTED_VALUE"""),"CQ2Q only")</f>
        <v>CQ2Q only</v>
      </c>
      <c r="N1263" s="12" t="str">
        <f ca="1">IFERROR(__xludf.DUMMYFUNCTION("""COMPUTED_VALUE"""),"螢幕/液晶電視")</f>
        <v>螢幕/液晶電視</v>
      </c>
      <c r="O1263" s="12"/>
      <c r="P1263" s="12" t="str">
        <f ca="1">IFERROR(__xludf.DUMMYFUNCTION("""COMPUTED_VALUE"""),"75型")</f>
        <v>75型</v>
      </c>
      <c r="Q1263" s="12" t="str">
        <f ca="1">IFERROR(__xludf.DUMMYFUNCTION("""COMPUTED_VALUE"""),"含腳座 : 1669 × 425 × 1027mm
 不含腳座 : 1669 × 85 × 966mm")</f>
        <v>含腳座 : 1669 × 425 × 1027mm
 不含腳座 : 1669 × 85 × 966mm</v>
      </c>
      <c r="R1263" s="12" t="str">
        <f ca="1">IFERROR(__xludf.DUMMYFUNCTION("""COMPUTED_VALUE"""),"中國")</f>
        <v>中國</v>
      </c>
      <c r="S1263" s="12"/>
      <c r="T1263" s="12"/>
      <c r="U1263" s="12" t="str">
        <f ca="1">IFERROR(__xludf.DUMMYFUNCTION("""COMPUTED_VALUE"""),"2年")</f>
        <v>2年</v>
      </c>
      <c r="V1263" s="12"/>
      <c r="W1263" s="12"/>
      <c r="X1263" s="12"/>
      <c r="Y1263" s="12"/>
      <c r="Z1263" s="14"/>
      <c r="AA1263" s="15" t="str">
        <f ca="1">IFERROR(__xludf.DUMMYFUNCTION("""COMPUTED_VALUE"""),"*QD-Mini LED 512 個分區控光可提供卓越對比度 *1200 nits 峰值亮度 絕佳的亮度，呈現令人驚豔的視覺效果 *144Hz 螢幕更新頻率
極致流暢的動態影像 *Dolby Vision® IQ、Dolby Atmos®沉浸式視聽體驗 *AI 處理器強大的 AI 引擎強化所有影像 * GOOGLE TV")</f>
        <v>*QD-Mini LED 512 個分區控光可提供卓越對比度 *1200 nits 峰值亮度 絕佳的亮度，呈現令人驚豔的視覺效果 *144Hz 螢幕更新頻率
極致流暢的動態影像 *Dolby Vision® IQ、Dolby Atmos®沉浸式視聽體驗 *AI 處理器強大的 AI 引擎強化所有影像 * GOOGLE TV</v>
      </c>
    </row>
    <row r="1264" spans="1:27" ht="19.5" customHeight="1">
      <c r="A1264" s="12" t="str">
        <f ca="1">IFERROR(__xludf.DUMMYFUNCTION("""COMPUTED_VALUE"""),"HDTV")</f>
        <v>HDTV</v>
      </c>
      <c r="B1264" s="12" t="str">
        <f ca="1">IFERROR(__xludf.DUMMYFUNCTION("""COMPUTED_VALUE"""),"神腦")</f>
        <v>神腦</v>
      </c>
      <c r="C1264" s="12" t="str">
        <f ca="1">IFERROR(__xludf.DUMMYFUNCTION("""COMPUTED_VALUE"""),"Xiaomi")</f>
        <v>Xiaomi</v>
      </c>
      <c r="D1264" s="12" t="str">
        <f ca="1">IFERROR(__xludf.DUMMYFUNCTION("""COMPUTED_VALUE"""),"小米 智慧顯示器 Max 86 型")</f>
        <v>小米 智慧顯示器 Max 86 型</v>
      </c>
      <c r="E1264" s="12" t="str">
        <f ca="1">IFERROR(__xludf.DUMMYFUNCTION("""COMPUTED_VALUE"""),"小米智慧顯示器Max86")</f>
        <v>小米智慧顯示器Max86</v>
      </c>
      <c r="F1264" s="12">
        <f ca="1">IFERROR(__xludf.DUMMYFUNCTION("""COMPUTED_VALUE"""),51016566)</f>
        <v>51016566</v>
      </c>
      <c r="G1264" s="12" t="str">
        <f ca="1">IFERROR(__xludf.DUMMYFUNCTION("""COMPUTED_VALUE"""),"NCTV01TO")</f>
        <v>NCTV01TO</v>
      </c>
      <c r="H1264" s="13">
        <f ca="1">IFERROR(__xludf.DUMMYFUNCTION("""COMPUTED_VALUE"""),39999)</f>
        <v>39999</v>
      </c>
      <c r="I1264" s="18">
        <f ca="1">IFERROR(__xludf.DUMMYFUNCTION("""COMPUTED_VALUE"""),39999)</f>
        <v>39999</v>
      </c>
      <c r="J1264" s="12"/>
      <c r="K1264" s="12" t="str">
        <f ca="1">IFERROR(__xludf.DUMMYFUNCTION("""COMPUTED_VALUE"""),"新機上架")</f>
        <v>新機上架</v>
      </c>
      <c r="L1264" s="12" t="str">
        <f ca="1">IFERROR(__xludf.DUMMYFUNCTION("""COMPUTED_VALUE"""),"上架中")</f>
        <v>上架中</v>
      </c>
      <c r="M1264" s="12" t="str">
        <f ca="1">IFERROR(__xludf.DUMMYFUNCTION("""COMPUTED_VALUE"""),"CQ2Q only")</f>
        <v>CQ2Q only</v>
      </c>
      <c r="N1264" s="12" t="str">
        <f ca="1">IFERROR(__xludf.DUMMYFUNCTION("""COMPUTED_VALUE"""),"螢幕/液晶電視")</f>
        <v>螢幕/液晶電視</v>
      </c>
      <c r="O1264" s="12"/>
      <c r="P1264" s="12" t="str">
        <f ca="1">IFERROR(__xludf.DUMMYFUNCTION("""COMPUTED_VALUE"""),"86型")</f>
        <v>86型</v>
      </c>
      <c r="Q1264" s="12" t="str">
        <f ca="1">IFERROR(__xludf.DUMMYFUNCTION("""COMPUTED_VALUE"""),"含腳座 : 1924.04 x 441.42 x 1181.94mm
不含腳座 : 1924.04 x 91.32 x 1102.16mm")</f>
        <v>含腳座 : 1924.04 x 441.42 x 1181.94mm
不含腳座 : 1924.04 x 91.32 x 1102.16mm</v>
      </c>
      <c r="R1264" s="12" t="str">
        <f ca="1">IFERROR(__xludf.DUMMYFUNCTION("""COMPUTED_VALUE"""),"中國")</f>
        <v>中國</v>
      </c>
      <c r="S1264" s="12"/>
      <c r="T1264" s="12"/>
      <c r="U1264" s="12" t="str">
        <f ca="1">IFERROR(__xludf.DUMMYFUNCTION("""COMPUTED_VALUE"""),"2年")</f>
        <v>2年</v>
      </c>
      <c r="V1264" s="12"/>
      <c r="W1264" s="12"/>
      <c r="X1264" s="12"/>
      <c r="Y1264" s="12"/>
      <c r="Z1264" s="14"/>
      <c r="AA1264" s="15" t="str">
        <f ca="1">IFERROR(__xludf.DUMMYFUNCTION("""COMPUTED_VALUE"""),"*86 吋螢幕採用頂級極窄邊框設計 *4K Ultra HD 顯示器具備 120Hz 螢幕更新頻率 *Dolby Vision® IQ、Dolby Atmos®沉浸式視聽體驗 全陣列局部調光 * GOOGLE TV")</f>
        <v>*86 吋螢幕採用頂級極窄邊框設計 *4K Ultra HD 顯示器具備 120Hz 螢幕更新頻率 *Dolby Vision® IQ、Dolby Atmos®沉浸式視聽體驗 全陣列局部調光 * GOOGLE TV</v>
      </c>
    </row>
    <row r="1265" spans="1:27" ht="19.5" customHeight="1">
      <c r="A1265" s="12" t="str">
        <f ca="1">IFERROR(__xludf.DUMMYFUNCTION("""COMPUTED_VALUE"""),"HDTV")</f>
        <v>HDTV</v>
      </c>
      <c r="B1265" s="12" t="str">
        <f ca="1">IFERROR(__xludf.DUMMYFUNCTION("""COMPUTED_VALUE"""),"神腦")</f>
        <v>神腦</v>
      </c>
      <c r="C1265" s="12" t="str">
        <f ca="1">IFERROR(__xludf.DUMMYFUNCTION("""COMPUTED_VALUE"""),"SHARP")</f>
        <v>SHARP</v>
      </c>
      <c r="D1265" s="12" t="str">
        <f ca="1">IFERROR(__xludf.DUMMYFUNCTION("""COMPUTED_VALUE"""),"SHARP 50型Google聯網液晶顯示器(無視訊盒) 4T-C50FJ1X")</f>
        <v>SHARP 50型Google聯網液晶顯示器(無視訊盒) 4T-C50FJ1X</v>
      </c>
      <c r="E1265" s="12" t="str">
        <f ca="1">IFERROR(__xludf.DUMMYFUNCTION("""COMPUTED_VALUE"""),"4T-C50FJ1X")</f>
        <v>4T-C50FJ1X</v>
      </c>
      <c r="F1265" s="12">
        <f ca="1">IFERROR(__xludf.DUMMYFUNCTION("""COMPUTED_VALUE"""),51016508)</f>
        <v>51016508</v>
      </c>
      <c r="G1265" s="12" t="str">
        <f ca="1">IFERROR(__xludf.DUMMYFUNCTION("""COMPUTED_VALUE"""),"NCTV01RJ")</f>
        <v>NCTV01RJ</v>
      </c>
      <c r="H1265" s="13">
        <f ca="1">IFERROR(__xludf.DUMMYFUNCTION("""COMPUTED_VALUE"""),16900)</f>
        <v>16900</v>
      </c>
      <c r="I1265" s="18">
        <f ca="1">IFERROR(__xludf.DUMMYFUNCTION("""COMPUTED_VALUE"""),16500)</f>
        <v>16500</v>
      </c>
      <c r="J1265" s="16">
        <f ca="1">IFERROR(__xludf.DUMMYFUNCTION("""COMPUTED_VALUE"""),45649)</f>
        <v>45649</v>
      </c>
      <c r="K1265" s="12" t="str">
        <f ca="1">IFERROR(__xludf.DUMMYFUNCTION("""COMPUTED_VALUE"""),"永久降價")</f>
        <v>永久降價</v>
      </c>
      <c r="L1265" s="12" t="str">
        <f ca="1">IFERROR(__xludf.DUMMYFUNCTION("""COMPUTED_VALUE"""),"上架中")</f>
        <v>上架中</v>
      </c>
      <c r="M1265" s="12"/>
      <c r="N1265" s="12" t="str">
        <f ca="1">IFERROR(__xludf.DUMMYFUNCTION("""COMPUTED_VALUE"""),"螢幕/液晶電視")</f>
        <v>螢幕/液晶電視</v>
      </c>
      <c r="O1265" s="12"/>
      <c r="P1265" s="12" t="str">
        <f ca="1">IFERROR(__xludf.DUMMYFUNCTION("""COMPUTED_VALUE"""),"50型")</f>
        <v>50型</v>
      </c>
      <c r="Q1265" s="12" t="str">
        <f ca="1">IFERROR(__xludf.DUMMYFUNCTION("""COMPUTED_VALUE"""),"外型尺寸 (不含腳架)(高*寬*深) :  
        652 x 1116 x60 (mm)
外型尺寸 (含腳架) )(高*寬*深) : 
       693 x 1116 x 265 (mm)")</f>
        <v>外型尺寸 (不含腳架)(高*寬*深) :  
        652 x 1116 x60 (mm)
外型尺寸 (含腳架) )(高*寬*深) : 
       693 x 1116 x 265 (mm)</v>
      </c>
      <c r="R1265" s="12" t="str">
        <f ca="1">IFERROR(__xludf.DUMMYFUNCTION("""COMPUTED_VALUE"""),"中國")</f>
        <v>中國</v>
      </c>
      <c r="S1265" s="12"/>
      <c r="T1265" s="12"/>
      <c r="U1265" s="12" t="str">
        <f ca="1">IFERROR(__xludf.DUMMYFUNCTION("""COMPUTED_VALUE"""),"3年")</f>
        <v>3年</v>
      </c>
      <c r="V1265" s="12"/>
      <c r="W1265" s="12"/>
      <c r="X1265" s="12"/>
      <c r="Y1265" s="12"/>
      <c r="Z1265" s="14"/>
      <c r="AA1265" s="15" t="str">
        <f ca="1">IFERROR(__xludf.DUMMYFUNCTION("""COMPUTED_VALUE"""),"*全新 X5 影像處理晶片*7種觀賞模式 *HDR 10 / HLG *Google TV 操作系統*藍牙語音遙控器*杜比音效(DolbyAudio)")</f>
        <v>*全新 X5 影像處理晶片*7種觀賞模式 *HDR 10 / HLG *Google TV 操作系統*藍牙語音遙控器*杜比音效(DolbyAudio)</v>
      </c>
    </row>
    <row r="1266" spans="1:27" ht="19.5" customHeight="1">
      <c r="A1266" s="12" t="str">
        <f ca="1">IFERROR(__xludf.DUMMYFUNCTION("""COMPUTED_VALUE"""),"HDTV")</f>
        <v>HDTV</v>
      </c>
      <c r="B1266" s="12" t="str">
        <f ca="1">IFERROR(__xludf.DUMMYFUNCTION("""COMPUTED_VALUE"""),"神腦")</f>
        <v>神腦</v>
      </c>
      <c r="C1266" s="12" t="str">
        <f ca="1">IFERROR(__xludf.DUMMYFUNCTION("""COMPUTED_VALUE"""),"SHARP")</f>
        <v>SHARP</v>
      </c>
      <c r="D1266" s="12" t="str">
        <f ca="1">IFERROR(__xludf.DUMMYFUNCTION("""COMPUTED_VALUE"""),"SHARP 55型Google聯網液晶顯示器(無視訊盒) 4T-C55FJ1X")</f>
        <v>SHARP 55型Google聯網液晶顯示器(無視訊盒) 4T-C55FJ1X</v>
      </c>
      <c r="E1266" s="12" t="str">
        <f ca="1">IFERROR(__xludf.DUMMYFUNCTION("""COMPUTED_VALUE"""),"4T-C55FJ1X")</f>
        <v>4T-C55FJ1X</v>
      </c>
      <c r="F1266" s="12">
        <f ca="1">IFERROR(__xludf.DUMMYFUNCTION("""COMPUTED_VALUE"""),51016509)</f>
        <v>51016509</v>
      </c>
      <c r="G1266" s="12" t="str">
        <f ca="1">IFERROR(__xludf.DUMMYFUNCTION("""COMPUTED_VALUE"""),"NCTV01RK")</f>
        <v>NCTV01RK</v>
      </c>
      <c r="H1266" s="13">
        <f ca="1">IFERROR(__xludf.DUMMYFUNCTION("""COMPUTED_VALUE"""),19900)</f>
        <v>19900</v>
      </c>
      <c r="I1266" s="18">
        <f ca="1">IFERROR(__xludf.DUMMYFUNCTION("""COMPUTED_VALUE"""),19500)</f>
        <v>19500</v>
      </c>
      <c r="J1266" s="16">
        <f ca="1">IFERROR(__xludf.DUMMYFUNCTION("""COMPUTED_VALUE"""),45649)</f>
        <v>45649</v>
      </c>
      <c r="K1266" s="12" t="str">
        <f ca="1">IFERROR(__xludf.DUMMYFUNCTION("""COMPUTED_VALUE"""),"永久降價")</f>
        <v>永久降價</v>
      </c>
      <c r="L1266" s="12" t="str">
        <f ca="1">IFERROR(__xludf.DUMMYFUNCTION("""COMPUTED_VALUE"""),"上架中")</f>
        <v>上架中</v>
      </c>
      <c r="M1266" s="12"/>
      <c r="N1266" s="12" t="str">
        <f ca="1">IFERROR(__xludf.DUMMYFUNCTION("""COMPUTED_VALUE"""),"螢幕/液晶電視")</f>
        <v>螢幕/液晶電視</v>
      </c>
      <c r="O1266" s="12"/>
      <c r="P1266" s="12" t="str">
        <f ca="1">IFERROR(__xludf.DUMMYFUNCTION("""COMPUTED_VALUE"""),"55型")</f>
        <v>55型</v>
      </c>
      <c r="Q1266" s="12" t="str">
        <f ca="1">IFERROR(__xludf.DUMMYFUNCTION("""COMPUTED_VALUE"""),"外型尺寸 (不含腳架)(高*寬*深) :  
       719.4 x1229 x  63 (mm)
外型尺寸 (含腳架) )(高*寬*深) : 
       759 x 1229 x 265 (mm)")</f>
        <v>外型尺寸 (不含腳架)(高*寬*深) :  
       719.4 x1229 x  63 (mm)
外型尺寸 (含腳架) )(高*寬*深) : 
       759 x 1229 x 265 (mm)</v>
      </c>
      <c r="R1266" s="12" t="str">
        <f ca="1">IFERROR(__xludf.DUMMYFUNCTION("""COMPUTED_VALUE"""),"中國")</f>
        <v>中國</v>
      </c>
      <c r="S1266" s="12"/>
      <c r="T1266" s="12"/>
      <c r="U1266" s="12" t="str">
        <f ca="1">IFERROR(__xludf.DUMMYFUNCTION("""COMPUTED_VALUE"""),"3年")</f>
        <v>3年</v>
      </c>
      <c r="V1266" s="12"/>
      <c r="W1266" s="12"/>
      <c r="X1266" s="12"/>
      <c r="Y1266" s="12"/>
      <c r="Z1266" s="14"/>
      <c r="AA1266" s="15" t="str">
        <f ca="1">IFERROR(__xludf.DUMMYFUNCTION("""COMPUTED_VALUE"""),"*全新 X5 影像處理晶片*7種觀賞模式 *HDR 10 / HLG *Google TV 操作系統*藍牙語音遙控器*杜比音效(DolbyAudio)")</f>
        <v>*全新 X5 影像處理晶片*7種觀賞模式 *HDR 10 / HLG *Google TV 操作系統*藍牙語音遙控器*杜比音效(DolbyAudio)</v>
      </c>
    </row>
    <row r="1267" spans="1:27" ht="19.5" customHeight="1">
      <c r="A1267" s="12" t="str">
        <f ca="1">IFERROR(__xludf.DUMMYFUNCTION("""COMPUTED_VALUE"""),"HDTV")</f>
        <v>HDTV</v>
      </c>
      <c r="B1267" s="12" t="str">
        <f ca="1">IFERROR(__xludf.DUMMYFUNCTION("""COMPUTED_VALUE"""),"神腦")</f>
        <v>神腦</v>
      </c>
      <c r="C1267" s="12" t="str">
        <f ca="1">IFERROR(__xludf.DUMMYFUNCTION("""COMPUTED_VALUE"""),"SHARP")</f>
        <v>SHARP</v>
      </c>
      <c r="D1267" s="12" t="str">
        <f ca="1">IFERROR(__xludf.DUMMYFUNCTION("""COMPUTED_VALUE"""),"SHARP 65型Google聯網液晶顯示器(無視訊盒) 4T-C65GU8500X")</f>
        <v>SHARP 65型Google聯網液晶顯示器(無視訊盒) 4T-C65GU8500X</v>
      </c>
      <c r="E1267" s="12" t="str">
        <f ca="1">IFERROR(__xludf.DUMMYFUNCTION("""COMPUTED_VALUE"""),"4T-C65GU8500X")</f>
        <v>4T-C65GU8500X</v>
      </c>
      <c r="F1267" s="12">
        <f ca="1">IFERROR(__xludf.DUMMYFUNCTION("""COMPUTED_VALUE"""),51016510)</f>
        <v>51016510</v>
      </c>
      <c r="G1267" s="12" t="str">
        <f ca="1">IFERROR(__xludf.DUMMYFUNCTION("""COMPUTED_VALUE"""),"NCTV01RL")</f>
        <v>NCTV01RL</v>
      </c>
      <c r="H1267" s="13">
        <f ca="1">IFERROR(__xludf.DUMMYFUNCTION("""COMPUTED_VALUE"""),47900)</f>
        <v>47900</v>
      </c>
      <c r="I1267" s="18">
        <f ca="1">IFERROR(__xludf.DUMMYFUNCTION("""COMPUTED_VALUE"""),45900)</f>
        <v>45900</v>
      </c>
      <c r="J1267" s="12"/>
      <c r="K1267" s="12"/>
      <c r="L1267" s="12" t="str">
        <f ca="1">IFERROR(__xludf.DUMMYFUNCTION("""COMPUTED_VALUE"""),"上架中")</f>
        <v>上架中</v>
      </c>
      <c r="M1267" s="12" t="str">
        <f ca="1">IFERROR(__xludf.DUMMYFUNCTION("""COMPUTED_VALUE"""),"CQ2Q only")</f>
        <v>CQ2Q only</v>
      </c>
      <c r="N1267" s="12" t="str">
        <f ca="1">IFERROR(__xludf.DUMMYFUNCTION("""COMPUTED_VALUE"""),"螢幕/液晶電視")</f>
        <v>螢幕/液晶電視</v>
      </c>
      <c r="O1267" s="12"/>
      <c r="P1267" s="12" t="str">
        <f ca="1">IFERROR(__xludf.DUMMYFUNCTION("""COMPUTED_VALUE"""),"65型")</f>
        <v>65型</v>
      </c>
      <c r="Q1267" s="12" t="str">
        <f ca="1">IFERROR(__xludf.DUMMYFUNCTION("""COMPUTED_VALUE"""),"外型尺寸(不含腳架)(高)x(寬)x(深)844 x 1450 x 73 (mm)
外型尺寸(含腳架)  895 x 1450 x300 (mm)")</f>
        <v>外型尺寸(不含腳架)(高)x(寬)x(深)844 x 1450 x 73 (mm)
外型尺寸(含腳架)  895 x 1450 x300 (mm)</v>
      </c>
      <c r="R1267" s="12" t="str">
        <f ca="1">IFERROR(__xludf.DUMMYFUNCTION("""COMPUTED_VALUE"""),"中國")</f>
        <v>中國</v>
      </c>
      <c r="S1267" s="12"/>
      <c r="T1267" s="12"/>
      <c r="U1267" s="12" t="str">
        <f ca="1">IFERROR(__xludf.DUMMYFUNCTION("""COMPUTED_VALUE"""),"3年")</f>
        <v>3年</v>
      </c>
      <c r="V1267" s="12"/>
      <c r="W1267" s="12"/>
      <c r="X1267" s="12"/>
      <c r="Y1267" s="12"/>
      <c r="Z1267" s="14"/>
      <c r="AA1267" s="15" t="str">
        <f ca="1">IFERROR(__xludf.DUMMYFUNCTION("""COMPUTED_VALUE"""),"*4K UHD (3840*2160) / 120Hz*Deep Chroma QD 夏普量子廣色域*直下式 LED 背光*全新 X6 影像處理晶片*7種觀賞模式*HDR 10 / HLG / Dolby vision IQ*Google TV 操作系統，藍牙語音遙控器*Dolby Audio / Dolby Digital Plus / Dolby  Atmos*ALLM自動低延遲模式/ VRR可變刷新率/ MEMC動態補償")</f>
        <v>*4K UHD (3840*2160) / 120Hz*Deep Chroma QD 夏普量子廣色域*直下式 LED 背光*全新 X6 影像處理晶片*7種觀賞模式*HDR 10 / HLG / Dolby vision IQ*Google TV 操作系統，藍牙語音遙控器*Dolby Audio / Dolby Digital Plus / Dolby  Atmos*ALLM自動低延遲模式/ VRR可變刷新率/ MEMC動態補償</v>
      </c>
    </row>
    <row r="1268" spans="1:27" ht="19.5" customHeight="1">
      <c r="A1268" s="12" t="str">
        <f ca="1">IFERROR(__xludf.DUMMYFUNCTION("""COMPUTED_VALUE"""),"HDTV")</f>
        <v>HDTV</v>
      </c>
      <c r="B1268" s="12" t="str">
        <f ca="1">IFERROR(__xludf.DUMMYFUNCTION("""COMPUTED_VALUE"""),"神腦")</f>
        <v>神腦</v>
      </c>
      <c r="C1268" s="12" t="str">
        <f ca="1">IFERROR(__xludf.DUMMYFUNCTION("""COMPUTED_VALUE"""),"SHARP")</f>
        <v>SHARP</v>
      </c>
      <c r="D1268" s="12" t="str">
        <f ca="1">IFERROR(__xludf.DUMMYFUNCTION("""COMPUTED_VALUE"""),"SHARP 75型Google聯網液晶顯示器(無視訊盒) 4T-C75GU8500X")</f>
        <v>SHARP 75型Google聯網液晶顯示器(無視訊盒) 4T-C75GU8500X</v>
      </c>
      <c r="E1268" s="12" t="str">
        <f ca="1">IFERROR(__xludf.DUMMYFUNCTION("""COMPUTED_VALUE"""),"4T-C75GU8500X")</f>
        <v>4T-C75GU8500X</v>
      </c>
      <c r="F1268" s="12">
        <f ca="1">IFERROR(__xludf.DUMMYFUNCTION("""COMPUTED_VALUE"""),51016511)</f>
        <v>51016511</v>
      </c>
      <c r="G1268" s="12" t="str">
        <f ca="1">IFERROR(__xludf.DUMMYFUNCTION("""COMPUTED_VALUE"""),"NCTV01RM")</f>
        <v>NCTV01RM</v>
      </c>
      <c r="H1268" s="13">
        <f ca="1">IFERROR(__xludf.DUMMYFUNCTION("""COMPUTED_VALUE"""),74900)</f>
        <v>74900</v>
      </c>
      <c r="I1268" s="18">
        <f ca="1">IFERROR(__xludf.DUMMYFUNCTION("""COMPUTED_VALUE"""),69999)</f>
        <v>69999</v>
      </c>
      <c r="J1268" s="12"/>
      <c r="K1268" s="12"/>
      <c r="L1268" s="12" t="str">
        <f ca="1">IFERROR(__xludf.DUMMYFUNCTION("""COMPUTED_VALUE"""),"上架中")</f>
        <v>上架中</v>
      </c>
      <c r="M1268" s="12" t="str">
        <f ca="1">IFERROR(__xludf.DUMMYFUNCTION("""COMPUTED_VALUE"""),"CQ2Q only")</f>
        <v>CQ2Q only</v>
      </c>
      <c r="N1268" s="12" t="str">
        <f ca="1">IFERROR(__xludf.DUMMYFUNCTION("""COMPUTED_VALUE"""),"螢幕/液晶電視")</f>
        <v>螢幕/液晶電視</v>
      </c>
      <c r="O1268" s="12"/>
      <c r="P1268" s="12" t="str">
        <f ca="1">IFERROR(__xludf.DUMMYFUNCTION("""COMPUTED_VALUE"""),"75型")</f>
        <v>75型</v>
      </c>
      <c r="Q1268" s="12" t="str">
        <f ca="1">IFERROR(__xludf.DUMMYFUNCTION("""COMPUTED_VALUE"""),"外型尺寸(不含腳架)(高)x(寬)x(深) 968 x 1672 x 72 (mm)
外型尺寸(含腳架) 1021 x 1672 x 332 (mm)")</f>
        <v>外型尺寸(不含腳架)(高)x(寬)x(深) 968 x 1672 x 72 (mm)
外型尺寸(含腳架) 1021 x 1672 x 332 (mm)</v>
      </c>
      <c r="R1268" s="12" t="str">
        <f ca="1">IFERROR(__xludf.DUMMYFUNCTION("""COMPUTED_VALUE"""),"中國")</f>
        <v>中國</v>
      </c>
      <c r="S1268" s="12"/>
      <c r="T1268" s="12"/>
      <c r="U1268" s="12" t="str">
        <f ca="1">IFERROR(__xludf.DUMMYFUNCTION("""COMPUTED_VALUE"""),"3年")</f>
        <v>3年</v>
      </c>
      <c r="V1268" s="12"/>
      <c r="W1268" s="12"/>
      <c r="X1268" s="12"/>
      <c r="Y1268" s="12"/>
      <c r="Z1268" s="14"/>
      <c r="AA1268" s="15" t="str">
        <f ca="1">IFERROR(__xludf.DUMMYFUNCTION("""COMPUTED_VALUE"""),"*4K UHD (3840*2160) / 120Hz*Deep Chroma QD 夏普量子廣色域*直下式 LED 背光*全新 X6 影像處理晶片*7種觀賞模式*HDR 10 / HLG / Dolby vision IQ*Google TV 操作系統，藍牙語音遙控器*Dolby Audio / Dolby Digital Plus / Dolby  Atmos*ALLM自動低延遲模式/ VRR可變刷新率/ MEMC動態補償")</f>
        <v>*4K UHD (3840*2160) / 120Hz*Deep Chroma QD 夏普量子廣色域*直下式 LED 背光*全新 X6 影像處理晶片*7種觀賞模式*HDR 10 / HLG / Dolby vision IQ*Google TV 操作系統，藍牙語音遙控器*Dolby Audio / Dolby Digital Plus / Dolby  Atmos*ALLM自動低延遲模式/ VRR可變刷新率/ MEMC動態補償</v>
      </c>
    </row>
    <row r="1269" spans="1:27" ht="19.5" customHeight="1">
      <c r="A1269" s="12" t="str">
        <f ca="1">IFERROR(__xludf.DUMMYFUNCTION("""COMPUTED_VALUE"""),"音樂週邊")</f>
        <v>音樂週邊</v>
      </c>
      <c r="B1269" s="12" t="str">
        <f ca="1">IFERROR(__xludf.DUMMYFUNCTION("""COMPUTED_VALUE"""),"燦坤")</f>
        <v>燦坤</v>
      </c>
      <c r="C1269" s="12" t="str">
        <f ca="1">IFERROR(__xludf.DUMMYFUNCTION("""COMPUTED_VALUE"""),"SONY")</f>
        <v>SONY</v>
      </c>
      <c r="D1269" s="12" t="str">
        <f ca="1">IFERROR(__xludf.DUMMYFUNCTION("""COMPUTED_VALUE"""),"SONY 3.1聲道單件式杜比全景聲微型劇院HT-A3000")</f>
        <v>SONY 3.1聲道單件式杜比全景聲微型劇院HT-A3000</v>
      </c>
      <c r="E1269" s="12" t="str">
        <f ca="1">IFERROR(__xludf.DUMMYFUNCTION("""COMPUTED_VALUE"""),"HT-A3000")</f>
        <v>HT-A3000</v>
      </c>
      <c r="F1269" s="12">
        <f ca="1">IFERROR(__xludf.DUMMYFUNCTION("""COMPUTED_VALUE"""),51094044)</f>
        <v>51094044</v>
      </c>
      <c r="G1269" s="12" t="str">
        <f ca="1">IFERROR(__xludf.DUMMYFUNCTION("""COMPUTED_VALUE"""),"NCPE001S")</f>
        <v>NCPE001S</v>
      </c>
      <c r="H1269" s="13">
        <f ca="1">IFERROR(__xludf.DUMMYFUNCTION("""COMPUTED_VALUE"""),19900)</f>
        <v>19900</v>
      </c>
      <c r="I1269" s="14">
        <f ca="1">IFERROR(__xludf.DUMMYFUNCTION("""COMPUTED_VALUE"""),18900)</f>
        <v>18900</v>
      </c>
      <c r="J1269" s="16">
        <f ca="1">IFERROR(__xludf.DUMMYFUNCTION("""COMPUTED_VALUE"""),44959)</f>
        <v>44959</v>
      </c>
      <c r="K1269" s="12" t="str">
        <f ca="1">IFERROR(__xludf.DUMMYFUNCTION("""COMPUTED_VALUE"""),"新機上架")</f>
        <v>新機上架</v>
      </c>
      <c r="L1269" s="12" t="str">
        <f ca="1">IFERROR(__xludf.DUMMYFUNCTION("""COMPUTED_VALUE"""),"上架中")</f>
        <v>上架中</v>
      </c>
      <c r="M1269" s="12" t="str">
        <f ca="1">IFERROR(__xludf.DUMMYFUNCTION("""COMPUTED_VALUE"""),"2023/2/2上架")</f>
        <v>2023/2/2上架</v>
      </c>
      <c r="N1269" s="12" t="str">
        <f ca="1">IFERROR(__xludf.DUMMYFUNCTION("""COMPUTED_VALUE"""),"家庭劇院")</f>
        <v>家庭劇院</v>
      </c>
      <c r="O1269" s="12"/>
      <c r="P1269" s="12" t="str">
        <f ca="1">IFERROR(__xludf.DUMMYFUNCTION("""COMPUTED_VALUE"""),"ATMOS藍牙/3.1(.2)聲道")</f>
        <v>ATMOS藍牙/3.1(.2)聲道</v>
      </c>
      <c r="Q1269" s="12" t="str">
        <f ca="1">IFERROR(__xludf.DUMMYFUNCTION("""COMPUTED_VALUE"""),"64x950x128mm")</f>
        <v>64x950x128mm</v>
      </c>
      <c r="R1269" s="12" t="str">
        <f ca="1">IFERROR(__xludf.DUMMYFUNCTION("""COMPUTED_VALUE"""),"中國")</f>
        <v>中國</v>
      </c>
      <c r="S1269" s="12"/>
      <c r="T1269" s="12"/>
      <c r="U1269" s="12" t="str">
        <f ca="1">IFERROR(__xludf.DUMMYFUNCTION("""COMPUTED_VALUE"""),"1年")</f>
        <v>1年</v>
      </c>
      <c r="V1269" s="12"/>
      <c r="W1269" s="12"/>
      <c r="X1269" s="12"/>
      <c r="Y1269" s="12"/>
      <c r="Z1269" s="14"/>
      <c r="AA1269" s="15" t="str">
        <f ca="1">IFERROR(__xludf.DUMMYFUNCTION("""COMPUTED_VALUE"""),"*3.1(.2)聲道*無線連線可串流播放所有音樂*體積小巧 *支援Dolby ATMOS/DTS:X 360 Reality Audio*選購配件: SA-SW3/SA-SW5/SA-RS3S/SA-RS5")</f>
        <v>*3.1(.2)聲道*無線連線可串流播放所有音樂*體積小巧 *支援Dolby ATMOS/DTS:X 360 Reality Audio*選購配件: SA-SW3/SA-SW5/SA-RS3S/SA-RS5</v>
      </c>
    </row>
    <row r="1270" spans="1:27" ht="19.5" customHeight="1">
      <c r="A1270" s="12" t="str">
        <f ca="1">IFERROR(__xludf.DUMMYFUNCTION("""COMPUTED_VALUE"""),"音樂週邊")</f>
        <v>音樂週邊</v>
      </c>
      <c r="B1270" s="12" t="str">
        <f ca="1">IFERROR(__xludf.DUMMYFUNCTION("""COMPUTED_VALUE"""),"燦坤")</f>
        <v>燦坤</v>
      </c>
      <c r="C1270" s="12" t="str">
        <f ca="1">IFERROR(__xludf.DUMMYFUNCTION("""COMPUTED_VALUE"""),"SONY")</f>
        <v>SONY</v>
      </c>
      <c r="D1270" s="12" t="str">
        <f ca="1">IFERROR(__xludf.DUMMYFUNCTION("""COMPUTED_VALUE"""),"SONY 5.1聲道藍牙微型劇院組HT-S40R")</f>
        <v>SONY 5.1聲道藍牙微型劇院組HT-S40R</v>
      </c>
      <c r="E1270" s="12" t="str">
        <f ca="1">IFERROR(__xludf.DUMMYFUNCTION("""COMPUTED_VALUE"""),"HT-S40R")</f>
        <v>HT-S40R</v>
      </c>
      <c r="F1270" s="12">
        <f ca="1">IFERROR(__xludf.DUMMYFUNCTION("""COMPUTED_VALUE"""),51094045)</f>
        <v>51094045</v>
      </c>
      <c r="G1270" s="12" t="str">
        <f ca="1">IFERROR(__xludf.DUMMYFUNCTION("""COMPUTED_VALUE"""),"NCPE001T")</f>
        <v>NCPE001T</v>
      </c>
      <c r="H1270" s="13">
        <f ca="1">IFERROR(__xludf.DUMMYFUNCTION("""COMPUTED_VALUE"""),9990)</f>
        <v>9990</v>
      </c>
      <c r="I1270" s="14">
        <f ca="1">IFERROR(__xludf.DUMMYFUNCTION("""COMPUTED_VALUE"""),9500)</f>
        <v>9500</v>
      </c>
      <c r="J1270" s="16">
        <f ca="1">IFERROR(__xludf.DUMMYFUNCTION("""COMPUTED_VALUE"""),44959)</f>
        <v>44959</v>
      </c>
      <c r="K1270" s="12" t="str">
        <f ca="1">IFERROR(__xludf.DUMMYFUNCTION("""COMPUTED_VALUE"""),"新機上架")</f>
        <v>新機上架</v>
      </c>
      <c r="L1270" s="12" t="str">
        <f ca="1">IFERROR(__xludf.DUMMYFUNCTION("""COMPUTED_VALUE"""),"上架中")</f>
        <v>上架中</v>
      </c>
      <c r="M1270" s="12" t="str">
        <f ca="1">IFERROR(__xludf.DUMMYFUNCTION("""COMPUTED_VALUE"""),"2023/2/2上架")</f>
        <v>2023/2/2上架</v>
      </c>
      <c r="N1270" s="12" t="str">
        <f ca="1">IFERROR(__xludf.DUMMYFUNCTION("""COMPUTED_VALUE"""),"家庭劇院")</f>
        <v>家庭劇院</v>
      </c>
      <c r="O1270" s="12"/>
      <c r="P1270" s="12" t="str">
        <f ca="1">IFERROR(__xludf.DUMMYFUNCTION("""COMPUTED_VALUE"""),"ATMOS藍牙/5.1)聲道")</f>
        <v>ATMOS藍牙/5.1)聲道</v>
      </c>
      <c r="Q1270" s="12" t="str">
        <f ca="1">IFERROR(__xludf.DUMMYFUNCTION("""COMPUTED_VALUE"""),"52x900x74.5mm")</f>
        <v>52x900x74.5mm</v>
      </c>
      <c r="R1270" s="12" t="str">
        <f ca="1">IFERROR(__xludf.DUMMYFUNCTION("""COMPUTED_VALUE"""),"中國")</f>
        <v>中國</v>
      </c>
      <c r="S1270" s="12"/>
      <c r="T1270" s="12"/>
      <c r="U1270" s="12" t="str">
        <f ca="1">IFERROR(__xludf.DUMMYFUNCTION("""COMPUTED_VALUE"""),"1年")</f>
        <v>1年</v>
      </c>
      <c r="V1270" s="12"/>
      <c r="W1270" s="12"/>
      <c r="X1270" s="12"/>
      <c r="Y1270" s="12"/>
      <c r="Z1270" s="14"/>
      <c r="AA1270" s="15" t="str">
        <f ca="1">IFERROR(__xludf.DUMMYFUNCTION("""COMPUTED_VALUE"""),"* 5.1 聲道
*600 W 真實環繞音效
*Dolby Digital音訊解碼
*無線後環繞喇叭
*Bluetooth連線x功能
*支援音樂串流
*HDMI ARC、光學與類比輸入")</f>
        <v>* 5.1 聲道
*600 W 真實環繞音效
*Dolby Digital音訊解碼
*無線後環繞喇叭
*Bluetooth連線x功能
*支援音樂串流
*HDMI ARC、光學與類比輸入</v>
      </c>
    </row>
    <row r="1271" spans="1:27" ht="19.5" customHeight="1">
      <c r="A1271" s="12" t="str">
        <f ca="1">IFERROR(__xludf.DUMMYFUNCTION("""COMPUTED_VALUE"""),"音樂週邊")</f>
        <v>音樂週邊</v>
      </c>
      <c r="B1271" s="12" t="str">
        <f ca="1">IFERROR(__xludf.DUMMYFUNCTION("""COMPUTED_VALUE"""),"燦坤")</f>
        <v>燦坤</v>
      </c>
      <c r="C1271" s="12" t="str">
        <f ca="1">IFERROR(__xludf.DUMMYFUNCTION("""COMPUTED_VALUE"""),"SONY")</f>
        <v>SONY</v>
      </c>
      <c r="D1271" s="12" t="str">
        <f ca="1">IFERROR(__xludf.DUMMYFUNCTION("""COMPUTED_VALUE"""),"SONY 家庭劇院 HT-A9M2 ")</f>
        <v xml:space="preserve">SONY 家庭劇院 HT-A9M2 </v>
      </c>
      <c r="E1271" s="12" t="str">
        <f ca="1">IFERROR(__xludf.DUMMYFUNCTION("""COMPUTED_VALUE"""),"HT-A9M2")</f>
        <v>HT-A9M2</v>
      </c>
      <c r="F1271" s="12">
        <f ca="1">IFERROR(__xludf.DUMMYFUNCTION("""COMPUTED_VALUE"""),51004251)</f>
        <v>51004251</v>
      </c>
      <c r="G1271" s="12" t="str">
        <f ca="1">IFERROR(__xludf.DUMMYFUNCTION("""COMPUTED_VALUE"""),"NCPE003V")</f>
        <v>NCPE003V</v>
      </c>
      <c r="H1271" s="13">
        <f ca="1">IFERROR(__xludf.DUMMYFUNCTION("""COMPUTED_VALUE"""),74900)</f>
        <v>74900</v>
      </c>
      <c r="I1271" s="18">
        <f ca="1">IFERROR(__xludf.DUMMYFUNCTION("""COMPUTED_VALUE"""),74900)</f>
        <v>74900</v>
      </c>
      <c r="J1271" s="12"/>
      <c r="K1271" s="12"/>
      <c r="L1271" s="12" t="str">
        <f ca="1">IFERROR(__xludf.DUMMYFUNCTION("""COMPUTED_VALUE"""),"上架中")</f>
        <v>上架中</v>
      </c>
      <c r="M1271" s="12"/>
      <c r="N1271" s="12" t="str">
        <f ca="1">IFERROR(__xludf.DUMMYFUNCTION("""COMPUTED_VALUE"""),"無線喇叭
")</f>
        <v xml:space="preserve">無線喇叭
</v>
      </c>
      <c r="O1271" s="12"/>
      <c r="P1271" s="12"/>
      <c r="Q1271" s="12" t="str">
        <f ca="1">IFERROR(__xludf.DUMMYFUNCTION("""COMPUTED_VALUE"""),"揚聲器及隨附的壁掛支架 
(高寬深):279 x 289 x 73 mm (MM)
控制盒 
(高寬深):56 x160 x  160 (MM)")</f>
        <v>揚聲器及隨附的壁掛支架 
(高寬深):279 x 289 x 73 mm (MM)
控制盒 
(高寬深):56 x160 x  160 (MM)</v>
      </c>
      <c r="R1271" s="12" t="str">
        <f ca="1">IFERROR(__xludf.DUMMYFUNCTION("""COMPUTED_VALUE"""),"馬來西亞")</f>
        <v>馬來西亞</v>
      </c>
      <c r="S1271" s="12"/>
      <c r="T1271" s="12"/>
      <c r="U1271" s="12" t="str">
        <f ca="1">IFERROR(__xludf.DUMMYFUNCTION("""COMPUTED_VALUE"""),"1年")</f>
        <v>1年</v>
      </c>
      <c r="V1271" s="12"/>
      <c r="W1271" s="12"/>
      <c r="X1271" s="12"/>
      <c r="Y1271" s="12"/>
      <c r="Z1271" s="14"/>
      <c r="AA1271" s="15" t="str">
        <f ca="1">IFERROR(__xludf.DUMMYFUNCTION("""COMPUTED_VALUE"""),"*寬闊的音場/震撼的強勁低音/纖薄的設計*環境聲學校正/最佳聆聽點校正*時尚外觀、多樣化擺放*獨家360空間音場*支援BRAVIA Connect*天空聲道與低音單體*雙聲道音源進階升混技術 AI智慧分音*穩定的無線連接 與 BRAVIA 完美搭配")</f>
        <v>*寬闊的音場/震撼的強勁低音/纖薄的設計*環境聲學校正/最佳聆聽點校正*時尚外觀、多樣化擺放*獨家360空間音場*支援BRAVIA Connect*天空聲道與低音單體*雙聲道音源進階升混技術 AI智慧分音*穩定的無線連接 與 BRAVIA 完美搭配</v>
      </c>
    </row>
    <row r="1272" spans="1:27" ht="19.5" customHeight="1">
      <c r="A1272" s="12" t="str">
        <f ca="1">IFERROR(__xludf.DUMMYFUNCTION("""COMPUTED_VALUE"""),"音樂週邊")</f>
        <v>音樂週邊</v>
      </c>
      <c r="B1272" s="12" t="str">
        <f ca="1">IFERROR(__xludf.DUMMYFUNCTION("""COMPUTED_VALUE"""),"十全")</f>
        <v>十全</v>
      </c>
      <c r="C1272" s="12" t="str">
        <f ca="1">IFERROR(__xludf.DUMMYFUNCTION("""COMPUTED_VALUE"""),"Marshall")</f>
        <v>Marshall</v>
      </c>
      <c r="D1272" s="12" t="str">
        <f ca="1">IFERROR(__xludf.DUMMYFUNCTION("""COMPUTED_VALUE"""),"Marshall Acton III Bluetooth 三代藍牙喇叭-經典黑")</f>
        <v>Marshall Acton III Bluetooth 三代藍牙喇叭-經典黑</v>
      </c>
      <c r="E1272" s="12" t="str">
        <f ca="1">IFERROR(__xludf.DUMMYFUNCTION("""COMPUTED_VALUE"""),"ACTON III/BK")</f>
        <v>ACTON III/BK</v>
      </c>
      <c r="F1272" s="12">
        <f ca="1">IFERROR(__xludf.DUMMYFUNCTION("""COMPUTED_VALUE"""),51094046)</f>
        <v>51094046</v>
      </c>
      <c r="G1272" s="12" t="str">
        <f ca="1">IFERROR(__xludf.DUMMYFUNCTION("""COMPUTED_VALUE"""),"NCPE001Z")</f>
        <v>NCPE001Z</v>
      </c>
      <c r="H1272" s="12">
        <f ca="1">IFERROR(__xludf.DUMMYFUNCTION("""COMPUTED_VALUE"""),11900)</f>
        <v>11900</v>
      </c>
      <c r="I1272" s="14">
        <f ca="1">IFERROR(__xludf.DUMMYFUNCTION("""COMPUTED_VALUE"""),11900)</f>
        <v>11900</v>
      </c>
      <c r="J1272" s="12"/>
      <c r="K1272" s="12"/>
      <c r="L1272" s="12" t="str">
        <f ca="1">IFERROR(__xludf.DUMMYFUNCTION("""COMPUTED_VALUE"""),"上架中")</f>
        <v>上架中</v>
      </c>
      <c r="M1272" s="12" t="str">
        <f ca="1">IFERROR(__xludf.DUMMYFUNCTION("""COMPUTED_VALUE"""),"2023/7/18新機上架")</f>
        <v>2023/7/18新機上架</v>
      </c>
      <c r="N1272" s="12" t="str">
        <f ca="1">IFERROR(__xludf.DUMMYFUNCTION("""COMPUTED_VALUE"""),"無線喇叭")</f>
        <v>無線喇叭</v>
      </c>
      <c r="O1272" s="12" t="str">
        <f ca="1">IFERROR(__xludf.DUMMYFUNCTION("""COMPUTED_VALUE"""),"經典黑")</f>
        <v>經典黑</v>
      </c>
      <c r="P1272" s="12"/>
      <c r="Q1272" s="12" t="str">
        <f ca="1">IFERROR(__xludf.DUMMYFUNCTION("""COMPUTED_VALUE"""),"260*170*150mm")</f>
        <v>260*170*150mm</v>
      </c>
      <c r="R1272" s="12" t="str">
        <f ca="1">IFERROR(__xludf.DUMMYFUNCTION("""COMPUTED_VALUE"""),"中國")</f>
        <v>中國</v>
      </c>
      <c r="S1272" s="12"/>
      <c r="T1272" s="12"/>
      <c r="U1272" s="12" t="str">
        <f ca="1">IFERROR(__xludf.DUMMYFUNCTION("""COMPUTED_VALUE"""),"1年")</f>
        <v>1年</v>
      </c>
      <c r="V1272" s="12"/>
      <c r="W1272" s="12"/>
      <c r="X1272" s="12"/>
      <c r="Y1272" s="12"/>
      <c r="Z1272" s="14"/>
      <c r="AA1272" s="15" t="str">
        <f ca="1">IFERROR(__xludf.DUMMYFUNCTION("""COMPUTED_VALUE"""),"*Marshall標誌性音效,充滿空間感 *操控設計直觀,可直接進行配對並播放 *藍牙5.2 *3.5mm音源輸入*環保構造70%再生塑料 *經典搖滾外觀")</f>
        <v>*Marshall標誌性音效,充滿空間感 *操控設計直觀,可直接進行配對並播放 *藍牙5.2 *3.5mm音源輸入*環保構造70%再生塑料 *經典搖滾外觀</v>
      </c>
    </row>
    <row r="1273" spans="1:27" ht="19.5" customHeight="1">
      <c r="A1273" s="12" t="str">
        <f ca="1">IFERROR(__xludf.DUMMYFUNCTION("""COMPUTED_VALUE"""),"音樂週邊")</f>
        <v>音樂週邊</v>
      </c>
      <c r="B1273" s="12" t="str">
        <f ca="1">IFERROR(__xludf.DUMMYFUNCTION("""COMPUTED_VALUE"""),"十全")</f>
        <v>十全</v>
      </c>
      <c r="C1273" s="12" t="str">
        <f ca="1">IFERROR(__xludf.DUMMYFUNCTION("""COMPUTED_VALUE"""),"Marshall")</f>
        <v>Marshall</v>
      </c>
      <c r="D1273" s="12" t="str">
        <f ca="1">IFERROR(__xludf.DUMMYFUNCTION("""COMPUTED_VALUE"""),"Marshall Acton III Bluetooth 三代藍牙喇叭-奶油白")</f>
        <v>Marshall Acton III Bluetooth 三代藍牙喇叭-奶油白</v>
      </c>
      <c r="E1273" s="12" t="str">
        <f ca="1">IFERROR(__xludf.DUMMYFUNCTION("""COMPUTED_VALUE"""),"ACTON III/WH")</f>
        <v>ACTON III/WH</v>
      </c>
      <c r="F1273" s="12">
        <f ca="1">IFERROR(__xludf.DUMMYFUNCTION("""COMPUTED_VALUE"""),51094047)</f>
        <v>51094047</v>
      </c>
      <c r="G1273" s="12" t="str">
        <f ca="1">IFERROR(__xludf.DUMMYFUNCTION("""COMPUTED_VALUE"""),"NCPE0021")</f>
        <v>NCPE0021</v>
      </c>
      <c r="H1273" s="12">
        <f ca="1">IFERROR(__xludf.DUMMYFUNCTION("""COMPUTED_VALUE"""),11900)</f>
        <v>11900</v>
      </c>
      <c r="I1273" s="14">
        <f ca="1">IFERROR(__xludf.DUMMYFUNCTION("""COMPUTED_VALUE"""),11900)</f>
        <v>11900</v>
      </c>
      <c r="J1273" s="12"/>
      <c r="K1273" s="12"/>
      <c r="L1273" s="12" t="str">
        <f ca="1">IFERROR(__xludf.DUMMYFUNCTION("""COMPUTED_VALUE"""),"上架中")</f>
        <v>上架中</v>
      </c>
      <c r="M1273" s="12" t="str">
        <f ca="1">IFERROR(__xludf.DUMMYFUNCTION("""COMPUTED_VALUE"""),"2023/7/18新機上架")</f>
        <v>2023/7/18新機上架</v>
      </c>
      <c r="N1273" s="12" t="str">
        <f ca="1">IFERROR(__xludf.DUMMYFUNCTION("""COMPUTED_VALUE"""),"無線喇叭")</f>
        <v>無線喇叭</v>
      </c>
      <c r="O1273" s="12" t="str">
        <f ca="1">IFERROR(__xludf.DUMMYFUNCTION("""COMPUTED_VALUE"""),"奶油白")</f>
        <v>奶油白</v>
      </c>
      <c r="P1273" s="12"/>
      <c r="Q1273" s="12" t="str">
        <f ca="1">IFERROR(__xludf.DUMMYFUNCTION("""COMPUTED_VALUE"""),"260*170*150mm")</f>
        <v>260*170*150mm</v>
      </c>
      <c r="R1273" s="12" t="str">
        <f ca="1">IFERROR(__xludf.DUMMYFUNCTION("""COMPUTED_VALUE"""),"中國")</f>
        <v>中國</v>
      </c>
      <c r="S1273" s="12"/>
      <c r="T1273" s="12"/>
      <c r="U1273" s="12" t="str">
        <f ca="1">IFERROR(__xludf.DUMMYFUNCTION("""COMPUTED_VALUE"""),"1年")</f>
        <v>1年</v>
      </c>
      <c r="V1273" s="12"/>
      <c r="W1273" s="12"/>
      <c r="X1273" s="12"/>
      <c r="Y1273" s="12"/>
      <c r="Z1273" s="14"/>
      <c r="AA1273" s="15" t="str">
        <f ca="1">IFERROR(__xludf.DUMMYFUNCTION("""COMPUTED_VALUE"""),"*Marshall標誌性音效,充滿空間感 *操控設計直觀,可直接進行配對並播放 *藍牙5.2 *3.5mm音源輸入*環保構造70%再生塑料 *經典搖滾外觀")</f>
        <v>*Marshall標誌性音效,充滿空間感 *操控設計直觀,可直接進行配對並播放 *藍牙5.2 *3.5mm音源輸入*環保構造70%再生塑料 *經典搖滾外觀</v>
      </c>
    </row>
    <row r="1274" spans="1:27" ht="19.5" customHeight="1">
      <c r="A1274" s="12" t="str">
        <f ca="1">IFERROR(__xludf.DUMMYFUNCTION("""COMPUTED_VALUE"""),"音樂週邊")</f>
        <v>音樂週邊</v>
      </c>
      <c r="B1274" s="12" t="str">
        <f ca="1">IFERROR(__xludf.DUMMYFUNCTION("""COMPUTED_VALUE"""),"十全")</f>
        <v>十全</v>
      </c>
      <c r="C1274" s="12" t="str">
        <f ca="1">IFERROR(__xludf.DUMMYFUNCTION("""COMPUTED_VALUE"""),"Marshall")</f>
        <v>Marshall</v>
      </c>
      <c r="D1274" s="12" t="str">
        <f ca="1">IFERROR(__xludf.DUMMYFUNCTION("""COMPUTED_VALUE"""),"Marshall Stanmore III Bluetooth 三代藍牙喇叭-經典黑")</f>
        <v>Marshall Stanmore III Bluetooth 三代藍牙喇叭-經典黑</v>
      </c>
      <c r="E1274" s="12" t="str">
        <f ca="1">IFERROR(__xludf.DUMMYFUNCTION("""COMPUTED_VALUE"""),"STANMORE III/BK")</f>
        <v>STANMORE III/BK</v>
      </c>
      <c r="F1274" s="12">
        <f ca="1">IFERROR(__xludf.DUMMYFUNCTION("""COMPUTED_VALUE"""),51094048)</f>
        <v>51094048</v>
      </c>
      <c r="G1274" s="12" t="str">
        <f ca="1">IFERROR(__xludf.DUMMYFUNCTION("""COMPUTED_VALUE"""),"NCPE0022")</f>
        <v>NCPE0022</v>
      </c>
      <c r="H1274" s="12">
        <f ca="1">IFERROR(__xludf.DUMMYFUNCTION("""COMPUTED_VALUE"""),17900)</f>
        <v>17900</v>
      </c>
      <c r="I1274" s="14">
        <f ca="1">IFERROR(__xludf.DUMMYFUNCTION("""COMPUTED_VALUE"""),17900)</f>
        <v>17900</v>
      </c>
      <c r="J1274" s="12"/>
      <c r="K1274" s="12"/>
      <c r="L1274" s="12" t="str">
        <f ca="1">IFERROR(__xludf.DUMMYFUNCTION("""COMPUTED_VALUE"""),"上架中")</f>
        <v>上架中</v>
      </c>
      <c r="M1274" s="12" t="str">
        <f ca="1">IFERROR(__xludf.DUMMYFUNCTION("""COMPUTED_VALUE"""),"2023/7/18新機上架")</f>
        <v>2023/7/18新機上架</v>
      </c>
      <c r="N1274" s="12" t="str">
        <f ca="1">IFERROR(__xludf.DUMMYFUNCTION("""COMPUTED_VALUE"""),"無線喇叭")</f>
        <v>無線喇叭</v>
      </c>
      <c r="O1274" s="12" t="str">
        <f ca="1">IFERROR(__xludf.DUMMYFUNCTION("""COMPUTED_VALUE"""),"經典黑")</f>
        <v>經典黑</v>
      </c>
      <c r="P1274" s="12"/>
      <c r="Q1274" s="12" t="str">
        <f ca="1">IFERROR(__xludf.DUMMYFUNCTION("""COMPUTED_VALUE"""),"350*203*188mm")</f>
        <v>350*203*188mm</v>
      </c>
      <c r="R1274" s="12" t="str">
        <f ca="1">IFERROR(__xludf.DUMMYFUNCTION("""COMPUTED_VALUE"""),"中國")</f>
        <v>中國</v>
      </c>
      <c r="S1274" s="12"/>
      <c r="T1274" s="12"/>
      <c r="U1274" s="12" t="str">
        <f ca="1">IFERROR(__xludf.DUMMYFUNCTION("""COMPUTED_VALUE"""),"1年")</f>
        <v>1年</v>
      </c>
      <c r="V1274" s="12"/>
      <c r="W1274" s="12"/>
      <c r="X1274" s="12"/>
      <c r="Y1274" s="12"/>
      <c r="Z1274" s="14"/>
      <c r="AA1274" s="15" t="str">
        <f ca="1">IFERROR(__xludf.DUMMYFUNCTION("""COMPUTED_VALUE"""),"*動態音量第三代再進化,音域更寬廣 *簡單配對、播放 *多種連接方式- 藍牙5.2. RCA 和3.5 毫米音源輸入 *環保構造70%再生塑料 *經典搖滾外觀")</f>
        <v>*動態音量第三代再進化,音域更寬廣 *簡單配對、播放 *多種連接方式- 藍牙5.2. RCA 和3.5 毫米音源輸入 *環保構造70%再生塑料 *經典搖滾外觀</v>
      </c>
    </row>
    <row r="1275" spans="1:27" ht="19.5" customHeight="1">
      <c r="A1275" s="12" t="str">
        <f ca="1">IFERROR(__xludf.DUMMYFUNCTION("""COMPUTED_VALUE"""),"音樂週邊")</f>
        <v>音樂週邊</v>
      </c>
      <c r="B1275" s="12" t="str">
        <f ca="1">IFERROR(__xludf.DUMMYFUNCTION("""COMPUTED_VALUE"""),"十全")</f>
        <v>十全</v>
      </c>
      <c r="C1275" s="12" t="str">
        <f ca="1">IFERROR(__xludf.DUMMYFUNCTION("""COMPUTED_VALUE"""),"Marshall")</f>
        <v>Marshall</v>
      </c>
      <c r="D1275" s="12" t="str">
        <f ca="1">IFERROR(__xludf.DUMMYFUNCTION("""COMPUTED_VALUE"""),"Marshall Stanmore III Bluetooth 三代藍牙喇叭-奶油白")</f>
        <v>Marshall Stanmore III Bluetooth 三代藍牙喇叭-奶油白</v>
      </c>
      <c r="E1275" s="12" t="str">
        <f ca="1">IFERROR(__xludf.DUMMYFUNCTION("""COMPUTED_VALUE"""),"STANMORE III/WH")</f>
        <v>STANMORE III/WH</v>
      </c>
      <c r="F1275" s="12">
        <f ca="1">IFERROR(__xludf.DUMMYFUNCTION("""COMPUTED_VALUE"""),51094049)</f>
        <v>51094049</v>
      </c>
      <c r="G1275" s="12" t="str">
        <f ca="1">IFERROR(__xludf.DUMMYFUNCTION("""COMPUTED_VALUE"""),"NCPE0023")</f>
        <v>NCPE0023</v>
      </c>
      <c r="H1275" s="12">
        <f ca="1">IFERROR(__xludf.DUMMYFUNCTION("""COMPUTED_VALUE"""),17900)</f>
        <v>17900</v>
      </c>
      <c r="I1275" s="14">
        <f ca="1">IFERROR(__xludf.DUMMYFUNCTION("""COMPUTED_VALUE"""),17900)</f>
        <v>17900</v>
      </c>
      <c r="J1275" s="12"/>
      <c r="K1275" s="12"/>
      <c r="L1275" s="12" t="str">
        <f ca="1">IFERROR(__xludf.DUMMYFUNCTION("""COMPUTED_VALUE"""),"上架中")</f>
        <v>上架中</v>
      </c>
      <c r="M1275" s="12" t="str">
        <f ca="1">IFERROR(__xludf.DUMMYFUNCTION("""COMPUTED_VALUE"""),"2023/7/18新機上架")</f>
        <v>2023/7/18新機上架</v>
      </c>
      <c r="N1275" s="12" t="str">
        <f ca="1">IFERROR(__xludf.DUMMYFUNCTION("""COMPUTED_VALUE"""),"無線喇叭")</f>
        <v>無線喇叭</v>
      </c>
      <c r="O1275" s="12" t="str">
        <f ca="1">IFERROR(__xludf.DUMMYFUNCTION("""COMPUTED_VALUE"""),"奶油白")</f>
        <v>奶油白</v>
      </c>
      <c r="P1275" s="12"/>
      <c r="Q1275" s="12" t="str">
        <f ca="1">IFERROR(__xludf.DUMMYFUNCTION("""COMPUTED_VALUE"""),"350*203*188mm")</f>
        <v>350*203*188mm</v>
      </c>
      <c r="R1275" s="12" t="str">
        <f ca="1">IFERROR(__xludf.DUMMYFUNCTION("""COMPUTED_VALUE"""),"中國")</f>
        <v>中國</v>
      </c>
      <c r="S1275" s="12"/>
      <c r="T1275" s="12"/>
      <c r="U1275" s="12" t="str">
        <f ca="1">IFERROR(__xludf.DUMMYFUNCTION("""COMPUTED_VALUE"""),"1年")</f>
        <v>1年</v>
      </c>
      <c r="V1275" s="12"/>
      <c r="W1275" s="12"/>
      <c r="X1275" s="12"/>
      <c r="Y1275" s="12"/>
      <c r="Z1275" s="14"/>
      <c r="AA1275" s="15" t="str">
        <f ca="1">IFERROR(__xludf.DUMMYFUNCTION("""COMPUTED_VALUE"""),"*動態音量第三代再進化,音域更寬廣 *簡單配對、播放 *多種連接方式- 藍牙5.2. RCA 和3.5 毫米音源輸入 *環保構造70%再生塑料 *經典搖滾外觀")</f>
        <v>*動態音量第三代再進化,音域更寬廣 *簡單配對、播放 *多種連接方式- 藍牙5.2. RCA 和3.5 毫米音源輸入 *環保構造70%再生塑料 *經典搖滾外觀</v>
      </c>
    </row>
    <row r="1276" spans="1:27" ht="19.5" customHeight="1">
      <c r="A1276" s="12" t="str">
        <f ca="1">IFERROR(__xludf.DUMMYFUNCTION("""COMPUTED_VALUE"""),"音樂週邊")</f>
        <v>音樂週邊</v>
      </c>
      <c r="B1276" s="12" t="str">
        <f ca="1">IFERROR(__xludf.DUMMYFUNCTION("""COMPUTED_VALUE"""),"十全")</f>
        <v>十全</v>
      </c>
      <c r="C1276" s="12" t="str">
        <f ca="1">IFERROR(__xludf.DUMMYFUNCTION("""COMPUTED_VALUE"""),"Marshall")</f>
        <v>Marshall</v>
      </c>
      <c r="D1276" s="12" t="str">
        <f ca="1">IFERROR(__xludf.DUMMYFUNCTION("""COMPUTED_VALUE"""),"Marshall Woburn III 三代藍牙喇叭-經典黑")</f>
        <v>Marshall Woburn III 三代藍牙喇叭-經典黑</v>
      </c>
      <c r="E1276" s="12" t="str">
        <f ca="1">IFERROR(__xludf.DUMMYFUNCTION("""COMPUTED_VALUE"""),"WOBURN III/BK")</f>
        <v>WOBURN III/BK</v>
      </c>
      <c r="F1276" s="12">
        <f ca="1">IFERROR(__xludf.DUMMYFUNCTION("""COMPUTED_VALUE"""),51094050)</f>
        <v>51094050</v>
      </c>
      <c r="G1276" s="12" t="str">
        <f ca="1">IFERROR(__xludf.DUMMYFUNCTION("""COMPUTED_VALUE"""),"NCPE0024")</f>
        <v>NCPE0024</v>
      </c>
      <c r="H1276" s="12">
        <f ca="1">IFERROR(__xludf.DUMMYFUNCTION("""COMPUTED_VALUE"""),23900)</f>
        <v>23900</v>
      </c>
      <c r="I1276" s="14">
        <f ca="1">IFERROR(__xludf.DUMMYFUNCTION("""COMPUTED_VALUE"""),23900)</f>
        <v>23900</v>
      </c>
      <c r="J1276" s="12"/>
      <c r="K1276" s="12"/>
      <c r="L1276" s="12" t="str">
        <f ca="1">IFERROR(__xludf.DUMMYFUNCTION("""COMPUTED_VALUE"""),"上架中")</f>
        <v>上架中</v>
      </c>
      <c r="M1276" s="12" t="str">
        <f ca="1">IFERROR(__xludf.DUMMYFUNCTION("""COMPUTED_VALUE"""),"2023/7/18新機上架")</f>
        <v>2023/7/18新機上架</v>
      </c>
      <c r="N1276" s="12" t="str">
        <f ca="1">IFERROR(__xludf.DUMMYFUNCTION("""COMPUTED_VALUE"""),"無線喇叭")</f>
        <v>無線喇叭</v>
      </c>
      <c r="O1276" s="12" t="str">
        <f ca="1">IFERROR(__xludf.DUMMYFUNCTION("""COMPUTED_VALUE"""),"經典黑")</f>
        <v>經典黑</v>
      </c>
      <c r="P1276" s="12"/>
      <c r="Q1276" s="12" t="str">
        <f ca="1">IFERROR(__xludf.DUMMYFUNCTION("""COMPUTED_VALUE"""),"400*317*203mm")</f>
        <v>400*317*203mm</v>
      </c>
      <c r="R1276" s="12" t="str">
        <f ca="1">IFERROR(__xludf.DUMMYFUNCTION("""COMPUTED_VALUE"""),"中國")</f>
        <v>中國</v>
      </c>
      <c r="S1276" s="12"/>
      <c r="T1276" s="12"/>
      <c r="U1276" s="12" t="str">
        <f ca="1">IFERROR(__xludf.DUMMYFUNCTION("""COMPUTED_VALUE"""),"1年")</f>
        <v>1年</v>
      </c>
      <c r="V1276" s="12"/>
      <c r="W1276" s="12"/>
      <c r="X1276" s="12"/>
      <c r="Y1276" s="12"/>
      <c r="Z1276" s="14"/>
      <c r="AA1276" s="15" t="str">
        <f ca="1">IFERROR(__xludf.DUMMYFUNCTION("""COMPUTED_VALUE"""),"*支援多種音源輸入：藍牙5.2無線連接、3.5mm音源、RCA、HDMI輸入*環保構造70%再生塑料 *經典搖滾外觀
 ")</f>
        <v xml:space="preserve">*支援多種音源輸入：藍牙5.2無線連接、3.5mm音源、RCA、HDMI輸入*環保構造70%再生塑料 *經典搖滾外觀
 </v>
      </c>
    </row>
    <row r="1277" spans="1:27" ht="19.5" customHeight="1">
      <c r="A1277" s="12" t="str">
        <f ca="1">IFERROR(__xludf.DUMMYFUNCTION("""COMPUTED_VALUE"""),"音樂週邊")</f>
        <v>音樂週邊</v>
      </c>
      <c r="B1277" s="12" t="str">
        <f ca="1">IFERROR(__xludf.DUMMYFUNCTION("""COMPUTED_VALUE"""),"十全")</f>
        <v>十全</v>
      </c>
      <c r="C1277" s="12" t="str">
        <f ca="1">IFERROR(__xludf.DUMMYFUNCTION("""COMPUTED_VALUE"""),"Marshall")</f>
        <v>Marshall</v>
      </c>
      <c r="D1277" s="12" t="str">
        <f ca="1">IFERROR(__xludf.DUMMYFUNCTION("""COMPUTED_VALUE"""),"Marshall Woburn III 三代藍牙喇叭-奶油白")</f>
        <v>Marshall Woburn III 三代藍牙喇叭-奶油白</v>
      </c>
      <c r="E1277" s="12" t="str">
        <f ca="1">IFERROR(__xludf.DUMMYFUNCTION("""COMPUTED_VALUE"""),"WOBURN III/WH")</f>
        <v>WOBURN III/WH</v>
      </c>
      <c r="F1277" s="12">
        <f ca="1">IFERROR(__xludf.DUMMYFUNCTION("""COMPUTED_VALUE"""),51094051)</f>
        <v>51094051</v>
      </c>
      <c r="G1277" s="12" t="str">
        <f ca="1">IFERROR(__xludf.DUMMYFUNCTION("""COMPUTED_VALUE"""),"NCPE0025")</f>
        <v>NCPE0025</v>
      </c>
      <c r="H1277" s="12">
        <f ca="1">IFERROR(__xludf.DUMMYFUNCTION("""COMPUTED_VALUE"""),23900)</f>
        <v>23900</v>
      </c>
      <c r="I1277" s="14">
        <f ca="1">IFERROR(__xludf.DUMMYFUNCTION("""COMPUTED_VALUE"""),23900)</f>
        <v>23900</v>
      </c>
      <c r="J1277" s="12"/>
      <c r="K1277" s="12"/>
      <c r="L1277" s="12" t="str">
        <f ca="1">IFERROR(__xludf.DUMMYFUNCTION("""COMPUTED_VALUE"""),"上架中")</f>
        <v>上架中</v>
      </c>
      <c r="M1277" s="12" t="str">
        <f ca="1">IFERROR(__xludf.DUMMYFUNCTION("""COMPUTED_VALUE"""),"2023/7/18新機上架")</f>
        <v>2023/7/18新機上架</v>
      </c>
      <c r="N1277" s="12" t="str">
        <f ca="1">IFERROR(__xludf.DUMMYFUNCTION("""COMPUTED_VALUE"""),"無線喇叭")</f>
        <v>無線喇叭</v>
      </c>
      <c r="O1277" s="12" t="str">
        <f ca="1">IFERROR(__xludf.DUMMYFUNCTION("""COMPUTED_VALUE"""),"奶油白")</f>
        <v>奶油白</v>
      </c>
      <c r="P1277" s="12"/>
      <c r="Q1277" s="12" t="str">
        <f ca="1">IFERROR(__xludf.DUMMYFUNCTION("""COMPUTED_VALUE"""),"400*317*203mm")</f>
        <v>400*317*203mm</v>
      </c>
      <c r="R1277" s="12" t="str">
        <f ca="1">IFERROR(__xludf.DUMMYFUNCTION("""COMPUTED_VALUE"""),"中國")</f>
        <v>中國</v>
      </c>
      <c r="S1277" s="12"/>
      <c r="T1277" s="12"/>
      <c r="U1277" s="12" t="str">
        <f ca="1">IFERROR(__xludf.DUMMYFUNCTION("""COMPUTED_VALUE"""),"1年")</f>
        <v>1年</v>
      </c>
      <c r="V1277" s="12"/>
      <c r="W1277" s="12"/>
      <c r="X1277" s="12"/>
      <c r="Y1277" s="12"/>
      <c r="Z1277" s="14"/>
      <c r="AA1277" s="15" t="str">
        <f ca="1">IFERROR(__xludf.DUMMYFUNCTION("""COMPUTED_VALUE"""),"*支援多種音源輸入：藍牙5.2無線連接、3.5mm音源、RCA、HDMI輸入*環保構造70%再生塑料 *經典搖滾外觀
 ")</f>
        <v xml:space="preserve">*支援多種音源輸入：藍牙5.2無線連接、3.5mm音源、RCA、HDMI輸入*環保構造70%再生塑料 *經典搖滾外觀
 </v>
      </c>
    </row>
    <row r="1278" spans="1:27" ht="19.5" customHeight="1">
      <c r="A1278" s="12" t="str">
        <f ca="1">IFERROR(__xludf.DUMMYFUNCTION("""COMPUTED_VALUE"""),"音樂週邊")</f>
        <v>音樂週邊</v>
      </c>
      <c r="B1278" s="12" t="str">
        <f ca="1">IFERROR(__xludf.DUMMYFUNCTION("""COMPUTED_VALUE"""),"十全")</f>
        <v>十全</v>
      </c>
      <c r="C1278" s="12" t="str">
        <f ca="1">IFERROR(__xludf.DUMMYFUNCTION("""COMPUTED_VALUE"""),"Marshall")</f>
        <v>Marshall</v>
      </c>
      <c r="D1278" s="12" t="str">
        <f ca="1">IFERROR(__xludf.DUMMYFUNCTION("""COMPUTED_VALUE"""),"Marshall Willen II 二代攜帶式藍牙喇叭-古銅黑")</f>
        <v>Marshall Willen II 二代攜帶式藍牙喇叭-古銅黑</v>
      </c>
      <c r="E1278" s="12" t="str">
        <f ca="1">IFERROR(__xludf.DUMMYFUNCTION("""COMPUTED_VALUE"""),"WILLEN_II/BK")</f>
        <v>WILLEN_II/BK</v>
      </c>
      <c r="F1278" s="12">
        <f ca="1">IFERROR(__xludf.DUMMYFUNCTION("""COMPUTED_VALUE"""),51094121)</f>
        <v>51094121</v>
      </c>
      <c r="G1278" s="12" t="str">
        <f ca="1">IFERROR(__xludf.DUMMYFUNCTION("""COMPUTED_VALUE"""),"NCPE0088")</f>
        <v>NCPE0088</v>
      </c>
      <c r="H1278" s="12">
        <f ca="1">IFERROR(__xludf.DUMMYFUNCTION("""COMPUTED_VALUE"""),3990)</f>
        <v>3990</v>
      </c>
      <c r="I1278" s="14">
        <f ca="1">IFERROR(__xludf.DUMMYFUNCTION("""COMPUTED_VALUE"""),3990)</f>
        <v>3990</v>
      </c>
      <c r="J1278" s="16">
        <f ca="1">IFERROR(__xludf.DUMMYFUNCTION("""COMPUTED_VALUE"""),45665)</f>
        <v>45665</v>
      </c>
      <c r="K1278" s="12" t="str">
        <f ca="1">IFERROR(__xludf.DUMMYFUNCTION("""COMPUTED_VALUE"""),"新機上架")</f>
        <v>新機上架</v>
      </c>
      <c r="L1278" s="12" t="str">
        <f ca="1">IFERROR(__xludf.DUMMYFUNCTION("""COMPUTED_VALUE"""),"上架中")</f>
        <v>上架中</v>
      </c>
      <c r="M1278" s="12"/>
      <c r="N1278" s="12" t="str">
        <f ca="1">IFERROR(__xludf.DUMMYFUNCTION("""COMPUTED_VALUE"""),"無線喇叭
")</f>
        <v xml:space="preserve">無線喇叭
</v>
      </c>
      <c r="O1278" s="12" t="str">
        <f ca="1">IFERROR(__xludf.DUMMYFUNCTION("""COMPUTED_VALUE"""),"古銅黑")</f>
        <v>古銅黑</v>
      </c>
      <c r="P1278" s="12"/>
      <c r="Q1278" s="12" t="str">
        <f ca="1">IFERROR(__xludf.DUMMYFUNCTION("""COMPUTED_VALUE"""),"101.6*100.5*40.4mm")</f>
        <v>101.6*100.5*40.4mm</v>
      </c>
      <c r="R1278" s="12" t="str">
        <f ca="1">IFERROR(__xludf.DUMMYFUNCTION("""COMPUTED_VALUE"""),"中國")</f>
        <v>中國</v>
      </c>
      <c r="S1278" s="12"/>
      <c r="T1278" s="12"/>
      <c r="U1278" s="12" t="str">
        <f ca="1">IFERROR(__xludf.DUMMYFUNCTION("""COMPUTED_VALUE"""),"1年")</f>
        <v>1年</v>
      </c>
      <c r="V1278" s="12"/>
      <c r="W1278" s="12"/>
      <c r="X1278" s="12"/>
      <c r="Y1278" s="12"/>
      <c r="Z1278" s="14"/>
      <c r="AA1278" s="15" t="str">
        <f ca="1">IFERROR(__xludf.DUMMYFUNCTION("""COMPUTED_VALUE"""),"*最⻑15⼩時無線播放續航⼒*IP67防塵防水等級*STACK模式 多音箱播放*內建麥克風")</f>
        <v>*最⻑15⼩時無線播放續航⼒*IP67防塵防水等級*STACK模式 多音箱播放*內建麥克風</v>
      </c>
    </row>
    <row r="1279" spans="1:27" ht="19.5" customHeight="1">
      <c r="A1279" s="12" t="str">
        <f ca="1">IFERROR(__xludf.DUMMYFUNCTION("""COMPUTED_VALUE"""),"音樂週邊")</f>
        <v>音樂週邊</v>
      </c>
      <c r="B1279" s="12" t="str">
        <f ca="1">IFERROR(__xludf.DUMMYFUNCTION("""COMPUTED_VALUE"""),"十全")</f>
        <v>十全</v>
      </c>
      <c r="C1279" s="12" t="str">
        <f ca="1">IFERROR(__xludf.DUMMYFUNCTION("""COMPUTED_VALUE"""),"Marshall")</f>
        <v>Marshall</v>
      </c>
      <c r="D1279" s="12" t="str">
        <f ca="1">IFERROR(__xludf.DUMMYFUNCTION("""COMPUTED_VALUE"""),"Marshall Willen II 二代攜帶式藍牙喇叭-奶油白")</f>
        <v>Marshall Willen II 二代攜帶式藍牙喇叭-奶油白</v>
      </c>
      <c r="E1279" s="12" t="str">
        <f ca="1">IFERROR(__xludf.DUMMYFUNCTION("""COMPUTED_VALUE"""),"WILLEN_II/WH")</f>
        <v>WILLEN_II/WH</v>
      </c>
      <c r="F1279" s="12">
        <f ca="1">IFERROR(__xludf.DUMMYFUNCTION("""COMPUTED_VALUE"""),51094122)</f>
        <v>51094122</v>
      </c>
      <c r="G1279" s="12" t="str">
        <f ca="1">IFERROR(__xludf.DUMMYFUNCTION("""COMPUTED_VALUE"""),"NCPE0089")</f>
        <v>NCPE0089</v>
      </c>
      <c r="H1279" s="12">
        <f ca="1">IFERROR(__xludf.DUMMYFUNCTION("""COMPUTED_VALUE"""),3990)</f>
        <v>3990</v>
      </c>
      <c r="I1279" s="14">
        <f ca="1">IFERROR(__xludf.DUMMYFUNCTION("""COMPUTED_VALUE"""),3990)</f>
        <v>3990</v>
      </c>
      <c r="J1279" s="16">
        <f ca="1">IFERROR(__xludf.DUMMYFUNCTION("""COMPUTED_VALUE"""),45665)</f>
        <v>45665</v>
      </c>
      <c r="K1279" s="12" t="str">
        <f ca="1">IFERROR(__xludf.DUMMYFUNCTION("""COMPUTED_VALUE"""),"新機上架")</f>
        <v>新機上架</v>
      </c>
      <c r="L1279" s="12" t="str">
        <f ca="1">IFERROR(__xludf.DUMMYFUNCTION("""COMPUTED_VALUE"""),"上架中")</f>
        <v>上架中</v>
      </c>
      <c r="M1279" s="12"/>
      <c r="N1279" s="12" t="str">
        <f ca="1">IFERROR(__xludf.DUMMYFUNCTION("""COMPUTED_VALUE"""),"無線喇叭
")</f>
        <v xml:space="preserve">無線喇叭
</v>
      </c>
      <c r="O1279" s="12" t="str">
        <f ca="1">IFERROR(__xludf.DUMMYFUNCTION("""COMPUTED_VALUE"""),"奶油白")</f>
        <v>奶油白</v>
      </c>
      <c r="P1279" s="12"/>
      <c r="Q1279" s="12" t="str">
        <f ca="1">IFERROR(__xludf.DUMMYFUNCTION("""COMPUTED_VALUE"""),"101.6*100.5*40.4mm")</f>
        <v>101.6*100.5*40.4mm</v>
      </c>
      <c r="R1279" s="12" t="str">
        <f ca="1">IFERROR(__xludf.DUMMYFUNCTION("""COMPUTED_VALUE"""),"中國")</f>
        <v>中國</v>
      </c>
      <c r="S1279" s="12"/>
      <c r="T1279" s="12"/>
      <c r="U1279" s="12" t="str">
        <f ca="1">IFERROR(__xludf.DUMMYFUNCTION("""COMPUTED_VALUE"""),"1年")</f>
        <v>1年</v>
      </c>
      <c r="V1279" s="12"/>
      <c r="W1279" s="12"/>
      <c r="X1279" s="12"/>
      <c r="Y1279" s="12"/>
      <c r="Z1279" s="14"/>
      <c r="AA1279" s="15" t="str">
        <f ca="1">IFERROR(__xludf.DUMMYFUNCTION("""COMPUTED_VALUE"""),"*最⻑15⼩時無線播放續航⼒*IP67防塵防水等級*STACK模式 多音箱播放*內建麥克風")</f>
        <v>*最⻑15⼩時無線播放續航⼒*IP67防塵防水等級*STACK模式 多音箱播放*內建麥克風</v>
      </c>
    </row>
    <row r="1280" spans="1:27" ht="19.5" customHeight="1">
      <c r="A1280" s="12" t="str">
        <f ca="1">IFERROR(__xludf.DUMMYFUNCTION("""COMPUTED_VALUE"""),"音樂週邊")</f>
        <v>音樂週邊</v>
      </c>
      <c r="B1280" s="12" t="str">
        <f ca="1">IFERROR(__xludf.DUMMYFUNCTION("""COMPUTED_VALUE"""),"十全")</f>
        <v>十全</v>
      </c>
      <c r="C1280" s="12" t="str">
        <f ca="1">IFERROR(__xludf.DUMMYFUNCTION("""COMPUTED_VALUE"""),"Marshall")</f>
        <v>Marshall</v>
      </c>
      <c r="D1280" s="12" t="str">
        <f ca="1">IFERROR(__xludf.DUMMYFUNCTION("""COMPUTED_VALUE"""),"Marshall Emberton III 第三代藍牙喇叭-古銅黑")</f>
        <v>Marshall Emberton III 第三代藍牙喇叭-古銅黑</v>
      </c>
      <c r="E1280" s="12" t="str">
        <f ca="1">IFERROR(__xludf.DUMMYFUNCTION("""COMPUTED_VALUE"""),"EMBERTON III/BK")</f>
        <v>EMBERTON III/BK</v>
      </c>
      <c r="F1280" s="12">
        <f ca="1">IFERROR(__xludf.DUMMYFUNCTION("""COMPUTED_VALUE"""),51094091)</f>
        <v>51094091</v>
      </c>
      <c r="G1280" s="12" t="str">
        <f ca="1">IFERROR(__xludf.DUMMYFUNCTION("""COMPUTED_VALUE"""),"NCPE0058")</f>
        <v>NCPE0058</v>
      </c>
      <c r="H1280" s="12">
        <f ca="1">IFERROR(__xludf.DUMMYFUNCTION("""COMPUTED_VALUE"""),6490)</f>
        <v>6490</v>
      </c>
      <c r="I1280" s="14">
        <f ca="1">IFERROR(__xludf.DUMMYFUNCTION("""COMPUTED_VALUE"""),6290)</f>
        <v>6290</v>
      </c>
      <c r="J1280" s="16">
        <f ca="1">IFERROR(__xludf.DUMMYFUNCTION("""COMPUTED_VALUE"""),45614)</f>
        <v>45614</v>
      </c>
      <c r="K1280" s="12" t="str">
        <f ca="1">IFERROR(__xludf.DUMMYFUNCTION("""COMPUTED_VALUE"""),"新機上架")</f>
        <v>新機上架</v>
      </c>
      <c r="L1280" s="12" t="str">
        <f ca="1">IFERROR(__xludf.DUMMYFUNCTION("""COMPUTED_VALUE"""),"上架中")</f>
        <v>上架中</v>
      </c>
      <c r="M1280" s="12"/>
      <c r="N1280" s="12" t="str">
        <f ca="1">IFERROR(__xludf.DUMMYFUNCTION("""COMPUTED_VALUE"""),"無線喇叭
")</f>
        <v xml:space="preserve">無線喇叭
</v>
      </c>
      <c r="O1280" s="12" t="str">
        <f ca="1">IFERROR(__xludf.DUMMYFUNCTION("""COMPUTED_VALUE"""),"古銅黑")</f>
        <v>古銅黑</v>
      </c>
      <c r="P1280" s="12"/>
      <c r="Q1280" s="12" t="str">
        <f ca="1">IFERROR(__xludf.DUMMYFUNCTION("""COMPUTED_VALUE"""),"160 x 68 x 76.9mm")</f>
        <v>160 x 68 x 76.9mm</v>
      </c>
      <c r="R1280" s="12" t="str">
        <f ca="1">IFERROR(__xludf.DUMMYFUNCTION("""COMPUTED_VALUE"""),"台灣")</f>
        <v>台灣</v>
      </c>
      <c r="S1280" s="12"/>
      <c r="T1280" s="12"/>
      <c r="U1280" s="12" t="str">
        <f ca="1">IFERROR(__xludf.DUMMYFUNCTION("""COMPUTED_VALUE"""),"12+6個月")</f>
        <v>12+6個月</v>
      </c>
      <c r="V1280" s="12"/>
      <c r="W1280" s="12"/>
      <c r="X1280" s="12"/>
      <c r="Y1280" s="12"/>
      <c r="Z1280" s="14"/>
      <c r="AA1280" s="15" t="str">
        <f ca="1">IFERROR(__xludf.DUMMYFUNCTION("""COMPUTED_VALUE"""),"*MARSHALL獨特性音質 *立體聲技術 *約32小時持久續航 *IP67防塵防水 *內建麥克風 ")</f>
        <v xml:space="preserve">*MARSHALL獨特性音質 *立體聲技術 *約32小時持久續航 *IP67防塵防水 *內建麥克風 </v>
      </c>
    </row>
    <row r="1281" spans="1:27" ht="19.5" customHeight="1">
      <c r="A1281" s="12" t="str">
        <f ca="1">IFERROR(__xludf.DUMMYFUNCTION("""COMPUTED_VALUE"""),"音樂週邊")</f>
        <v>音樂週邊</v>
      </c>
      <c r="B1281" s="12" t="str">
        <f ca="1">IFERROR(__xludf.DUMMYFUNCTION("""COMPUTED_VALUE"""),"十全")</f>
        <v>十全</v>
      </c>
      <c r="C1281" s="12" t="str">
        <f ca="1">IFERROR(__xludf.DUMMYFUNCTION("""COMPUTED_VALUE"""),"Marshall")</f>
        <v>Marshall</v>
      </c>
      <c r="D1281" s="12" t="str">
        <f ca="1">IFERROR(__xludf.DUMMYFUNCTION("""COMPUTED_VALUE"""),"Marshall Emberton III 第三代藍牙喇叭-奶油白")</f>
        <v>Marshall Emberton III 第三代藍牙喇叭-奶油白</v>
      </c>
      <c r="E1281" s="12" t="str">
        <f ca="1">IFERROR(__xludf.DUMMYFUNCTION("""COMPUTED_VALUE"""),"EMBERTON III/WH")</f>
        <v>EMBERTON III/WH</v>
      </c>
      <c r="F1281" s="12">
        <f ca="1">IFERROR(__xludf.DUMMYFUNCTION("""COMPUTED_VALUE"""),51094092)</f>
        <v>51094092</v>
      </c>
      <c r="G1281" s="12" t="str">
        <f ca="1">IFERROR(__xludf.DUMMYFUNCTION("""COMPUTED_VALUE"""),"NCPE0059")</f>
        <v>NCPE0059</v>
      </c>
      <c r="H1281" s="12">
        <f ca="1">IFERROR(__xludf.DUMMYFUNCTION("""COMPUTED_VALUE"""),6490)</f>
        <v>6490</v>
      </c>
      <c r="I1281" s="14">
        <f ca="1">IFERROR(__xludf.DUMMYFUNCTION("""COMPUTED_VALUE"""),6290)</f>
        <v>6290</v>
      </c>
      <c r="J1281" s="16">
        <f ca="1">IFERROR(__xludf.DUMMYFUNCTION("""COMPUTED_VALUE"""),45614)</f>
        <v>45614</v>
      </c>
      <c r="K1281" s="12" t="str">
        <f ca="1">IFERROR(__xludf.DUMMYFUNCTION("""COMPUTED_VALUE"""),"新機上架")</f>
        <v>新機上架</v>
      </c>
      <c r="L1281" s="12" t="str">
        <f ca="1">IFERROR(__xludf.DUMMYFUNCTION("""COMPUTED_VALUE"""),"上架中")</f>
        <v>上架中</v>
      </c>
      <c r="M1281" s="12"/>
      <c r="N1281" s="12" t="str">
        <f ca="1">IFERROR(__xludf.DUMMYFUNCTION("""COMPUTED_VALUE"""),"無線喇叭
")</f>
        <v xml:space="preserve">無線喇叭
</v>
      </c>
      <c r="O1281" s="12" t="str">
        <f ca="1">IFERROR(__xludf.DUMMYFUNCTION("""COMPUTED_VALUE"""),"奶油白")</f>
        <v>奶油白</v>
      </c>
      <c r="P1281" s="12"/>
      <c r="Q1281" s="12" t="str">
        <f ca="1">IFERROR(__xludf.DUMMYFUNCTION("""COMPUTED_VALUE"""),"161 x 68 x 76.9mm")</f>
        <v>161 x 68 x 76.9mm</v>
      </c>
      <c r="R1281" s="12" t="str">
        <f ca="1">IFERROR(__xludf.DUMMYFUNCTION("""COMPUTED_VALUE"""),"台灣")</f>
        <v>台灣</v>
      </c>
      <c r="S1281" s="12"/>
      <c r="T1281" s="12"/>
      <c r="U1281" s="12" t="str">
        <f ca="1">IFERROR(__xludf.DUMMYFUNCTION("""COMPUTED_VALUE"""),"12+6個月")</f>
        <v>12+6個月</v>
      </c>
      <c r="V1281" s="12"/>
      <c r="W1281" s="12"/>
      <c r="X1281" s="12"/>
      <c r="Y1281" s="12"/>
      <c r="Z1281" s="14"/>
      <c r="AA1281" s="15" t="str">
        <f ca="1">IFERROR(__xludf.DUMMYFUNCTION("""COMPUTED_VALUE"""),"*MARSHALL獨特性音質 *立體聲技術 *約32小時持久續航 *IP67防塵防水 *內建麥克風 ")</f>
        <v xml:space="preserve">*MARSHALL獨特性音質 *立體聲技術 *約32小時持久續航 *IP67防塵防水 *內建麥克風 </v>
      </c>
    </row>
    <row r="1282" spans="1:27" ht="19.5" customHeight="1">
      <c r="A1282" s="12" t="str">
        <f ca="1">IFERROR(__xludf.DUMMYFUNCTION("""COMPUTED_VALUE"""),"音樂週邊")</f>
        <v>音樂週邊</v>
      </c>
      <c r="B1282" s="12" t="str">
        <f ca="1">IFERROR(__xludf.DUMMYFUNCTION("""COMPUTED_VALUE"""),"沃福仕")</f>
        <v>沃福仕</v>
      </c>
      <c r="C1282" s="12" t="str">
        <f ca="1">IFERROR(__xludf.DUMMYFUNCTION("""COMPUTED_VALUE"""),"BOSE")</f>
        <v>BOSE</v>
      </c>
      <c r="D1282" s="12" t="str">
        <f ca="1">IFERROR(__xludf.DUMMYFUNCTION("""COMPUTED_VALUE"""),"Bose SoundLink Revolve+ II 藍牙揚聲器-黑")</f>
        <v>Bose SoundLink Revolve+ II 藍牙揚聲器-黑</v>
      </c>
      <c r="E1282" s="12" t="str">
        <f ca="1">IFERROR(__xludf.DUMMYFUNCTION("""COMPUTED_VALUE"""),"SoundLink Revolve+ II blk")</f>
        <v>SoundLink Revolve+ II blk</v>
      </c>
      <c r="F1282" s="12">
        <f ca="1">IFERROR(__xludf.DUMMYFUNCTION("""COMPUTED_VALUE"""),51094067)</f>
        <v>51094067</v>
      </c>
      <c r="G1282" s="12" t="str">
        <f ca="1">IFERROR(__xludf.DUMMYFUNCTION("""COMPUTED_VALUE"""),"NCPE002N")</f>
        <v>NCPE002N</v>
      </c>
      <c r="H1282" s="12">
        <f ca="1">IFERROR(__xludf.DUMMYFUNCTION("""COMPUTED_VALUE"""),11900)</f>
        <v>11900</v>
      </c>
      <c r="I1282" s="14">
        <f ca="1">IFERROR(__xludf.DUMMYFUNCTION("""COMPUTED_VALUE"""),11900)</f>
        <v>11900</v>
      </c>
      <c r="J1282" s="12"/>
      <c r="K1282" s="12"/>
      <c r="L1282" s="12" t="str">
        <f ca="1">IFERROR(__xludf.DUMMYFUNCTION("""COMPUTED_VALUE"""),"上架中")</f>
        <v>上架中</v>
      </c>
      <c r="M1282" s="12"/>
      <c r="N1282" s="12" t="str">
        <f ca="1">IFERROR(__xludf.DUMMYFUNCTION("""COMPUTED_VALUE"""),"無線喇叭")</f>
        <v>無線喇叭</v>
      </c>
      <c r="O1282" s="12" t="str">
        <f ca="1">IFERROR(__xludf.DUMMYFUNCTION("""COMPUTED_VALUE"""),"黑")</f>
        <v>黑</v>
      </c>
      <c r="P1282" s="12"/>
      <c r="Q1282" s="12" t="str">
        <f ca="1">IFERROR(__xludf.DUMMYFUNCTION("""COMPUTED_VALUE"""),"184x105 x105mm")</f>
        <v>184x105 x105mm</v>
      </c>
      <c r="R1282" s="12" t="str">
        <f ca="1">IFERROR(__xludf.DUMMYFUNCTION("""COMPUTED_VALUE"""),"墨西哥")</f>
        <v>墨西哥</v>
      </c>
      <c r="S1282" s="12"/>
      <c r="T1282" s="12"/>
      <c r="U1282" s="12" t="str">
        <f ca="1">IFERROR(__xludf.DUMMYFUNCTION("""COMPUTED_VALUE"""),"1年")</f>
        <v>1年</v>
      </c>
      <c r="V1282" s="12"/>
      <c r="W1282" s="12"/>
      <c r="X1282" s="12"/>
      <c r="Y1282" s="12"/>
      <c r="Z1282" s="14"/>
      <c r="AA1282" s="15" t="str">
        <f ca="1">IFERROR(__xludf.DUMMYFUNCTION("""COMPUTED_VALUE"""),"*可播放長達 17 小時*防水等級IP55*支援特定藍牙揚聲器相互配對*可使用Bose Connect APP 進行個人化設定*兩台以上即可享受立體聲與派對模式。")</f>
        <v>*可播放長達 17 小時*防水等級IP55*支援特定藍牙揚聲器相互配對*可使用Bose Connect APP 進行個人化設定*兩台以上即可享受立體聲與派對模式。</v>
      </c>
    </row>
    <row r="1283" spans="1:27" ht="19.5" customHeight="1">
      <c r="A1283" s="12" t="str">
        <f ca="1">IFERROR(__xludf.DUMMYFUNCTION("""COMPUTED_VALUE"""),"音樂週邊")</f>
        <v>音樂週邊</v>
      </c>
      <c r="B1283" s="12" t="str">
        <f ca="1">IFERROR(__xludf.DUMMYFUNCTION("""COMPUTED_VALUE"""),"沃福仕")</f>
        <v>沃福仕</v>
      </c>
      <c r="C1283" s="12" t="str">
        <f ca="1">IFERROR(__xludf.DUMMYFUNCTION("""COMPUTED_VALUE"""),"BOSE")</f>
        <v>BOSE</v>
      </c>
      <c r="D1283" s="12" t="str">
        <f ca="1">IFERROR(__xludf.DUMMYFUNCTION("""COMPUTED_VALUE"""),"Bose SoundLink Revolve+ II 藍牙揚聲器-銀")</f>
        <v>Bose SoundLink Revolve+ II 藍牙揚聲器-銀</v>
      </c>
      <c r="E1283" s="12" t="str">
        <f ca="1">IFERROR(__xludf.DUMMYFUNCTION("""COMPUTED_VALUE"""),"SoundLink Revolve+ II slv")</f>
        <v>SoundLink Revolve+ II slv</v>
      </c>
      <c r="F1283" s="12">
        <f ca="1">IFERROR(__xludf.DUMMYFUNCTION("""COMPUTED_VALUE"""),51094068)</f>
        <v>51094068</v>
      </c>
      <c r="G1283" s="12" t="str">
        <f ca="1">IFERROR(__xludf.DUMMYFUNCTION("""COMPUTED_VALUE"""),"NCPE002O")</f>
        <v>NCPE002O</v>
      </c>
      <c r="H1283" s="12">
        <f ca="1">IFERROR(__xludf.DUMMYFUNCTION("""COMPUTED_VALUE"""),11900)</f>
        <v>11900</v>
      </c>
      <c r="I1283" s="14">
        <f ca="1">IFERROR(__xludf.DUMMYFUNCTION("""COMPUTED_VALUE"""),11900)</f>
        <v>11900</v>
      </c>
      <c r="J1283" s="12"/>
      <c r="K1283" s="12"/>
      <c r="L1283" s="12" t="str">
        <f ca="1">IFERROR(__xludf.DUMMYFUNCTION("""COMPUTED_VALUE"""),"上架中")</f>
        <v>上架中</v>
      </c>
      <c r="M1283" s="12"/>
      <c r="N1283" s="12" t="str">
        <f ca="1">IFERROR(__xludf.DUMMYFUNCTION("""COMPUTED_VALUE"""),"無線喇叭")</f>
        <v>無線喇叭</v>
      </c>
      <c r="O1283" s="12" t="str">
        <f ca="1">IFERROR(__xludf.DUMMYFUNCTION("""COMPUTED_VALUE"""),"銀")</f>
        <v>銀</v>
      </c>
      <c r="P1283" s="12"/>
      <c r="Q1283" s="12" t="str">
        <f ca="1">IFERROR(__xludf.DUMMYFUNCTION("""COMPUTED_VALUE"""),"184x105 x105mm")</f>
        <v>184x105 x105mm</v>
      </c>
      <c r="R1283" s="12" t="str">
        <f ca="1">IFERROR(__xludf.DUMMYFUNCTION("""COMPUTED_VALUE"""),"墨西哥")</f>
        <v>墨西哥</v>
      </c>
      <c r="S1283" s="12"/>
      <c r="T1283" s="12"/>
      <c r="U1283" s="12" t="str">
        <f ca="1">IFERROR(__xludf.DUMMYFUNCTION("""COMPUTED_VALUE"""),"1年")</f>
        <v>1年</v>
      </c>
      <c r="V1283" s="12"/>
      <c r="W1283" s="12"/>
      <c r="X1283" s="12"/>
      <c r="Y1283" s="12"/>
      <c r="Z1283" s="14"/>
      <c r="AA1283" s="15" t="str">
        <f ca="1">IFERROR(__xludf.DUMMYFUNCTION("""COMPUTED_VALUE"""),"*可播放長達 17 小時*防水等級IP55*支援特定藍牙揚聲器相互配對*可使用Bose Connect APP 進行個人化設定*兩台以上即可享受立體聲與派對模式。")</f>
        <v>*可播放長達 17 小時*防水等級IP55*支援特定藍牙揚聲器相互配對*可使用Bose Connect APP 進行個人化設定*兩台以上即可享受立體聲與派對模式。</v>
      </c>
    </row>
    <row r="1284" spans="1:27" ht="19.5" customHeight="1">
      <c r="A1284" s="12" t="str">
        <f ca="1">IFERROR(__xludf.DUMMYFUNCTION("""COMPUTED_VALUE"""),"音樂週邊")</f>
        <v>音樂週邊</v>
      </c>
      <c r="B1284" s="12" t="str">
        <f ca="1">IFERROR(__xludf.DUMMYFUNCTION("""COMPUTED_VALUE"""),"沃福仕")</f>
        <v>沃福仕</v>
      </c>
      <c r="C1284" s="12" t="str">
        <f ca="1">IFERROR(__xludf.DUMMYFUNCTION("""COMPUTED_VALUE"""),"BOSE")</f>
        <v>BOSE</v>
      </c>
      <c r="D1284" s="12" t="str">
        <f ca="1">IFERROR(__xludf.DUMMYFUNCTION("""COMPUTED_VALUE"""),"Bose 可攜式智慧型揚聲器 黑")</f>
        <v>Bose 可攜式智慧型揚聲器 黑</v>
      </c>
      <c r="E1284" s="12" t="str">
        <f ca="1">IFERROR(__xludf.DUMMYFUNCTION("""COMPUTED_VALUE"""),"PORTABLE HOME SPKR BLK")</f>
        <v>PORTABLE HOME SPKR BLK</v>
      </c>
      <c r="F1284" s="12">
        <f ca="1">IFERROR(__xludf.DUMMYFUNCTION("""COMPUTED_VALUE"""),51094074)</f>
        <v>51094074</v>
      </c>
      <c r="G1284" s="12" t="str">
        <f ca="1">IFERROR(__xludf.DUMMYFUNCTION("""COMPUTED_VALUE"""),"NCPE002U")</f>
        <v>NCPE002U</v>
      </c>
      <c r="H1284" s="12">
        <f ca="1">IFERROR(__xludf.DUMMYFUNCTION("""COMPUTED_VALUE"""),14900)</f>
        <v>14900</v>
      </c>
      <c r="I1284" s="14">
        <f ca="1">IFERROR(__xludf.DUMMYFUNCTION("""COMPUTED_VALUE"""),14900)</f>
        <v>14900</v>
      </c>
      <c r="J1284" s="12"/>
      <c r="K1284" s="12"/>
      <c r="L1284" s="12" t="str">
        <f ca="1">IFERROR(__xludf.DUMMYFUNCTION("""COMPUTED_VALUE"""),"上架中")</f>
        <v>上架中</v>
      </c>
      <c r="M1284" s="12"/>
      <c r="N1284" s="12" t="str">
        <f ca="1">IFERROR(__xludf.DUMMYFUNCTION("""COMPUTED_VALUE"""),"無線喇叭")</f>
        <v>無線喇叭</v>
      </c>
      <c r="O1284" s="12" t="str">
        <f ca="1">IFERROR(__xludf.DUMMYFUNCTION("""COMPUTED_VALUE"""),"黑")</f>
        <v>黑</v>
      </c>
      <c r="P1284" s="12"/>
      <c r="Q1284" s="12" t="str">
        <f ca="1">IFERROR(__xludf.DUMMYFUNCTION("""COMPUTED_VALUE"""),"1915x119 x104mm")</f>
        <v>1915x119 x104mm</v>
      </c>
      <c r="R1284" s="12" t="str">
        <f ca="1">IFERROR(__xludf.DUMMYFUNCTION("""COMPUTED_VALUE"""),"墨西哥")</f>
        <v>墨西哥</v>
      </c>
      <c r="S1284" s="12"/>
      <c r="T1284" s="12"/>
      <c r="U1284" s="12" t="str">
        <f ca="1">IFERROR(__xludf.DUMMYFUNCTION("""COMPUTED_VALUE"""),"1年")</f>
        <v>1年</v>
      </c>
      <c r="V1284" s="12"/>
      <c r="W1284" s="12"/>
      <c r="X1284" s="12"/>
      <c r="Y1284" s="12"/>
      <c r="Z1284" s="14"/>
      <c r="AA1284" s="15" t="str">
        <f ca="1">IFERROR(__xludf.DUMMYFUNCTION("""COMPUTED_VALUE"""),"*防水等級IPX4*支援特定藍牙揚聲器相互配對*內建語音控制功能*可聲控、觸控或使用APP應用程式操作*360° 全方向聲音與強勁低音")</f>
        <v>*防水等級IPX4*支援特定藍牙揚聲器相互配對*內建語音控制功能*可聲控、觸控或使用APP應用程式操作*360° 全方向聲音與強勁低音</v>
      </c>
    </row>
    <row r="1285" spans="1:27" ht="19.5" customHeight="1">
      <c r="A1285" s="12" t="str">
        <f ca="1">IFERROR(__xludf.DUMMYFUNCTION("""COMPUTED_VALUE"""),"音樂週邊")</f>
        <v>音樂週邊</v>
      </c>
      <c r="B1285" s="12" t="str">
        <f ca="1">IFERROR(__xludf.DUMMYFUNCTION("""COMPUTED_VALUE"""),"沃福仕")</f>
        <v>沃福仕</v>
      </c>
      <c r="C1285" s="12" t="str">
        <f ca="1">IFERROR(__xludf.DUMMYFUNCTION("""COMPUTED_VALUE"""),"BOSE")</f>
        <v>BOSE</v>
      </c>
      <c r="D1285" s="12" t="str">
        <f ca="1">IFERROR(__xludf.DUMMYFUNCTION("""COMPUTED_VALUE"""),"Bose 可攜式智慧型揚聲器 銀")</f>
        <v>Bose 可攜式智慧型揚聲器 銀</v>
      </c>
      <c r="E1285" s="12" t="str">
        <f ca="1">IFERROR(__xludf.DUMMYFUNCTION("""COMPUTED_VALUE"""),"PORTABLE HOME SPKR SLV")</f>
        <v>PORTABLE HOME SPKR SLV</v>
      </c>
      <c r="F1285" s="12">
        <f ca="1">IFERROR(__xludf.DUMMYFUNCTION("""COMPUTED_VALUE"""),51094075)</f>
        <v>51094075</v>
      </c>
      <c r="G1285" s="12" t="str">
        <f ca="1">IFERROR(__xludf.DUMMYFUNCTION("""COMPUTED_VALUE"""),"NCPE002V")</f>
        <v>NCPE002V</v>
      </c>
      <c r="H1285" s="12">
        <f ca="1">IFERROR(__xludf.DUMMYFUNCTION("""COMPUTED_VALUE"""),14900)</f>
        <v>14900</v>
      </c>
      <c r="I1285" s="14">
        <f ca="1">IFERROR(__xludf.DUMMYFUNCTION("""COMPUTED_VALUE"""),14900)</f>
        <v>14900</v>
      </c>
      <c r="J1285" s="12"/>
      <c r="K1285" s="12"/>
      <c r="L1285" s="12" t="str">
        <f ca="1">IFERROR(__xludf.DUMMYFUNCTION("""COMPUTED_VALUE"""),"上架中")</f>
        <v>上架中</v>
      </c>
      <c r="M1285" s="12"/>
      <c r="N1285" s="12" t="str">
        <f ca="1">IFERROR(__xludf.DUMMYFUNCTION("""COMPUTED_VALUE"""),"無線喇叭")</f>
        <v>無線喇叭</v>
      </c>
      <c r="O1285" s="12" t="str">
        <f ca="1">IFERROR(__xludf.DUMMYFUNCTION("""COMPUTED_VALUE"""),"銀")</f>
        <v>銀</v>
      </c>
      <c r="P1285" s="12"/>
      <c r="Q1285" s="12" t="str">
        <f ca="1">IFERROR(__xludf.DUMMYFUNCTION("""COMPUTED_VALUE"""),"1915x119 x104mm")</f>
        <v>1915x119 x104mm</v>
      </c>
      <c r="R1285" s="12" t="str">
        <f ca="1">IFERROR(__xludf.DUMMYFUNCTION("""COMPUTED_VALUE"""),"墨西哥")</f>
        <v>墨西哥</v>
      </c>
      <c r="S1285" s="12"/>
      <c r="T1285" s="12"/>
      <c r="U1285" s="12" t="str">
        <f ca="1">IFERROR(__xludf.DUMMYFUNCTION("""COMPUTED_VALUE"""),"1年")</f>
        <v>1年</v>
      </c>
      <c r="V1285" s="12"/>
      <c r="W1285" s="12"/>
      <c r="X1285" s="12"/>
      <c r="Y1285" s="12"/>
      <c r="Z1285" s="14"/>
      <c r="AA1285" s="15" t="str">
        <f ca="1">IFERROR(__xludf.DUMMYFUNCTION("""COMPUTED_VALUE"""),"*防水等級IPX4*支援特定藍牙揚聲器相互配對*內建語音控制功能*可聲控、觸控或使用APP應用程式操作*360° 全方向聲音與強勁低音")</f>
        <v>*防水等級IPX4*支援特定藍牙揚聲器相互配對*內建語音控制功能*可聲控、觸控或使用APP應用程式操作*360° 全方向聲音與強勁低音</v>
      </c>
    </row>
    <row r="1286" spans="1:27" ht="19.5" customHeight="1">
      <c r="A1286" s="12" t="str">
        <f ca="1">IFERROR(__xludf.DUMMYFUNCTION("""COMPUTED_VALUE"""),"音樂週邊")</f>
        <v>音樂週邊</v>
      </c>
      <c r="B1286" s="12" t="str">
        <f ca="1">IFERROR(__xludf.DUMMYFUNCTION("""COMPUTED_VALUE"""),"沃福仕")</f>
        <v>沃福仕</v>
      </c>
      <c r="C1286" s="12" t="str">
        <f ca="1">IFERROR(__xludf.DUMMYFUNCTION("""COMPUTED_VALUE"""),"BOSE")</f>
        <v>BOSE</v>
      </c>
      <c r="D1286" s="12" t="str">
        <f ca="1">IFERROR(__xludf.DUMMYFUNCTION("""COMPUTED_VALUE"""),"Bose 電視音響")</f>
        <v>Bose 電視音響</v>
      </c>
      <c r="E1286" s="12" t="str">
        <f ca="1">IFERROR(__xludf.DUMMYFUNCTION("""COMPUTED_VALUE"""),"TV Speaker")</f>
        <v>TV Speaker</v>
      </c>
      <c r="F1286" s="12">
        <f ca="1">IFERROR(__xludf.DUMMYFUNCTION("""COMPUTED_VALUE"""),51094076)</f>
        <v>51094076</v>
      </c>
      <c r="G1286" s="12" t="str">
        <f ca="1">IFERROR(__xludf.DUMMYFUNCTION("""COMPUTED_VALUE"""),"NCPE002W")</f>
        <v>NCPE002W</v>
      </c>
      <c r="H1286" s="12">
        <f ca="1">IFERROR(__xludf.DUMMYFUNCTION("""COMPUTED_VALUE"""),10500)</f>
        <v>10500</v>
      </c>
      <c r="I1286" s="14">
        <f ca="1">IFERROR(__xludf.DUMMYFUNCTION("""COMPUTED_VALUE"""),9999)</f>
        <v>9999</v>
      </c>
      <c r="J1286" s="16">
        <f ca="1">IFERROR(__xludf.DUMMYFUNCTION("""COMPUTED_VALUE"""),45310)</f>
        <v>45310</v>
      </c>
      <c r="K1286" s="12" t="str">
        <f ca="1">IFERROR(__xludf.DUMMYFUNCTION("""COMPUTED_VALUE"""),"新機上架")</f>
        <v>新機上架</v>
      </c>
      <c r="L1286" s="12" t="str">
        <f ca="1">IFERROR(__xludf.DUMMYFUNCTION("""COMPUTED_VALUE"""),"上架中")</f>
        <v>上架中</v>
      </c>
      <c r="M1286" s="12" t="str">
        <f ca="1">IFERROR(__xludf.DUMMYFUNCTION("""COMPUTED_VALUE"""),"尾牙方案")</f>
        <v>尾牙方案</v>
      </c>
      <c r="N1286" s="12" t="str">
        <f ca="1">IFERROR(__xludf.DUMMYFUNCTION("""COMPUTED_VALUE"""),"SoundBar")</f>
        <v>SoundBar</v>
      </c>
      <c r="O1286" s="12" t="str">
        <f ca="1">IFERROR(__xludf.DUMMYFUNCTION("""COMPUTED_VALUE"""),"黑")</f>
        <v>黑</v>
      </c>
      <c r="P1286" s="12"/>
      <c r="Q1286" s="12" t="str">
        <f ca="1">IFERROR(__xludf.DUMMYFUNCTION("""COMPUTED_VALUE"""),"56x594x102mm")</f>
        <v>56x594x102mm</v>
      </c>
      <c r="R1286" s="12" t="str">
        <f ca="1">IFERROR(__xludf.DUMMYFUNCTION("""COMPUTED_VALUE"""),"中國")</f>
        <v>中國</v>
      </c>
      <c r="S1286" s="12"/>
      <c r="T1286" s="12"/>
      <c r="U1286" s="12" t="str">
        <f ca="1">IFERROR(__xludf.DUMMYFUNCTION("""COMPUTED_VALUE"""),"1年")</f>
        <v>1年</v>
      </c>
      <c r="V1286" s="12"/>
      <c r="W1286" s="12"/>
      <c r="X1286" s="12"/>
      <c r="Y1286" s="12"/>
      <c r="Z1286" s="14"/>
      <c r="AA1286" s="15" t="str">
        <f ca="1">IFERROR(__xludf.DUMMYFUNCTION("""COMPUTED_VALUE"""),"*輕鬆提升電視聲音效果*體積小巧，聲音強勁*安裝簡單，使用容易*增強對白清晰度與低音表現*可選購重低音音箱搭配使用")</f>
        <v>*輕鬆提升電視聲音效果*體積小巧，聲音強勁*安裝簡單，使用容易*增強對白清晰度與低音表現*可選購重低音音箱搭配使用</v>
      </c>
    </row>
    <row r="1287" spans="1:27" ht="19.5" customHeight="1">
      <c r="A1287" s="12" t="str">
        <f ca="1">IFERROR(__xludf.DUMMYFUNCTION("""COMPUTED_VALUE"""),"音樂週邊")</f>
        <v>音樂週邊</v>
      </c>
      <c r="B1287" s="12" t="str">
        <f ca="1">IFERROR(__xludf.DUMMYFUNCTION("""COMPUTED_VALUE"""),"沃福仕")</f>
        <v>沃福仕</v>
      </c>
      <c r="C1287" s="12" t="str">
        <f ca="1">IFERROR(__xludf.DUMMYFUNCTION("""COMPUTED_VALUE"""),"BOSE")</f>
        <v>BOSE</v>
      </c>
      <c r="D1287" s="12" t="str">
        <f ca="1">IFERROR(__xludf.DUMMYFUNCTION("""COMPUTED_VALUE"""),"Bose Bass Module 700無線重低音箱 黑")</f>
        <v>Bose Bass Module 700無線重低音箱 黑</v>
      </c>
      <c r="E1287" s="12" t="str">
        <f ca="1">IFERROR(__xludf.DUMMYFUNCTION("""COMPUTED_VALUE"""),"Bass Module 700 BLK")</f>
        <v>Bass Module 700 BLK</v>
      </c>
      <c r="F1287" s="12">
        <f ca="1">IFERROR(__xludf.DUMMYFUNCTION("""COMPUTED_VALUE"""),51094080)</f>
        <v>51094080</v>
      </c>
      <c r="G1287" s="12" t="str">
        <f ca="1">IFERROR(__xludf.DUMMYFUNCTION("""COMPUTED_VALUE"""),"NCPE003A")</f>
        <v>NCPE003A</v>
      </c>
      <c r="H1287" s="12">
        <f ca="1">IFERROR(__xludf.DUMMYFUNCTION("""COMPUTED_VALUE"""),29900)</f>
        <v>29900</v>
      </c>
      <c r="I1287" s="14">
        <f ca="1">IFERROR(__xludf.DUMMYFUNCTION("""COMPUTED_VALUE"""),29900)</f>
        <v>29900</v>
      </c>
      <c r="J1287" s="12"/>
      <c r="K1287" s="12"/>
      <c r="L1287" s="12" t="str">
        <f ca="1">IFERROR(__xludf.DUMMYFUNCTION("""COMPUTED_VALUE"""),"上架中")</f>
        <v>上架中</v>
      </c>
      <c r="M1287" s="12"/>
      <c r="N1287" s="12" t="str">
        <f ca="1">IFERROR(__xludf.DUMMYFUNCTION("""COMPUTED_VALUE"""),"無線喇叭")</f>
        <v>無線喇叭</v>
      </c>
      <c r="O1287" s="12" t="str">
        <f ca="1">IFERROR(__xludf.DUMMYFUNCTION("""COMPUTED_VALUE"""),"黑")</f>
        <v>黑</v>
      </c>
      <c r="P1287" s="12"/>
      <c r="Q1287" s="12" t="str">
        <f ca="1">IFERROR(__xludf.DUMMYFUNCTION("""COMPUTED_VALUE"""),"327x295x295mm")</f>
        <v>327x295x295mm</v>
      </c>
      <c r="R1287" s="12" t="str">
        <f ca="1">IFERROR(__xludf.DUMMYFUNCTION("""COMPUTED_VALUE"""),"中國")</f>
        <v>中國</v>
      </c>
      <c r="S1287" s="12"/>
      <c r="T1287" s="12"/>
      <c r="U1287" s="12" t="str">
        <f ca="1">IFERROR(__xludf.DUMMYFUNCTION("""COMPUTED_VALUE"""),"1年")</f>
        <v>1年</v>
      </c>
      <c r="V1287" s="12"/>
      <c r="W1287" s="12"/>
      <c r="X1287" s="12"/>
      <c r="Y1287" s="12"/>
      <c r="Z1287" s="14"/>
      <c r="AA1287" s="15" t="str">
        <f ca="1">IFERROR(__xludf.DUMMYFUNCTION("""COMPUTED_VALUE"""),"*採用高質感玻璃精緻外觀*可選購家庭揚聲器搭配使用*搭載QuietPort 科技的大型反射孔消除失真*支援無線聆聽*效能最優異低音箱。")</f>
        <v>*採用高質感玻璃精緻外觀*可選購家庭揚聲器搭配使用*搭載QuietPort 科技的大型反射孔消除失真*支援無線聆聽*效能最優異低音箱。</v>
      </c>
    </row>
    <row r="1288" spans="1:27" ht="19.5" customHeight="1">
      <c r="A1288" s="12" t="str">
        <f ca="1">IFERROR(__xludf.DUMMYFUNCTION("""COMPUTED_VALUE"""),"音樂週邊")</f>
        <v>音樂週邊</v>
      </c>
      <c r="B1288" s="12" t="str">
        <f ca="1">IFERROR(__xludf.DUMMYFUNCTION("""COMPUTED_VALUE"""),"沃福仕")</f>
        <v>沃福仕</v>
      </c>
      <c r="C1288" s="12" t="str">
        <f ca="1">IFERROR(__xludf.DUMMYFUNCTION("""COMPUTED_VALUE"""),"BOSE")</f>
        <v>BOSE</v>
      </c>
      <c r="D1288" s="12" t="str">
        <f ca="1">IFERROR(__xludf.DUMMYFUNCTION("""COMPUTED_VALUE"""),"Bose Bass Module 700無線重低音箱 白")</f>
        <v>Bose Bass Module 700無線重低音箱 白</v>
      </c>
      <c r="E1288" s="12" t="str">
        <f ca="1">IFERROR(__xludf.DUMMYFUNCTION("""COMPUTED_VALUE"""),"Bass Module 700 WHT")</f>
        <v>Bass Module 700 WHT</v>
      </c>
      <c r="F1288" s="12">
        <f ca="1">IFERROR(__xludf.DUMMYFUNCTION("""COMPUTED_VALUE"""),51094081)</f>
        <v>51094081</v>
      </c>
      <c r="G1288" s="12" t="str">
        <f ca="1">IFERROR(__xludf.DUMMYFUNCTION("""COMPUTED_VALUE"""),"NCPE003B")</f>
        <v>NCPE003B</v>
      </c>
      <c r="H1288" s="12">
        <f ca="1">IFERROR(__xludf.DUMMYFUNCTION("""COMPUTED_VALUE"""),29900)</f>
        <v>29900</v>
      </c>
      <c r="I1288" s="14">
        <f ca="1">IFERROR(__xludf.DUMMYFUNCTION("""COMPUTED_VALUE"""),29900)</f>
        <v>29900</v>
      </c>
      <c r="J1288" s="12"/>
      <c r="K1288" s="12"/>
      <c r="L1288" s="12" t="str">
        <f ca="1">IFERROR(__xludf.DUMMYFUNCTION("""COMPUTED_VALUE"""),"缺貨")</f>
        <v>缺貨</v>
      </c>
      <c r="M1288" s="12"/>
      <c r="N1288" s="12" t="str">
        <f ca="1">IFERROR(__xludf.DUMMYFUNCTION("""COMPUTED_VALUE"""),"無線喇叭")</f>
        <v>無線喇叭</v>
      </c>
      <c r="O1288" s="12" t="str">
        <f ca="1">IFERROR(__xludf.DUMMYFUNCTION("""COMPUTED_VALUE"""),"白")</f>
        <v>白</v>
      </c>
      <c r="P1288" s="12"/>
      <c r="Q1288" s="12" t="str">
        <f ca="1">IFERROR(__xludf.DUMMYFUNCTION("""COMPUTED_VALUE"""),"327x295x295mm")</f>
        <v>327x295x295mm</v>
      </c>
      <c r="R1288" s="12" t="str">
        <f ca="1">IFERROR(__xludf.DUMMYFUNCTION("""COMPUTED_VALUE"""),"中國")</f>
        <v>中國</v>
      </c>
      <c r="S1288" s="12"/>
      <c r="T1288" s="12"/>
      <c r="U1288" s="12" t="str">
        <f ca="1">IFERROR(__xludf.DUMMYFUNCTION("""COMPUTED_VALUE"""),"1年")</f>
        <v>1年</v>
      </c>
      <c r="V1288" s="12"/>
      <c r="W1288" s="12"/>
      <c r="X1288" s="12"/>
      <c r="Y1288" s="12"/>
      <c r="Z1288" s="14"/>
      <c r="AA1288" s="15" t="str">
        <f ca="1">IFERROR(__xludf.DUMMYFUNCTION("""COMPUTED_VALUE"""),"*採用高質感玻璃精緻外觀*可選購家庭揚聲器搭配使用*搭載QuietPort 科技的大型反射孔消除失真*支援無線聆聽*效能最優異低音箱。")</f>
        <v>*採用高質感玻璃精緻外觀*可選購家庭揚聲器搭配使用*搭載QuietPort 科技的大型反射孔消除失真*支援無線聆聽*效能最優異低音箱。</v>
      </c>
    </row>
    <row r="1289" spans="1:27" ht="19.5" customHeight="1">
      <c r="A1289" s="12" t="str">
        <f ca="1">IFERROR(__xludf.DUMMYFUNCTION("""COMPUTED_VALUE"""),"音樂週邊")</f>
        <v>音樂週邊</v>
      </c>
      <c r="B1289" s="12" t="str">
        <f ca="1">IFERROR(__xludf.DUMMYFUNCTION("""COMPUTED_VALUE"""),"沃福仕")</f>
        <v>沃福仕</v>
      </c>
      <c r="C1289" s="12" t="str">
        <f ca="1">IFERROR(__xludf.DUMMYFUNCTION("""COMPUTED_VALUE"""),"BOSE")</f>
        <v>BOSE</v>
      </c>
      <c r="D1289" s="12" t="str">
        <f ca="1">IFERROR(__xludf.DUMMYFUNCTION("""COMPUTED_VALUE"""),"(中華)Bose 電視音響")</f>
        <v>(中華)Bose 電視音響</v>
      </c>
      <c r="E1289" s="12" t="str">
        <f ca="1">IFERROR(__xludf.DUMMYFUNCTION("""COMPUTED_VALUE"""),"TV Speaker")</f>
        <v>TV Speaker</v>
      </c>
      <c r="F1289" s="12">
        <f ca="1">IFERROR(__xludf.DUMMYFUNCTION("""COMPUTED_VALUE"""),51094076)</f>
        <v>51094076</v>
      </c>
      <c r="G1289" s="12" t="str">
        <f ca="1">IFERROR(__xludf.DUMMYFUNCTION("""COMPUTED_VALUE"""),"NCPE002W")</f>
        <v>NCPE002W</v>
      </c>
      <c r="H1289" s="12">
        <f ca="1">IFERROR(__xludf.DUMMYFUNCTION("""COMPUTED_VALUE"""),10500)</f>
        <v>10500</v>
      </c>
      <c r="I1289" s="14">
        <f ca="1">IFERROR(__xludf.DUMMYFUNCTION("""COMPUTED_VALUE"""),9999)</f>
        <v>9999</v>
      </c>
      <c r="J1289" s="16">
        <f ca="1">IFERROR(__xludf.DUMMYFUNCTION("""COMPUTED_VALUE"""),45310)</f>
        <v>45310</v>
      </c>
      <c r="K1289" s="12" t="str">
        <f ca="1">IFERROR(__xludf.DUMMYFUNCTION("""COMPUTED_VALUE"""),"新機上架")</f>
        <v>新機上架</v>
      </c>
      <c r="L1289" s="12" t="str">
        <f ca="1">IFERROR(__xludf.DUMMYFUNCTION("""COMPUTED_VALUE"""),"上架中")</f>
        <v>上架中</v>
      </c>
      <c r="M1289" s="12" t="str">
        <f ca="1">IFERROR(__xludf.DUMMYFUNCTION("""COMPUTED_VALUE"""),"尾牙方案")</f>
        <v>尾牙方案</v>
      </c>
      <c r="N1289" s="12" t="str">
        <f ca="1">IFERROR(__xludf.DUMMYFUNCTION("""COMPUTED_VALUE"""),"SoundBar")</f>
        <v>SoundBar</v>
      </c>
      <c r="O1289" s="12" t="str">
        <f ca="1">IFERROR(__xludf.DUMMYFUNCTION("""COMPUTED_VALUE"""),"黑")</f>
        <v>黑</v>
      </c>
      <c r="P1289" s="12"/>
      <c r="Q1289" s="12" t="str">
        <f ca="1">IFERROR(__xludf.DUMMYFUNCTION("""COMPUTED_VALUE"""),"56x594x102mm")</f>
        <v>56x594x102mm</v>
      </c>
      <c r="R1289" s="12" t="str">
        <f ca="1">IFERROR(__xludf.DUMMYFUNCTION("""COMPUTED_VALUE"""),"中國")</f>
        <v>中國</v>
      </c>
      <c r="S1289" s="12"/>
      <c r="T1289" s="12"/>
      <c r="U1289" s="12" t="str">
        <f ca="1">IFERROR(__xludf.DUMMYFUNCTION("""COMPUTED_VALUE"""),"1年")</f>
        <v>1年</v>
      </c>
      <c r="V1289" s="12"/>
      <c r="W1289" s="12"/>
      <c r="X1289" s="12"/>
      <c r="Y1289" s="12"/>
      <c r="Z1289" s="14"/>
      <c r="AA1289" s="15" t="str">
        <f ca="1">IFERROR(__xludf.DUMMYFUNCTION("""COMPUTED_VALUE"""),"*輕鬆提升電視聲音效果*體積小巧，聲音強勁*安裝簡單，使用容易*增強對白清晰度與低音表現*可選購重低音音箱搭配使用")</f>
        <v>*輕鬆提升電視聲音效果*體積小巧，聲音強勁*安裝簡單，使用容易*增強對白清晰度與低音表現*可選購重低音音箱搭配使用</v>
      </c>
    </row>
    <row r="1290" spans="1:27" ht="19.5" customHeight="1">
      <c r="A1290" s="12" t="str">
        <f ca="1">IFERROR(__xludf.DUMMYFUNCTION("""COMPUTED_VALUE"""),"音樂週邊")</f>
        <v>音樂週邊</v>
      </c>
      <c r="B1290" s="12" t="str">
        <f ca="1">IFERROR(__xludf.DUMMYFUNCTION("""COMPUTED_VALUE"""),"沃福仕")</f>
        <v>沃福仕</v>
      </c>
      <c r="C1290" s="12" t="str">
        <f ca="1">IFERROR(__xludf.DUMMYFUNCTION("""COMPUTED_VALUE"""),"BOSE")</f>
        <v>BOSE</v>
      </c>
      <c r="D1290" s="12" t="str">
        <f ca="1">IFERROR(__xludf.DUMMYFUNCTION("""COMPUTED_VALUE"""),"Bose Module 500 無線低音箱 黑 ")</f>
        <v xml:space="preserve">Bose Module 500 無線低音箱 黑 </v>
      </c>
      <c r="E1290" s="12" t="str">
        <f ca="1">IFERROR(__xludf.DUMMYFUNCTION("""COMPUTED_VALUE"""),"Bass Module 500 BLK")</f>
        <v>Bass Module 500 BLK</v>
      </c>
      <c r="F1290" s="12">
        <f ca="1">IFERROR(__xludf.DUMMYFUNCTION("""COMPUTED_VALUE"""),51094090)</f>
        <v>51094090</v>
      </c>
      <c r="G1290" s="12" t="str">
        <f ca="1">IFERROR(__xludf.DUMMYFUNCTION("""COMPUTED_VALUE"""),"NCPE003R")</f>
        <v>NCPE003R</v>
      </c>
      <c r="H1290" s="12">
        <f ca="1">IFERROR(__xludf.DUMMYFUNCTION("""COMPUTED_VALUE"""),17900)</f>
        <v>17900</v>
      </c>
      <c r="I1290" s="14">
        <f ca="1">IFERROR(__xludf.DUMMYFUNCTION("""COMPUTED_VALUE"""),17900)</f>
        <v>17900</v>
      </c>
      <c r="J1290" s="16">
        <f ca="1">IFERROR(__xludf.DUMMYFUNCTION("""COMPUTED_VALUE"""),45349)</f>
        <v>45349</v>
      </c>
      <c r="K1290" s="12" t="str">
        <f ca="1">IFERROR(__xludf.DUMMYFUNCTION("""COMPUTED_VALUE"""),"新機上架")</f>
        <v>新機上架</v>
      </c>
      <c r="L1290" s="12" t="str">
        <f ca="1">IFERROR(__xludf.DUMMYFUNCTION("""COMPUTED_VALUE"""),"上架中")</f>
        <v>上架中</v>
      </c>
      <c r="M1290" s="12"/>
      <c r="N1290" s="12" t="str">
        <f ca="1">IFERROR(__xludf.DUMMYFUNCTION("""COMPUTED_VALUE"""),"無線喇叭")</f>
        <v>無線喇叭</v>
      </c>
      <c r="O1290" s="12" t="str">
        <f ca="1">IFERROR(__xludf.DUMMYFUNCTION("""COMPUTED_VALUE"""),"黑")</f>
        <v>黑</v>
      </c>
      <c r="P1290" s="12"/>
      <c r="Q1290" s="12" t="str">
        <f ca="1">IFERROR(__xludf.DUMMYFUNCTION("""COMPUTED_VALUE"""),"高 241  x 寬 254  x 深 254 mm")</f>
        <v>高 241  x 寬 254  x 深 254 mm</v>
      </c>
      <c r="R1290" s="12" t="str">
        <f ca="1">IFERROR(__xludf.DUMMYFUNCTION("""COMPUTED_VALUE"""),"中國")</f>
        <v>中國</v>
      </c>
      <c r="S1290" s="12"/>
      <c r="T1290" s="12"/>
      <c r="U1290" s="12" t="str">
        <f ca="1">IFERROR(__xludf.DUMMYFUNCTION("""COMPUTED_VALUE"""),"1年")</f>
        <v>1年</v>
      </c>
      <c r="V1290" s="12"/>
      <c r="W1290" s="12"/>
      <c r="X1290" s="12"/>
      <c r="Y1290" s="12"/>
      <c r="Z1290" s="14"/>
      <c r="AA1290" s="15" t="str">
        <f ca="1">IFERROR(__xludf.DUMMYFUNCTION("""COMPUTED_VALUE"""),"*安裝簡單、使用便利*可與Bose TV搭配使用*可使用無線/有線連接")</f>
        <v>*安裝簡單、使用便利*可與Bose TV搭配使用*可使用無線/有線連接</v>
      </c>
    </row>
    <row r="1291" spans="1:27" ht="19.5" customHeight="1">
      <c r="A1291" s="12" t="str">
        <f ca="1">IFERROR(__xludf.DUMMYFUNCTION("""COMPUTED_VALUE"""),"音樂週邊")</f>
        <v>音樂週邊</v>
      </c>
      <c r="B1291" s="12" t="str">
        <f ca="1">IFERROR(__xludf.DUMMYFUNCTION("""COMPUTED_VALUE"""),"沃福仕")</f>
        <v>沃福仕</v>
      </c>
      <c r="C1291" s="12" t="str">
        <f ca="1">IFERROR(__xludf.DUMMYFUNCTION("""COMPUTED_VALUE"""),"BOSE")</f>
        <v>BOSE</v>
      </c>
      <c r="D1291" s="12" t="str">
        <f ca="1">IFERROR(__xludf.DUMMYFUNCTION("""COMPUTED_VALUE"""),"Bose SoundLink Max 藍牙手提音箱(黑)")</f>
        <v>Bose SoundLink Max 藍牙手提音箱(黑)</v>
      </c>
      <c r="E1291" s="12" t="str">
        <f ca="1">IFERROR(__xludf.DUMMYFUNCTION("""COMPUTED_VALUE"""),"Bose SoundLink Max BLK")</f>
        <v>Bose SoundLink Max BLK</v>
      </c>
      <c r="F1291" s="12">
        <f ca="1">IFERROR(__xludf.DUMMYFUNCTION("""COMPUTED_VALUE"""),51073014)</f>
        <v>51073014</v>
      </c>
      <c r="G1291" s="12" t="str">
        <f ca="1">IFERROR(__xludf.DUMMYFUNCTION("""COMPUTED_VALUE"""),"NCPE0056")</f>
        <v>NCPE0056</v>
      </c>
      <c r="H1291" s="12">
        <f ca="1">IFERROR(__xludf.DUMMYFUNCTION("""COMPUTED_VALUE"""),12900)</f>
        <v>12900</v>
      </c>
      <c r="I1291" s="14">
        <f ca="1">IFERROR(__xludf.DUMMYFUNCTION("""COMPUTED_VALUE"""),12900)</f>
        <v>12900</v>
      </c>
      <c r="J1291" s="16">
        <f ca="1">IFERROR(__xludf.DUMMYFUNCTION("""COMPUTED_VALUE"""),45597)</f>
        <v>45597</v>
      </c>
      <c r="K1291" s="12" t="str">
        <f ca="1">IFERROR(__xludf.DUMMYFUNCTION("""COMPUTED_VALUE"""),"新機上架")</f>
        <v>新機上架</v>
      </c>
      <c r="L1291" s="12" t="str">
        <f ca="1">IFERROR(__xludf.DUMMYFUNCTION("""COMPUTED_VALUE"""),"上架中")</f>
        <v>上架中</v>
      </c>
      <c r="M1291" s="12"/>
      <c r="N1291" s="12" t="str">
        <f ca="1">IFERROR(__xludf.DUMMYFUNCTION("""COMPUTED_VALUE"""),"無線喇叭
")</f>
        <v xml:space="preserve">無線喇叭
</v>
      </c>
      <c r="O1291" s="12" t="str">
        <f ca="1">IFERROR(__xludf.DUMMYFUNCTION("""COMPUTED_VALUE"""),"黑")</f>
        <v>黑</v>
      </c>
      <c r="P1291" s="12"/>
      <c r="Q1291" s="12" t="str">
        <f ca="1">IFERROR(__xludf.DUMMYFUNCTION("""COMPUTED_VALUE"""),"高 120 x 寬 265 x 深 105 mm")</f>
        <v>高 120 x 寬 265 x 深 105 mm</v>
      </c>
      <c r="R1291" s="12"/>
      <c r="S1291" s="12"/>
      <c r="T1291" s="12"/>
      <c r="U1291" s="12" t="str">
        <f ca="1">IFERROR(__xludf.DUMMYFUNCTION("""COMPUTED_VALUE"""),"1年")</f>
        <v>1年</v>
      </c>
      <c r="V1291" s="12"/>
      <c r="W1291" s="12"/>
      <c r="X1291" s="12"/>
      <c r="Y1291" s="12"/>
      <c r="Z1291" s="14"/>
      <c r="AA1291" s="15" t="str">
        <f ca="1">IFERROR(__xludf.DUMMYFUNCTION("""COMPUTED_VALUE"""),"*立體聲音效 *低音渾厚 *手提方便攜帶 *一般播放電量可播放20小時 *是音響也是行動電源 *Bose APP 控制")</f>
        <v>*立體聲音效 *低音渾厚 *手提方便攜帶 *一般播放電量可播放20小時 *是音響也是行動電源 *Bose APP 控制</v>
      </c>
    </row>
    <row r="1292" spans="1:27" ht="19.5" customHeight="1">
      <c r="A1292" s="12" t="str">
        <f ca="1">IFERROR(__xludf.DUMMYFUNCTION("""COMPUTED_VALUE"""),"音樂週邊")</f>
        <v>音樂週邊</v>
      </c>
      <c r="B1292" s="12" t="str">
        <f ca="1">IFERROR(__xludf.DUMMYFUNCTION("""COMPUTED_VALUE"""),"沃福仕")</f>
        <v>沃福仕</v>
      </c>
      <c r="C1292" s="12" t="str">
        <f ca="1">IFERROR(__xludf.DUMMYFUNCTION("""COMPUTED_VALUE"""),"BOSE")</f>
        <v>BOSE</v>
      </c>
      <c r="D1292" s="12" t="str">
        <f ca="1">IFERROR(__xludf.DUMMYFUNCTION("""COMPUTED_VALUE"""),"Bose SoundLink Max 藍牙手提音箱(暮色藍)")</f>
        <v>Bose SoundLink Max 藍牙手提音箱(暮色藍)</v>
      </c>
      <c r="E1292" s="12" t="str">
        <f ca="1">IFERROR(__xludf.DUMMYFUNCTION("""COMPUTED_VALUE"""),"Bose SoundLink Max BLU")</f>
        <v>Bose SoundLink Max BLU</v>
      </c>
      <c r="F1292" s="12">
        <f ca="1">IFERROR(__xludf.DUMMYFUNCTION("""COMPUTED_VALUE"""),51073015)</f>
        <v>51073015</v>
      </c>
      <c r="G1292" s="12" t="str">
        <f ca="1">IFERROR(__xludf.DUMMYFUNCTION("""COMPUTED_VALUE"""),"NCPE0057")</f>
        <v>NCPE0057</v>
      </c>
      <c r="H1292" s="12">
        <f ca="1">IFERROR(__xludf.DUMMYFUNCTION("""COMPUTED_VALUE"""),12900)</f>
        <v>12900</v>
      </c>
      <c r="I1292" s="14">
        <f ca="1">IFERROR(__xludf.DUMMYFUNCTION("""COMPUTED_VALUE"""),12900)</f>
        <v>12900</v>
      </c>
      <c r="J1292" s="16">
        <f ca="1">IFERROR(__xludf.DUMMYFUNCTION("""COMPUTED_VALUE"""),45597)</f>
        <v>45597</v>
      </c>
      <c r="K1292" s="12" t="str">
        <f ca="1">IFERROR(__xludf.DUMMYFUNCTION("""COMPUTED_VALUE"""),"新機上架")</f>
        <v>新機上架</v>
      </c>
      <c r="L1292" s="12" t="str">
        <f ca="1">IFERROR(__xludf.DUMMYFUNCTION("""COMPUTED_VALUE"""),"上架中")</f>
        <v>上架中</v>
      </c>
      <c r="M1292" s="12"/>
      <c r="N1292" s="12" t="str">
        <f ca="1">IFERROR(__xludf.DUMMYFUNCTION("""COMPUTED_VALUE"""),"無線喇叭
")</f>
        <v xml:space="preserve">無線喇叭
</v>
      </c>
      <c r="O1292" s="12" t="str">
        <f ca="1">IFERROR(__xludf.DUMMYFUNCTION("""COMPUTED_VALUE"""),"暮色藍")</f>
        <v>暮色藍</v>
      </c>
      <c r="P1292" s="12"/>
      <c r="Q1292" s="12" t="str">
        <f ca="1">IFERROR(__xludf.DUMMYFUNCTION("""COMPUTED_VALUE"""),"高 120 x 寬 265 x 深 105 mm")</f>
        <v>高 120 x 寬 265 x 深 105 mm</v>
      </c>
      <c r="R1292" s="12"/>
      <c r="S1292" s="12"/>
      <c r="T1292" s="12"/>
      <c r="U1292" s="12" t="str">
        <f ca="1">IFERROR(__xludf.DUMMYFUNCTION("""COMPUTED_VALUE"""),"1年")</f>
        <v>1年</v>
      </c>
      <c r="V1292" s="12"/>
      <c r="W1292" s="12"/>
      <c r="X1292" s="12"/>
      <c r="Y1292" s="12"/>
      <c r="Z1292" s="14"/>
      <c r="AA1292" s="15" t="str">
        <f ca="1">IFERROR(__xludf.DUMMYFUNCTION("""COMPUTED_VALUE"""),"*立體聲音效 *低音渾厚 *手提方便攜帶 *一般播放電量可播放20小時 *是音響也是行動電源 *Bose APP 控制")</f>
        <v>*立體聲音效 *低音渾厚 *手提方便攜帶 *一般播放電量可播放20小時 *是音響也是行動電源 *Bose APP 控制</v>
      </c>
    </row>
    <row r="1293" spans="1:27" ht="19.5" customHeight="1">
      <c r="A1293" s="12" t="str">
        <f ca="1">IFERROR(__xludf.DUMMYFUNCTION("""COMPUTED_VALUE"""),"音樂週邊")</f>
        <v>音樂週邊</v>
      </c>
      <c r="B1293" s="12" t="str">
        <f ca="1">IFERROR(__xludf.DUMMYFUNCTION("""COMPUTED_VALUE"""),"沃福仕")</f>
        <v>沃福仕</v>
      </c>
      <c r="C1293" s="12" t="str">
        <f ca="1">IFERROR(__xludf.DUMMYFUNCTION("""COMPUTED_VALUE"""),"BOSE")</f>
        <v>BOSE</v>
      </c>
      <c r="D1293" s="12" t="str">
        <f ca="1">IFERROR(__xludf.DUMMYFUNCTION("""COMPUTED_VALUE"""),"Bose 智能家庭娛樂揚聲器 Ultra黑色")</f>
        <v>Bose 智能家庭娛樂揚聲器 Ultra黑色</v>
      </c>
      <c r="E1293" s="12" t="str">
        <f ca="1">IFERROR(__xludf.DUMMYFUNCTION("""COMPUTED_VALUE"""),"BOSE smart ultra soundbar BLK")</f>
        <v>BOSE smart ultra soundbar BLK</v>
      </c>
      <c r="F1293" s="12">
        <f ca="1">IFERROR(__xludf.DUMMYFUNCTION("""COMPUTED_VALUE"""),51094093)</f>
        <v>51094093</v>
      </c>
      <c r="G1293" s="12" t="str">
        <f ca="1">IFERROR(__xludf.DUMMYFUNCTION("""COMPUTED_VALUE"""),"NCPE0060")</f>
        <v>NCPE0060</v>
      </c>
      <c r="H1293" s="12">
        <f ca="1">IFERROR(__xludf.DUMMYFUNCTION("""COMPUTED_VALUE"""),39900)</f>
        <v>39900</v>
      </c>
      <c r="I1293" s="14">
        <f ca="1">IFERROR(__xludf.DUMMYFUNCTION("""COMPUTED_VALUE"""),39900)</f>
        <v>39900</v>
      </c>
      <c r="J1293" s="16">
        <f ca="1">IFERROR(__xludf.DUMMYFUNCTION("""COMPUTED_VALUE"""),45614)</f>
        <v>45614</v>
      </c>
      <c r="K1293" s="12" t="str">
        <f ca="1">IFERROR(__xludf.DUMMYFUNCTION("""COMPUTED_VALUE"""),"新機上架")</f>
        <v>新機上架</v>
      </c>
      <c r="L1293" s="12" t="str">
        <f ca="1">IFERROR(__xludf.DUMMYFUNCTION("""COMPUTED_VALUE"""),"上架中")</f>
        <v>上架中</v>
      </c>
      <c r="M1293" s="12"/>
      <c r="N1293" s="12" t="str">
        <f ca="1">IFERROR(__xludf.DUMMYFUNCTION("""COMPUTED_VALUE"""),"無線喇叭
")</f>
        <v xml:space="preserve">無線喇叭
</v>
      </c>
      <c r="O1293" s="12" t="str">
        <f ca="1">IFERROR(__xludf.DUMMYFUNCTION("""COMPUTED_VALUE"""),"黑")</f>
        <v>黑</v>
      </c>
      <c r="P1293" s="12"/>
      <c r="Q1293" s="12" t="str">
        <f ca="1">IFERROR(__xludf.DUMMYFUNCTION("""COMPUTED_VALUE"""),"高 58 x 寬 1045  x 深 107 mm")</f>
        <v>高 58 x 寬 1045  x 深 107 mm</v>
      </c>
      <c r="R1293" s="12"/>
      <c r="S1293" s="12"/>
      <c r="T1293" s="12"/>
      <c r="U1293" s="12" t="str">
        <f ca="1">IFERROR(__xludf.DUMMYFUNCTION("""COMPUTED_VALUE"""),"1年")</f>
        <v>1年</v>
      </c>
      <c r="V1293" s="12"/>
      <c r="W1293" s="12"/>
      <c r="X1293" s="12"/>
      <c r="Y1293" s="12"/>
      <c r="Z1293" s="14"/>
      <c r="AA1293" s="15" t="str">
        <f ca="1">IFERROR(__xludf.DUMMYFUNCTION("""COMPUTED_VALUE"""),"*頂級家庭娛樂揚聲器 *支援杜比全景聲(Dolby Atmos) *沉浸式空間感音場,聲音來自四面八方 *超清晰的人聲  *語音、遙控器或應用程式控制 *藍牙播放 ")</f>
        <v xml:space="preserve">*頂級家庭娛樂揚聲器 *支援杜比全景聲(Dolby Atmos) *沉浸式空間感音場,聲音來自四面八方 *超清晰的人聲  *語音、遙控器或應用程式控制 *藍牙播放 </v>
      </c>
    </row>
    <row r="1294" spans="1:27" ht="19.5" customHeight="1">
      <c r="A1294" s="12" t="str">
        <f ca="1">IFERROR(__xludf.DUMMYFUNCTION("""COMPUTED_VALUE"""),"音樂週邊")</f>
        <v>音樂週邊</v>
      </c>
      <c r="B1294" s="12" t="str">
        <f ca="1">IFERROR(__xludf.DUMMYFUNCTION("""COMPUTED_VALUE"""),"沃福仕")</f>
        <v>沃福仕</v>
      </c>
      <c r="C1294" s="12" t="str">
        <f ca="1">IFERROR(__xludf.DUMMYFUNCTION("""COMPUTED_VALUE"""),"BOSE")</f>
        <v>BOSE</v>
      </c>
      <c r="D1294" s="12" t="str">
        <f ca="1">IFERROR(__xludf.DUMMYFUNCTION("""COMPUTED_VALUE"""),"Bose 智能家庭娛樂揚聲器 Ultra白色")</f>
        <v>Bose 智能家庭娛樂揚聲器 Ultra白色</v>
      </c>
      <c r="E1294" s="12" t="str">
        <f ca="1">IFERROR(__xludf.DUMMYFUNCTION("""COMPUTED_VALUE"""),"BOSE smart ultra soundbar WHT")</f>
        <v>BOSE smart ultra soundbar WHT</v>
      </c>
      <c r="F1294" s="12">
        <f ca="1">IFERROR(__xludf.DUMMYFUNCTION("""COMPUTED_VALUE"""),51094094)</f>
        <v>51094094</v>
      </c>
      <c r="G1294" s="12" t="str">
        <f ca="1">IFERROR(__xludf.DUMMYFUNCTION("""COMPUTED_VALUE"""),"NCPE0061")</f>
        <v>NCPE0061</v>
      </c>
      <c r="H1294" s="12">
        <f ca="1">IFERROR(__xludf.DUMMYFUNCTION("""COMPUTED_VALUE"""),39900)</f>
        <v>39900</v>
      </c>
      <c r="I1294" s="14">
        <f ca="1">IFERROR(__xludf.DUMMYFUNCTION("""COMPUTED_VALUE"""),39900)</f>
        <v>39900</v>
      </c>
      <c r="J1294" s="16">
        <f ca="1">IFERROR(__xludf.DUMMYFUNCTION("""COMPUTED_VALUE"""),45614)</f>
        <v>45614</v>
      </c>
      <c r="K1294" s="12" t="str">
        <f ca="1">IFERROR(__xludf.DUMMYFUNCTION("""COMPUTED_VALUE"""),"新機上架")</f>
        <v>新機上架</v>
      </c>
      <c r="L1294" s="12" t="str">
        <f ca="1">IFERROR(__xludf.DUMMYFUNCTION("""COMPUTED_VALUE"""),"上架中")</f>
        <v>上架中</v>
      </c>
      <c r="M1294" s="12"/>
      <c r="N1294" s="12" t="str">
        <f ca="1">IFERROR(__xludf.DUMMYFUNCTION("""COMPUTED_VALUE"""),"無線喇叭
")</f>
        <v xml:space="preserve">無線喇叭
</v>
      </c>
      <c r="O1294" s="12" t="str">
        <f ca="1">IFERROR(__xludf.DUMMYFUNCTION("""COMPUTED_VALUE"""),"白")</f>
        <v>白</v>
      </c>
      <c r="P1294" s="12"/>
      <c r="Q1294" s="12" t="str">
        <f ca="1">IFERROR(__xludf.DUMMYFUNCTION("""COMPUTED_VALUE"""),"高 58 x 寬 1045  x 深 107 mm")</f>
        <v>高 58 x 寬 1045  x 深 107 mm</v>
      </c>
      <c r="R1294" s="12"/>
      <c r="S1294" s="12"/>
      <c r="T1294" s="12"/>
      <c r="U1294" s="12" t="str">
        <f ca="1">IFERROR(__xludf.DUMMYFUNCTION("""COMPUTED_VALUE"""),"1年")</f>
        <v>1年</v>
      </c>
      <c r="V1294" s="12"/>
      <c r="W1294" s="12"/>
      <c r="X1294" s="12"/>
      <c r="Y1294" s="12"/>
      <c r="Z1294" s="14"/>
      <c r="AA1294" s="15" t="str">
        <f ca="1">IFERROR(__xludf.DUMMYFUNCTION("""COMPUTED_VALUE"""),"*頂級家庭娛樂揚聲器 *支援杜比全景聲(Dolby Atmos) *沉浸式空間感音場,聲音來自四面八方 *超清晰的人聲  *語音、遙控器或應用程式控制 *藍牙播放 ")</f>
        <v xml:space="preserve">*頂級家庭娛樂揚聲器 *支援杜比全景聲(Dolby Atmos) *沉浸式空間感音場,聲音來自四面八方 *超清晰的人聲  *語音、遙控器或應用程式控制 *藍牙播放 </v>
      </c>
    </row>
    <row r="1295" spans="1:27" ht="19.5" customHeight="1">
      <c r="A1295" s="12" t="str">
        <f ca="1">IFERROR(__xludf.DUMMYFUNCTION("""COMPUTED_VALUE"""),"音樂週邊")</f>
        <v>音樂週邊</v>
      </c>
      <c r="B1295" s="12" t="str">
        <f ca="1">IFERROR(__xludf.DUMMYFUNCTION("""COMPUTED_VALUE"""),"沃福仕")</f>
        <v>沃福仕</v>
      </c>
      <c r="C1295" s="12" t="str">
        <f ca="1">IFERROR(__xludf.DUMMYFUNCTION("""COMPUTED_VALUE"""),"BOSE")</f>
        <v>BOSE</v>
      </c>
      <c r="D1295" s="12" t="str">
        <f ca="1">IFERROR(__xludf.DUMMYFUNCTION("""COMPUTED_VALUE"""),"Bose SoundLink Flex II 黑")</f>
        <v>Bose SoundLink Flex II 黑</v>
      </c>
      <c r="E1295" s="12" t="str">
        <f ca="1">IFERROR(__xludf.DUMMYFUNCTION("""COMPUTED_VALUE"""),"Bose SoundLink Flex II BLK")</f>
        <v>Bose SoundLink Flex II BLK</v>
      </c>
      <c r="F1295" s="12">
        <f ca="1">IFERROR(__xludf.DUMMYFUNCTION("""COMPUTED_VALUE"""),51094117)</f>
        <v>51094117</v>
      </c>
      <c r="G1295" s="12" t="str">
        <f ca="1">IFERROR(__xludf.DUMMYFUNCTION("""COMPUTED_VALUE"""),"NCPE0084")</f>
        <v>NCPE0084</v>
      </c>
      <c r="H1295" s="12">
        <f ca="1">IFERROR(__xludf.DUMMYFUNCTION("""COMPUTED_VALUE"""),5900)</f>
        <v>5900</v>
      </c>
      <c r="I1295" s="14">
        <f ca="1">IFERROR(__xludf.DUMMYFUNCTION("""COMPUTED_VALUE"""),5900)</f>
        <v>5900</v>
      </c>
      <c r="J1295" s="16">
        <f ca="1">IFERROR(__xludf.DUMMYFUNCTION("""COMPUTED_VALUE"""),45629)</f>
        <v>45629</v>
      </c>
      <c r="K1295" s="12" t="str">
        <f ca="1">IFERROR(__xludf.DUMMYFUNCTION("""COMPUTED_VALUE"""),"新機上架")</f>
        <v>新機上架</v>
      </c>
      <c r="L1295" s="12" t="str">
        <f ca="1">IFERROR(__xludf.DUMMYFUNCTION("""COMPUTED_VALUE"""),"上架中")</f>
        <v>上架中</v>
      </c>
      <c r="M1295" s="12"/>
      <c r="N1295" s="12" t="str">
        <f ca="1">IFERROR(__xludf.DUMMYFUNCTION("""COMPUTED_VALUE"""),"無線喇叭
")</f>
        <v xml:space="preserve">無線喇叭
</v>
      </c>
      <c r="O1295" s="12" t="str">
        <f ca="1">IFERROR(__xludf.DUMMYFUNCTION("""COMPUTED_VALUE"""),"黑")</f>
        <v>黑</v>
      </c>
      <c r="P1295" s="12"/>
      <c r="Q1295" s="12" t="str">
        <f ca="1">IFERROR(__xludf.DUMMYFUNCTION("""COMPUTED_VALUE"""),"高 90.4  x 寬 201.4  x 深 52.3 mm")</f>
        <v>高 90.4  x 寬 201.4  x 深 52.3 mm</v>
      </c>
      <c r="R1295" s="12"/>
      <c r="S1295" s="12"/>
      <c r="T1295" s="12"/>
      <c r="U1295" s="12" t="str">
        <f ca="1">IFERROR(__xludf.DUMMYFUNCTION("""COMPUTED_VALUE"""),"1年")</f>
        <v>1年</v>
      </c>
      <c r="V1295" s="12"/>
      <c r="W1295" s="12"/>
      <c r="X1295" s="12"/>
      <c r="Y1295" s="12"/>
      <c r="Z1295" s="14"/>
      <c r="AA1295" s="15" t="str">
        <f ca="1">IFERROR(__xludf.DUMMYFUNCTION("""COMPUTED_VALUE"""),"*聲音飽滿宏亮 *令人驚豔渾厚低音 *尺寸小攜帶方便 *長達12小時電量 *矽膠包覆,防摔防震防鏽,適合各種環境 *可連結兩個揚聲器")</f>
        <v>*聲音飽滿宏亮 *令人驚豔渾厚低音 *尺寸小攜帶方便 *長達12小時電量 *矽膠包覆,防摔防震防鏽,適合各種環境 *可連結兩個揚聲器</v>
      </c>
    </row>
    <row r="1296" spans="1:27" ht="19.5" customHeight="1">
      <c r="A1296" s="12" t="str">
        <f ca="1">IFERROR(__xludf.DUMMYFUNCTION("""COMPUTED_VALUE"""),"音樂週邊")</f>
        <v>音樂週邊</v>
      </c>
      <c r="B1296" s="12" t="str">
        <f ca="1">IFERROR(__xludf.DUMMYFUNCTION("""COMPUTED_VALUE"""),"沃福仕")</f>
        <v>沃福仕</v>
      </c>
      <c r="C1296" s="12" t="str">
        <f ca="1">IFERROR(__xludf.DUMMYFUNCTION("""COMPUTED_VALUE"""),"BOSE")</f>
        <v>BOSE</v>
      </c>
      <c r="D1296" s="12" t="str">
        <f ca="1">IFERROR(__xludf.DUMMYFUNCTION("""COMPUTED_VALUE"""),"Bose SoundLink Flex II 藍")</f>
        <v>Bose SoundLink Flex II 藍</v>
      </c>
      <c r="E1296" s="12" t="str">
        <f ca="1">IFERROR(__xludf.DUMMYFUNCTION("""COMPUTED_VALUE"""),"Bose SoundLink Flex II BLUE")</f>
        <v>Bose SoundLink Flex II BLUE</v>
      </c>
      <c r="F1296" s="12">
        <f ca="1">IFERROR(__xludf.DUMMYFUNCTION("""COMPUTED_VALUE"""),51094118)</f>
        <v>51094118</v>
      </c>
      <c r="G1296" s="12" t="str">
        <f ca="1">IFERROR(__xludf.DUMMYFUNCTION("""COMPUTED_VALUE"""),"NCPE0085")</f>
        <v>NCPE0085</v>
      </c>
      <c r="H1296" s="12">
        <f ca="1">IFERROR(__xludf.DUMMYFUNCTION("""COMPUTED_VALUE"""),5900)</f>
        <v>5900</v>
      </c>
      <c r="I1296" s="14">
        <f ca="1">IFERROR(__xludf.DUMMYFUNCTION("""COMPUTED_VALUE"""),5900)</f>
        <v>5900</v>
      </c>
      <c r="J1296" s="16">
        <f ca="1">IFERROR(__xludf.DUMMYFUNCTION("""COMPUTED_VALUE"""),45629)</f>
        <v>45629</v>
      </c>
      <c r="K1296" s="12" t="str">
        <f ca="1">IFERROR(__xludf.DUMMYFUNCTION("""COMPUTED_VALUE"""),"新機上架")</f>
        <v>新機上架</v>
      </c>
      <c r="L1296" s="12" t="str">
        <f ca="1">IFERROR(__xludf.DUMMYFUNCTION("""COMPUTED_VALUE"""),"上架中")</f>
        <v>上架中</v>
      </c>
      <c r="M1296" s="12"/>
      <c r="N1296" s="12" t="str">
        <f ca="1">IFERROR(__xludf.DUMMYFUNCTION("""COMPUTED_VALUE"""),"無線喇叭
")</f>
        <v xml:space="preserve">無線喇叭
</v>
      </c>
      <c r="O1296" s="12" t="str">
        <f ca="1">IFERROR(__xludf.DUMMYFUNCTION("""COMPUTED_VALUE"""),"藍")</f>
        <v>藍</v>
      </c>
      <c r="P1296" s="12"/>
      <c r="Q1296" s="12" t="str">
        <f ca="1">IFERROR(__xludf.DUMMYFUNCTION("""COMPUTED_VALUE"""),"高 90.4  x 寬 201.4  x 深 52.3 mm")</f>
        <v>高 90.4  x 寬 201.4  x 深 52.3 mm</v>
      </c>
      <c r="R1296" s="12"/>
      <c r="S1296" s="12"/>
      <c r="T1296" s="12"/>
      <c r="U1296" s="12" t="str">
        <f ca="1">IFERROR(__xludf.DUMMYFUNCTION("""COMPUTED_VALUE"""),"1年")</f>
        <v>1年</v>
      </c>
      <c r="V1296" s="12"/>
      <c r="W1296" s="12"/>
      <c r="X1296" s="12"/>
      <c r="Y1296" s="12"/>
      <c r="Z1296" s="14"/>
      <c r="AA1296" s="15" t="str">
        <f ca="1">IFERROR(__xludf.DUMMYFUNCTION("""COMPUTED_VALUE"""),"*聲音飽滿宏亮 *令人驚豔渾厚低音 *尺寸小攜帶方便 *長達12小時電量 *矽膠包覆,防摔防震防鏽,適合各種環境 *可連結兩個揚聲器")</f>
        <v>*聲音飽滿宏亮 *令人驚豔渾厚低音 *尺寸小攜帶方便 *長達12小時電量 *矽膠包覆,防摔防震防鏽,適合各種環境 *可連結兩個揚聲器</v>
      </c>
    </row>
    <row r="1297" spans="1:27" ht="19.5" customHeight="1">
      <c r="A1297" s="12" t="str">
        <f ca="1">IFERROR(__xludf.DUMMYFUNCTION("""COMPUTED_VALUE"""),"音樂週邊")</f>
        <v>音樂週邊</v>
      </c>
      <c r="B1297" s="12" t="str">
        <f ca="1">IFERROR(__xludf.DUMMYFUNCTION("""COMPUTED_VALUE"""),"沃福仕")</f>
        <v>沃福仕</v>
      </c>
      <c r="C1297" s="12" t="str">
        <f ca="1">IFERROR(__xludf.DUMMYFUNCTION("""COMPUTED_VALUE"""),"BOSE")</f>
        <v>BOSE</v>
      </c>
      <c r="D1297" s="12" t="str">
        <f ca="1">IFERROR(__xludf.DUMMYFUNCTION("""COMPUTED_VALUE"""),"Bose SoundLink Flex II 金")</f>
        <v>Bose SoundLink Flex II 金</v>
      </c>
      <c r="E1297" s="12" t="str">
        <f ca="1">IFERROR(__xludf.DUMMYFUNCTION("""COMPUTED_VALUE"""),"Bose SoundLink Flex II Sandstone")</f>
        <v>Bose SoundLink Flex II Sandstone</v>
      </c>
      <c r="F1297" s="12">
        <f ca="1">IFERROR(__xludf.DUMMYFUNCTION("""COMPUTED_VALUE"""),51094119)</f>
        <v>51094119</v>
      </c>
      <c r="G1297" s="12" t="str">
        <f ca="1">IFERROR(__xludf.DUMMYFUNCTION("""COMPUTED_VALUE"""),"NCPE0086")</f>
        <v>NCPE0086</v>
      </c>
      <c r="H1297" s="12">
        <f ca="1">IFERROR(__xludf.DUMMYFUNCTION("""COMPUTED_VALUE"""),5900)</f>
        <v>5900</v>
      </c>
      <c r="I1297" s="14">
        <f ca="1">IFERROR(__xludf.DUMMYFUNCTION("""COMPUTED_VALUE"""),5900)</f>
        <v>5900</v>
      </c>
      <c r="J1297" s="16">
        <f ca="1">IFERROR(__xludf.DUMMYFUNCTION("""COMPUTED_VALUE"""),45629)</f>
        <v>45629</v>
      </c>
      <c r="K1297" s="12" t="str">
        <f ca="1">IFERROR(__xludf.DUMMYFUNCTION("""COMPUTED_VALUE"""),"新機上架")</f>
        <v>新機上架</v>
      </c>
      <c r="L1297" s="12" t="str">
        <f ca="1">IFERROR(__xludf.DUMMYFUNCTION("""COMPUTED_VALUE"""),"上架中")</f>
        <v>上架中</v>
      </c>
      <c r="M1297" s="12"/>
      <c r="N1297" s="12" t="str">
        <f ca="1">IFERROR(__xludf.DUMMYFUNCTION("""COMPUTED_VALUE"""),"無線喇叭
")</f>
        <v xml:space="preserve">無線喇叭
</v>
      </c>
      <c r="O1297" s="12" t="str">
        <f ca="1">IFERROR(__xludf.DUMMYFUNCTION("""COMPUTED_VALUE"""),"金")</f>
        <v>金</v>
      </c>
      <c r="P1297" s="12"/>
      <c r="Q1297" s="12" t="str">
        <f ca="1">IFERROR(__xludf.DUMMYFUNCTION("""COMPUTED_VALUE"""),"高 90.4  x 寬 201.4  x 深 52.3 mm")</f>
        <v>高 90.4  x 寬 201.4  x 深 52.3 mm</v>
      </c>
      <c r="R1297" s="12"/>
      <c r="S1297" s="12"/>
      <c r="T1297" s="12"/>
      <c r="U1297" s="12" t="str">
        <f ca="1">IFERROR(__xludf.DUMMYFUNCTION("""COMPUTED_VALUE"""),"1年")</f>
        <v>1年</v>
      </c>
      <c r="V1297" s="12"/>
      <c r="W1297" s="12"/>
      <c r="X1297" s="12"/>
      <c r="Y1297" s="12"/>
      <c r="Z1297" s="14"/>
      <c r="AA1297" s="15" t="str">
        <f ca="1">IFERROR(__xludf.DUMMYFUNCTION("""COMPUTED_VALUE"""),"*聲音飽滿宏亮 *令人驚豔渾厚低音 *尺寸小攜帶方便 *長達12小時電量 *矽膠包覆,防摔防震防鏽,適合各種環境 *可連結兩個揚聲器")</f>
        <v>*聲音飽滿宏亮 *令人驚豔渾厚低音 *尺寸小攜帶方便 *長達12小時電量 *矽膠包覆,防摔防震防鏽,適合各種環境 *可連結兩個揚聲器</v>
      </c>
    </row>
    <row r="1298" spans="1:27" ht="19.5" customHeight="1">
      <c r="A1298" s="12" t="str">
        <f ca="1">IFERROR(__xludf.DUMMYFUNCTION("""COMPUTED_VALUE"""),"音樂週邊")</f>
        <v>音樂週邊</v>
      </c>
      <c r="B1298" s="12" t="str">
        <f ca="1">IFERROR(__xludf.DUMMYFUNCTION("""COMPUTED_VALUE"""),"沃福仕")</f>
        <v>沃福仕</v>
      </c>
      <c r="C1298" s="12" t="str">
        <f ca="1">IFERROR(__xludf.DUMMYFUNCTION("""COMPUTED_VALUE"""),"BOSE")</f>
        <v>BOSE</v>
      </c>
      <c r="D1298" s="12" t="str">
        <f ca="1">IFERROR(__xludf.DUMMYFUNCTION("""COMPUTED_VALUE"""),"Bose SoundLink Flex II 綠")</f>
        <v>Bose SoundLink Flex II 綠</v>
      </c>
      <c r="E1298" s="12" t="str">
        <f ca="1">IFERROR(__xludf.DUMMYFUNCTION("""COMPUTED_VALUE"""),"Bose SoundLink Flex II Alpine Sage")</f>
        <v>Bose SoundLink Flex II Alpine Sage</v>
      </c>
      <c r="F1298" s="12">
        <f ca="1">IFERROR(__xludf.DUMMYFUNCTION("""COMPUTED_VALUE"""),51094120)</f>
        <v>51094120</v>
      </c>
      <c r="G1298" s="12" t="str">
        <f ca="1">IFERROR(__xludf.DUMMYFUNCTION("""COMPUTED_VALUE"""),"NCPE0087")</f>
        <v>NCPE0087</v>
      </c>
      <c r="H1298" s="12">
        <f ca="1">IFERROR(__xludf.DUMMYFUNCTION("""COMPUTED_VALUE"""),5900)</f>
        <v>5900</v>
      </c>
      <c r="I1298" s="14">
        <f ca="1">IFERROR(__xludf.DUMMYFUNCTION("""COMPUTED_VALUE"""),5900)</f>
        <v>5900</v>
      </c>
      <c r="J1298" s="16">
        <f ca="1">IFERROR(__xludf.DUMMYFUNCTION("""COMPUTED_VALUE"""),45629)</f>
        <v>45629</v>
      </c>
      <c r="K1298" s="12" t="str">
        <f ca="1">IFERROR(__xludf.DUMMYFUNCTION("""COMPUTED_VALUE"""),"新機上架")</f>
        <v>新機上架</v>
      </c>
      <c r="L1298" s="12" t="str">
        <f ca="1">IFERROR(__xludf.DUMMYFUNCTION("""COMPUTED_VALUE"""),"上架中")</f>
        <v>上架中</v>
      </c>
      <c r="M1298" s="12"/>
      <c r="N1298" s="12" t="str">
        <f ca="1">IFERROR(__xludf.DUMMYFUNCTION("""COMPUTED_VALUE"""),"無線喇叭
")</f>
        <v xml:space="preserve">無線喇叭
</v>
      </c>
      <c r="O1298" s="12" t="str">
        <f ca="1">IFERROR(__xludf.DUMMYFUNCTION("""COMPUTED_VALUE"""),"綠")</f>
        <v>綠</v>
      </c>
      <c r="P1298" s="12"/>
      <c r="Q1298" s="12" t="str">
        <f ca="1">IFERROR(__xludf.DUMMYFUNCTION("""COMPUTED_VALUE"""),"高 90.4  x 寬 201.4  x 深 52.3 mm")</f>
        <v>高 90.4  x 寬 201.4  x 深 52.3 mm</v>
      </c>
      <c r="R1298" s="12"/>
      <c r="S1298" s="12"/>
      <c r="T1298" s="12"/>
      <c r="U1298" s="12" t="str">
        <f ca="1">IFERROR(__xludf.DUMMYFUNCTION("""COMPUTED_VALUE"""),"1年")</f>
        <v>1年</v>
      </c>
      <c r="V1298" s="12"/>
      <c r="W1298" s="12"/>
      <c r="X1298" s="12"/>
      <c r="Y1298" s="12"/>
      <c r="Z1298" s="14"/>
      <c r="AA1298" s="15" t="str">
        <f ca="1">IFERROR(__xludf.DUMMYFUNCTION("""COMPUTED_VALUE"""),"*聲音飽滿宏亮 *令人驚豔渾厚低音 *尺寸小攜帶方便 *長達12小時電量 *矽膠包覆,防摔防震防鏽,適合各種環境 *可連結兩個揚聲器")</f>
        <v>*聲音飽滿宏亮 *令人驚豔渾厚低音 *尺寸小攜帶方便 *長達12小時電量 *矽膠包覆,防摔防震防鏽,適合各種環境 *可連結兩個揚聲器</v>
      </c>
    </row>
    <row r="1299" spans="1:27" ht="19.5" customHeight="1">
      <c r="A1299" s="12" t="str">
        <f ca="1">IFERROR(__xludf.DUMMYFUNCTION("""COMPUTED_VALUE"""),"音樂週邊")</f>
        <v>音樂週邊</v>
      </c>
      <c r="B1299" s="12" t="str">
        <f ca="1">IFERROR(__xludf.DUMMYFUNCTION("""COMPUTED_VALUE"""),"凱創")</f>
        <v>凱創</v>
      </c>
      <c r="C1299" s="12" t="str">
        <f ca="1">IFERROR(__xludf.DUMMYFUNCTION("""COMPUTED_VALUE"""),"YAMAHA")</f>
        <v>YAMAHA</v>
      </c>
      <c r="D1299" s="12" t="str">
        <f ca="1">IFERROR(__xludf.DUMMYFUNCTION("""COMPUTED_VALUE"""),"Yamaha山葉120W Dolby Atmos 環繞劇院 SR-B30A(黑)")</f>
        <v>Yamaha山葉120W Dolby Atmos 環繞劇院 SR-B30A(黑)</v>
      </c>
      <c r="E1299" s="12" t="str">
        <f ca="1">IFERROR(__xludf.DUMMYFUNCTION("""COMPUTED_VALUE"""),"SR-B30A")</f>
        <v>SR-B30A</v>
      </c>
      <c r="F1299" s="12">
        <f ca="1">IFERROR(__xludf.DUMMYFUNCTION("""COMPUTED_VALUE"""),51084315)</f>
        <v>51084315</v>
      </c>
      <c r="G1299" s="12" t="str">
        <f ca="1">IFERROR(__xludf.DUMMYFUNCTION("""COMPUTED_VALUE"""),"NCPE003L")</f>
        <v>NCPE003L</v>
      </c>
      <c r="H1299" s="12">
        <f ca="1">IFERROR(__xludf.DUMMYFUNCTION("""COMPUTED_VALUE"""),10900)</f>
        <v>10900</v>
      </c>
      <c r="I1299" s="14">
        <f ca="1">IFERROR(__xludf.DUMMYFUNCTION("""COMPUTED_VALUE"""),7999)</f>
        <v>7999</v>
      </c>
      <c r="J1299" s="16">
        <f ca="1">IFERROR(__xludf.DUMMYFUNCTION("""COMPUTED_VALUE"""),45526)</f>
        <v>45526</v>
      </c>
      <c r="K1299" s="12" t="str">
        <f ca="1">IFERROR(__xludf.DUMMYFUNCTION("""COMPUTED_VALUE"""),"永久降價")</f>
        <v>永久降價</v>
      </c>
      <c r="L1299" s="12" t="str">
        <f ca="1">IFERROR(__xludf.DUMMYFUNCTION("""COMPUTED_VALUE"""),"上架中")</f>
        <v>上架中</v>
      </c>
      <c r="M1299" s="12"/>
      <c r="N1299" s="12" t="str">
        <f ca="1">IFERROR(__xludf.DUMMYFUNCTION("""COMPUTED_VALUE"""),"家庭劇院")</f>
        <v>家庭劇院</v>
      </c>
      <c r="O1299" s="12" t="str">
        <f ca="1">IFERROR(__xludf.DUMMYFUNCTION("""COMPUTED_VALUE"""),"黑")</f>
        <v>黑</v>
      </c>
      <c r="P1299" s="12"/>
      <c r="Q1299" s="12" t="str">
        <f ca="1">IFERROR(__xludf.DUMMYFUNCTION("""COMPUTED_VALUE"""),"高 68  x 寬 910 x 深 133 mm")</f>
        <v>高 68  x 寬 910 x 深 133 mm</v>
      </c>
      <c r="R1299" s="12" t="str">
        <f ca="1">IFERROR(__xludf.DUMMYFUNCTION("""COMPUTED_VALUE"""),"中國")</f>
        <v>中國</v>
      </c>
      <c r="S1299" s="12"/>
      <c r="T1299" s="12"/>
      <c r="U1299" s="12" t="str">
        <f ca="1">IFERROR(__xludf.DUMMYFUNCTION("""COMPUTED_VALUE"""),"1年")</f>
        <v>1年</v>
      </c>
      <c r="V1299" s="12"/>
      <c r="W1299" s="12"/>
      <c r="X1299" s="12"/>
      <c r="Y1299" s="12"/>
      <c r="Z1299" s="14"/>
      <c r="AA1299" s="15" t="str">
        <f ca="1">IFERROR(__xludf.DUMMYFUNCTION("""COMPUTED_VALUE"""),"*內建超重低音揚聲器，只需單一機身即可獲得渾厚低音*Clear Voice模式，提升對話聲品質*Dolby Atmos：支援3D 天空聲道環繞音效*Bluetooth® 連接，可無線串流播放音樂*透過 HDMI™ 與 Sound Bar Remote App 簡易安裝及使用*4種音效模式（Stereo、Standard、Movie、Game）*輸出功率:120 W（前 L/R：30 W × 2-ch，內建超重低音喇叭：60 W）")</f>
        <v>*內建超重低音揚聲器，只需單一機身即可獲得渾厚低音*Clear Voice模式，提升對話聲品質*Dolby Atmos：支援3D 天空聲道環繞音效*Bluetooth® 連接，可無線串流播放音樂*透過 HDMI™ 與 Sound Bar Remote App 簡易安裝及使用*4種音效模式（Stereo、Standard、Movie、Game）*輸出功率:120 W（前 L/R：30 W × 2-ch，內建超重低音喇叭：60 W）</v>
      </c>
    </row>
    <row r="1300" spans="1:27" ht="19.5" customHeight="1">
      <c r="A1300" s="12" t="str">
        <f ca="1">IFERROR(__xludf.DUMMYFUNCTION("""COMPUTED_VALUE"""),"音樂週邊")</f>
        <v>音樂週邊</v>
      </c>
      <c r="B1300" s="12" t="str">
        <f ca="1">IFERROR(__xludf.DUMMYFUNCTION("""COMPUTED_VALUE"""),"凱創")</f>
        <v>凱創</v>
      </c>
      <c r="C1300" s="12" t="str">
        <f ca="1">IFERROR(__xludf.DUMMYFUNCTION("""COMPUTED_VALUE"""),"YAMAHA")</f>
        <v>YAMAHA</v>
      </c>
      <c r="D1300" s="12" t="str">
        <f ca="1">IFERROR(__xludf.DUMMYFUNCTION("""COMPUTED_VALUE"""),"Yamaha SR-B40A Dolby Atmos 劇院音響兩件組(黑)")</f>
        <v>Yamaha SR-B40A Dolby Atmos 劇院音響兩件組(黑)</v>
      </c>
      <c r="E1300" s="12" t="str">
        <f ca="1">IFERROR(__xludf.DUMMYFUNCTION("""COMPUTED_VALUE"""),"SR-B40A")</f>
        <v>SR-B40A</v>
      </c>
      <c r="F1300" s="12">
        <f ca="1">IFERROR(__xludf.DUMMYFUNCTION("""COMPUTED_VALUE"""),51084337)</f>
        <v>51084337</v>
      </c>
      <c r="G1300" s="12" t="str">
        <f ca="1">IFERROR(__xludf.DUMMYFUNCTION("""COMPUTED_VALUE"""),"NCPE003U")</f>
        <v>NCPE003U</v>
      </c>
      <c r="H1300" s="12">
        <f ca="1">IFERROR(__xludf.DUMMYFUNCTION("""COMPUTED_VALUE"""),13999)</f>
        <v>13999</v>
      </c>
      <c r="I1300" s="14">
        <f ca="1">IFERROR(__xludf.DUMMYFUNCTION("""COMPUTED_VALUE"""),9999)</f>
        <v>9999</v>
      </c>
      <c r="J1300" s="16">
        <f ca="1">IFERROR(__xludf.DUMMYFUNCTION("""COMPUTED_VALUE"""),45526)</f>
        <v>45526</v>
      </c>
      <c r="K1300" s="12" t="str">
        <f ca="1">IFERROR(__xludf.DUMMYFUNCTION("""COMPUTED_VALUE"""),"永久降價")</f>
        <v>永久降價</v>
      </c>
      <c r="L1300" s="12" t="str">
        <f ca="1">IFERROR(__xludf.DUMMYFUNCTION("""COMPUTED_VALUE"""),"上架中")</f>
        <v>上架中</v>
      </c>
      <c r="M1300" s="12"/>
      <c r="N1300" s="12" t="str">
        <f ca="1">IFERROR(__xludf.DUMMYFUNCTION("""COMPUTED_VALUE"""),"家庭劇院")</f>
        <v>家庭劇院</v>
      </c>
      <c r="O1300" s="12" t="str">
        <f ca="1">IFERROR(__xludf.DUMMYFUNCTION("""COMPUTED_VALUE"""),"黑")</f>
        <v>黑</v>
      </c>
      <c r="P1300" s="12" t="str">
        <f ca="1">IFERROR(__xludf.DUMMYFUNCTION("""COMPUTED_VALUE"""),"體積(mm)：
中央單體：910 * 68 * 133
重低音喇叭：194 * 419 * 407
重量(含電池)：11.5kg
配備：條形音箱 *1、低音揚聲器*1、遙控器 *1、說明書 *1
電壓：AC 110V
連接功能：HDMI(TV eArc) / 藍牙/光纖連接
手機遠端遙控：Sound Bar Remote App
NCC認證碼：CCAJ16LP3770T0")</f>
        <v>體積(mm)：
中央單體：910 * 68 * 133
重低音喇叭：194 * 419 * 407
重量(含電池)：11.5kg
配備：條形音箱 *1、低音揚聲器*1、遙控器 *1、說明書 *1
電壓：AC 110V
連接功能：HDMI(TV eArc) / 藍牙/光纖連接
手機遠端遙控：Sound Bar Remote App
NCC認證碼：CCAJ16LP3770T0</v>
      </c>
      <c r="Q1300" s="12" t="str">
        <f ca="1">IFERROR(__xludf.DUMMYFUNCTION("""COMPUTED_VALUE"""),"中央單體：910 * 68 * 133
重低音喇叭：194 * 419 * 407")</f>
        <v>中央單體：910 * 68 * 133
重低音喇叭：194 * 419 * 407</v>
      </c>
      <c r="R1300" s="12" t="str">
        <f ca="1">IFERROR(__xludf.DUMMYFUNCTION("""COMPUTED_VALUE"""),"越南
")</f>
        <v xml:space="preserve">越南
</v>
      </c>
      <c r="S1300" s="12"/>
      <c r="T1300" s="12"/>
      <c r="U1300" s="12" t="str">
        <f ca="1">IFERROR(__xludf.DUMMYFUNCTION("""COMPUTED_VALUE"""),"1年")</f>
        <v>1年</v>
      </c>
      <c r="V1300" s="12"/>
      <c r="W1300" s="12"/>
      <c r="X1300" s="12"/>
      <c r="Y1300" s="12"/>
      <c r="Z1300" s="14"/>
      <c r="AA1300" s="15" t="str">
        <f ca="1">IFERROR(__xludf.DUMMYFUNCTION("""COMPUTED_VALUE"""),"*DOLBY ATMOS® 真實環繞音效。*外接無線重低音喇叭、低音延伸功能。*四種環繞音場格式選擇：MOVIE、GAME、STEREO STANDARD。*App控制，可調整音色細節。*清晰對白功能。*HDMI eARC、Bluetooth® 和光纖連接。")</f>
        <v>*DOLBY ATMOS® 真實環繞音效。*外接無線重低音喇叭、低音延伸功能。*四種環繞音場格式選擇：MOVIE、GAME、STEREO STANDARD。*App控制，可調整音色細節。*清晰對白功能。*HDMI eARC、Bluetooth® 和光纖連接。</v>
      </c>
    </row>
    <row r="1301" spans="1:27" ht="19.5" customHeight="1">
      <c r="A1301" s="12" t="str">
        <f ca="1">IFERROR(__xludf.DUMMYFUNCTION("""COMPUTED_VALUE"""),"音樂週邊")</f>
        <v>音樂週邊</v>
      </c>
      <c r="B1301" s="12" t="str">
        <f ca="1">IFERROR(__xludf.DUMMYFUNCTION("""COMPUTED_VALUE"""),"宏驜")</f>
        <v>宏驜</v>
      </c>
      <c r="C1301" s="12" t="str">
        <f ca="1">IFERROR(__xludf.DUMMYFUNCTION("""COMPUTED_VALUE"""),"BOSE")</f>
        <v>BOSE</v>
      </c>
      <c r="D1301" s="12" t="str">
        <f ca="1">IFERROR(__xludf.DUMMYFUNCTION("""COMPUTED_VALUE"""),"【BOSE】Quiet Comfort 消噪耳塞 經典黑")</f>
        <v>【BOSE】Quiet Comfort 消噪耳塞 經典黑</v>
      </c>
      <c r="E1301" s="12" t="str">
        <f ca="1">IFERROR(__xludf.DUMMYFUNCTION("""COMPUTED_VALUE"""),"QuietComfort earbuds BLK")</f>
        <v>QuietComfort earbuds BLK</v>
      </c>
      <c r="F1301" s="12">
        <f ca="1">IFERROR(__xludf.DUMMYFUNCTION("""COMPUTED_VALUE"""),51014178)</f>
        <v>51014178</v>
      </c>
      <c r="G1301" s="12" t="str">
        <f ca="1">IFERROR(__xludf.DUMMYFUNCTION("""COMPUTED_VALUE"""),"NCPE0047")</f>
        <v>NCPE0047</v>
      </c>
      <c r="H1301" s="13">
        <f ca="1">IFERROR(__xludf.DUMMYFUNCTION("""COMPUTED_VALUE"""),6000)</f>
        <v>6000</v>
      </c>
      <c r="I1301" s="18">
        <f ca="1">IFERROR(__xludf.DUMMYFUNCTION("""COMPUTED_VALUE"""),6000)</f>
        <v>6000</v>
      </c>
      <c r="J1301" s="16">
        <f ca="1">IFERROR(__xludf.DUMMYFUNCTION("""COMPUTED_VALUE"""),45597)</f>
        <v>45597</v>
      </c>
      <c r="K1301" s="12" t="str">
        <f ca="1">IFERROR(__xludf.DUMMYFUNCTION("""COMPUTED_VALUE"""),"新機上架")</f>
        <v>新機上架</v>
      </c>
      <c r="L1301" s="12" t="str">
        <f ca="1">IFERROR(__xludf.DUMMYFUNCTION("""COMPUTED_VALUE"""),"上架中")</f>
        <v>上架中</v>
      </c>
      <c r="M1301" s="12" t="str">
        <f ca="1">IFERROR(__xludf.DUMMYFUNCTION("""COMPUTED_VALUE"""),"尾牙方案")</f>
        <v>尾牙方案</v>
      </c>
      <c r="N1301" s="12" t="str">
        <f ca="1">IFERROR(__xludf.DUMMYFUNCTION("""COMPUTED_VALUE"""),"無線喇叭
")</f>
        <v xml:space="preserve">無線喇叭
</v>
      </c>
      <c r="O1301" s="12" t="str">
        <f ca="1">IFERROR(__xludf.DUMMYFUNCTION("""COMPUTED_VALUE"""),"經典黑")</f>
        <v>經典黑</v>
      </c>
      <c r="P1301" s="12"/>
      <c r="Q1301" s="12" t="str">
        <f ca="1">IFERROR(__xludf.DUMMYFUNCTION("""COMPUTED_VALUE"""),"耳塞:寬 39  x 深 27 mm（各重 8.5 公克）
充電盒:32  x 89 x 51mm
USB 連接線:305 mm")</f>
        <v>耳塞:寬 39  x 深 27 mm（各重 8.5 公克）
充電盒:32  x 89 x 51mm
USB 連接線:305 mm</v>
      </c>
      <c r="R1301" s="12" t="str">
        <f ca="1">IFERROR(__xludf.DUMMYFUNCTION("""COMPUTED_VALUE"""),"中國")</f>
        <v>中國</v>
      </c>
      <c r="S1301" s="12"/>
      <c r="T1301" s="12"/>
      <c r="U1301" s="12" t="str">
        <f ca="1">IFERROR(__xludf.DUMMYFUNCTION("""COMPUTED_VALUE"""),"1年")</f>
        <v>1年</v>
      </c>
      <c r="V1301" s="12"/>
      <c r="W1301" s="12"/>
      <c r="X1301" s="12"/>
      <c r="Y1301" s="12"/>
      <c r="Z1301" s="14"/>
      <c r="AA1301" s="15" t="str">
        <f ca="1">IFERROR(__xludf.DUMMYFUNCTION("""COMPUTED_VALUE"""),"*台灣官方授權賣場*2024入門款全新上市*電池續航力最高8.5小時*全新應用程式進行客製化")</f>
        <v>*台灣官方授權賣場*2024入門款全新上市*電池續航力最高8.5小時*全新應用程式進行客製化</v>
      </c>
    </row>
    <row r="1302" spans="1:27" ht="19.5" customHeight="1">
      <c r="A1302" s="12" t="str">
        <f ca="1">IFERROR(__xludf.DUMMYFUNCTION("""COMPUTED_VALUE"""),"音樂週邊")</f>
        <v>音樂週邊</v>
      </c>
      <c r="B1302" s="12" t="str">
        <f ca="1">IFERROR(__xludf.DUMMYFUNCTION("""COMPUTED_VALUE"""),"宏驜")</f>
        <v>宏驜</v>
      </c>
      <c r="C1302" s="12" t="str">
        <f ca="1">IFERROR(__xludf.DUMMYFUNCTION("""COMPUTED_VALUE"""),"BOSE")</f>
        <v>BOSE</v>
      </c>
      <c r="D1302" s="12" t="str">
        <f ca="1">IFERROR(__xludf.DUMMYFUNCTION("""COMPUTED_VALUE"""),"【BOSE】Quiet Comfort 消噪耳塞 塵霧白")</f>
        <v>【BOSE】Quiet Comfort 消噪耳塞 塵霧白</v>
      </c>
      <c r="E1302" s="12" t="str">
        <f ca="1">IFERROR(__xludf.DUMMYFUNCTION("""COMPUTED_VALUE"""),"QuietComfort earbuds WHT")</f>
        <v>QuietComfort earbuds WHT</v>
      </c>
      <c r="F1302" s="12">
        <f ca="1">IFERROR(__xludf.DUMMYFUNCTION("""COMPUTED_VALUE"""),51014179)</f>
        <v>51014179</v>
      </c>
      <c r="G1302" s="12" t="str">
        <f ca="1">IFERROR(__xludf.DUMMYFUNCTION("""COMPUTED_VALUE"""),"NCPE0048")</f>
        <v>NCPE0048</v>
      </c>
      <c r="H1302" s="13">
        <f ca="1">IFERROR(__xludf.DUMMYFUNCTION("""COMPUTED_VALUE"""),6000)</f>
        <v>6000</v>
      </c>
      <c r="I1302" s="18">
        <f ca="1">IFERROR(__xludf.DUMMYFUNCTION("""COMPUTED_VALUE"""),6000)</f>
        <v>6000</v>
      </c>
      <c r="J1302" s="16">
        <f ca="1">IFERROR(__xludf.DUMMYFUNCTION("""COMPUTED_VALUE"""),45597)</f>
        <v>45597</v>
      </c>
      <c r="K1302" s="12" t="str">
        <f ca="1">IFERROR(__xludf.DUMMYFUNCTION("""COMPUTED_VALUE"""),"新機上架")</f>
        <v>新機上架</v>
      </c>
      <c r="L1302" s="12" t="str">
        <f ca="1">IFERROR(__xludf.DUMMYFUNCTION("""COMPUTED_VALUE"""),"上架中")</f>
        <v>上架中</v>
      </c>
      <c r="M1302" s="12" t="str">
        <f ca="1">IFERROR(__xludf.DUMMYFUNCTION("""COMPUTED_VALUE"""),"尾牙方案")</f>
        <v>尾牙方案</v>
      </c>
      <c r="N1302" s="12" t="str">
        <f ca="1">IFERROR(__xludf.DUMMYFUNCTION("""COMPUTED_VALUE"""),"無線喇叭
")</f>
        <v xml:space="preserve">無線喇叭
</v>
      </c>
      <c r="O1302" s="12" t="str">
        <f ca="1">IFERROR(__xludf.DUMMYFUNCTION("""COMPUTED_VALUE"""),"塵霧白")</f>
        <v>塵霧白</v>
      </c>
      <c r="P1302" s="12"/>
      <c r="Q1302" s="12" t="str">
        <f ca="1">IFERROR(__xludf.DUMMYFUNCTION("""COMPUTED_VALUE"""),"耳塞:寬 39  x 深 27 mm（各重 8.5 公克）
充電盒:32 x 89 x 51mm
USB 連接線:305 mm")</f>
        <v>耳塞:寬 39  x 深 27 mm（各重 8.5 公克）
充電盒:32 x 89 x 51mm
USB 連接線:305 mm</v>
      </c>
      <c r="R1302" s="12" t="str">
        <f ca="1">IFERROR(__xludf.DUMMYFUNCTION("""COMPUTED_VALUE"""),"中國")</f>
        <v>中國</v>
      </c>
      <c r="S1302" s="12"/>
      <c r="T1302" s="12"/>
      <c r="U1302" s="12" t="str">
        <f ca="1">IFERROR(__xludf.DUMMYFUNCTION("""COMPUTED_VALUE"""),"1年")</f>
        <v>1年</v>
      </c>
      <c r="V1302" s="12"/>
      <c r="W1302" s="12"/>
      <c r="X1302" s="12"/>
      <c r="Y1302" s="12"/>
      <c r="Z1302" s="14"/>
      <c r="AA1302" s="15" t="str">
        <f ca="1">IFERROR(__xludf.DUMMYFUNCTION("""COMPUTED_VALUE"""),"*台灣官方授權賣場*2024入門款全新上市*電池續航力最高8.5小時*全新應用程式進行客製化")</f>
        <v>*台灣官方授權賣場*2024入門款全新上市*電池續航力最高8.5小時*全新應用程式進行客製化</v>
      </c>
    </row>
    <row r="1303" spans="1:27" ht="19.5" customHeight="1">
      <c r="A1303" s="12" t="str">
        <f ca="1">IFERROR(__xludf.DUMMYFUNCTION("""COMPUTED_VALUE"""),"音樂週邊")</f>
        <v>音樂週邊</v>
      </c>
      <c r="B1303" s="12" t="str">
        <f ca="1">IFERROR(__xludf.DUMMYFUNCTION("""COMPUTED_VALUE"""),"宏驜")</f>
        <v>宏驜</v>
      </c>
      <c r="C1303" s="12" t="str">
        <f ca="1">IFERROR(__xludf.DUMMYFUNCTION("""COMPUTED_VALUE"""),"BOSE")</f>
        <v>BOSE</v>
      </c>
      <c r="D1303" s="12" t="str">
        <f ca="1">IFERROR(__xludf.DUMMYFUNCTION("""COMPUTED_VALUE"""),"【BOSE】Quiet Comfort 消噪耳塞 冷丁香紫")</f>
        <v>【BOSE】Quiet Comfort 消噪耳塞 冷丁香紫</v>
      </c>
      <c r="E1303" s="12" t="str">
        <f ca="1">IFERROR(__xludf.DUMMYFUNCTION("""COMPUTED_VALUE"""),"QuietComfort earbuds PUR")</f>
        <v>QuietComfort earbuds PUR</v>
      </c>
      <c r="F1303" s="12">
        <f ca="1">IFERROR(__xludf.DUMMYFUNCTION("""COMPUTED_VALUE"""),51014180)</f>
        <v>51014180</v>
      </c>
      <c r="G1303" s="12" t="str">
        <f ca="1">IFERROR(__xludf.DUMMYFUNCTION("""COMPUTED_VALUE"""),"NCPE0049")</f>
        <v>NCPE0049</v>
      </c>
      <c r="H1303" s="13">
        <f ca="1">IFERROR(__xludf.DUMMYFUNCTION("""COMPUTED_VALUE"""),6000)</f>
        <v>6000</v>
      </c>
      <c r="I1303" s="18">
        <f ca="1">IFERROR(__xludf.DUMMYFUNCTION("""COMPUTED_VALUE"""),6000)</f>
        <v>6000</v>
      </c>
      <c r="J1303" s="16">
        <f ca="1">IFERROR(__xludf.DUMMYFUNCTION("""COMPUTED_VALUE"""),45597)</f>
        <v>45597</v>
      </c>
      <c r="K1303" s="12" t="str">
        <f ca="1">IFERROR(__xludf.DUMMYFUNCTION("""COMPUTED_VALUE"""),"新機上架")</f>
        <v>新機上架</v>
      </c>
      <c r="L1303" s="12" t="str">
        <f ca="1">IFERROR(__xludf.DUMMYFUNCTION("""COMPUTED_VALUE"""),"上架中")</f>
        <v>上架中</v>
      </c>
      <c r="M1303" s="12"/>
      <c r="N1303" s="12" t="str">
        <f ca="1">IFERROR(__xludf.DUMMYFUNCTION("""COMPUTED_VALUE"""),"無線喇叭
")</f>
        <v xml:space="preserve">無線喇叭
</v>
      </c>
      <c r="O1303" s="12" t="str">
        <f ca="1">IFERROR(__xludf.DUMMYFUNCTION("""COMPUTED_VALUE"""),"冷丁香紫")</f>
        <v>冷丁香紫</v>
      </c>
      <c r="P1303" s="12"/>
      <c r="Q1303" s="12" t="str">
        <f ca="1">IFERROR(__xludf.DUMMYFUNCTION("""COMPUTED_VALUE"""),"耳塞:寬 39  x 深 27 mm（各重 8.5 公克）
充電盒:32  x 89  x 51 mm
USB 連接線:305 mm")</f>
        <v>耳塞:寬 39  x 深 27 mm（各重 8.5 公克）
充電盒:32  x 89  x 51 mm
USB 連接線:305 mm</v>
      </c>
      <c r="R1303" s="12" t="str">
        <f ca="1">IFERROR(__xludf.DUMMYFUNCTION("""COMPUTED_VALUE"""),"中國")</f>
        <v>中國</v>
      </c>
      <c r="S1303" s="12"/>
      <c r="T1303" s="12"/>
      <c r="U1303" s="12" t="str">
        <f ca="1">IFERROR(__xludf.DUMMYFUNCTION("""COMPUTED_VALUE"""),"1年")</f>
        <v>1年</v>
      </c>
      <c r="V1303" s="12"/>
      <c r="W1303" s="12"/>
      <c r="X1303" s="12"/>
      <c r="Y1303" s="12"/>
      <c r="Z1303" s="14"/>
      <c r="AA1303" s="15" t="str">
        <f ca="1">IFERROR(__xludf.DUMMYFUNCTION("""COMPUTED_VALUE"""),"*台灣官方授權賣場*2024入門款全新上市*電池續航力最高8.5小時*全新應用程式進行客製化")</f>
        <v>*台灣官方授權賣場*2024入門款全新上市*電池續航力最高8.5小時*全新應用程式進行客製化</v>
      </c>
    </row>
    <row r="1304" spans="1:27" ht="19.5" customHeight="1">
      <c r="A1304" s="12" t="str">
        <f ca="1">IFERROR(__xludf.DUMMYFUNCTION("""COMPUTED_VALUE"""),"音樂週邊")</f>
        <v>音樂週邊</v>
      </c>
      <c r="B1304" s="12" t="str">
        <f ca="1">IFERROR(__xludf.DUMMYFUNCTION("""COMPUTED_VALUE"""),"宏驜")</f>
        <v>宏驜</v>
      </c>
      <c r="C1304" s="12" t="str">
        <f ca="1">IFERROR(__xludf.DUMMYFUNCTION("""COMPUTED_VALUE"""),"BOSE")</f>
        <v>BOSE</v>
      </c>
      <c r="D1304" s="12" t="str">
        <f ca="1">IFERROR(__xludf.DUMMYFUNCTION("""COMPUTED_VALUE"""),"【BOSE】Ultra 開放式耳機 霧白色")</f>
        <v>【BOSE】Ultra 開放式耳機 霧白色</v>
      </c>
      <c r="E1304" s="12" t="str">
        <f ca="1">IFERROR(__xludf.DUMMYFUNCTION("""COMPUTED_VALUE"""),"BOSE Ultra 開放式耳機 WHT")</f>
        <v>BOSE Ultra 開放式耳機 WHT</v>
      </c>
      <c r="F1304" s="12">
        <f ca="1">IFERROR(__xludf.DUMMYFUNCTION("""COMPUTED_VALUE"""),51014181)</f>
        <v>51014181</v>
      </c>
      <c r="G1304" s="12" t="str">
        <f ca="1">IFERROR(__xludf.DUMMYFUNCTION("""COMPUTED_VALUE"""),"NCPE0050")</f>
        <v>NCPE0050</v>
      </c>
      <c r="H1304" s="13">
        <f ca="1">IFERROR(__xludf.DUMMYFUNCTION("""COMPUTED_VALUE"""),9500)</f>
        <v>9500</v>
      </c>
      <c r="I1304" s="18">
        <f ca="1">IFERROR(__xludf.DUMMYFUNCTION("""COMPUTED_VALUE"""),9500)</f>
        <v>9500</v>
      </c>
      <c r="J1304" s="16">
        <f ca="1">IFERROR(__xludf.DUMMYFUNCTION("""COMPUTED_VALUE"""),45597)</f>
        <v>45597</v>
      </c>
      <c r="K1304" s="12" t="str">
        <f ca="1">IFERROR(__xludf.DUMMYFUNCTION("""COMPUTED_VALUE"""),"新機上架")</f>
        <v>新機上架</v>
      </c>
      <c r="L1304" s="12" t="str">
        <f ca="1">IFERROR(__xludf.DUMMYFUNCTION("""COMPUTED_VALUE"""),"上架中")</f>
        <v>上架中</v>
      </c>
      <c r="M1304" s="12" t="str">
        <f ca="1">IFERROR(__xludf.DUMMYFUNCTION("""COMPUTED_VALUE"""),"尾牙方案")</f>
        <v>尾牙方案</v>
      </c>
      <c r="N1304" s="12" t="str">
        <f ca="1">IFERROR(__xludf.DUMMYFUNCTION("""COMPUTED_VALUE"""),"無線喇叭
")</f>
        <v xml:space="preserve">無線喇叭
</v>
      </c>
      <c r="O1304" s="12" t="str">
        <f ca="1">IFERROR(__xludf.DUMMYFUNCTION("""COMPUTED_VALUE"""),"霧白")</f>
        <v>霧白</v>
      </c>
      <c r="P1304" s="12"/>
      <c r="Q1304" s="12" t="str">
        <f ca="1">IFERROR(__xludf.DUMMYFUNCTION("""COMPUTED_VALUE"""),"耳塞:高 19  x 寬 17 x 深 27 mm
充電盒:高 42 x 寬 65 x 深 26 mm
USB 連接線:305 mm")</f>
        <v>耳塞:高 19  x 寬 17 x 深 27 mm
充電盒:高 42 x 寬 65 x 深 26 mm
USB 連接線:305 mm</v>
      </c>
      <c r="R1304" s="12" t="str">
        <f ca="1">IFERROR(__xludf.DUMMYFUNCTION("""COMPUTED_VALUE"""),"中國")</f>
        <v>中國</v>
      </c>
      <c r="S1304" s="12"/>
      <c r="T1304" s="12"/>
      <c r="U1304" s="12" t="str">
        <f ca="1">IFERROR(__xludf.DUMMYFUNCTION("""COMPUTED_VALUE"""),"1年")</f>
        <v>1年</v>
      </c>
      <c r="V1304" s="12"/>
      <c r="W1304" s="12"/>
      <c r="X1304" s="12"/>
      <c r="Y1304" s="12"/>
      <c r="Z1304" s="14"/>
      <c r="AA1304" s="15" t="str">
        <f ca="1">IFERROR(__xludf.DUMMYFUNCTION("""COMPUTED_VALUE"""),"*開放式聽覺設計*高達7.5小時的播放時間(開啟沉浸式音效，最高 4.5 小時的播放時間)*簡單且帶來滿足感的按鍵控制*舒適佩戴一整天")</f>
        <v>*開放式聽覺設計*高達7.5小時的播放時間(開啟沉浸式音效，最高 4.5 小時的播放時間)*簡單且帶來滿足感的按鍵控制*舒適佩戴一整天</v>
      </c>
    </row>
    <row r="1305" spans="1:27" ht="19.5" customHeight="1">
      <c r="A1305" s="12" t="str">
        <f ca="1">IFERROR(__xludf.DUMMYFUNCTION("""COMPUTED_VALUE"""),"音樂週邊")</f>
        <v>音樂週邊</v>
      </c>
      <c r="B1305" s="12" t="str">
        <f ca="1">IFERROR(__xludf.DUMMYFUNCTION("""COMPUTED_VALUE"""),"宏驜")</f>
        <v>宏驜</v>
      </c>
      <c r="C1305" s="12" t="str">
        <f ca="1">IFERROR(__xludf.DUMMYFUNCTION("""COMPUTED_VALUE"""),"BOSE")</f>
        <v>BOSE</v>
      </c>
      <c r="D1305" s="12" t="str">
        <f ca="1">IFERROR(__xludf.DUMMYFUNCTION("""COMPUTED_VALUE"""),"【BOSE】Ultra 開放式耳機 黑色")</f>
        <v>【BOSE】Ultra 開放式耳機 黑色</v>
      </c>
      <c r="E1305" s="12" t="str">
        <f ca="1">IFERROR(__xludf.DUMMYFUNCTION("""COMPUTED_VALUE"""),"BOSE Ultra 開放式耳機 BLK")</f>
        <v>BOSE Ultra 開放式耳機 BLK</v>
      </c>
      <c r="F1305" s="12">
        <f ca="1">IFERROR(__xludf.DUMMYFUNCTION("""COMPUTED_VALUE"""),51014182)</f>
        <v>51014182</v>
      </c>
      <c r="G1305" s="12" t="str">
        <f ca="1">IFERROR(__xludf.DUMMYFUNCTION("""COMPUTED_VALUE"""),"NCPE0051")</f>
        <v>NCPE0051</v>
      </c>
      <c r="H1305" s="13">
        <f ca="1">IFERROR(__xludf.DUMMYFUNCTION("""COMPUTED_VALUE"""),9500)</f>
        <v>9500</v>
      </c>
      <c r="I1305" s="18">
        <f ca="1">IFERROR(__xludf.DUMMYFUNCTION("""COMPUTED_VALUE"""),9500)</f>
        <v>9500</v>
      </c>
      <c r="J1305" s="16">
        <f ca="1">IFERROR(__xludf.DUMMYFUNCTION("""COMPUTED_VALUE"""),45597)</f>
        <v>45597</v>
      </c>
      <c r="K1305" s="12" t="str">
        <f ca="1">IFERROR(__xludf.DUMMYFUNCTION("""COMPUTED_VALUE"""),"新機上架")</f>
        <v>新機上架</v>
      </c>
      <c r="L1305" s="12" t="str">
        <f ca="1">IFERROR(__xludf.DUMMYFUNCTION("""COMPUTED_VALUE"""),"上架中")</f>
        <v>上架中</v>
      </c>
      <c r="M1305" s="12" t="str">
        <f ca="1">IFERROR(__xludf.DUMMYFUNCTION("""COMPUTED_VALUE"""),"尾牙方案")</f>
        <v>尾牙方案</v>
      </c>
      <c r="N1305" s="12" t="str">
        <f ca="1">IFERROR(__xludf.DUMMYFUNCTION("""COMPUTED_VALUE"""),"無線喇叭
")</f>
        <v xml:space="preserve">無線喇叭
</v>
      </c>
      <c r="O1305" s="12" t="str">
        <f ca="1">IFERROR(__xludf.DUMMYFUNCTION("""COMPUTED_VALUE"""),"黑")</f>
        <v>黑</v>
      </c>
      <c r="P1305" s="12"/>
      <c r="Q1305" s="12" t="str">
        <f ca="1">IFERROR(__xludf.DUMMYFUNCTION("""COMPUTED_VALUE"""),"耳塞:高 19  x 寬 17 x 深 27mm
充電盒:高 42 x 寬 65  x 深 26mm
USB 連接線:305 mm")</f>
        <v>耳塞:高 19  x 寬 17 x 深 27mm
充電盒:高 42 x 寬 65  x 深 26mm
USB 連接線:305 mm</v>
      </c>
      <c r="R1305" s="12" t="str">
        <f ca="1">IFERROR(__xludf.DUMMYFUNCTION("""COMPUTED_VALUE"""),"中國")</f>
        <v>中國</v>
      </c>
      <c r="S1305" s="12"/>
      <c r="T1305" s="12"/>
      <c r="U1305" s="12" t="str">
        <f ca="1">IFERROR(__xludf.DUMMYFUNCTION("""COMPUTED_VALUE"""),"1年")</f>
        <v>1年</v>
      </c>
      <c r="V1305" s="12"/>
      <c r="W1305" s="12"/>
      <c r="X1305" s="12"/>
      <c r="Y1305" s="12"/>
      <c r="Z1305" s="14"/>
      <c r="AA1305" s="15" t="str">
        <f ca="1">IFERROR(__xludf.DUMMYFUNCTION("""COMPUTED_VALUE"""),"*開放式聽覺設計*高達7.5小時的播放時間(開啟沉浸式音效，最高 4.5 小時的播放時間)*簡單且帶來滿足感的按鍵控制*舒適佩戴一整天")</f>
        <v>*開放式聽覺設計*高達7.5小時的播放時間(開啟沉浸式音效，最高 4.5 小時的播放時間)*簡單且帶來滿足感的按鍵控制*舒適佩戴一整天</v>
      </c>
    </row>
    <row r="1306" spans="1:27" ht="19.5" customHeight="1">
      <c r="A1306" s="12" t="str">
        <f ca="1">IFERROR(__xludf.DUMMYFUNCTION("""COMPUTED_VALUE"""),"音樂週邊")</f>
        <v>音樂週邊</v>
      </c>
      <c r="B1306" s="12" t="str">
        <f ca="1">IFERROR(__xludf.DUMMYFUNCTION("""COMPUTED_VALUE"""),"宏驜")</f>
        <v>宏驜</v>
      </c>
      <c r="C1306" s="12" t="str">
        <f ca="1">IFERROR(__xludf.DUMMYFUNCTION("""COMPUTED_VALUE"""),"BOSE")</f>
        <v>BOSE</v>
      </c>
      <c r="D1306" s="12" t="str">
        <f ca="1">IFERROR(__xludf.DUMMYFUNCTION("""COMPUTED_VALUE"""),"【BOSE】QuietComfort Ultra 耳罩式無線消噪耳機 月色藍")</f>
        <v>【BOSE】QuietComfort Ultra 耳罩式無線消噪耳機 月色藍</v>
      </c>
      <c r="E1306" s="12" t="str">
        <f ca="1">IFERROR(__xludf.DUMMYFUNCTION("""COMPUTED_VALUE"""),"QuietComfort Ultra BLUE")</f>
        <v>QuietComfort Ultra BLUE</v>
      </c>
      <c r="F1306" s="12">
        <f ca="1">IFERROR(__xludf.DUMMYFUNCTION("""COMPUTED_VALUE"""),51014183)</f>
        <v>51014183</v>
      </c>
      <c r="G1306" s="12" t="str">
        <f ca="1">IFERROR(__xludf.DUMMYFUNCTION("""COMPUTED_VALUE"""),"NCPE0052")</f>
        <v>NCPE0052</v>
      </c>
      <c r="H1306" s="13">
        <f ca="1">IFERROR(__xludf.DUMMYFUNCTION("""COMPUTED_VALUE"""),15800)</f>
        <v>15800</v>
      </c>
      <c r="I1306" s="18">
        <f ca="1">IFERROR(__xludf.DUMMYFUNCTION("""COMPUTED_VALUE"""),15800)</f>
        <v>15800</v>
      </c>
      <c r="J1306" s="16">
        <f ca="1">IFERROR(__xludf.DUMMYFUNCTION("""COMPUTED_VALUE"""),45597)</f>
        <v>45597</v>
      </c>
      <c r="K1306" s="12" t="str">
        <f ca="1">IFERROR(__xludf.DUMMYFUNCTION("""COMPUTED_VALUE"""),"新機上架")</f>
        <v>新機上架</v>
      </c>
      <c r="L1306" s="12" t="str">
        <f ca="1">IFERROR(__xludf.DUMMYFUNCTION("""COMPUTED_VALUE"""),"上架中")</f>
        <v>上架中</v>
      </c>
      <c r="M1306" s="12"/>
      <c r="N1306" s="12" t="str">
        <f ca="1">IFERROR(__xludf.DUMMYFUNCTION("""COMPUTED_VALUE"""),"無線喇叭
")</f>
        <v xml:space="preserve">無線喇叭
</v>
      </c>
      <c r="O1306" s="12" t="str">
        <f ca="1">IFERROR(__xludf.DUMMYFUNCTION("""COMPUTED_VALUE"""),"月色藍")</f>
        <v>月色藍</v>
      </c>
      <c r="P1306" s="12"/>
      <c r="Q1306" s="12" t="str">
        <f ca="1">IFERROR(__xludf.DUMMYFUNCTION("""COMPUTED_VALUE"""),"耳機:高 195 mm x 寬 139  x 深 50.8 mm (0.25 公斤)
便攜式收納盒:高 211  x 寬 157  x 深 61 mm (0.2 公斤)")</f>
        <v>耳機:高 195 mm x 寬 139  x 深 50.8 mm (0.25 公斤)
便攜式收納盒:高 211  x 寬 157  x 深 61 mm (0.2 公斤)</v>
      </c>
      <c r="R1306" s="12" t="str">
        <f ca="1">IFERROR(__xludf.DUMMYFUNCTION("""COMPUTED_VALUE"""),"中國")</f>
        <v>中國</v>
      </c>
      <c r="S1306" s="12"/>
      <c r="T1306" s="12"/>
      <c r="U1306" s="12" t="str">
        <f ca="1">IFERROR(__xludf.DUMMYFUNCTION("""COMPUTED_VALUE"""),"1年")</f>
        <v>1年</v>
      </c>
      <c r="V1306" s="12"/>
      <c r="W1306" s="12"/>
      <c r="X1306" s="12"/>
      <c r="Y1306" s="12"/>
      <c r="Z1306" s="14"/>
      <c r="AA1306" s="15" t="str">
        <f ca="1">IFERROR(__xludf.DUMMYFUNCTION("""COMPUTED_VALUE"""),"*突破性BOSE沉浸式音效*長達24小時電量*各種音樂情緒都有適合的模式*世界一流的消噪效能")</f>
        <v>*突破性BOSE沉浸式音效*長達24小時電量*各種音樂情緒都有適合的模式*世界一流的消噪效能</v>
      </c>
    </row>
    <row r="1307" spans="1:27" ht="19.5" customHeight="1">
      <c r="A1307" s="12" t="str">
        <f ca="1">IFERROR(__xludf.DUMMYFUNCTION("""COMPUTED_VALUE"""),"音樂週邊")</f>
        <v>音樂週邊</v>
      </c>
      <c r="B1307" s="12" t="str">
        <f ca="1">IFERROR(__xludf.DUMMYFUNCTION("""COMPUTED_VALUE"""),"宏驜")</f>
        <v>宏驜</v>
      </c>
      <c r="C1307" s="12" t="str">
        <f ca="1">IFERROR(__xludf.DUMMYFUNCTION("""COMPUTED_VALUE"""),"BOSE")</f>
        <v>BOSE</v>
      </c>
      <c r="D1307" s="12" t="str">
        <f ca="1">IFERROR(__xludf.DUMMYFUNCTION("""COMPUTED_VALUE"""),"【BOSE】QuietComfort 耳罩式藍牙無線消噪耳機(冷丁香紫)")</f>
        <v>【BOSE】QuietComfort 耳罩式藍牙無線消噪耳機(冷丁香紫)</v>
      </c>
      <c r="E1307" s="12" t="str">
        <f ca="1">IFERROR(__xludf.DUMMYFUNCTION("""COMPUTED_VALUE"""),"QuietComfort headf PUR")</f>
        <v>QuietComfort headf PUR</v>
      </c>
      <c r="F1307" s="12">
        <f ca="1">IFERROR(__xludf.DUMMYFUNCTION("""COMPUTED_VALUE"""),51014184)</f>
        <v>51014184</v>
      </c>
      <c r="G1307" s="12" t="str">
        <f ca="1">IFERROR(__xludf.DUMMYFUNCTION("""COMPUTED_VALUE"""),"NCPE0053")</f>
        <v>NCPE0053</v>
      </c>
      <c r="H1307" s="13">
        <f ca="1">IFERROR(__xludf.DUMMYFUNCTION("""COMPUTED_VALUE"""),11500)</f>
        <v>11500</v>
      </c>
      <c r="I1307" s="18">
        <f ca="1">IFERROR(__xludf.DUMMYFUNCTION("""COMPUTED_VALUE"""),11500)</f>
        <v>11500</v>
      </c>
      <c r="J1307" s="16">
        <f ca="1">IFERROR(__xludf.DUMMYFUNCTION("""COMPUTED_VALUE"""),45597)</f>
        <v>45597</v>
      </c>
      <c r="K1307" s="12" t="str">
        <f ca="1">IFERROR(__xludf.DUMMYFUNCTION("""COMPUTED_VALUE"""),"新機上架")</f>
        <v>新機上架</v>
      </c>
      <c r="L1307" s="12" t="str">
        <f ca="1">IFERROR(__xludf.DUMMYFUNCTION("""COMPUTED_VALUE"""),"上架中")</f>
        <v>上架中</v>
      </c>
      <c r="M1307" s="12"/>
      <c r="N1307" s="12" t="str">
        <f ca="1">IFERROR(__xludf.DUMMYFUNCTION("""COMPUTED_VALUE"""),"無線喇叭
")</f>
        <v xml:space="preserve">無線喇叭
</v>
      </c>
      <c r="O1307" s="12" t="str">
        <f ca="1">IFERROR(__xludf.DUMMYFUNCTION("""COMPUTED_VALUE"""),"冷丁香紫")</f>
        <v>冷丁香紫</v>
      </c>
      <c r="P1307" s="12"/>
      <c r="Q1307" s="12" t="str">
        <f ca="1">IFERROR(__xludf.DUMMYFUNCTION("""COMPUTED_VALUE"""),"耳機:高 184x 寬 152.4m x 深 76.2mm（0.24 公斤）
便攜包:高 211x 寬 145 x 深 51mm（0.18 公斤）")</f>
        <v>耳機:高 184x 寬 152.4m x 深 76.2mm（0.24 公斤）
便攜包:高 211x 寬 145 x 深 51mm（0.18 公斤）</v>
      </c>
      <c r="R1307" s="12" t="str">
        <f ca="1">IFERROR(__xludf.DUMMYFUNCTION("""COMPUTED_VALUE"""),"泰國")</f>
        <v>泰國</v>
      </c>
      <c r="S1307" s="12"/>
      <c r="T1307" s="12"/>
      <c r="U1307" s="12" t="str">
        <f ca="1">IFERROR(__xludf.DUMMYFUNCTION("""COMPUTED_VALUE"""),"1年")</f>
        <v>1年</v>
      </c>
      <c r="V1307" s="12"/>
      <c r="W1307" s="12"/>
      <c r="X1307" s="12"/>
      <c r="Y1307" s="12"/>
      <c r="Z1307" s="14"/>
      <c r="AA1307" s="15" t="str">
        <f ca="1">IFERROR(__xludf.DUMMYFUNCTION("""COMPUTED_VALUE"""),"*優異的消噪能力*電池續航力長達 24 小時*舒適佩戴一整天*高傳真音質、可調 EQ")</f>
        <v>*優異的消噪能力*電池續航力長達 24 小時*舒適佩戴一整天*高傳真音質、可調 EQ</v>
      </c>
    </row>
    <row r="1308" spans="1:27" ht="19.5" customHeight="1">
      <c r="A1308" s="12" t="str">
        <f ca="1">IFERROR(__xludf.DUMMYFUNCTION("""COMPUTED_VALUE"""),"音樂週邊")</f>
        <v>音樂週邊</v>
      </c>
      <c r="B1308" s="12" t="str">
        <f ca="1">IFERROR(__xludf.DUMMYFUNCTION("""COMPUTED_VALUE"""),"宏驜")</f>
        <v>宏驜</v>
      </c>
      <c r="C1308" s="12" t="str">
        <f ca="1">IFERROR(__xludf.DUMMYFUNCTION("""COMPUTED_VALUE"""),"BOSE")</f>
        <v>BOSE</v>
      </c>
      <c r="D1308" s="12" t="str">
        <f ca="1">IFERROR(__xludf.DUMMYFUNCTION("""COMPUTED_VALUE"""),"【BOSE】QuietComfort 耳罩式藍牙無線消噪耳機(暮色藍)")</f>
        <v>【BOSE】QuietComfort 耳罩式藍牙無線消噪耳機(暮色藍)</v>
      </c>
      <c r="E1308" s="12" t="str">
        <f ca="1">IFERROR(__xludf.DUMMYFUNCTION("""COMPUTED_VALUE"""),"QuietComfort headf BLUE")</f>
        <v>QuietComfort headf BLUE</v>
      </c>
      <c r="F1308" s="12">
        <f ca="1">IFERROR(__xludf.DUMMYFUNCTION("""COMPUTED_VALUE"""),51014185)</f>
        <v>51014185</v>
      </c>
      <c r="G1308" s="12" t="str">
        <f ca="1">IFERROR(__xludf.DUMMYFUNCTION("""COMPUTED_VALUE"""),"NCPE0054")</f>
        <v>NCPE0054</v>
      </c>
      <c r="H1308" s="13">
        <f ca="1">IFERROR(__xludf.DUMMYFUNCTION("""COMPUTED_VALUE"""),11500)</f>
        <v>11500</v>
      </c>
      <c r="I1308" s="18">
        <f ca="1">IFERROR(__xludf.DUMMYFUNCTION("""COMPUTED_VALUE"""),11500)</f>
        <v>11500</v>
      </c>
      <c r="J1308" s="16">
        <f ca="1">IFERROR(__xludf.DUMMYFUNCTION("""COMPUTED_VALUE"""),45597)</f>
        <v>45597</v>
      </c>
      <c r="K1308" s="12" t="str">
        <f ca="1">IFERROR(__xludf.DUMMYFUNCTION("""COMPUTED_VALUE"""),"新機上架")</f>
        <v>新機上架</v>
      </c>
      <c r="L1308" s="12" t="str">
        <f ca="1">IFERROR(__xludf.DUMMYFUNCTION("""COMPUTED_VALUE"""),"上架中")</f>
        <v>上架中</v>
      </c>
      <c r="M1308" s="12"/>
      <c r="N1308" s="12" t="str">
        <f ca="1">IFERROR(__xludf.DUMMYFUNCTION("""COMPUTED_VALUE"""),"無線喇叭
")</f>
        <v xml:space="preserve">無線喇叭
</v>
      </c>
      <c r="O1308" s="12" t="str">
        <f ca="1">IFERROR(__xludf.DUMMYFUNCTION("""COMPUTED_VALUE"""),"暮色藍")</f>
        <v>暮色藍</v>
      </c>
      <c r="P1308" s="12"/>
      <c r="Q1308" s="12" t="str">
        <f ca="1">IFERROR(__xludf.DUMMYFUNCTION("""COMPUTED_VALUE"""),"耳機:高 184 x 寬 152.4 x 深 76.2 mm（0.24 公斤）
便攜包:高 211  x 寬 145  x 深 51 mm（0.18 公斤）")</f>
        <v>耳機:高 184 x 寬 152.4 x 深 76.2 mm（0.24 公斤）
便攜包:高 211  x 寬 145  x 深 51 mm（0.18 公斤）</v>
      </c>
      <c r="R1308" s="12" t="str">
        <f ca="1">IFERROR(__xludf.DUMMYFUNCTION("""COMPUTED_VALUE"""),"泰國")</f>
        <v>泰國</v>
      </c>
      <c r="S1308" s="12"/>
      <c r="T1308" s="12"/>
      <c r="U1308" s="12" t="str">
        <f ca="1">IFERROR(__xludf.DUMMYFUNCTION("""COMPUTED_VALUE"""),"1年")</f>
        <v>1年</v>
      </c>
      <c r="V1308" s="12"/>
      <c r="W1308" s="12"/>
      <c r="X1308" s="12"/>
      <c r="Y1308" s="12"/>
      <c r="Z1308" s="14"/>
      <c r="AA1308" s="15" t="str">
        <f ca="1">IFERROR(__xludf.DUMMYFUNCTION("""COMPUTED_VALUE"""),"*優異的消噪能力*電池續航力長達 24 小時*舒適佩戴一整天*高傳真音質、可調 EQ")</f>
        <v>*優異的消噪能力*電池續航力長達 24 小時*舒適佩戴一整天*高傳真音質、可調 EQ</v>
      </c>
    </row>
    <row r="1309" spans="1:27" ht="19.5" customHeight="1">
      <c r="A1309" s="12" t="str">
        <f ca="1">IFERROR(__xludf.DUMMYFUNCTION("""COMPUTED_VALUE"""),"音樂週邊")</f>
        <v>音樂週邊</v>
      </c>
      <c r="B1309" s="12" t="str">
        <f ca="1">IFERROR(__xludf.DUMMYFUNCTION("""COMPUTED_VALUE"""),"宏驜")</f>
        <v>宏驜</v>
      </c>
      <c r="C1309" s="12" t="str">
        <f ca="1">IFERROR(__xludf.DUMMYFUNCTION("""COMPUTED_VALUE"""),"BOSE")</f>
        <v>BOSE</v>
      </c>
      <c r="D1309" s="12" t="str">
        <f ca="1">IFERROR(__xludf.DUMMYFUNCTION("""COMPUTED_VALUE"""),"【BOSE】QuietComfort 耳罩式藍牙無線消噪耳機(沙丘灰)")</f>
        <v>【BOSE】QuietComfort 耳罩式藍牙無線消噪耳機(沙丘灰)</v>
      </c>
      <c r="E1309" s="12" t="str">
        <f ca="1">IFERROR(__xludf.DUMMYFUNCTION("""COMPUTED_VALUE"""),"QuietComfort headf SANDSTONE")</f>
        <v>QuietComfort headf SANDSTONE</v>
      </c>
      <c r="F1309" s="12">
        <f ca="1">IFERROR(__xludf.DUMMYFUNCTION("""COMPUTED_VALUE"""),51014186)</f>
        <v>51014186</v>
      </c>
      <c r="G1309" s="12" t="str">
        <f ca="1">IFERROR(__xludf.DUMMYFUNCTION("""COMPUTED_VALUE"""),"NCPE0055")</f>
        <v>NCPE0055</v>
      </c>
      <c r="H1309" s="13">
        <f ca="1">IFERROR(__xludf.DUMMYFUNCTION("""COMPUTED_VALUE"""),11500)</f>
        <v>11500</v>
      </c>
      <c r="I1309" s="18">
        <f ca="1">IFERROR(__xludf.DUMMYFUNCTION("""COMPUTED_VALUE"""),11500)</f>
        <v>11500</v>
      </c>
      <c r="J1309" s="16">
        <f ca="1">IFERROR(__xludf.DUMMYFUNCTION("""COMPUTED_VALUE"""),45597)</f>
        <v>45597</v>
      </c>
      <c r="K1309" s="12" t="str">
        <f ca="1">IFERROR(__xludf.DUMMYFUNCTION("""COMPUTED_VALUE"""),"新機上架")</f>
        <v>新機上架</v>
      </c>
      <c r="L1309" s="12" t="str">
        <f ca="1">IFERROR(__xludf.DUMMYFUNCTION("""COMPUTED_VALUE"""),"上架中")</f>
        <v>上架中</v>
      </c>
      <c r="M1309" s="12"/>
      <c r="N1309" s="12" t="str">
        <f ca="1">IFERROR(__xludf.DUMMYFUNCTION("""COMPUTED_VALUE"""),"無線喇叭
")</f>
        <v xml:space="preserve">無線喇叭
</v>
      </c>
      <c r="O1309" s="12" t="str">
        <f ca="1">IFERROR(__xludf.DUMMYFUNCTION("""COMPUTED_VALUE"""),"沙丘灰")</f>
        <v>沙丘灰</v>
      </c>
      <c r="P1309" s="12"/>
      <c r="Q1309" s="12" t="str">
        <f ca="1">IFERROR(__xludf.DUMMYFUNCTION("""COMPUTED_VALUE"""),"耳機:高 184  x 寬 152.4  x 深 76.2（0.24 公斤）
便攜包:高 211  x 寬 145 x 深 51 mm（0.18 公斤）")</f>
        <v>耳機:高 184  x 寬 152.4  x 深 76.2（0.24 公斤）
便攜包:高 211  x 寬 145 x 深 51 mm（0.18 公斤）</v>
      </c>
      <c r="R1309" s="12" t="str">
        <f ca="1">IFERROR(__xludf.DUMMYFUNCTION("""COMPUTED_VALUE"""),"泰國")</f>
        <v>泰國</v>
      </c>
      <c r="S1309" s="12"/>
      <c r="T1309" s="12"/>
      <c r="U1309" s="12" t="str">
        <f ca="1">IFERROR(__xludf.DUMMYFUNCTION("""COMPUTED_VALUE"""),"1年")</f>
        <v>1年</v>
      </c>
      <c r="V1309" s="12"/>
      <c r="W1309" s="12"/>
      <c r="X1309" s="12"/>
      <c r="Y1309" s="12"/>
      <c r="Z1309" s="14"/>
      <c r="AA1309" s="15" t="str">
        <f ca="1">IFERROR(__xludf.DUMMYFUNCTION("""COMPUTED_VALUE"""),"*優異的消噪能力*電池續航力長達 24 小時*舒適佩戴一整天*高傳真音質、可調 EQ")</f>
        <v>*優異的消噪能力*電池續航力長達 24 小時*舒適佩戴一整天*高傳真音質、可調 EQ</v>
      </c>
    </row>
    <row r="1310" spans="1:27" ht="19.5" customHeight="1">
      <c r="A1310" s="12" t="str">
        <f ca="1">IFERROR(__xludf.DUMMYFUNCTION("""COMPUTED_VALUE"""),"音樂週邊")</f>
        <v>音樂週邊</v>
      </c>
      <c r="B1310" s="12" t="str">
        <f ca="1">IFERROR(__xludf.DUMMYFUNCTION("""COMPUTED_VALUE"""),"宏驜")</f>
        <v>宏驜</v>
      </c>
      <c r="C1310" s="12" t="str">
        <f ca="1">IFERROR(__xludf.DUMMYFUNCTION("""COMPUTED_VALUE"""),"BOSE")</f>
        <v>BOSE</v>
      </c>
      <c r="D1310" s="12" t="str">
        <f ca="1">IFERROR(__xludf.DUMMYFUNCTION("""COMPUTED_VALUE"""),"【BOSE】Quiet Comfort Ultra 消噪耳塞(深黑色)")</f>
        <v>【BOSE】Quiet Comfort Ultra 消噪耳塞(深黑色)</v>
      </c>
      <c r="E1310" s="12" t="str">
        <f ca="1">IFERROR(__xludf.DUMMYFUNCTION("""COMPUTED_VALUE"""),"QuietComfort Ultra earbuds BLK")</f>
        <v>QuietComfort Ultra earbuds BLK</v>
      </c>
      <c r="F1310" s="12">
        <f ca="1">IFERROR(__xludf.DUMMYFUNCTION("""COMPUTED_VALUE"""),51014168)</f>
        <v>51014168</v>
      </c>
      <c r="G1310" s="12" t="str">
        <f ca="1">IFERROR(__xludf.DUMMYFUNCTION("""COMPUTED_VALUE"""),"NCPE003W")</f>
        <v>NCPE003W</v>
      </c>
      <c r="H1310" s="13">
        <f ca="1">IFERROR(__xludf.DUMMYFUNCTION("""COMPUTED_VALUE"""),9500)</f>
        <v>9500</v>
      </c>
      <c r="I1310" s="18">
        <f ca="1">IFERROR(__xludf.DUMMYFUNCTION("""COMPUTED_VALUE"""),9500)</f>
        <v>9500</v>
      </c>
      <c r="J1310" s="16">
        <f ca="1">IFERROR(__xludf.DUMMYFUNCTION("""COMPUTED_VALUE"""),45579)</f>
        <v>45579</v>
      </c>
      <c r="K1310" s="12" t="str">
        <f ca="1">IFERROR(__xludf.DUMMYFUNCTION("""COMPUTED_VALUE"""),"新機上架")</f>
        <v>新機上架</v>
      </c>
      <c r="L1310" s="12" t="str">
        <f ca="1">IFERROR(__xludf.DUMMYFUNCTION("""COMPUTED_VALUE"""),"上架中")</f>
        <v>上架中</v>
      </c>
      <c r="M1310" s="12"/>
      <c r="N1310" s="12" t="str">
        <f ca="1">IFERROR(__xludf.DUMMYFUNCTION("""COMPUTED_VALUE"""),"無線喇叭")</f>
        <v>無線喇叭</v>
      </c>
      <c r="O1310" s="12" t="str">
        <f ca="1">IFERROR(__xludf.DUMMYFUNCTION("""COMPUTED_VALUE"""),"深黑色")</f>
        <v>深黑色</v>
      </c>
      <c r="P1310" s="12"/>
      <c r="Q1310" s="12" t="str">
        <f ca="1">IFERROR(__xludf.DUMMYFUNCTION("""COMPUTED_VALUE"""),"耳塞:高 17.2  x 寬 30.5  x 深 22.4 mm（6.24 公克）
充電盒:高 59.4 x 寬 66.3 x 深 26.7mm（59.8 公克）
USB 連接線:300 mm")</f>
        <v>耳塞:高 17.2  x 寬 30.5  x 深 22.4 mm（6.24 公克）
充電盒:高 59.4 x 寬 66.3 x 深 26.7mm（59.8 公克）
USB 連接線:300 mm</v>
      </c>
      <c r="R1310" s="12" t="str">
        <f ca="1">IFERROR(__xludf.DUMMYFUNCTION("""COMPUTED_VALUE"""),"中國")</f>
        <v>中國</v>
      </c>
      <c r="S1310" s="12"/>
      <c r="T1310" s="12"/>
      <c r="U1310" s="12" t="str">
        <f ca="1">IFERROR(__xludf.DUMMYFUNCTION("""COMPUTED_VALUE"""),"1年")</f>
        <v>1年</v>
      </c>
      <c r="V1310" s="12"/>
      <c r="W1310" s="12"/>
      <c r="X1310" s="12"/>
      <c r="Y1310" s="12"/>
      <c r="Z1310" s="14"/>
      <c r="AA1310" s="15" t="str">
        <f ca="1">IFERROR(__xludf.DUMMYFUNCTION("""COMPUTED_VALUE"""),"*突破性BOSE沉浸式音效*為您量身打造的聲音與靜謐*長達6小時電量*配戴感受良好的設計")</f>
        <v>*突破性BOSE沉浸式音效*為您量身打造的聲音與靜謐*長達6小時電量*配戴感受良好的設計</v>
      </c>
    </row>
    <row r="1311" spans="1:27" ht="19.5" customHeight="1">
      <c r="A1311" s="12" t="str">
        <f ca="1">IFERROR(__xludf.DUMMYFUNCTION("""COMPUTED_VALUE"""),"音樂週邊")</f>
        <v>音樂週邊</v>
      </c>
      <c r="B1311" s="12" t="str">
        <f ca="1">IFERROR(__xludf.DUMMYFUNCTION("""COMPUTED_VALUE"""),"宏驜")</f>
        <v>宏驜</v>
      </c>
      <c r="C1311" s="12" t="str">
        <f ca="1">IFERROR(__xludf.DUMMYFUNCTION("""COMPUTED_VALUE"""),"BOSE")</f>
        <v>BOSE</v>
      </c>
      <c r="D1311" s="12" t="str">
        <f ca="1">IFERROR(__xludf.DUMMYFUNCTION("""COMPUTED_VALUE"""),"【BOSE】Quiet Comfort Ultra 消噪耳塞(霧白色)")</f>
        <v>【BOSE】Quiet Comfort Ultra 消噪耳塞(霧白色)</v>
      </c>
      <c r="E1311" s="12" t="str">
        <f ca="1">IFERROR(__xludf.DUMMYFUNCTION("""COMPUTED_VALUE"""),"QuietComfort Ultra earbuds WHT")</f>
        <v>QuietComfort Ultra earbuds WHT</v>
      </c>
      <c r="F1311" s="12">
        <f ca="1">IFERROR(__xludf.DUMMYFUNCTION("""COMPUTED_VALUE"""),51014169)</f>
        <v>51014169</v>
      </c>
      <c r="G1311" s="12" t="str">
        <f ca="1">IFERROR(__xludf.DUMMYFUNCTION("""COMPUTED_VALUE"""),"NCPE003X")</f>
        <v>NCPE003X</v>
      </c>
      <c r="H1311" s="13">
        <f ca="1">IFERROR(__xludf.DUMMYFUNCTION("""COMPUTED_VALUE"""),9500)</f>
        <v>9500</v>
      </c>
      <c r="I1311" s="18">
        <f ca="1">IFERROR(__xludf.DUMMYFUNCTION("""COMPUTED_VALUE"""),9500)</f>
        <v>9500</v>
      </c>
      <c r="J1311" s="16">
        <f ca="1">IFERROR(__xludf.DUMMYFUNCTION("""COMPUTED_VALUE"""),45579)</f>
        <v>45579</v>
      </c>
      <c r="K1311" s="12" t="str">
        <f ca="1">IFERROR(__xludf.DUMMYFUNCTION("""COMPUTED_VALUE"""),"新機上架")</f>
        <v>新機上架</v>
      </c>
      <c r="L1311" s="12" t="str">
        <f ca="1">IFERROR(__xludf.DUMMYFUNCTION("""COMPUTED_VALUE"""),"上架中")</f>
        <v>上架中</v>
      </c>
      <c r="M1311" s="12"/>
      <c r="N1311" s="12" t="str">
        <f ca="1">IFERROR(__xludf.DUMMYFUNCTION("""COMPUTED_VALUE"""),"無線喇叭")</f>
        <v>無線喇叭</v>
      </c>
      <c r="O1311" s="12" t="str">
        <f ca="1">IFERROR(__xludf.DUMMYFUNCTION("""COMPUTED_VALUE"""),"霧白色")</f>
        <v>霧白色</v>
      </c>
      <c r="P1311" s="12"/>
      <c r="Q1311" s="12" t="str">
        <f ca="1">IFERROR(__xludf.DUMMYFUNCTION("""COMPUTED_VALUE"""),"耳塞:高 17.2x 寬 30.5 x 深 22.4mm（6.24 公克）
充電盒:高 59.4 x 寬 66.3 x 深 26.7mm（59.8 公克）
USB 連接線:300mm")</f>
        <v>耳塞:高 17.2x 寬 30.5 x 深 22.4mm（6.24 公克）
充電盒:高 59.4 x 寬 66.3 x 深 26.7mm（59.8 公克）
USB 連接線:300mm</v>
      </c>
      <c r="R1311" s="12" t="str">
        <f ca="1">IFERROR(__xludf.DUMMYFUNCTION("""COMPUTED_VALUE"""),"中國")</f>
        <v>中國</v>
      </c>
      <c r="S1311" s="12"/>
      <c r="T1311" s="12"/>
      <c r="U1311" s="12" t="str">
        <f ca="1">IFERROR(__xludf.DUMMYFUNCTION("""COMPUTED_VALUE"""),"1年")</f>
        <v>1年</v>
      </c>
      <c r="V1311" s="12"/>
      <c r="W1311" s="12"/>
      <c r="X1311" s="12"/>
      <c r="Y1311" s="12"/>
      <c r="Z1311" s="14"/>
      <c r="AA1311" s="15" t="str">
        <f ca="1">IFERROR(__xludf.DUMMYFUNCTION("""COMPUTED_VALUE"""),"*突破性BOSE沉浸式音效*為您量身打造的聲音與靜謐*長達6小時電量*配戴感受良好的設計")</f>
        <v>*突破性BOSE沉浸式音效*為您量身打造的聲音與靜謐*長達6小時電量*配戴感受良好的設計</v>
      </c>
    </row>
    <row r="1312" spans="1:27" ht="19.5" customHeight="1">
      <c r="A1312" s="12" t="str">
        <f ca="1">IFERROR(__xludf.DUMMYFUNCTION("""COMPUTED_VALUE"""),"音樂週邊")</f>
        <v>音樂週邊</v>
      </c>
      <c r="B1312" s="12" t="str">
        <f ca="1">IFERROR(__xludf.DUMMYFUNCTION("""COMPUTED_VALUE"""),"宏驜")</f>
        <v>宏驜</v>
      </c>
      <c r="C1312" s="12" t="str">
        <f ca="1">IFERROR(__xludf.DUMMYFUNCTION("""COMPUTED_VALUE"""),"BOSE")</f>
        <v>BOSE</v>
      </c>
      <c r="D1312" s="12" t="str">
        <f ca="1">IFERROR(__xludf.DUMMYFUNCTION("""COMPUTED_VALUE"""),"【BOSE】Quiet Comfort Ultra 消噪耳塞(月色藍)")</f>
        <v>【BOSE】Quiet Comfort Ultra 消噪耳塞(月色藍)</v>
      </c>
      <c r="E1312" s="12" t="str">
        <f ca="1">IFERROR(__xludf.DUMMYFUNCTION("""COMPUTED_VALUE"""),"QuietComfort Ultra earbuds BLU")</f>
        <v>QuietComfort Ultra earbuds BLU</v>
      </c>
      <c r="F1312" s="12">
        <f ca="1">IFERROR(__xludf.DUMMYFUNCTION("""COMPUTED_VALUE"""),51014170)</f>
        <v>51014170</v>
      </c>
      <c r="G1312" s="12" t="str">
        <f ca="1">IFERROR(__xludf.DUMMYFUNCTION("""COMPUTED_VALUE"""),"NCPE003Y")</f>
        <v>NCPE003Y</v>
      </c>
      <c r="H1312" s="13">
        <f ca="1">IFERROR(__xludf.DUMMYFUNCTION("""COMPUTED_VALUE"""),9500)</f>
        <v>9500</v>
      </c>
      <c r="I1312" s="18">
        <f ca="1">IFERROR(__xludf.DUMMYFUNCTION("""COMPUTED_VALUE"""),9500)</f>
        <v>9500</v>
      </c>
      <c r="J1312" s="16">
        <f ca="1">IFERROR(__xludf.DUMMYFUNCTION("""COMPUTED_VALUE"""),45579)</f>
        <v>45579</v>
      </c>
      <c r="K1312" s="12" t="str">
        <f ca="1">IFERROR(__xludf.DUMMYFUNCTION("""COMPUTED_VALUE"""),"新機上架")</f>
        <v>新機上架</v>
      </c>
      <c r="L1312" s="12" t="str">
        <f ca="1">IFERROR(__xludf.DUMMYFUNCTION("""COMPUTED_VALUE"""),"上架中")</f>
        <v>上架中</v>
      </c>
      <c r="M1312" s="12"/>
      <c r="N1312" s="12" t="str">
        <f ca="1">IFERROR(__xludf.DUMMYFUNCTION("""COMPUTED_VALUE"""),"無線喇叭")</f>
        <v>無線喇叭</v>
      </c>
      <c r="O1312" s="12" t="str">
        <f ca="1">IFERROR(__xludf.DUMMYFUNCTION("""COMPUTED_VALUE"""),"月色藍")</f>
        <v>月色藍</v>
      </c>
      <c r="P1312" s="12"/>
      <c r="Q1312" s="12" t="str">
        <f ca="1">IFERROR(__xludf.DUMMYFUNCTION("""COMPUTED_VALUE"""),"耳塞:高 17.2 x 寬 30.5 x 深 22.4 mm（6.24 公克）
充電盒:高 59.4 x 寬 66.3 x 深 26.7（59.8 公克）
USB 連接線:300mm")</f>
        <v>耳塞:高 17.2 x 寬 30.5 x 深 22.4 mm（6.24 公克）
充電盒:高 59.4 x 寬 66.3 x 深 26.7（59.8 公克）
USB 連接線:300mm</v>
      </c>
      <c r="R1312" s="12" t="str">
        <f ca="1">IFERROR(__xludf.DUMMYFUNCTION("""COMPUTED_VALUE"""),"中國")</f>
        <v>中國</v>
      </c>
      <c r="S1312" s="12"/>
      <c r="T1312" s="12"/>
      <c r="U1312" s="12" t="str">
        <f ca="1">IFERROR(__xludf.DUMMYFUNCTION("""COMPUTED_VALUE"""),"1年")</f>
        <v>1年</v>
      </c>
      <c r="V1312" s="12"/>
      <c r="W1312" s="12"/>
      <c r="X1312" s="12"/>
      <c r="Y1312" s="12"/>
      <c r="Z1312" s="14"/>
      <c r="AA1312" s="15" t="str">
        <f ca="1">IFERROR(__xludf.DUMMYFUNCTION("""COMPUTED_VALUE"""),"*突破性BOSE沉浸式音效*為您量身打造的聲音與靜謐*長達6小時電量*配戴感受良好的設計")</f>
        <v>*突破性BOSE沉浸式音效*為您量身打造的聲音與靜謐*長達6小時電量*配戴感受良好的設計</v>
      </c>
    </row>
    <row r="1313" spans="1:27" ht="19.5" customHeight="1">
      <c r="A1313" s="12" t="str">
        <f ca="1">IFERROR(__xludf.DUMMYFUNCTION("""COMPUTED_VALUE"""),"音樂週邊")</f>
        <v>音樂週邊</v>
      </c>
      <c r="B1313" s="12" t="str">
        <f ca="1">IFERROR(__xludf.DUMMYFUNCTION("""COMPUTED_VALUE"""),"宏驜")</f>
        <v>宏驜</v>
      </c>
      <c r="C1313" s="12" t="str">
        <f ca="1">IFERROR(__xludf.DUMMYFUNCTION("""COMPUTED_VALUE"""),"BOSE")</f>
        <v>BOSE</v>
      </c>
      <c r="D1313" s="12" t="str">
        <f ca="1">IFERROR(__xludf.DUMMYFUNCTION("""COMPUTED_VALUE"""),"【BOSE】QuietComfort Ultra 耳罩式無線消噪耳機 黑色")</f>
        <v>【BOSE】QuietComfort Ultra 耳罩式無線消噪耳機 黑色</v>
      </c>
      <c r="E1313" s="12" t="str">
        <f ca="1">IFERROR(__xludf.DUMMYFUNCTION("""COMPUTED_VALUE"""),"QuietComfort Ultra BLK")</f>
        <v>QuietComfort Ultra BLK</v>
      </c>
      <c r="F1313" s="12">
        <f ca="1">IFERROR(__xludf.DUMMYFUNCTION("""COMPUTED_VALUE"""),51014171)</f>
        <v>51014171</v>
      </c>
      <c r="G1313" s="12" t="str">
        <f ca="1">IFERROR(__xludf.DUMMYFUNCTION("""COMPUTED_VALUE"""),"NCPE003Z")</f>
        <v>NCPE003Z</v>
      </c>
      <c r="H1313" s="13">
        <f ca="1">IFERROR(__xludf.DUMMYFUNCTION("""COMPUTED_VALUE"""),15800)</f>
        <v>15800</v>
      </c>
      <c r="I1313" s="18">
        <f ca="1">IFERROR(__xludf.DUMMYFUNCTION("""COMPUTED_VALUE"""),15800)</f>
        <v>15800</v>
      </c>
      <c r="J1313" s="16">
        <f ca="1">IFERROR(__xludf.DUMMYFUNCTION("""COMPUTED_VALUE"""),45579)</f>
        <v>45579</v>
      </c>
      <c r="K1313" s="12" t="str">
        <f ca="1">IFERROR(__xludf.DUMMYFUNCTION("""COMPUTED_VALUE"""),"新機上架")</f>
        <v>新機上架</v>
      </c>
      <c r="L1313" s="12" t="str">
        <f ca="1">IFERROR(__xludf.DUMMYFUNCTION("""COMPUTED_VALUE"""),"上架中")</f>
        <v>上架中</v>
      </c>
      <c r="M1313" s="12"/>
      <c r="N1313" s="12" t="str">
        <f ca="1">IFERROR(__xludf.DUMMYFUNCTION("""COMPUTED_VALUE"""),"無線喇叭")</f>
        <v>無線喇叭</v>
      </c>
      <c r="O1313" s="12" t="str">
        <f ca="1">IFERROR(__xludf.DUMMYFUNCTION("""COMPUTED_VALUE"""),"黑")</f>
        <v>黑</v>
      </c>
      <c r="P1313" s="12"/>
      <c r="Q1313" s="12" t="str">
        <f ca="1">IFERROR(__xludf.DUMMYFUNCTION("""COMPUTED_VALUE"""),"耳機:高 195 x 寬 139  x 深 50.8 mm (0.25 公斤)
便攜式收納盒:高 211  x 寬 157  x 深 61mm (0.2 公斤)")</f>
        <v>耳機:高 195 x 寬 139  x 深 50.8 mm (0.25 公斤)
便攜式收納盒:高 211  x 寬 157  x 深 61mm (0.2 公斤)</v>
      </c>
      <c r="R1313" s="12" t="str">
        <f ca="1">IFERROR(__xludf.DUMMYFUNCTION("""COMPUTED_VALUE"""),"中國")</f>
        <v>中國</v>
      </c>
      <c r="S1313" s="12"/>
      <c r="T1313" s="12"/>
      <c r="U1313" s="12" t="str">
        <f ca="1">IFERROR(__xludf.DUMMYFUNCTION("""COMPUTED_VALUE"""),"1年")</f>
        <v>1年</v>
      </c>
      <c r="V1313" s="12"/>
      <c r="W1313" s="12"/>
      <c r="X1313" s="12"/>
      <c r="Y1313" s="12"/>
      <c r="Z1313" s="14"/>
      <c r="AA1313" s="15" t="str">
        <f ca="1">IFERROR(__xludf.DUMMYFUNCTION("""COMPUTED_VALUE"""),"*突破性BOSE沉浸式音效*長達24小時電量*各種音樂情緒都有適合的模式*世界一流的消噪效能")</f>
        <v>*突破性BOSE沉浸式音效*長達24小時電量*各種音樂情緒都有適合的模式*世界一流的消噪效能</v>
      </c>
    </row>
    <row r="1314" spans="1:27" ht="19.5" customHeight="1">
      <c r="A1314" s="12" t="str">
        <f ca="1">IFERROR(__xludf.DUMMYFUNCTION("""COMPUTED_VALUE"""),"音樂週邊")</f>
        <v>音樂週邊</v>
      </c>
      <c r="B1314" s="12" t="str">
        <f ca="1">IFERROR(__xludf.DUMMYFUNCTION("""COMPUTED_VALUE"""),"宏驜")</f>
        <v>宏驜</v>
      </c>
      <c r="C1314" s="12" t="str">
        <f ca="1">IFERROR(__xludf.DUMMYFUNCTION("""COMPUTED_VALUE"""),"BOSE")</f>
        <v>BOSE</v>
      </c>
      <c r="D1314" s="12" t="str">
        <f ca="1">IFERROR(__xludf.DUMMYFUNCTION("""COMPUTED_VALUE"""),"【BOSE】QuietComfort Ultra 耳罩式無線消噪耳機 霧白色")</f>
        <v>【BOSE】QuietComfort Ultra 耳罩式無線消噪耳機 霧白色</v>
      </c>
      <c r="E1314" s="12" t="str">
        <f ca="1">IFERROR(__xludf.DUMMYFUNCTION("""COMPUTED_VALUE"""),"QuietComfort Ultra WHT")</f>
        <v>QuietComfort Ultra WHT</v>
      </c>
      <c r="F1314" s="12">
        <f ca="1">IFERROR(__xludf.DUMMYFUNCTION("""COMPUTED_VALUE"""),51014172)</f>
        <v>51014172</v>
      </c>
      <c r="G1314" s="12" t="str">
        <f ca="1">IFERROR(__xludf.DUMMYFUNCTION("""COMPUTED_VALUE"""),"NCPE0041")</f>
        <v>NCPE0041</v>
      </c>
      <c r="H1314" s="13">
        <f ca="1">IFERROR(__xludf.DUMMYFUNCTION("""COMPUTED_VALUE"""),15800)</f>
        <v>15800</v>
      </c>
      <c r="I1314" s="18">
        <f ca="1">IFERROR(__xludf.DUMMYFUNCTION("""COMPUTED_VALUE"""),15800)</f>
        <v>15800</v>
      </c>
      <c r="J1314" s="16">
        <f ca="1">IFERROR(__xludf.DUMMYFUNCTION("""COMPUTED_VALUE"""),45579)</f>
        <v>45579</v>
      </c>
      <c r="K1314" s="12" t="str">
        <f ca="1">IFERROR(__xludf.DUMMYFUNCTION("""COMPUTED_VALUE"""),"新機上架")</f>
        <v>新機上架</v>
      </c>
      <c r="L1314" s="12" t="str">
        <f ca="1">IFERROR(__xludf.DUMMYFUNCTION("""COMPUTED_VALUE"""),"上架中")</f>
        <v>上架中</v>
      </c>
      <c r="M1314" s="12"/>
      <c r="N1314" s="12" t="str">
        <f ca="1">IFERROR(__xludf.DUMMYFUNCTION("""COMPUTED_VALUE"""),"無線喇叭")</f>
        <v>無線喇叭</v>
      </c>
      <c r="O1314" s="12" t="str">
        <f ca="1">IFERROR(__xludf.DUMMYFUNCTION("""COMPUTED_VALUE"""),"霧白")</f>
        <v>霧白</v>
      </c>
      <c r="P1314" s="12"/>
      <c r="Q1314" s="12" t="str">
        <f ca="1">IFERROR(__xludf.DUMMYFUNCTION("""COMPUTED_VALUE"""),"耳機:高 195 x 寬 139 x 深 50.8 mm (0.25 公斤)
便攜式收納盒:高 211 x 寬 157 x 深 61mm (0.2 公斤)")</f>
        <v>耳機:高 195 x 寬 139 x 深 50.8 mm (0.25 公斤)
便攜式收納盒:高 211 x 寬 157 x 深 61mm (0.2 公斤)</v>
      </c>
      <c r="R1314" s="12" t="str">
        <f ca="1">IFERROR(__xludf.DUMMYFUNCTION("""COMPUTED_VALUE"""),"中國")</f>
        <v>中國</v>
      </c>
      <c r="S1314" s="12"/>
      <c r="T1314" s="12"/>
      <c r="U1314" s="12" t="str">
        <f ca="1">IFERROR(__xludf.DUMMYFUNCTION("""COMPUTED_VALUE"""),"1年")</f>
        <v>1年</v>
      </c>
      <c r="V1314" s="12"/>
      <c r="W1314" s="12"/>
      <c r="X1314" s="12"/>
      <c r="Y1314" s="12"/>
      <c r="Z1314" s="14"/>
      <c r="AA1314" s="15" t="str">
        <f ca="1">IFERROR(__xludf.DUMMYFUNCTION("""COMPUTED_VALUE"""),"*突破性BOSE沉浸式音效*長達24小時電量*各種音樂情緒都有適合的模式*世界一流的消噪效能")</f>
        <v>*突破性BOSE沉浸式音效*長達24小時電量*各種音樂情緒都有適合的模式*世界一流的消噪效能</v>
      </c>
    </row>
    <row r="1315" spans="1:27" ht="19.5" customHeight="1">
      <c r="A1315" s="12" t="str">
        <f ca="1">IFERROR(__xludf.DUMMYFUNCTION("""COMPUTED_VALUE"""),"音樂週邊")</f>
        <v>音樂週邊</v>
      </c>
      <c r="B1315" s="12" t="str">
        <f ca="1">IFERROR(__xludf.DUMMYFUNCTION("""COMPUTED_VALUE"""),"宏驜")</f>
        <v>宏驜</v>
      </c>
      <c r="C1315" s="12" t="str">
        <f ca="1">IFERROR(__xludf.DUMMYFUNCTION("""COMPUTED_VALUE"""),"BOSE")</f>
        <v>BOSE</v>
      </c>
      <c r="D1315" s="12" t="str">
        <f ca="1">IFERROR(__xludf.DUMMYFUNCTION("""COMPUTED_VALUE"""),"【BOSE】QuietComfort Ultra 耳罩式無線消噪耳機 砂岩色")</f>
        <v>【BOSE】QuietComfort Ultra 耳罩式無線消噪耳機 砂岩色</v>
      </c>
      <c r="E1315" s="12" t="str">
        <f ca="1">IFERROR(__xludf.DUMMYFUNCTION("""COMPUTED_VALUE"""),"QuietComfort Ultra SAND")</f>
        <v>QuietComfort Ultra SAND</v>
      </c>
      <c r="F1315" s="12">
        <f ca="1">IFERROR(__xludf.DUMMYFUNCTION("""COMPUTED_VALUE"""),51014173)</f>
        <v>51014173</v>
      </c>
      <c r="G1315" s="12" t="str">
        <f ca="1">IFERROR(__xludf.DUMMYFUNCTION("""COMPUTED_VALUE"""),"NCPE0042")</f>
        <v>NCPE0042</v>
      </c>
      <c r="H1315" s="13">
        <f ca="1">IFERROR(__xludf.DUMMYFUNCTION("""COMPUTED_VALUE"""),15800)</f>
        <v>15800</v>
      </c>
      <c r="I1315" s="18">
        <f ca="1">IFERROR(__xludf.DUMMYFUNCTION("""COMPUTED_VALUE"""),15800)</f>
        <v>15800</v>
      </c>
      <c r="J1315" s="16">
        <f ca="1">IFERROR(__xludf.DUMMYFUNCTION("""COMPUTED_VALUE"""),45579)</f>
        <v>45579</v>
      </c>
      <c r="K1315" s="12" t="str">
        <f ca="1">IFERROR(__xludf.DUMMYFUNCTION("""COMPUTED_VALUE"""),"新機上架")</f>
        <v>新機上架</v>
      </c>
      <c r="L1315" s="12" t="str">
        <f ca="1">IFERROR(__xludf.DUMMYFUNCTION("""COMPUTED_VALUE"""),"上架中")</f>
        <v>上架中</v>
      </c>
      <c r="M1315" s="12"/>
      <c r="N1315" s="12" t="str">
        <f ca="1">IFERROR(__xludf.DUMMYFUNCTION("""COMPUTED_VALUE"""),"無線喇叭")</f>
        <v>無線喇叭</v>
      </c>
      <c r="O1315" s="12" t="str">
        <f ca="1">IFERROR(__xludf.DUMMYFUNCTION("""COMPUTED_VALUE"""),"砂岩")</f>
        <v>砂岩</v>
      </c>
      <c r="P1315" s="12"/>
      <c r="Q1315" s="12" t="str">
        <f ca="1">IFERROR(__xludf.DUMMYFUNCTION("""COMPUTED_VALUE"""),"耳機:高 195 x 寬 139 x 深 50.8 mm (0.25 公斤)
便攜式收納盒:高 211 x 寬 157 x 深 61 mm (0.2 公斤)")</f>
        <v>耳機:高 195 x 寬 139 x 深 50.8 mm (0.25 公斤)
便攜式收納盒:高 211 x 寬 157 x 深 61 mm (0.2 公斤)</v>
      </c>
      <c r="R1315" s="12" t="str">
        <f ca="1">IFERROR(__xludf.DUMMYFUNCTION("""COMPUTED_VALUE"""),"中國")</f>
        <v>中國</v>
      </c>
      <c r="S1315" s="12"/>
      <c r="T1315" s="12"/>
      <c r="U1315" s="12" t="str">
        <f ca="1">IFERROR(__xludf.DUMMYFUNCTION("""COMPUTED_VALUE"""),"1年")</f>
        <v>1年</v>
      </c>
      <c r="V1315" s="12"/>
      <c r="W1315" s="12"/>
      <c r="X1315" s="12"/>
      <c r="Y1315" s="12"/>
      <c r="Z1315" s="14"/>
      <c r="AA1315" s="15" t="str">
        <f ca="1">IFERROR(__xludf.DUMMYFUNCTION("""COMPUTED_VALUE"""),"*突破性BOSE沉浸式音效*長達24小時電量*各種音樂情緒都有適合的模式*世界一流的消噪效能")</f>
        <v>*突破性BOSE沉浸式音效*長達24小時電量*各種音樂情緒都有適合的模式*世界一流的消噪效能</v>
      </c>
    </row>
    <row r="1316" spans="1:27" ht="19.5" customHeight="1">
      <c r="A1316" s="12" t="str">
        <f ca="1">IFERROR(__xludf.DUMMYFUNCTION("""COMPUTED_VALUE"""),"音樂週邊")</f>
        <v>音樂週邊</v>
      </c>
      <c r="B1316" s="12" t="str">
        <f ca="1">IFERROR(__xludf.DUMMYFUNCTION("""COMPUTED_VALUE"""),"宏驜")</f>
        <v>宏驜</v>
      </c>
      <c r="C1316" s="12" t="str">
        <f ca="1">IFERROR(__xludf.DUMMYFUNCTION("""COMPUTED_VALUE"""),"BOSE")</f>
        <v>BOSE</v>
      </c>
      <c r="D1316" s="12" t="str">
        <f ca="1">IFERROR(__xludf.DUMMYFUNCTION("""COMPUTED_VALUE"""),"【BOSE】QuietComfort 耳罩式藍牙無線消噪耳機(黑色)")</f>
        <v>【BOSE】QuietComfort 耳罩式藍牙無線消噪耳機(黑色)</v>
      </c>
      <c r="E1316" s="12" t="str">
        <f ca="1">IFERROR(__xludf.DUMMYFUNCTION("""COMPUTED_VALUE"""),"QuietComfort Ultra headf BLK")</f>
        <v>QuietComfort Ultra headf BLK</v>
      </c>
      <c r="F1316" s="12">
        <f ca="1">IFERROR(__xludf.DUMMYFUNCTION("""COMPUTED_VALUE"""),51014174)</f>
        <v>51014174</v>
      </c>
      <c r="G1316" s="12" t="str">
        <f ca="1">IFERROR(__xludf.DUMMYFUNCTION("""COMPUTED_VALUE"""),"NCPE0043")</f>
        <v>NCPE0043</v>
      </c>
      <c r="H1316" s="13">
        <f ca="1">IFERROR(__xludf.DUMMYFUNCTION("""COMPUTED_VALUE"""),11500)</f>
        <v>11500</v>
      </c>
      <c r="I1316" s="18">
        <f ca="1">IFERROR(__xludf.DUMMYFUNCTION("""COMPUTED_VALUE"""),11500)</f>
        <v>11500</v>
      </c>
      <c r="J1316" s="16">
        <f ca="1">IFERROR(__xludf.DUMMYFUNCTION("""COMPUTED_VALUE"""),45579)</f>
        <v>45579</v>
      </c>
      <c r="K1316" s="12" t="str">
        <f ca="1">IFERROR(__xludf.DUMMYFUNCTION("""COMPUTED_VALUE"""),"新機上架")</f>
        <v>新機上架</v>
      </c>
      <c r="L1316" s="12" t="str">
        <f ca="1">IFERROR(__xludf.DUMMYFUNCTION("""COMPUTED_VALUE"""),"上架中")</f>
        <v>上架中</v>
      </c>
      <c r="M1316" s="12"/>
      <c r="N1316" s="12" t="str">
        <f ca="1">IFERROR(__xludf.DUMMYFUNCTION("""COMPUTED_VALUE"""),"無線喇叭
")</f>
        <v xml:space="preserve">無線喇叭
</v>
      </c>
      <c r="O1316" s="12" t="str">
        <f ca="1">IFERROR(__xludf.DUMMYFUNCTION("""COMPUTED_VALUE"""),"黑")</f>
        <v>黑</v>
      </c>
      <c r="P1316" s="12"/>
      <c r="Q1316" s="12" t="str">
        <f ca="1">IFERROR(__xludf.DUMMYFUNCTION("""COMPUTED_VALUE"""),"耳機:高 184 x 寬 152.4x 深 76.2 mm（0.24 公斤）
便攜包:高 211m x 寬 145  x 深 51 mm（0.18 公斤）")</f>
        <v>耳機:高 184 x 寬 152.4x 深 76.2 mm（0.24 公斤）
便攜包:高 211m x 寬 145  x 深 51 mm（0.18 公斤）</v>
      </c>
      <c r="R1316" s="12" t="str">
        <f ca="1">IFERROR(__xludf.DUMMYFUNCTION("""COMPUTED_VALUE"""),"泰國")</f>
        <v>泰國</v>
      </c>
      <c r="S1316" s="12"/>
      <c r="T1316" s="12"/>
      <c r="U1316" s="12" t="str">
        <f ca="1">IFERROR(__xludf.DUMMYFUNCTION("""COMPUTED_VALUE"""),"1年")</f>
        <v>1年</v>
      </c>
      <c r="V1316" s="12"/>
      <c r="W1316" s="12"/>
      <c r="X1316" s="12"/>
      <c r="Y1316" s="12"/>
      <c r="Z1316" s="14"/>
      <c r="AA1316" s="15" t="str">
        <f ca="1">IFERROR(__xludf.DUMMYFUNCTION("""COMPUTED_VALUE"""),"*優異的消噪能力*電池續航力長達 24 小時*舒適佩戴一整天*高傳真音質、可調 EQ")</f>
        <v>*優異的消噪能力*電池續航力長達 24 小時*舒適佩戴一整天*高傳真音質、可調 EQ</v>
      </c>
    </row>
    <row r="1317" spans="1:27" ht="19.5" customHeight="1">
      <c r="A1317" s="12" t="str">
        <f ca="1">IFERROR(__xludf.DUMMYFUNCTION("""COMPUTED_VALUE"""),"音樂週邊")</f>
        <v>音樂週邊</v>
      </c>
      <c r="B1317" s="12" t="str">
        <f ca="1">IFERROR(__xludf.DUMMYFUNCTION("""COMPUTED_VALUE"""),"宏驜")</f>
        <v>宏驜</v>
      </c>
      <c r="C1317" s="12" t="str">
        <f ca="1">IFERROR(__xludf.DUMMYFUNCTION("""COMPUTED_VALUE"""),"BOSE")</f>
        <v>BOSE</v>
      </c>
      <c r="D1317" s="12" t="str">
        <f ca="1">IFERROR(__xludf.DUMMYFUNCTION("""COMPUTED_VALUE"""),"【BOSE】QuietComfort 耳罩式藍牙無線消噪耳機(霧白色)")</f>
        <v>【BOSE】QuietComfort 耳罩式藍牙無線消噪耳機(霧白色)</v>
      </c>
      <c r="E1317" s="12" t="str">
        <f ca="1">IFERROR(__xludf.DUMMYFUNCTION("""COMPUTED_VALUE"""),"QuietComfort Ultra headf WHT")</f>
        <v>QuietComfort Ultra headf WHT</v>
      </c>
      <c r="F1317" s="12">
        <f ca="1">IFERROR(__xludf.DUMMYFUNCTION("""COMPUTED_VALUE"""),51014175)</f>
        <v>51014175</v>
      </c>
      <c r="G1317" s="12" t="str">
        <f ca="1">IFERROR(__xludf.DUMMYFUNCTION("""COMPUTED_VALUE"""),"NCPE0044")</f>
        <v>NCPE0044</v>
      </c>
      <c r="H1317" s="13">
        <f ca="1">IFERROR(__xludf.DUMMYFUNCTION("""COMPUTED_VALUE"""),11500)</f>
        <v>11500</v>
      </c>
      <c r="I1317" s="18">
        <f ca="1">IFERROR(__xludf.DUMMYFUNCTION("""COMPUTED_VALUE"""),11500)</f>
        <v>11500</v>
      </c>
      <c r="J1317" s="16">
        <f ca="1">IFERROR(__xludf.DUMMYFUNCTION("""COMPUTED_VALUE"""),45579)</f>
        <v>45579</v>
      </c>
      <c r="K1317" s="12" t="str">
        <f ca="1">IFERROR(__xludf.DUMMYFUNCTION("""COMPUTED_VALUE"""),"新機上架")</f>
        <v>新機上架</v>
      </c>
      <c r="L1317" s="12" t="str">
        <f ca="1">IFERROR(__xludf.DUMMYFUNCTION("""COMPUTED_VALUE"""),"上架中")</f>
        <v>上架中</v>
      </c>
      <c r="M1317" s="12"/>
      <c r="N1317" s="12" t="str">
        <f ca="1">IFERROR(__xludf.DUMMYFUNCTION("""COMPUTED_VALUE"""),"無線喇叭
")</f>
        <v xml:space="preserve">無線喇叭
</v>
      </c>
      <c r="O1317" s="12" t="str">
        <f ca="1">IFERROR(__xludf.DUMMYFUNCTION("""COMPUTED_VALUE"""),"霧白")</f>
        <v>霧白</v>
      </c>
      <c r="P1317" s="12"/>
      <c r="Q1317" s="12" t="str">
        <f ca="1">IFERROR(__xludf.DUMMYFUNCTION("""COMPUTED_VALUE"""),"耳機:高 184  x 寬 152.4 x 深 76.2 mm（0.24 公斤）
便攜包:高 211 x 寬 145 x 深 51mm（0.18 公斤）")</f>
        <v>耳機:高 184  x 寬 152.4 x 深 76.2 mm（0.24 公斤）
便攜包:高 211 x 寬 145 x 深 51mm（0.18 公斤）</v>
      </c>
      <c r="R1317" s="12" t="str">
        <f ca="1">IFERROR(__xludf.DUMMYFUNCTION("""COMPUTED_VALUE"""),"泰國")</f>
        <v>泰國</v>
      </c>
      <c r="S1317" s="12"/>
      <c r="T1317" s="12"/>
      <c r="U1317" s="12" t="str">
        <f ca="1">IFERROR(__xludf.DUMMYFUNCTION("""COMPUTED_VALUE"""),"1年")</f>
        <v>1年</v>
      </c>
      <c r="V1317" s="12"/>
      <c r="W1317" s="12"/>
      <c r="X1317" s="12"/>
      <c r="Y1317" s="12"/>
      <c r="Z1317" s="14"/>
      <c r="AA1317" s="15" t="str">
        <f ca="1">IFERROR(__xludf.DUMMYFUNCTION("""COMPUTED_VALUE"""),"*優異的消噪能力*電池續航力長達 24 小時*舒適佩戴一整天*高傳真音質、可調 EQ")</f>
        <v>*優異的消噪能力*電池續航力長達 24 小時*舒適佩戴一整天*高傳真音質、可調 EQ</v>
      </c>
    </row>
    <row r="1318" spans="1:27" ht="19.5" customHeight="1">
      <c r="A1318" s="12" t="str">
        <f ca="1">IFERROR(__xludf.DUMMYFUNCTION("""COMPUTED_VALUE"""),"音樂週邊")</f>
        <v>音樂週邊</v>
      </c>
      <c r="B1318" s="12" t="str">
        <f ca="1">IFERROR(__xludf.DUMMYFUNCTION("""COMPUTED_VALUE"""),"宏驜")</f>
        <v>宏驜</v>
      </c>
      <c r="C1318" s="12" t="str">
        <f ca="1">IFERROR(__xludf.DUMMYFUNCTION("""COMPUTED_VALUE"""),"BOSE")</f>
        <v>BOSE</v>
      </c>
      <c r="D1318" s="12" t="str">
        <f ca="1">IFERROR(__xludf.DUMMYFUNCTION("""COMPUTED_VALUE"""),"【BOSE】QuietComfort 耳罩式藍牙無線消噪耳機(月石藍)")</f>
        <v>【BOSE】QuietComfort 耳罩式藍牙無線消噪耳機(月石藍)</v>
      </c>
      <c r="E1318" s="12" t="str">
        <f ca="1">IFERROR(__xludf.DUMMYFUNCTION("""COMPUTED_VALUE"""),"QuietComfort Ultra headf BLU")</f>
        <v>QuietComfort Ultra headf BLU</v>
      </c>
      <c r="F1318" s="12">
        <f ca="1">IFERROR(__xludf.DUMMYFUNCTION("""COMPUTED_VALUE"""),51014176)</f>
        <v>51014176</v>
      </c>
      <c r="G1318" s="12" t="str">
        <f ca="1">IFERROR(__xludf.DUMMYFUNCTION("""COMPUTED_VALUE"""),"NCPE0045")</f>
        <v>NCPE0045</v>
      </c>
      <c r="H1318" s="13">
        <f ca="1">IFERROR(__xludf.DUMMYFUNCTION("""COMPUTED_VALUE"""),11500)</f>
        <v>11500</v>
      </c>
      <c r="I1318" s="18">
        <f ca="1">IFERROR(__xludf.DUMMYFUNCTION("""COMPUTED_VALUE"""),11500)</f>
        <v>11500</v>
      </c>
      <c r="J1318" s="16">
        <f ca="1">IFERROR(__xludf.DUMMYFUNCTION("""COMPUTED_VALUE"""),45579)</f>
        <v>45579</v>
      </c>
      <c r="K1318" s="12" t="str">
        <f ca="1">IFERROR(__xludf.DUMMYFUNCTION("""COMPUTED_VALUE"""),"新機上架")</f>
        <v>新機上架</v>
      </c>
      <c r="L1318" s="12" t="str">
        <f ca="1">IFERROR(__xludf.DUMMYFUNCTION("""COMPUTED_VALUE"""),"上架中")</f>
        <v>上架中</v>
      </c>
      <c r="M1318" s="12"/>
      <c r="N1318" s="12" t="str">
        <f ca="1">IFERROR(__xludf.DUMMYFUNCTION("""COMPUTED_VALUE"""),"無線喇叭
")</f>
        <v xml:space="preserve">無線喇叭
</v>
      </c>
      <c r="O1318" s="12" t="str">
        <f ca="1">IFERROR(__xludf.DUMMYFUNCTION("""COMPUTED_VALUE"""),"月石藍")</f>
        <v>月石藍</v>
      </c>
      <c r="P1318" s="12"/>
      <c r="Q1318" s="12" t="str">
        <f ca="1">IFERROR(__xludf.DUMMYFUNCTION("""COMPUTED_VALUE"""),"耳機:高 184 x 寬 152.4 x 深 76.2 mm（0.24 公斤）
便攜包:高 211 x 寬 145 x 深 51mm（0.18 公斤）")</f>
        <v>耳機:高 184 x 寬 152.4 x 深 76.2 mm（0.24 公斤）
便攜包:高 211 x 寬 145 x 深 51mm（0.18 公斤）</v>
      </c>
      <c r="R1318" s="12" t="str">
        <f ca="1">IFERROR(__xludf.DUMMYFUNCTION("""COMPUTED_VALUE"""),"泰國")</f>
        <v>泰國</v>
      </c>
      <c r="S1318" s="12"/>
      <c r="T1318" s="12"/>
      <c r="U1318" s="12" t="str">
        <f ca="1">IFERROR(__xludf.DUMMYFUNCTION("""COMPUTED_VALUE"""),"1年")</f>
        <v>1年</v>
      </c>
      <c r="V1318" s="12"/>
      <c r="W1318" s="12"/>
      <c r="X1318" s="12"/>
      <c r="Y1318" s="12"/>
      <c r="Z1318" s="14"/>
      <c r="AA1318" s="15" t="str">
        <f ca="1">IFERROR(__xludf.DUMMYFUNCTION("""COMPUTED_VALUE"""),"*優異的消噪能力*電池續航力長達 24 小時*舒適佩戴一整天*高傳真音質、可調 EQ")</f>
        <v>*優異的消噪能力*電池續航力長達 24 小時*舒適佩戴一整天*高傳真音質、可調 EQ</v>
      </c>
    </row>
    <row r="1319" spans="1:27" ht="19.5" customHeight="1">
      <c r="A1319" s="12" t="str">
        <f ca="1">IFERROR(__xludf.DUMMYFUNCTION("""COMPUTED_VALUE"""),"音樂週邊")</f>
        <v>音樂週邊</v>
      </c>
      <c r="B1319" s="12" t="str">
        <f ca="1">IFERROR(__xludf.DUMMYFUNCTION("""COMPUTED_VALUE"""),"宏驜")</f>
        <v>宏驜</v>
      </c>
      <c r="C1319" s="12" t="str">
        <f ca="1">IFERROR(__xludf.DUMMYFUNCTION("""COMPUTED_VALUE"""),"BOSE")</f>
        <v>BOSE</v>
      </c>
      <c r="D1319" s="12" t="str">
        <f ca="1">IFERROR(__xludf.DUMMYFUNCTION("""COMPUTED_VALUE"""),"【BOSE】QuietComfort 耳罩式藍牙無線消噪耳機(松柏綠)")</f>
        <v>【BOSE】QuietComfort 耳罩式藍牙無線消噪耳機(松柏綠)</v>
      </c>
      <c r="E1319" s="12" t="str">
        <f ca="1">IFERROR(__xludf.DUMMYFUNCTION("""COMPUTED_VALUE"""),"QuietComfort Ultra headf GRN")</f>
        <v>QuietComfort Ultra headf GRN</v>
      </c>
      <c r="F1319" s="12">
        <f ca="1">IFERROR(__xludf.DUMMYFUNCTION("""COMPUTED_VALUE"""),51014177)</f>
        <v>51014177</v>
      </c>
      <c r="G1319" s="12" t="str">
        <f ca="1">IFERROR(__xludf.DUMMYFUNCTION("""COMPUTED_VALUE"""),"NCPE0046")</f>
        <v>NCPE0046</v>
      </c>
      <c r="H1319" s="13">
        <f ca="1">IFERROR(__xludf.DUMMYFUNCTION("""COMPUTED_VALUE"""),11500)</f>
        <v>11500</v>
      </c>
      <c r="I1319" s="18">
        <f ca="1">IFERROR(__xludf.DUMMYFUNCTION("""COMPUTED_VALUE"""),11500)</f>
        <v>11500</v>
      </c>
      <c r="J1319" s="16">
        <f ca="1">IFERROR(__xludf.DUMMYFUNCTION("""COMPUTED_VALUE"""),45579)</f>
        <v>45579</v>
      </c>
      <c r="K1319" s="12" t="str">
        <f ca="1">IFERROR(__xludf.DUMMYFUNCTION("""COMPUTED_VALUE"""),"新機上架")</f>
        <v>新機上架</v>
      </c>
      <c r="L1319" s="12" t="str">
        <f ca="1">IFERROR(__xludf.DUMMYFUNCTION("""COMPUTED_VALUE"""),"上架中")</f>
        <v>上架中</v>
      </c>
      <c r="M1319" s="12"/>
      <c r="N1319" s="12" t="str">
        <f ca="1">IFERROR(__xludf.DUMMYFUNCTION("""COMPUTED_VALUE"""),"無線喇叭
")</f>
        <v xml:space="preserve">無線喇叭
</v>
      </c>
      <c r="O1319" s="12" t="str">
        <f ca="1">IFERROR(__xludf.DUMMYFUNCTION("""COMPUTED_VALUE"""),"松柏綠")</f>
        <v>松柏綠</v>
      </c>
      <c r="P1319" s="12"/>
      <c r="Q1319" s="12" t="str">
        <f ca="1">IFERROR(__xludf.DUMMYFUNCTION("""COMPUTED_VALUE"""),"耳機:高 184 x 寬 152.4 x 深 76.2 mm（0.24 公斤）
便攜包:高 211  x 寬 145  x 深 51 mm（0.18 公斤）")</f>
        <v>耳機:高 184 x 寬 152.4 x 深 76.2 mm（0.24 公斤）
便攜包:高 211  x 寬 145  x 深 51 mm（0.18 公斤）</v>
      </c>
      <c r="R1319" s="12" t="str">
        <f ca="1">IFERROR(__xludf.DUMMYFUNCTION("""COMPUTED_VALUE"""),"泰國")</f>
        <v>泰國</v>
      </c>
      <c r="S1319" s="12"/>
      <c r="T1319" s="12"/>
      <c r="U1319" s="12" t="str">
        <f ca="1">IFERROR(__xludf.DUMMYFUNCTION("""COMPUTED_VALUE"""),"1年")</f>
        <v>1年</v>
      </c>
      <c r="V1319" s="12"/>
      <c r="W1319" s="12"/>
      <c r="X1319" s="12"/>
      <c r="Y1319" s="12"/>
      <c r="Z1319" s="14"/>
      <c r="AA1319" s="15" t="str">
        <f ca="1">IFERROR(__xludf.DUMMYFUNCTION("""COMPUTED_VALUE"""),"*優異的消噪能力*電池續航力長達 24 小時*舒適佩戴一整天*高傳真音質、可調 EQ")</f>
        <v>*優異的消噪能力*電池續航力長達 24 小時*舒適佩戴一整天*高傳真音質、可調 EQ</v>
      </c>
    </row>
    <row r="1320" spans="1:27" ht="19.5" customHeight="1">
      <c r="A1320" s="12" t="str">
        <f ca="1">IFERROR(__xludf.DUMMYFUNCTION("""COMPUTED_VALUE"""),"HDTV")</f>
        <v>HDTV</v>
      </c>
      <c r="B1320" s="12" t="str">
        <f ca="1">IFERROR(__xludf.DUMMYFUNCTION("""COMPUTED_VALUE"""),"燦坤")</f>
        <v>燦坤</v>
      </c>
      <c r="C1320" s="12" t="str">
        <f ca="1">IFERROR(__xludf.DUMMYFUNCTION("""COMPUTED_VALUE"""),"SONY")</f>
        <v>SONY</v>
      </c>
      <c r="D1320" s="12" t="str">
        <f ca="1">IFERROR(__xludf.DUMMYFUNCTION("""COMPUTED_VALUE"""),"SONY 55型連網4K液晶顯示器(無視訊盒) XRM-55X90L")</f>
        <v>SONY 55型連網4K液晶顯示器(無視訊盒) XRM-55X90L</v>
      </c>
      <c r="E1320" s="12" t="str">
        <f ca="1">IFERROR(__xludf.DUMMYFUNCTION("""COMPUTED_VALUE"""),"XRM-55X90L")</f>
        <v>XRM-55X90L</v>
      </c>
      <c r="F1320" s="12">
        <f ca="1">IFERROR(__xludf.DUMMYFUNCTION("""COMPUTED_VALUE"""),51004229)</f>
        <v>51004229</v>
      </c>
      <c r="G1320" s="12" t="str">
        <f ca="1">IFERROR(__xludf.DUMMYFUNCTION("""COMPUTED_VALUE"""),"NCTV01KP")</f>
        <v>NCTV01KP</v>
      </c>
      <c r="H1320" s="12">
        <f ca="1">IFERROR(__xludf.DUMMYFUNCTION("""COMPUTED_VALUE"""),49900)</f>
        <v>49900</v>
      </c>
      <c r="I1320" s="18">
        <f ca="1">IFERROR(__xludf.DUMMYFUNCTION("""COMPUTED_VALUE"""),39500)</f>
        <v>39500</v>
      </c>
      <c r="J1320" s="16">
        <f ca="1">IFERROR(__xludf.DUMMYFUNCTION("""COMPUTED_VALUE"""),45681)</f>
        <v>45681</v>
      </c>
      <c r="K1320" s="12" t="str">
        <f ca="1">IFERROR(__xludf.DUMMYFUNCTION("""COMPUTED_VALUE"""),"永久降價")</f>
        <v>永久降價</v>
      </c>
      <c r="L1320" s="12" t="str">
        <f ca="1">IFERROR(__xludf.DUMMYFUNCTION("""COMPUTED_VALUE"""),"上架中")</f>
        <v>上架中</v>
      </c>
      <c r="M1320" s="12"/>
      <c r="N1320" s="12" t="str">
        <f ca="1">IFERROR(__xludf.DUMMYFUNCTION("""COMPUTED_VALUE"""),"螢幕/液晶電視")</f>
        <v>螢幕/液晶電視</v>
      </c>
      <c r="O1320" s="12"/>
      <c r="P1320" s="12" t="str">
        <f ca="1">IFERROR(__xludf.DUMMYFUNCTION("""COMPUTED_VALUE"""),"55型")</f>
        <v>55型</v>
      </c>
      <c r="Q1320" s="12" t="str">
        <f ca="1">IFERROR(__xludf.DUMMYFUNCTION("""COMPUTED_VALUE"""),"含底座 (標準位置) (高 X 寬 X 深)
約 738 x 1225 x 345 mm")</f>
        <v>含底座 (標準位置) (高 X 寬 X 深)
約 738 x 1225 x 345 mm</v>
      </c>
      <c r="R1320" s="12" t="str">
        <f ca="1">IFERROR(__xludf.DUMMYFUNCTION("""COMPUTED_VALUE"""),"馬來西亞")</f>
        <v>馬來西亞</v>
      </c>
      <c r="S1320" s="12"/>
      <c r="T1320" s="12"/>
      <c r="U1320" s="12" t="str">
        <f ca="1">IFERROR(__xludf.DUMMYFUNCTION("""COMPUTED_VALUE"""),"2年")</f>
        <v>2年</v>
      </c>
      <c r="V1320" s="12"/>
      <c r="W1320" s="12"/>
      <c r="X1320" s="12"/>
      <c r="Y1320" s="12"/>
      <c r="Z1320" s="14"/>
      <c r="AA1320" s="15" t="str">
        <f ca="1">IFERROR(__xludf.DUMMYFUNCTION("""COMPUTED_VALUE"""),"*認知智慧處理器 XR*全陣列LED搭配XR降噪銳化*多音域環繞聲場 + 中置聲場同步*Google TV/Netflix 自適應校色模式*BRAVIA CORE校色/Pure Stream畫質串流*IMAX Enhanced/杜比視界&amp;全景聲
*HDMI 4組/USB 2組/遊戲選單&amp;節能儀表板")</f>
        <v>*認知智慧處理器 XR*全陣列LED搭配XR降噪銳化*多音域環繞聲場 + 中置聲場同步*Google TV/Netflix 自適應校色模式*BRAVIA CORE校色/Pure Stream畫質串流*IMAX Enhanced/杜比視界&amp;全景聲
*HDMI 4組/USB 2組/遊戲選單&amp;節能儀表板</v>
      </c>
    </row>
    <row r="1321" spans="1:27" ht="19.5" customHeight="1">
      <c r="A1321" s="12" t="str">
        <f ca="1">IFERROR(__xludf.DUMMYFUNCTION("""COMPUTED_VALUE"""),"HDTV")</f>
        <v>HDTV</v>
      </c>
      <c r="B1321" s="12" t="str">
        <f ca="1">IFERROR(__xludf.DUMMYFUNCTION("""COMPUTED_VALUE"""),"燦坤")</f>
        <v>燦坤</v>
      </c>
      <c r="C1321" s="12" t="str">
        <f ca="1">IFERROR(__xludf.DUMMYFUNCTION("""COMPUTED_VALUE"""),"SONY")</f>
        <v>SONY</v>
      </c>
      <c r="D1321" s="12" t="str">
        <f ca="1">IFERROR(__xludf.DUMMYFUNCTION("""COMPUTED_VALUE"""),"SONY 65型連網4K液晶顯示器(無視訊盒) XRM-65X90L")</f>
        <v>SONY 65型連網4K液晶顯示器(無視訊盒) XRM-65X90L</v>
      </c>
      <c r="E1321" s="12" t="str">
        <f ca="1">IFERROR(__xludf.DUMMYFUNCTION("""COMPUTED_VALUE"""),"XRM-65X90L")</f>
        <v>XRM-65X90L</v>
      </c>
      <c r="F1321" s="12">
        <f ca="1">IFERROR(__xludf.DUMMYFUNCTION("""COMPUTED_VALUE"""),51004230)</f>
        <v>51004230</v>
      </c>
      <c r="G1321" s="12" t="str">
        <f ca="1">IFERROR(__xludf.DUMMYFUNCTION("""COMPUTED_VALUE"""),"NCTV01KQ")</f>
        <v>NCTV01KQ</v>
      </c>
      <c r="H1321" s="12">
        <f ca="1">IFERROR(__xludf.DUMMYFUNCTION("""COMPUTED_VALUE"""),59900)</f>
        <v>59900</v>
      </c>
      <c r="I1321" s="18">
        <f ca="1">IFERROR(__xludf.DUMMYFUNCTION("""COMPUTED_VALUE"""),45500)</f>
        <v>45500</v>
      </c>
      <c r="J1321" s="16">
        <f ca="1">IFERROR(__xludf.DUMMYFUNCTION("""COMPUTED_VALUE"""),45681)</f>
        <v>45681</v>
      </c>
      <c r="K1321" s="12" t="str">
        <f ca="1">IFERROR(__xludf.DUMMYFUNCTION("""COMPUTED_VALUE"""),"永久降價")</f>
        <v>永久降價</v>
      </c>
      <c r="L1321" s="12" t="str">
        <f ca="1">IFERROR(__xludf.DUMMYFUNCTION("""COMPUTED_VALUE"""),"上架中")</f>
        <v>上架中</v>
      </c>
      <c r="M1321" s="12"/>
      <c r="N1321" s="12" t="str">
        <f ca="1">IFERROR(__xludf.DUMMYFUNCTION("""COMPUTED_VALUE"""),"螢幕/液晶電視")</f>
        <v>螢幕/液晶電視</v>
      </c>
      <c r="O1321" s="12"/>
      <c r="P1321" s="12" t="str">
        <f ca="1">IFERROR(__xludf.DUMMYFUNCTION("""COMPUTED_VALUE"""),"65型")</f>
        <v>65型</v>
      </c>
      <c r="Q1321" s="12" t="str">
        <f ca="1">IFERROR(__xludf.DUMMYFUNCTION("""COMPUTED_VALUE"""),"含底座 (標準位置) ( 高 X 寬 X深)
約  861 x 1445 x345 mm")</f>
        <v>含底座 (標準位置) ( 高 X 寬 X深)
約  861 x 1445 x345 mm</v>
      </c>
      <c r="R1321" s="12" t="str">
        <f ca="1">IFERROR(__xludf.DUMMYFUNCTION("""COMPUTED_VALUE"""),"馬來西亞")</f>
        <v>馬來西亞</v>
      </c>
      <c r="S1321" s="12"/>
      <c r="T1321" s="12"/>
      <c r="U1321" s="12" t="str">
        <f ca="1">IFERROR(__xludf.DUMMYFUNCTION("""COMPUTED_VALUE"""),"2年")</f>
        <v>2年</v>
      </c>
      <c r="V1321" s="12"/>
      <c r="W1321" s="12"/>
      <c r="X1321" s="12"/>
      <c r="Y1321" s="12"/>
      <c r="Z1321" s="14"/>
      <c r="AA1321" s="15" t="str">
        <f ca="1">IFERROR(__xludf.DUMMYFUNCTION("""COMPUTED_VALUE"""),"*認知智慧處理器 XR*全陣列LED搭配XR降噪銳化*多音域環繞聲場 + 中置聲場同步*Google TV/Netflix 自適應校色模式*BRAVIA CORE校色/Pure Stream畫質串流*IMAX Enhanced/杜比視界&amp;全景聲
*HDMI 4組/USB 2組/遊戲選單&amp;節能儀表板")</f>
        <v>*認知智慧處理器 XR*全陣列LED搭配XR降噪銳化*多音域環繞聲場 + 中置聲場同步*Google TV/Netflix 自適應校色模式*BRAVIA CORE校色/Pure Stream畫質串流*IMAX Enhanced/杜比視界&amp;全景聲
*HDMI 4組/USB 2組/遊戲選單&amp;節能儀表板</v>
      </c>
    </row>
    <row r="1322" spans="1:27" ht="19.5" customHeight="1">
      <c r="A1322" s="12" t="str">
        <f ca="1">IFERROR(__xludf.DUMMYFUNCTION("""COMPUTED_VALUE"""),"HDTV")</f>
        <v>HDTV</v>
      </c>
      <c r="B1322" s="12" t="str">
        <f ca="1">IFERROR(__xludf.DUMMYFUNCTION("""COMPUTED_VALUE"""),"燦坤")</f>
        <v>燦坤</v>
      </c>
      <c r="C1322" s="12" t="str">
        <f ca="1">IFERROR(__xludf.DUMMYFUNCTION("""COMPUTED_VALUE"""),"SONY")</f>
        <v>SONY</v>
      </c>
      <c r="D1322" s="12" t="str">
        <f ca="1">IFERROR(__xludf.DUMMYFUNCTION("""COMPUTED_VALUE"""),"SONY 75型連網4K液晶顯示器(無視訊盒) XRM-75X90L")</f>
        <v>SONY 75型連網4K液晶顯示器(無視訊盒) XRM-75X90L</v>
      </c>
      <c r="E1322" s="12" t="str">
        <f ca="1">IFERROR(__xludf.DUMMYFUNCTION("""COMPUTED_VALUE"""),"XRM-75X90L")</f>
        <v>XRM-75X90L</v>
      </c>
      <c r="F1322" s="12">
        <f ca="1">IFERROR(__xludf.DUMMYFUNCTION("""COMPUTED_VALUE"""),51004237)</f>
        <v>51004237</v>
      </c>
      <c r="G1322" s="12" t="str">
        <f ca="1">IFERROR(__xludf.DUMMYFUNCTION("""COMPUTED_VALUE"""),"NCTV01LZ")</f>
        <v>NCTV01LZ</v>
      </c>
      <c r="H1322" s="13">
        <f ca="1">IFERROR(__xludf.DUMMYFUNCTION("""COMPUTED_VALUE"""),99900)</f>
        <v>99900</v>
      </c>
      <c r="I1322" s="18">
        <f ca="1">IFERROR(__xludf.DUMMYFUNCTION("""COMPUTED_VALUE"""),73500)</f>
        <v>73500</v>
      </c>
      <c r="J1322" s="16">
        <f ca="1">IFERROR(__xludf.DUMMYFUNCTION("""COMPUTED_VALUE"""),45681)</f>
        <v>45681</v>
      </c>
      <c r="K1322" s="12" t="str">
        <f ca="1">IFERROR(__xludf.DUMMYFUNCTION("""COMPUTED_VALUE"""),"永久降價")</f>
        <v>永久降價</v>
      </c>
      <c r="L1322" s="12" t="str">
        <f ca="1">IFERROR(__xludf.DUMMYFUNCTION("""COMPUTED_VALUE"""),"上架中")</f>
        <v>上架中</v>
      </c>
      <c r="M1322" s="12"/>
      <c r="N1322" s="12" t="str">
        <f ca="1">IFERROR(__xludf.DUMMYFUNCTION("""COMPUTED_VALUE"""),"螢幕/液晶電視")</f>
        <v>螢幕/液晶電視</v>
      </c>
      <c r="O1322" s="12"/>
      <c r="P1322" s="12" t="str">
        <f ca="1">IFERROR(__xludf.DUMMYFUNCTION("""COMPUTED_VALUE"""),"75型")</f>
        <v>75型</v>
      </c>
      <c r="Q1322" s="12" t="str">
        <f ca="1">IFERROR(__xludf.DUMMYFUNCTION("""COMPUTED_VALUE"""),"含底座 992 x 1668 x 395mm")</f>
        <v>含底座 992 x 1668 x 395mm</v>
      </c>
      <c r="R1322" s="12" t="str">
        <f ca="1">IFERROR(__xludf.DUMMYFUNCTION("""COMPUTED_VALUE"""),"馬來西亞")</f>
        <v>馬來西亞</v>
      </c>
      <c r="S1322" s="12"/>
      <c r="T1322" s="12"/>
      <c r="U1322" s="12" t="str">
        <f ca="1">IFERROR(__xludf.DUMMYFUNCTION("""COMPUTED_VALUE"""),"2年")</f>
        <v>2年</v>
      </c>
      <c r="V1322" s="12"/>
      <c r="W1322" s="12"/>
      <c r="X1322" s="12"/>
      <c r="Y1322" s="12"/>
      <c r="Z1322" s="14"/>
      <c r="AA1322" s="15" t="str">
        <f ca="1">IFERROR(__xludf.DUMMYFUNCTION("""COMPUTED_VALUE"""),"*認知智慧處理器 XR*全陣列 LED 搭配 XR 降噪銳化 *多音域環繞聲場 中置聲場同步*Google TV/Netflix 自適應校色模式*BRAVIA CORE校色 、Pure Stream™ 畫質串流*IMAX® Enhanced、杜比視界、杜比全景聲*HDMI 4組/USB 2組/遊戲選單 節能儀表板")</f>
        <v>*認知智慧處理器 XR*全陣列 LED 搭配 XR 降噪銳化 *多音域環繞聲場 中置聲場同步*Google TV/Netflix 自適應校色模式*BRAVIA CORE校色 、Pure Stream™ 畫質串流*IMAX® Enhanced、杜比視界、杜比全景聲*HDMI 4組/USB 2組/遊戲選單 節能儀表板</v>
      </c>
    </row>
    <row r="1323" spans="1:27" ht="19.5" customHeight="1">
      <c r="A1323" s="12" t="str">
        <f ca="1">IFERROR(__xludf.DUMMYFUNCTION("""COMPUTED_VALUE"""),"HDTV")</f>
        <v>HDTV</v>
      </c>
      <c r="B1323" s="12" t="str">
        <f ca="1">IFERROR(__xludf.DUMMYFUNCTION("""COMPUTED_VALUE"""),"燦坤")</f>
        <v>燦坤</v>
      </c>
      <c r="C1323" s="12" t="str">
        <f ca="1">IFERROR(__xludf.DUMMYFUNCTION("""COMPUTED_VALUE"""),"SONY")</f>
        <v>SONY</v>
      </c>
      <c r="D1323" s="12" t="str">
        <f ca="1">IFERROR(__xludf.DUMMYFUNCTION("""COMPUTED_VALUE"""),"SONY 43型4K智慧連網顯示器Bravia3 (Y-43S30)")</f>
        <v>SONY 43型4K智慧連網顯示器Bravia3 (Y-43S30)</v>
      </c>
      <c r="E1323" s="12" t="str">
        <f ca="1">IFERROR(__xludf.DUMMYFUNCTION("""COMPUTED_VALUE"""),"Y-43S30")</f>
        <v>Y-43S30</v>
      </c>
      <c r="F1323" s="12">
        <f ca="1">IFERROR(__xludf.DUMMYFUNCTION("""COMPUTED_VALUE"""),51004241)</f>
        <v>51004241</v>
      </c>
      <c r="G1323" s="12" t="str">
        <f ca="1">IFERROR(__xludf.DUMMYFUNCTION("""COMPUTED_VALUE"""),"NCTV01PO")</f>
        <v>NCTV01PO</v>
      </c>
      <c r="H1323" s="13">
        <f ca="1">IFERROR(__xludf.DUMMYFUNCTION("""COMPUTED_VALUE"""),22900)</f>
        <v>22900</v>
      </c>
      <c r="I1323" s="18">
        <f ca="1">IFERROR(__xludf.DUMMYFUNCTION("""COMPUTED_VALUE"""),21900)</f>
        <v>21900</v>
      </c>
      <c r="J1323" s="12"/>
      <c r="K1323" s="12"/>
      <c r="L1323" s="12" t="str">
        <f ca="1">IFERROR(__xludf.DUMMYFUNCTION("""COMPUTED_VALUE"""),"上架中")</f>
        <v>上架中</v>
      </c>
      <c r="M1323" s="12"/>
      <c r="N1323" s="12" t="str">
        <f ca="1">IFERROR(__xludf.DUMMYFUNCTION("""COMPUTED_VALUE"""),"螢幕/液晶電視")</f>
        <v>螢幕/液晶電視</v>
      </c>
      <c r="O1323" s="12"/>
      <c r="P1323" s="12" t="str">
        <f ca="1">IFERROR(__xludf.DUMMYFUNCTION("""COMPUTED_VALUE"""),"43型")</f>
        <v>43型</v>
      </c>
      <c r="Q1323" s="12" t="str">
        <f ca="1">IFERROR(__xludf.DUMMYFUNCTION("""COMPUTED_VALUE"""),"(高寬深)含底座：629x964x266mm
(高寬深)不含底座：563 x964 x  69mm")</f>
        <v>(高寬深)含底座：629x964x266mm
(高寬深)不含底座：563 x964 x  69mm</v>
      </c>
      <c r="R1323" s="12" t="str">
        <f ca="1">IFERROR(__xludf.DUMMYFUNCTION("""COMPUTED_VALUE"""),"馬來西亞")</f>
        <v>馬來西亞</v>
      </c>
      <c r="S1323" s="12"/>
      <c r="T1323" s="12"/>
      <c r="U1323" s="12" t="str">
        <f ca="1">IFERROR(__xludf.DUMMYFUNCTION("""COMPUTED_VALUE"""),"2年")</f>
        <v>2年</v>
      </c>
      <c r="V1323" s="12"/>
      <c r="W1323" s="12"/>
      <c r="X1323" s="12"/>
      <c r="Y1323" s="12"/>
      <c r="Z1323" s="14"/>
      <c r="AA1323" s="15" t="str">
        <f ca="1">IFERROR(__xludf.DUMMYFUNCTION("""COMPUTED_VALUE"""),"*4K HDR超極真影像處理器X1*Motionflow XR 240*原色顯示Pro/節能儀表板*Dolby Vision/Dolby Atmos*SONY PICTURES CORE影音平台*Apple Airplay2/HomeKit*Google TV")</f>
        <v>*4K HDR超極真影像處理器X1*Motionflow XR 240*原色顯示Pro/節能儀表板*Dolby Vision/Dolby Atmos*SONY PICTURES CORE影音平台*Apple Airplay2/HomeKit*Google TV</v>
      </c>
    </row>
    <row r="1324" spans="1:27" ht="19.5" customHeight="1">
      <c r="A1324" s="12" t="str">
        <f ca="1">IFERROR(__xludf.DUMMYFUNCTION("""COMPUTED_VALUE"""),"HDTV")</f>
        <v>HDTV</v>
      </c>
      <c r="B1324" s="12" t="str">
        <f ca="1">IFERROR(__xludf.DUMMYFUNCTION("""COMPUTED_VALUE"""),"燦坤")</f>
        <v>燦坤</v>
      </c>
      <c r="C1324" s="12" t="str">
        <f ca="1">IFERROR(__xludf.DUMMYFUNCTION("""COMPUTED_VALUE"""),"SONY")</f>
        <v>SONY</v>
      </c>
      <c r="D1324" s="12" t="str">
        <f ca="1">IFERROR(__xludf.DUMMYFUNCTION("""COMPUTED_VALUE"""),"SONY 50型4K智慧連網顯示器Bravia3 (Y-50S30)")</f>
        <v>SONY 50型4K智慧連網顯示器Bravia3 (Y-50S30)</v>
      </c>
      <c r="E1324" s="12" t="str">
        <f ca="1">IFERROR(__xludf.DUMMYFUNCTION("""COMPUTED_VALUE"""),"Y-50S30")</f>
        <v>Y-50S30</v>
      </c>
      <c r="F1324" s="12">
        <f ca="1">IFERROR(__xludf.DUMMYFUNCTION("""COMPUTED_VALUE"""),51004242)</f>
        <v>51004242</v>
      </c>
      <c r="G1324" s="12" t="str">
        <f ca="1">IFERROR(__xludf.DUMMYFUNCTION("""COMPUTED_VALUE"""),"NCTV01PP")</f>
        <v>NCTV01PP</v>
      </c>
      <c r="H1324" s="13">
        <f ca="1">IFERROR(__xludf.DUMMYFUNCTION("""COMPUTED_VALUE"""),25900)</f>
        <v>25900</v>
      </c>
      <c r="I1324" s="18">
        <f ca="1">IFERROR(__xludf.DUMMYFUNCTION("""COMPUTED_VALUE"""),24900)</f>
        <v>24900</v>
      </c>
      <c r="J1324" s="12"/>
      <c r="K1324" s="12"/>
      <c r="L1324" s="12" t="str">
        <f ca="1">IFERROR(__xludf.DUMMYFUNCTION("""COMPUTED_VALUE"""),"上架中")</f>
        <v>上架中</v>
      </c>
      <c r="M1324" s="12"/>
      <c r="N1324" s="12" t="str">
        <f ca="1">IFERROR(__xludf.DUMMYFUNCTION("""COMPUTED_VALUE"""),"螢幕/液晶電視")</f>
        <v>螢幕/液晶電視</v>
      </c>
      <c r="O1324" s="12"/>
      <c r="P1324" s="12" t="str">
        <f ca="1">IFERROR(__xludf.DUMMYFUNCTION("""COMPUTED_VALUE"""),"50型")</f>
        <v>50型</v>
      </c>
      <c r="Q1324" s="12" t="str">
        <f ca="1">IFERROR(__xludf.DUMMYFUNCTION("""COMPUTED_VALUE"""),"(高寬深)含底座：714x1119x267mm含底座
(高寬深)不含底座： 649 x 1119 x70 mm")</f>
        <v>(高寬深)含底座：714x1119x267mm含底座
(高寬深)不含底座： 649 x 1119 x70 mm</v>
      </c>
      <c r="R1324" s="12" t="str">
        <f ca="1">IFERROR(__xludf.DUMMYFUNCTION("""COMPUTED_VALUE"""),"馬來西亞")</f>
        <v>馬來西亞</v>
      </c>
      <c r="S1324" s="12"/>
      <c r="T1324" s="12"/>
      <c r="U1324" s="12" t="str">
        <f ca="1">IFERROR(__xludf.DUMMYFUNCTION("""COMPUTED_VALUE"""),"2年")</f>
        <v>2年</v>
      </c>
      <c r="V1324" s="12"/>
      <c r="W1324" s="12"/>
      <c r="X1324" s="12"/>
      <c r="Y1324" s="12"/>
      <c r="Z1324" s="14"/>
      <c r="AA1324" s="15" t="str">
        <f ca="1">IFERROR(__xludf.DUMMYFUNCTION("""COMPUTED_VALUE"""),"*4K HDR超極真影像處理器X1*Motionflow XR 240*原色顯示Pro/節能儀表板*Dolby Vision/Dolby Atmos*SONY PICTURES CORE影音平台*Apple Airplay2/HomeKit*Google TV")</f>
        <v>*4K HDR超極真影像處理器X1*Motionflow XR 240*原色顯示Pro/節能儀表板*Dolby Vision/Dolby Atmos*SONY PICTURES CORE影音平台*Apple Airplay2/HomeKit*Google TV</v>
      </c>
    </row>
    <row r="1325" spans="1:27" ht="19.5" customHeight="1">
      <c r="A1325" s="12" t="str">
        <f ca="1">IFERROR(__xludf.DUMMYFUNCTION("""COMPUTED_VALUE"""),"HDTV")</f>
        <v>HDTV</v>
      </c>
      <c r="B1325" s="12" t="str">
        <f ca="1">IFERROR(__xludf.DUMMYFUNCTION("""COMPUTED_VALUE"""),"燦坤")</f>
        <v>燦坤</v>
      </c>
      <c r="C1325" s="12" t="str">
        <f ca="1">IFERROR(__xludf.DUMMYFUNCTION("""COMPUTED_VALUE"""),"SONY")</f>
        <v>SONY</v>
      </c>
      <c r="D1325" s="12" t="str">
        <f ca="1">IFERROR(__xludf.DUMMYFUNCTION("""COMPUTED_VALUE"""),"SONY 55型4K智慧連網顯示器Bravia3 (Y-55S30)")</f>
        <v>SONY 55型4K智慧連網顯示器Bravia3 (Y-55S30)</v>
      </c>
      <c r="E1325" s="12" t="str">
        <f ca="1">IFERROR(__xludf.DUMMYFUNCTION("""COMPUTED_VALUE"""),"Y-55S30")</f>
        <v>Y-55S30</v>
      </c>
      <c r="F1325" s="12">
        <f ca="1">IFERROR(__xludf.DUMMYFUNCTION("""COMPUTED_VALUE"""),51004243)</f>
        <v>51004243</v>
      </c>
      <c r="G1325" s="12" t="str">
        <f ca="1">IFERROR(__xludf.DUMMYFUNCTION("""COMPUTED_VALUE"""),"NCTV01PQ")</f>
        <v>NCTV01PQ</v>
      </c>
      <c r="H1325" s="13">
        <f ca="1">IFERROR(__xludf.DUMMYFUNCTION("""COMPUTED_VALUE"""),29900)</f>
        <v>29900</v>
      </c>
      <c r="I1325" s="18">
        <f ca="1">IFERROR(__xludf.DUMMYFUNCTION("""COMPUTED_VALUE"""),26900)</f>
        <v>26900</v>
      </c>
      <c r="J1325" s="16">
        <f ca="1">IFERROR(__xludf.DUMMYFUNCTION("""COMPUTED_VALUE"""),45681)</f>
        <v>45681</v>
      </c>
      <c r="K1325" s="12" t="str">
        <f ca="1">IFERROR(__xludf.DUMMYFUNCTION("""COMPUTED_VALUE"""),"永久降價")</f>
        <v>永久降價</v>
      </c>
      <c r="L1325" s="12" t="str">
        <f ca="1">IFERROR(__xludf.DUMMYFUNCTION("""COMPUTED_VALUE"""),"上架中")</f>
        <v>上架中</v>
      </c>
      <c r="M1325" s="12"/>
      <c r="N1325" s="12" t="str">
        <f ca="1">IFERROR(__xludf.DUMMYFUNCTION("""COMPUTED_VALUE"""),"螢幕/液晶電視")</f>
        <v>螢幕/液晶電視</v>
      </c>
      <c r="O1325" s="12"/>
      <c r="P1325" s="12" t="str">
        <f ca="1">IFERROR(__xludf.DUMMYFUNCTION("""COMPUTED_VALUE"""),"55型")</f>
        <v>55型</v>
      </c>
      <c r="Q1325" s="12" t="str">
        <f ca="1">IFERROR(__xludf.DUMMYFUNCTION("""COMPUTED_VALUE"""),"(高寬深)含底座：784x1233x334mm 
(高寬深)不含底座：713 x 1233 x 72 mm")</f>
        <v>(高寬深)含底座：784x1233x334mm 
(高寬深)不含底座：713 x 1233 x 72 mm</v>
      </c>
      <c r="R1325" s="12" t="str">
        <f ca="1">IFERROR(__xludf.DUMMYFUNCTION("""COMPUTED_VALUE"""),"馬來西亞")</f>
        <v>馬來西亞</v>
      </c>
      <c r="S1325" s="12"/>
      <c r="T1325" s="12"/>
      <c r="U1325" s="12" t="str">
        <f ca="1">IFERROR(__xludf.DUMMYFUNCTION("""COMPUTED_VALUE"""),"2年")</f>
        <v>2年</v>
      </c>
      <c r="V1325" s="12"/>
      <c r="W1325" s="12"/>
      <c r="X1325" s="12"/>
      <c r="Y1325" s="12"/>
      <c r="Z1325" s="14"/>
      <c r="AA1325" s="15" t="str">
        <f ca="1">IFERROR(__xludf.DUMMYFUNCTION("""COMPUTED_VALUE"""),"*4K HDR超極真影像處理器X1*Motionflow XR 240*原色顯示Pro/節能儀表板*Dolby Vision/Dolby Atmos*SONY PICTURES CORE影音平台*Apple Airplay2/HomeKit*Google TV")</f>
        <v>*4K HDR超極真影像處理器X1*Motionflow XR 240*原色顯示Pro/節能儀表板*Dolby Vision/Dolby Atmos*SONY PICTURES CORE影音平台*Apple Airplay2/HomeKit*Google TV</v>
      </c>
    </row>
    <row r="1326" spans="1:27" ht="19.5" customHeight="1">
      <c r="A1326" s="12" t="str">
        <f ca="1">IFERROR(__xludf.DUMMYFUNCTION("""COMPUTED_VALUE"""),"HDTV")</f>
        <v>HDTV</v>
      </c>
      <c r="B1326" s="12" t="str">
        <f ca="1">IFERROR(__xludf.DUMMYFUNCTION("""COMPUTED_VALUE"""),"燦坤")</f>
        <v>燦坤</v>
      </c>
      <c r="C1326" s="12" t="str">
        <f ca="1">IFERROR(__xludf.DUMMYFUNCTION("""COMPUTED_VALUE"""),"SONY")</f>
        <v>SONY</v>
      </c>
      <c r="D1326" s="12" t="str">
        <f ca="1">IFERROR(__xludf.DUMMYFUNCTION("""COMPUTED_VALUE"""),"SONY 65型4K智慧連網顯示器Bravia3 (Y-65S30)")</f>
        <v>SONY 65型4K智慧連網顯示器Bravia3 (Y-65S30)</v>
      </c>
      <c r="E1326" s="12" t="str">
        <f ca="1">IFERROR(__xludf.DUMMYFUNCTION("""COMPUTED_VALUE"""),"Y-65S30")</f>
        <v>Y-65S30</v>
      </c>
      <c r="F1326" s="12">
        <f ca="1">IFERROR(__xludf.DUMMYFUNCTION("""COMPUTED_VALUE"""),51004244)</f>
        <v>51004244</v>
      </c>
      <c r="G1326" s="12" t="str">
        <f ca="1">IFERROR(__xludf.DUMMYFUNCTION("""COMPUTED_VALUE"""),"NCTV01PR")</f>
        <v>NCTV01PR</v>
      </c>
      <c r="H1326" s="13">
        <f ca="1">IFERROR(__xludf.DUMMYFUNCTION("""COMPUTED_VALUE"""),39900)</f>
        <v>39900</v>
      </c>
      <c r="I1326" s="18">
        <f ca="1">IFERROR(__xludf.DUMMYFUNCTION("""COMPUTED_VALUE"""),36900)</f>
        <v>36900</v>
      </c>
      <c r="J1326" s="16">
        <f ca="1">IFERROR(__xludf.DUMMYFUNCTION("""COMPUTED_VALUE"""),45649)</f>
        <v>45649</v>
      </c>
      <c r="K1326" s="12" t="str">
        <f ca="1">IFERROR(__xludf.DUMMYFUNCTION("""COMPUTED_VALUE"""),"永久降價")</f>
        <v>永久降價</v>
      </c>
      <c r="L1326" s="12" t="str">
        <f ca="1">IFERROR(__xludf.DUMMYFUNCTION("""COMPUTED_VALUE"""),"上架中")</f>
        <v>上架中</v>
      </c>
      <c r="M1326" s="12"/>
      <c r="N1326" s="12" t="str">
        <f ca="1">IFERROR(__xludf.DUMMYFUNCTION("""COMPUTED_VALUE"""),"螢幕/液晶電視")</f>
        <v>螢幕/液晶電視</v>
      </c>
      <c r="O1326" s="12"/>
      <c r="P1326" s="12" t="str">
        <f ca="1">IFERROR(__xludf.DUMMYFUNCTION("""COMPUTED_VALUE"""),"65型")</f>
        <v>65型</v>
      </c>
      <c r="Q1326" s="12" t="str">
        <f ca="1">IFERROR(__xludf.DUMMYFUNCTION("""COMPUTED_VALUE"""),"(高寬深)含底座： 909x1452x334mm
(高寬深)不含底座：836 x1452 x  72 mm")</f>
        <v>(高寬深)含底座： 909x1452x334mm
(高寬深)不含底座：836 x1452 x  72 mm</v>
      </c>
      <c r="R1326" s="12" t="str">
        <f ca="1">IFERROR(__xludf.DUMMYFUNCTION("""COMPUTED_VALUE"""),"馬來西亞")</f>
        <v>馬來西亞</v>
      </c>
      <c r="S1326" s="12"/>
      <c r="T1326" s="12"/>
      <c r="U1326" s="12" t="str">
        <f ca="1">IFERROR(__xludf.DUMMYFUNCTION("""COMPUTED_VALUE"""),"2年")</f>
        <v>2年</v>
      </c>
      <c r="V1326" s="12"/>
      <c r="W1326" s="12"/>
      <c r="X1326" s="12"/>
      <c r="Y1326" s="12"/>
      <c r="Z1326" s="14"/>
      <c r="AA1326" s="15" t="str">
        <f ca="1">IFERROR(__xludf.DUMMYFUNCTION("""COMPUTED_VALUE"""),"*4K HDR超極真影像處理器X1*Motionflow XR 240*原色顯示Pro/節能儀表板*Dolby Vision/Dolby Atmos*SONY PICTURES CORE影音平台*Apple Airplay2/HomeKit*Google TV")</f>
        <v>*4K HDR超極真影像處理器X1*Motionflow XR 240*原色顯示Pro/節能儀表板*Dolby Vision/Dolby Atmos*SONY PICTURES CORE影音平台*Apple Airplay2/HomeKit*Google TV</v>
      </c>
    </row>
    <row r="1327" spans="1:27" ht="19.5" customHeight="1">
      <c r="A1327" s="12" t="str">
        <f ca="1">IFERROR(__xludf.DUMMYFUNCTION("""COMPUTED_VALUE"""),"HDTV")</f>
        <v>HDTV</v>
      </c>
      <c r="B1327" s="12" t="str">
        <f ca="1">IFERROR(__xludf.DUMMYFUNCTION("""COMPUTED_VALUE"""),"燦坤")</f>
        <v>燦坤</v>
      </c>
      <c r="C1327" s="12" t="str">
        <f ca="1">IFERROR(__xludf.DUMMYFUNCTION("""COMPUTED_VALUE"""),"SONY")</f>
        <v>SONY</v>
      </c>
      <c r="D1327" s="12" t="str">
        <f ca="1">IFERROR(__xludf.DUMMYFUNCTION("""COMPUTED_VALUE"""),"SONY 75型4K智慧連網顯示器Bravia3 (Y-75S30)")</f>
        <v>SONY 75型4K智慧連網顯示器Bravia3 (Y-75S30)</v>
      </c>
      <c r="E1327" s="12" t="str">
        <f ca="1">IFERROR(__xludf.DUMMYFUNCTION("""COMPUTED_VALUE"""),"Y-75S30")</f>
        <v>Y-75S30</v>
      </c>
      <c r="F1327" s="12">
        <f ca="1">IFERROR(__xludf.DUMMYFUNCTION("""COMPUTED_VALUE"""),51004245)</f>
        <v>51004245</v>
      </c>
      <c r="G1327" s="12" t="str">
        <f ca="1">IFERROR(__xludf.DUMMYFUNCTION("""COMPUTED_VALUE"""),"NCTV01PS")</f>
        <v>NCTV01PS</v>
      </c>
      <c r="H1327" s="13">
        <f ca="1">IFERROR(__xludf.DUMMYFUNCTION("""COMPUTED_VALUE"""),67900)</f>
        <v>67900</v>
      </c>
      <c r="I1327" s="18">
        <f ca="1">IFERROR(__xludf.DUMMYFUNCTION("""COMPUTED_VALUE"""),60900)</f>
        <v>60900</v>
      </c>
      <c r="J1327" s="16">
        <f ca="1">IFERROR(__xludf.DUMMYFUNCTION("""COMPUTED_VALUE"""),45649)</f>
        <v>45649</v>
      </c>
      <c r="K1327" s="12" t="str">
        <f ca="1">IFERROR(__xludf.DUMMYFUNCTION("""COMPUTED_VALUE"""),"永久降價")</f>
        <v>永久降價</v>
      </c>
      <c r="L1327" s="12" t="str">
        <f ca="1">IFERROR(__xludf.DUMMYFUNCTION("""COMPUTED_VALUE"""),"上架中")</f>
        <v>上架中</v>
      </c>
      <c r="M1327" s="12"/>
      <c r="N1327" s="12" t="str">
        <f ca="1">IFERROR(__xludf.DUMMYFUNCTION("""COMPUTED_VALUE"""),"螢幕/液晶電視")</f>
        <v>螢幕/液晶電視</v>
      </c>
      <c r="O1327" s="12"/>
      <c r="P1327" s="12" t="str">
        <f ca="1">IFERROR(__xludf.DUMMYFUNCTION("""COMPUTED_VALUE"""),"75型")</f>
        <v>75型</v>
      </c>
      <c r="Q1327" s="12" t="str">
        <f ca="1">IFERROR(__xludf.DUMMYFUNCTION("""COMPUTED_VALUE"""),"(高寬深)含底座：1042x1675x410mm
(高寬深)不含底座： 962 x 1,675 x 73 mm")</f>
        <v>(高寬深)含底座：1042x1675x410mm
(高寬深)不含底座： 962 x 1,675 x 73 mm</v>
      </c>
      <c r="R1327" s="12" t="str">
        <f ca="1">IFERROR(__xludf.DUMMYFUNCTION("""COMPUTED_VALUE"""),"馬來西亞")</f>
        <v>馬來西亞</v>
      </c>
      <c r="S1327" s="12"/>
      <c r="T1327" s="12"/>
      <c r="U1327" s="12" t="str">
        <f ca="1">IFERROR(__xludf.DUMMYFUNCTION("""COMPUTED_VALUE"""),"2年")</f>
        <v>2年</v>
      </c>
      <c r="V1327" s="12"/>
      <c r="W1327" s="12"/>
      <c r="X1327" s="12"/>
      <c r="Y1327" s="12"/>
      <c r="Z1327" s="14"/>
      <c r="AA1327" s="15" t="str">
        <f ca="1">IFERROR(__xludf.DUMMYFUNCTION("""COMPUTED_VALUE"""),"*4K HDR超極真影像處理器X1*Motionflow XR 240*原色顯示Pro/節能儀表板*Dolby Vision/Dolby Atmos*SONY PICTURES CORE影音平台*Apple Airplay2/HomeKit*Google TV")</f>
        <v>*4K HDR超極真影像處理器X1*Motionflow XR 240*原色顯示Pro/節能儀表板*Dolby Vision/Dolby Atmos*SONY PICTURES CORE影音平台*Apple Airplay2/HomeKit*Google TV</v>
      </c>
    </row>
    <row r="1328" spans="1:27" ht="19.5" customHeight="1">
      <c r="A1328" s="12" t="str">
        <f ca="1">IFERROR(__xludf.DUMMYFUNCTION("""COMPUTED_VALUE"""),"HDTV")</f>
        <v>HDTV</v>
      </c>
      <c r="B1328" s="12" t="str">
        <f ca="1">IFERROR(__xludf.DUMMYFUNCTION("""COMPUTED_VALUE"""),"燦坤")</f>
        <v>燦坤</v>
      </c>
      <c r="C1328" s="12" t="str">
        <f ca="1">IFERROR(__xludf.DUMMYFUNCTION("""COMPUTED_VALUE"""),"SONY")</f>
        <v>SONY</v>
      </c>
      <c r="D1328" s="12" t="str">
        <f ca="1">IFERROR(__xludf.DUMMYFUNCTION("""COMPUTED_VALUE"""),"SONY 55型Mini LED智慧連網顯示器Bravia7 (Y-55XR70)")</f>
        <v>SONY 55型Mini LED智慧連網顯示器Bravia7 (Y-55XR70)</v>
      </c>
      <c r="E1328" s="12" t="str">
        <f ca="1">IFERROR(__xludf.DUMMYFUNCTION("""COMPUTED_VALUE"""),"Y-55XR70")</f>
        <v>Y-55XR70</v>
      </c>
      <c r="F1328" s="12">
        <f ca="1">IFERROR(__xludf.DUMMYFUNCTION("""COMPUTED_VALUE"""),51004246)</f>
        <v>51004246</v>
      </c>
      <c r="G1328" s="12" t="str">
        <f ca="1">IFERROR(__xludf.DUMMYFUNCTION("""COMPUTED_VALUE"""),"NCTV01PT")</f>
        <v>NCTV01PT</v>
      </c>
      <c r="H1328" s="13">
        <f ca="1">IFERROR(__xludf.DUMMYFUNCTION("""COMPUTED_VALUE"""),56900)</f>
        <v>56900</v>
      </c>
      <c r="I1328" s="18">
        <f ca="1">IFERROR(__xludf.DUMMYFUNCTION("""COMPUTED_VALUE"""),52900)</f>
        <v>52900</v>
      </c>
      <c r="J1328" s="12"/>
      <c r="K1328" s="12"/>
      <c r="L1328" s="12" t="str">
        <f ca="1">IFERROR(__xludf.DUMMYFUNCTION("""COMPUTED_VALUE"""),"上架中")</f>
        <v>上架中</v>
      </c>
      <c r="M1328" s="12"/>
      <c r="N1328" s="12" t="str">
        <f ca="1">IFERROR(__xludf.DUMMYFUNCTION("""COMPUTED_VALUE"""),"螢幕/液晶電視")</f>
        <v>螢幕/液晶電視</v>
      </c>
      <c r="O1328" s="12"/>
      <c r="P1328" s="12" t="str">
        <f ca="1">IFERROR(__xludf.DUMMYFUNCTION("""COMPUTED_VALUE"""),"55型")</f>
        <v>55型</v>
      </c>
      <c r="Q1328" s="12" t="str">
        <f ca="1">IFERROR(__xludf.DUMMYFUNCTION("""COMPUTED_VALUE"""),"(高寬深)含底座: 733x1225x345mm
(高寬深)不含底座：709 x 1225 x56 mm")</f>
        <v>(高寬深)含底座: 733x1225x345mm
(高寬深)不含底座：709 x 1225 x56 mm</v>
      </c>
      <c r="R1328" s="12" t="str">
        <f ca="1">IFERROR(__xludf.DUMMYFUNCTION("""COMPUTED_VALUE"""),"馬來西亞")</f>
        <v>馬來西亞</v>
      </c>
      <c r="S1328" s="12"/>
      <c r="T1328" s="12"/>
      <c r="U1328" s="12" t="str">
        <f ca="1">IFERROR(__xludf.DUMMYFUNCTION("""COMPUTED_VALUE"""),"2年")</f>
        <v>2年</v>
      </c>
      <c r="V1328" s="12"/>
      <c r="W1328" s="12"/>
      <c r="X1328" s="12"/>
      <c r="Y1328" s="12"/>
      <c r="Z1328" s="14"/>
      <c r="AA1328" s="15" t="str">
        <f ca="1">IFERROR(__xludf.DUMMYFUNCTION("""COMPUTED_VALUE"""),"*XR認知智慧處理器*XR極致精準背光控制技術*XR對比增強20/節能儀表板*專業影像校正*多音域環繞聲場技術*AI聲源解析Voice Zoom3*智慧環境聲光感測Pro(BRAVIA Cam選購)")</f>
        <v>*XR認知智慧處理器*XR極致精準背光控制技術*XR對比增強20/節能儀表板*專業影像校正*多音域環繞聲場技術*AI聲源解析Voice Zoom3*智慧環境聲光感測Pro(BRAVIA Cam選購)</v>
      </c>
    </row>
    <row r="1329" spans="1:27" ht="19.5" customHeight="1">
      <c r="A1329" s="12" t="str">
        <f ca="1">IFERROR(__xludf.DUMMYFUNCTION("""COMPUTED_VALUE"""),"HDTV")</f>
        <v>HDTV</v>
      </c>
      <c r="B1329" s="12" t="str">
        <f ca="1">IFERROR(__xludf.DUMMYFUNCTION("""COMPUTED_VALUE"""),"燦坤")</f>
        <v>燦坤</v>
      </c>
      <c r="C1329" s="12" t="str">
        <f ca="1">IFERROR(__xludf.DUMMYFUNCTION("""COMPUTED_VALUE"""),"SONY")</f>
        <v>SONY</v>
      </c>
      <c r="D1329" s="12" t="str">
        <f ca="1">IFERROR(__xludf.DUMMYFUNCTION("""COMPUTED_VALUE"""),"SONY 65型Mini LED智慧連網顯示器Bravia7 (Y-65XR70)")</f>
        <v>SONY 65型Mini LED智慧連網顯示器Bravia7 (Y-65XR70)</v>
      </c>
      <c r="E1329" s="12" t="str">
        <f ca="1">IFERROR(__xludf.DUMMYFUNCTION("""COMPUTED_VALUE"""),"Y-65XR70")</f>
        <v>Y-65XR70</v>
      </c>
      <c r="F1329" s="12">
        <f ca="1">IFERROR(__xludf.DUMMYFUNCTION("""COMPUTED_VALUE"""),51004247)</f>
        <v>51004247</v>
      </c>
      <c r="G1329" s="12" t="str">
        <f ca="1">IFERROR(__xludf.DUMMYFUNCTION("""COMPUTED_VALUE"""),"NCTV01PU")</f>
        <v>NCTV01PU</v>
      </c>
      <c r="H1329" s="13">
        <f ca="1">IFERROR(__xludf.DUMMYFUNCTION("""COMPUTED_VALUE"""),67900)</f>
        <v>67900</v>
      </c>
      <c r="I1329" s="18">
        <f ca="1">IFERROR(__xludf.DUMMYFUNCTION("""COMPUTED_VALUE"""),60900)</f>
        <v>60900</v>
      </c>
      <c r="J1329" s="16">
        <f ca="1">IFERROR(__xludf.DUMMYFUNCTION("""COMPUTED_VALUE"""),45649)</f>
        <v>45649</v>
      </c>
      <c r="K1329" s="12" t="str">
        <f ca="1">IFERROR(__xludf.DUMMYFUNCTION("""COMPUTED_VALUE"""),"永久降價")</f>
        <v>永久降價</v>
      </c>
      <c r="L1329" s="12" t="str">
        <f ca="1">IFERROR(__xludf.DUMMYFUNCTION("""COMPUTED_VALUE"""),"上架中")</f>
        <v>上架中</v>
      </c>
      <c r="M1329" s="12"/>
      <c r="N1329" s="12" t="str">
        <f ca="1">IFERROR(__xludf.DUMMYFUNCTION("""COMPUTED_VALUE"""),"螢幕/液晶電視")</f>
        <v>螢幕/液晶電視</v>
      </c>
      <c r="O1329" s="12"/>
      <c r="P1329" s="12" t="str">
        <f ca="1">IFERROR(__xludf.DUMMYFUNCTION("""COMPUTED_VALUE"""),"65型")</f>
        <v>65型</v>
      </c>
      <c r="Q1329" s="12" t="str">
        <f ca="1">IFERROR(__xludf.DUMMYFUNCTION("""COMPUTED_VALUE"""),"(高寬深)含底座: 856x1445x345mm
(高寬深)不含底座： 832 x 1445 x57 mm")</f>
        <v>(高寬深)含底座: 856x1445x345mm
(高寬深)不含底座： 832 x 1445 x57 mm</v>
      </c>
      <c r="R1329" s="12" t="str">
        <f ca="1">IFERROR(__xludf.DUMMYFUNCTION("""COMPUTED_VALUE"""),"馬來西亞")</f>
        <v>馬來西亞</v>
      </c>
      <c r="S1329" s="12"/>
      <c r="T1329" s="12"/>
      <c r="U1329" s="12" t="str">
        <f ca="1">IFERROR(__xludf.DUMMYFUNCTION("""COMPUTED_VALUE"""),"2年")</f>
        <v>2年</v>
      </c>
      <c r="V1329" s="12"/>
      <c r="W1329" s="12"/>
      <c r="X1329" s="12"/>
      <c r="Y1329" s="12"/>
      <c r="Z1329" s="14"/>
      <c r="AA1329" s="15" t="str">
        <f ca="1">IFERROR(__xludf.DUMMYFUNCTION("""COMPUTED_VALUE"""),"*XR認知智慧處理器*XR極致精準背光控制技術*XR對比增強20/節能儀表板*專業影像校正*多音域環繞聲場技術*AI聲源解析Voice Zoom3*智慧環境聲光感測Pro(BRAVIA Cam選購)")</f>
        <v>*XR認知智慧處理器*XR極致精準背光控制技術*XR對比增強20/節能儀表板*專業影像校正*多音域環繞聲場技術*AI聲源解析Voice Zoom3*智慧環境聲光感測Pro(BRAVIA Cam選購)</v>
      </c>
    </row>
    <row r="1330" spans="1:27" ht="19.5" customHeight="1">
      <c r="A1330" s="12" t="str">
        <f ca="1">IFERROR(__xludf.DUMMYFUNCTION("""COMPUTED_VALUE"""),"HDTV")</f>
        <v>HDTV</v>
      </c>
      <c r="B1330" s="12" t="str">
        <f ca="1">IFERROR(__xludf.DUMMYFUNCTION("""COMPUTED_VALUE"""),"燦坤")</f>
        <v>燦坤</v>
      </c>
      <c r="C1330" s="12" t="str">
        <f ca="1">IFERROR(__xludf.DUMMYFUNCTION("""COMPUTED_VALUE"""),"SONY")</f>
        <v>SONY</v>
      </c>
      <c r="D1330" s="12" t="str">
        <f ca="1">IFERROR(__xludf.DUMMYFUNCTION("""COMPUTED_VALUE"""),"SONY 75型Mini LED智慧連網顯示器Bravia7 (Y-75XR70)")</f>
        <v>SONY 75型Mini LED智慧連網顯示器Bravia7 (Y-75XR70)</v>
      </c>
      <c r="E1330" s="12" t="str">
        <f ca="1">IFERROR(__xludf.DUMMYFUNCTION("""COMPUTED_VALUE"""),"Y-75XR70")</f>
        <v>Y-75XR70</v>
      </c>
      <c r="F1330" s="12">
        <f ca="1">IFERROR(__xludf.DUMMYFUNCTION("""COMPUTED_VALUE"""),51004248)</f>
        <v>51004248</v>
      </c>
      <c r="G1330" s="12" t="str">
        <f ca="1">IFERROR(__xludf.DUMMYFUNCTION("""COMPUTED_VALUE"""),"NCTV01PV")</f>
        <v>NCTV01PV</v>
      </c>
      <c r="H1330" s="13">
        <f ca="1">IFERROR(__xludf.DUMMYFUNCTION("""COMPUTED_VALUE"""),99900)</f>
        <v>99900</v>
      </c>
      <c r="I1330" s="18">
        <f ca="1">IFERROR(__xludf.DUMMYFUNCTION("""COMPUTED_VALUE"""),93900)</f>
        <v>93900</v>
      </c>
      <c r="J1330" s="16">
        <f ca="1">IFERROR(__xludf.DUMMYFUNCTION("""COMPUTED_VALUE"""),45649)</f>
        <v>45649</v>
      </c>
      <c r="K1330" s="12" t="str">
        <f ca="1">IFERROR(__xludf.DUMMYFUNCTION("""COMPUTED_VALUE"""),"永久降價")</f>
        <v>永久降價</v>
      </c>
      <c r="L1330" s="12" t="str">
        <f ca="1">IFERROR(__xludf.DUMMYFUNCTION("""COMPUTED_VALUE"""),"上架中")</f>
        <v>上架中</v>
      </c>
      <c r="M1330" s="12"/>
      <c r="N1330" s="12" t="str">
        <f ca="1">IFERROR(__xludf.DUMMYFUNCTION("""COMPUTED_VALUE"""),"螢幕/液晶電視")</f>
        <v>螢幕/液晶電視</v>
      </c>
      <c r="O1330" s="12"/>
      <c r="P1330" s="12" t="str">
        <f ca="1">IFERROR(__xludf.DUMMYFUNCTION("""COMPUTED_VALUE"""),"75型")</f>
        <v>75型</v>
      </c>
      <c r="Q1330" s="12" t="str">
        <f ca="1">IFERROR(__xludf.DUMMYFUNCTION("""COMPUTED_VALUE"""),"(高寬深)含底座: 984x1668x405mm
(高寬深)不含底座：960 x1668 x  57 mm")</f>
        <v>(高寬深)含底座: 984x1668x405mm
(高寬深)不含底座：960 x1668 x  57 mm</v>
      </c>
      <c r="R1330" s="12" t="str">
        <f ca="1">IFERROR(__xludf.DUMMYFUNCTION("""COMPUTED_VALUE"""),"馬來西亞")</f>
        <v>馬來西亞</v>
      </c>
      <c r="S1330" s="12"/>
      <c r="T1330" s="12"/>
      <c r="U1330" s="12" t="str">
        <f ca="1">IFERROR(__xludf.DUMMYFUNCTION("""COMPUTED_VALUE"""),"2年")</f>
        <v>2年</v>
      </c>
      <c r="V1330" s="12"/>
      <c r="W1330" s="12"/>
      <c r="X1330" s="12"/>
      <c r="Y1330" s="12"/>
      <c r="Z1330" s="14"/>
      <c r="AA1330" s="15" t="str">
        <f ca="1">IFERROR(__xludf.DUMMYFUNCTION("""COMPUTED_VALUE"""),"*XR認知智慧處理器*XR極致精準背光控制技術*XR對比增強20/節能儀表板*專業影像校正*多音域環繞聲場技術*AI聲源解析Voice Zoom3*智慧環境聲光感測Pro(BRAVIA Cam選購)")</f>
        <v>*XR認知智慧處理器*XR極致精準背光控制技術*XR對比增強20/節能儀表板*專業影像校正*多音域環繞聲場技術*AI聲源解析Voice Zoom3*智慧環境聲光感測Pro(BRAVIA Cam選購)</v>
      </c>
    </row>
    <row r="1331" spans="1:27" ht="19.5" customHeight="1">
      <c r="A1331" s="12" t="str">
        <f ca="1">IFERROR(__xludf.DUMMYFUNCTION("""COMPUTED_VALUE"""),"HDTV")</f>
        <v>HDTV</v>
      </c>
      <c r="B1331" s="12" t="str">
        <f ca="1">IFERROR(__xludf.DUMMYFUNCTION("""COMPUTED_VALUE"""),"燦坤")</f>
        <v>燦坤</v>
      </c>
      <c r="C1331" s="12" t="str">
        <f ca="1">IFERROR(__xludf.DUMMYFUNCTION("""COMPUTED_VALUE"""),"SONY")</f>
        <v>SONY</v>
      </c>
      <c r="D1331" s="12" t="str">
        <f ca="1">IFERROR(__xludf.DUMMYFUNCTION("""COMPUTED_VALUE"""),"SONY 55型4K OLED智慧連網電視Bravia8 (Y-55XR80)")</f>
        <v>SONY 55型4K OLED智慧連網電視Bravia8 (Y-55XR80)</v>
      </c>
      <c r="E1331" s="12" t="str">
        <f ca="1">IFERROR(__xludf.DUMMYFUNCTION("""COMPUTED_VALUE"""),"Y-55XR80")</f>
        <v>Y-55XR80</v>
      </c>
      <c r="F1331" s="12">
        <f ca="1">IFERROR(__xludf.DUMMYFUNCTION("""COMPUTED_VALUE"""),51004249)</f>
        <v>51004249</v>
      </c>
      <c r="G1331" s="12" t="str">
        <f ca="1">IFERROR(__xludf.DUMMYFUNCTION("""COMPUTED_VALUE"""),"NCTV01PW")</f>
        <v>NCTV01PW</v>
      </c>
      <c r="H1331" s="13">
        <f ca="1">IFERROR(__xludf.DUMMYFUNCTION("""COMPUTED_VALUE"""),64900)</f>
        <v>64900</v>
      </c>
      <c r="I1331" s="18">
        <f ca="1">IFERROR(__xludf.DUMMYFUNCTION("""COMPUTED_VALUE"""),62900)</f>
        <v>62900</v>
      </c>
      <c r="J1331" s="12"/>
      <c r="K1331" s="12"/>
      <c r="L1331" s="12" t="str">
        <f ca="1">IFERROR(__xludf.DUMMYFUNCTION("""COMPUTED_VALUE"""),"上架中")</f>
        <v>上架中</v>
      </c>
      <c r="M1331" s="12"/>
      <c r="N1331" s="12" t="str">
        <f ca="1">IFERROR(__xludf.DUMMYFUNCTION("""COMPUTED_VALUE"""),"螢幕/液晶電視")</f>
        <v>螢幕/液晶電視</v>
      </c>
      <c r="O1331" s="12"/>
      <c r="P1331" s="12" t="str">
        <f ca="1">IFERROR(__xludf.DUMMYFUNCTION("""COMPUTED_VALUE"""),"55型")</f>
        <v>55型</v>
      </c>
      <c r="Q1331" s="12" t="str">
        <f ca="1">IFERROR(__xludf.DUMMYFUNCTION("""COMPUTED_VALUE"""),"(寬高深)含底座: 1223x732x248mm
(寬高深)不含底座： 1223 x 706 x 37 mm")</f>
        <v>(寬高深)含底座: 1223x732x248mm
(寬高深)不含底座： 1223 x 706 x 37 mm</v>
      </c>
      <c r="R1331" s="12" t="str">
        <f ca="1">IFERROR(__xludf.DUMMYFUNCTION("""COMPUTED_VALUE"""),"馬來西亞")</f>
        <v>馬來西亞</v>
      </c>
      <c r="S1331" s="12"/>
      <c r="T1331" s="12"/>
      <c r="U1331" s="12" t="str">
        <f ca="1">IFERROR(__xludf.DUMMYFUNCTION("""COMPUTED_VALUE"""),"2年")</f>
        <v>2年</v>
      </c>
      <c r="V1331" s="12"/>
      <c r="W1331" s="12"/>
      <c r="X1331" s="12"/>
      <c r="Y1331" s="12"/>
      <c r="Z1331" s="14"/>
      <c r="AA1331" s="15" t="str">
        <f ca="1">IFERROR(__xludf.DUMMYFUNCTION("""COMPUTED_VALUE"""),"*XR認知智慧處理器*專業影像校正*XR對比增強15*平面聲場技術進階版*AI聲源解析Voice Zoom3*遊戲選單/節能儀表板*智慧環境聲光感測Pro(BRAVIA Cam選購)
")</f>
        <v xml:space="preserve">*XR認知智慧處理器*專業影像校正*XR對比增強15*平面聲場技術進階版*AI聲源解析Voice Zoom3*遊戲選單/節能儀表板*智慧環境聲光感測Pro(BRAVIA Cam選購)
</v>
      </c>
    </row>
    <row r="1332" spans="1:27" ht="19.5" customHeight="1">
      <c r="A1332" s="12" t="str">
        <f ca="1">IFERROR(__xludf.DUMMYFUNCTION("""COMPUTED_VALUE"""),"HDTV")</f>
        <v>HDTV</v>
      </c>
      <c r="B1332" s="12" t="str">
        <f ca="1">IFERROR(__xludf.DUMMYFUNCTION("""COMPUTED_VALUE"""),"燦坤")</f>
        <v>燦坤</v>
      </c>
      <c r="C1332" s="12" t="str">
        <f ca="1">IFERROR(__xludf.DUMMYFUNCTION("""COMPUTED_VALUE"""),"SONY")</f>
        <v>SONY</v>
      </c>
      <c r="D1332" s="12" t="str">
        <f ca="1">IFERROR(__xludf.DUMMYFUNCTION("""COMPUTED_VALUE"""),"SONY 65型4K OLED智慧連網電視Bravia8 (Y-65XR80)")</f>
        <v>SONY 65型4K OLED智慧連網電視Bravia8 (Y-65XR80)</v>
      </c>
      <c r="E1332" s="12" t="str">
        <f ca="1">IFERROR(__xludf.DUMMYFUNCTION("""COMPUTED_VALUE"""),"Y-65XR80")</f>
        <v>Y-65XR80</v>
      </c>
      <c r="F1332" s="12">
        <f ca="1">IFERROR(__xludf.DUMMYFUNCTION("""COMPUTED_VALUE"""),51004250)</f>
        <v>51004250</v>
      </c>
      <c r="G1332" s="12" t="str">
        <f ca="1">IFERROR(__xludf.DUMMYFUNCTION("""COMPUTED_VALUE"""),"NCTV01PX")</f>
        <v>NCTV01PX</v>
      </c>
      <c r="H1332" s="13">
        <f ca="1">IFERROR(__xludf.DUMMYFUNCTION("""COMPUTED_VALUE"""),102900)</f>
        <v>102900</v>
      </c>
      <c r="I1332" s="18">
        <f ca="1">IFERROR(__xludf.DUMMYFUNCTION("""COMPUTED_VALUE"""),99800)</f>
        <v>99800</v>
      </c>
      <c r="J1332" s="12"/>
      <c r="K1332" s="12"/>
      <c r="L1332" s="12" t="str">
        <f ca="1">IFERROR(__xludf.DUMMYFUNCTION("""COMPUTED_VALUE"""),"上架中")</f>
        <v>上架中</v>
      </c>
      <c r="M1332" s="12"/>
      <c r="N1332" s="12" t="str">
        <f ca="1">IFERROR(__xludf.DUMMYFUNCTION("""COMPUTED_VALUE"""),"螢幕/液晶電視")</f>
        <v>螢幕/液晶電視</v>
      </c>
      <c r="O1332" s="12"/>
      <c r="P1332" s="12" t="str">
        <f ca="1">IFERROR(__xludf.DUMMYFUNCTION("""COMPUTED_VALUE"""),"65型")</f>
        <v>65型</v>
      </c>
      <c r="Q1332" s="12" t="str">
        <f ca="1">IFERROR(__xludf.DUMMYFUNCTION("""COMPUTED_VALUE"""),"(高寬深)含底座: 855x1442x248mmmm
(高寬深)不含底座：829 x 1442 x 37 mm ")</f>
        <v xml:space="preserve">(高寬深)含底座: 855x1442x248mmmm
(高寬深)不含底座：829 x 1442 x 37 mm </v>
      </c>
      <c r="R1332" s="12" t="str">
        <f ca="1">IFERROR(__xludf.DUMMYFUNCTION("""COMPUTED_VALUE"""),"馬來西亞")</f>
        <v>馬來西亞</v>
      </c>
      <c r="S1332" s="12"/>
      <c r="T1332" s="12"/>
      <c r="U1332" s="12" t="str">
        <f ca="1">IFERROR(__xludf.DUMMYFUNCTION("""COMPUTED_VALUE"""),"2年")</f>
        <v>2年</v>
      </c>
      <c r="V1332" s="12"/>
      <c r="W1332" s="12"/>
      <c r="X1332" s="12"/>
      <c r="Y1332" s="12"/>
      <c r="Z1332" s="14"/>
      <c r="AA1332" s="15" t="str">
        <f ca="1">IFERROR(__xludf.DUMMYFUNCTION("""COMPUTED_VALUE"""),"*XR認知智慧處理器*專業影像校正*XR對比增強15*平面聲場技術進階版*AI聲源解析Voice Zoom3*遊戲選單/節能儀表板*智慧環境聲光感測Pro(BRAVIA Cam選購)
")</f>
        <v xml:space="preserve">*XR認知智慧處理器*專業影像校正*XR對比增強15*平面聲場技術進階版*AI聲源解析Voice Zoom3*遊戲選單/節能儀表板*智慧環境聲光感測Pro(BRAVIA Cam選購)
</v>
      </c>
    </row>
    <row r="1333" spans="1:27" ht="19.5" customHeight="1">
      <c r="A1333" s="12" t="str">
        <f ca="1">IFERROR(__xludf.DUMMYFUNCTION("""COMPUTED_VALUE"""),"HDTV")</f>
        <v>HDTV</v>
      </c>
      <c r="B1333" s="12" t="str">
        <f ca="1">IFERROR(__xludf.DUMMYFUNCTION("""COMPUTED_VALUE"""),"大同")</f>
        <v>大同</v>
      </c>
      <c r="C1333" s="12" t="str">
        <f ca="1">IFERROR(__xludf.DUMMYFUNCTION("""COMPUTED_VALUE"""),"大同")</f>
        <v>大同</v>
      </c>
      <c r="D1333" s="12" t="str">
        <f ca="1">IFERROR(__xludf.DUMMYFUNCTION("""COMPUTED_VALUE"""),"大同32型液晶顯示器(無視訊盒)TA-ST32A50")</f>
        <v>大同32型液晶顯示器(無視訊盒)TA-ST32A50</v>
      </c>
      <c r="E1333" s="12" t="str">
        <f ca="1">IFERROR(__xludf.DUMMYFUNCTION("""COMPUTED_VALUE"""),"TA-ST32A50")</f>
        <v>TA-ST32A50</v>
      </c>
      <c r="F1333" s="12">
        <f ca="1">IFERROR(__xludf.DUMMYFUNCTION("""COMPUTED_VALUE"""),51089448)</f>
        <v>51089448</v>
      </c>
      <c r="G1333" s="12" t="str">
        <f ca="1">IFERROR(__xludf.DUMMYFUNCTION("""COMPUTED_VALUE"""),"NCTV01I1")</f>
        <v>NCTV01I1</v>
      </c>
      <c r="H1333" s="12">
        <f ca="1">IFERROR(__xludf.DUMMYFUNCTION("""COMPUTED_VALUE"""),7990)</f>
        <v>7990</v>
      </c>
      <c r="I1333" s="14">
        <f ca="1">IFERROR(__xludf.DUMMYFUNCTION("""COMPUTED_VALUE"""),6390)</f>
        <v>6390</v>
      </c>
      <c r="J1333" s="12"/>
      <c r="K1333" s="12"/>
      <c r="L1333" s="12" t="str">
        <f ca="1">IFERROR(__xludf.DUMMYFUNCTION("""COMPUTED_VALUE"""),"上架中")</f>
        <v>上架中</v>
      </c>
      <c r="M1333" s="12" t="str">
        <f ca="1">IFERROR(__xludf.DUMMYFUNCTION("""COMPUTED_VALUE"""),"2023/2/17新機上架")</f>
        <v>2023/2/17新機上架</v>
      </c>
      <c r="N1333" s="12" t="str">
        <f ca="1">IFERROR(__xludf.DUMMYFUNCTION("""COMPUTED_VALUE"""),"螢幕/液晶電視")</f>
        <v>螢幕/液晶電視</v>
      </c>
      <c r="O1333" s="12" t="str">
        <f ca="1">IFERROR(__xludf.DUMMYFUNCTION("""COMPUTED_VALUE"""),"黑")</f>
        <v>黑</v>
      </c>
      <c r="P1333" s="12" t="str">
        <f ca="1">IFERROR(__xludf.DUMMYFUNCTION("""COMPUTED_VALUE"""),"32型")</f>
        <v>32型</v>
      </c>
      <c r="Q1333" s="12" t="str">
        <f ca="1">IFERROR(__xludf.DUMMYFUNCTION("""COMPUTED_VALUE"""),"高466x寬721x深161mm含底座
高428x寬721x深86mm不含底座")</f>
        <v>高466x寬721x深161mm含底座
高428x寬721x深86mm不含底座</v>
      </c>
      <c r="R1333" s="12" t="str">
        <f ca="1">IFERROR(__xludf.DUMMYFUNCTION("""COMPUTED_VALUE"""),"中國")</f>
        <v>中國</v>
      </c>
      <c r="S1333" s="12" t="str">
        <f ca="1">IFERROR(__xludf.DUMMYFUNCTION("""COMPUTED_VALUE"""),"v")</f>
        <v>v</v>
      </c>
      <c r="T1333" s="12">
        <f ca="1">IFERROR(__xludf.DUMMYFUNCTION("""COMPUTED_VALUE"""),1120073)</f>
        <v>1120073</v>
      </c>
      <c r="U1333" s="12" t="str">
        <f ca="1">IFERROR(__xludf.DUMMYFUNCTION("""COMPUTED_VALUE"""),"3年")</f>
        <v>3年</v>
      </c>
      <c r="V1333" s="12"/>
      <c r="W1333" s="12"/>
      <c r="X1333" s="12"/>
      <c r="Y1333" s="12"/>
      <c r="Z1333" s="14"/>
      <c r="AA1333" s="15" t="str">
        <f ca="1">IFERROR(__xludf.DUMMYFUNCTION("""COMPUTED_VALUE"""),"*無邊框設計外觀*可搭配視訊擴充卡 (LTRI-TAST00)*I/O端子:HDMI *3；色差*1；VGA*1；AV*1:聲音輸出端子*1；USB 多媒體播放* 色彩影像技術、圖像雜訊抑制功能*3D杜比環繞音效")</f>
        <v>*無邊框設計外觀*可搭配視訊擴充卡 (LTRI-TAST00)*I/O端子:HDMI *3；色差*1；VGA*1；AV*1:聲音輸出端子*1；USB 多媒體播放* 色彩影像技術、圖像雜訊抑制功能*3D杜比環繞音效</v>
      </c>
    </row>
    <row r="1334" spans="1:27" ht="19.5" customHeight="1">
      <c r="A1334" s="12" t="str">
        <f ca="1">IFERROR(__xludf.DUMMYFUNCTION("""COMPUTED_VALUE"""),"HDTV")</f>
        <v>HDTV</v>
      </c>
      <c r="B1334" s="12" t="str">
        <f ca="1">IFERROR(__xludf.DUMMYFUNCTION("""COMPUTED_VALUE"""),"大同")</f>
        <v>大同</v>
      </c>
      <c r="C1334" s="12" t="str">
        <f ca="1">IFERROR(__xludf.DUMMYFUNCTION("""COMPUTED_VALUE"""),"大同")</f>
        <v>大同</v>
      </c>
      <c r="D1334" s="12" t="str">
        <f ca="1">IFERROR(__xludf.DUMMYFUNCTION("""COMPUTED_VALUE"""),"大同55型安卓連網4K液晶顯示器(無視訊盒)UH-55XT500")</f>
        <v>大同55型安卓連網4K液晶顯示器(無視訊盒)UH-55XT500</v>
      </c>
      <c r="E1334" s="12" t="str">
        <f ca="1">IFERROR(__xludf.DUMMYFUNCTION("""COMPUTED_VALUE"""),"UH-55XT500")</f>
        <v>UH-55XT500</v>
      </c>
      <c r="F1334" s="12">
        <f ca="1">IFERROR(__xludf.DUMMYFUNCTION("""COMPUTED_VALUE"""),51089451)</f>
        <v>51089451</v>
      </c>
      <c r="G1334" s="12" t="str">
        <f ca="1">IFERROR(__xludf.DUMMYFUNCTION("""COMPUTED_VALUE"""),"NCTV01I4")</f>
        <v>NCTV01I4</v>
      </c>
      <c r="H1334" s="12">
        <f ca="1">IFERROR(__xludf.DUMMYFUNCTION("""COMPUTED_VALUE"""),19900)</f>
        <v>19900</v>
      </c>
      <c r="I1334" s="14">
        <f ca="1">IFERROR(__xludf.DUMMYFUNCTION("""COMPUTED_VALUE"""),16500)</f>
        <v>16500</v>
      </c>
      <c r="J1334" s="12"/>
      <c r="K1334" s="12"/>
      <c r="L1334" s="12" t="str">
        <f ca="1">IFERROR(__xludf.DUMMYFUNCTION("""COMPUTED_VALUE"""),"上架中")</f>
        <v>上架中</v>
      </c>
      <c r="M1334" s="12" t="str">
        <f ca="1">IFERROR(__xludf.DUMMYFUNCTION("""COMPUTED_VALUE"""),"2023/2/17新機上架")</f>
        <v>2023/2/17新機上架</v>
      </c>
      <c r="N1334" s="12" t="str">
        <f ca="1">IFERROR(__xludf.DUMMYFUNCTION("""COMPUTED_VALUE"""),"螢幕/液晶電視")</f>
        <v>螢幕/液晶電視</v>
      </c>
      <c r="O1334" s="12" t="str">
        <f ca="1">IFERROR(__xludf.DUMMYFUNCTION("""COMPUTED_VALUE"""),"黑")</f>
        <v>黑</v>
      </c>
      <c r="P1334" s="12" t="str">
        <f ca="1">IFERROR(__xludf.DUMMYFUNCTION("""COMPUTED_VALUE"""),"55型")</f>
        <v>55型</v>
      </c>
      <c r="Q1334" s="12" t="str">
        <f ca="1">IFERROR(__xludf.DUMMYFUNCTION("""COMPUTED_VALUE"""),"高769x寬1233x深269(mm)含腳座
高718x寬1233x深88(mm)不含腳座")</f>
        <v>高769x寬1233x深269(mm)含腳座
高718x寬1233x深88(mm)不含腳座</v>
      </c>
      <c r="R1334" s="12" t="str">
        <f ca="1">IFERROR(__xludf.DUMMYFUNCTION("""COMPUTED_VALUE"""),"中國")</f>
        <v>中國</v>
      </c>
      <c r="S1334" s="12"/>
      <c r="T1334" s="12" t="str">
        <f ca="1">IFERROR(__xludf.DUMMYFUNCTION("""COMPUTED_VALUE"""),"申請中")</f>
        <v>申請中</v>
      </c>
      <c r="U1334" s="12" t="str">
        <f ca="1">IFERROR(__xludf.DUMMYFUNCTION("""COMPUTED_VALUE"""),"3年")</f>
        <v>3年</v>
      </c>
      <c r="V1334" s="12"/>
      <c r="W1334" s="12"/>
      <c r="X1334" s="12"/>
      <c r="Y1334" s="12"/>
      <c r="Z1334" s="14"/>
      <c r="AA1334" s="15" t="str">
        <f ca="1">IFERROR(__xludf.DUMMYFUNCTION("""COMPUTED_VALUE"""),"*4K UHD解析度* Google 正式授權 內建Chromecast* Android 11 系統* 4鍵直撥-Netflix、YouTube、Google Play、PrimeVideo* Google Play 商店* 3組HDMI、AV、耳機/光纖輸出、2組USB")</f>
        <v>*4K UHD解析度* Google 正式授權 內建Chromecast* Android 11 系統* 4鍵直撥-Netflix、YouTube、Google Play、PrimeVideo* Google Play 商店* 3組HDMI、AV、耳機/光纖輸出、2組USB</v>
      </c>
    </row>
    <row r="1335" spans="1:27" ht="19.5" customHeight="1">
      <c r="A1335" s="12" t="str">
        <f ca="1">IFERROR(__xludf.DUMMYFUNCTION("""COMPUTED_VALUE"""),"HDTV")</f>
        <v>HDTV</v>
      </c>
      <c r="B1335" s="12" t="str">
        <f ca="1">IFERROR(__xludf.DUMMYFUNCTION("""COMPUTED_VALUE"""),"安悅")</f>
        <v>安悅</v>
      </c>
      <c r="C1335" s="12" t="str">
        <f ca="1">IFERROR(__xludf.DUMMYFUNCTION("""COMPUTED_VALUE"""),"東元")</f>
        <v>東元</v>
      </c>
      <c r="D1335" s="12" t="str">
        <f ca="1">IFERROR(__xludf.DUMMYFUNCTION("""COMPUTED_VALUE"""),"東元55型安卓連網4K液晶顯示器(無視訊盒)TL55GU1TRE(含TS1300TRH)")</f>
        <v>東元55型安卓連網4K液晶顯示器(無視訊盒)TL55GU1TRE(含TS1300TRH)</v>
      </c>
      <c r="E1335" s="12" t="str">
        <f ca="1">IFERROR(__xludf.DUMMYFUNCTION("""COMPUTED_VALUE"""),"TL55GU1TRE/TS1300TRH")</f>
        <v>TL55GU1TRE/TS1300TRH</v>
      </c>
      <c r="F1335" s="12">
        <f ca="1">IFERROR(__xludf.DUMMYFUNCTION("""COMPUTED_VALUE"""),51082255)</f>
        <v>51082255</v>
      </c>
      <c r="G1335" s="12" t="str">
        <f ca="1">IFERROR(__xludf.DUMMYFUNCTION("""COMPUTED_VALUE"""),"NCTV01HQ")</f>
        <v>NCTV01HQ</v>
      </c>
      <c r="H1335" s="13">
        <f ca="1">IFERROR(__xludf.DUMMYFUNCTION("""COMPUTED_VALUE"""),19900)</f>
        <v>19900</v>
      </c>
      <c r="I1335" s="14">
        <f ca="1">IFERROR(__xludf.DUMMYFUNCTION("""COMPUTED_VALUE"""),10999)</f>
        <v>10999</v>
      </c>
      <c r="J1335" s="16">
        <f ca="1">IFERROR(__xludf.DUMMYFUNCTION("""COMPUTED_VALUE"""),45698)</f>
        <v>45698</v>
      </c>
      <c r="K1335" s="12" t="str">
        <f ca="1">IFERROR(__xludf.DUMMYFUNCTION("""COMPUTED_VALUE"""),"永久降價")</f>
        <v>永久降價</v>
      </c>
      <c r="L1335" s="12" t="str">
        <f ca="1">IFERROR(__xludf.DUMMYFUNCTION("""COMPUTED_VALUE"""),"上架中")</f>
        <v>上架中</v>
      </c>
      <c r="M1335" s="12"/>
      <c r="N1335" s="12" t="str">
        <f ca="1">IFERROR(__xludf.DUMMYFUNCTION("""COMPUTED_VALUE"""),"螢幕/液晶電視")</f>
        <v>螢幕/液晶電視</v>
      </c>
      <c r="O1335" s="12"/>
      <c r="P1335" s="12" t="str">
        <f ca="1">IFERROR(__xludf.DUMMYFUNCTION("""COMPUTED_VALUE"""),"55型")</f>
        <v>55型</v>
      </c>
      <c r="Q1335" s="12" t="str">
        <f ca="1">IFERROR(__xludf.DUMMYFUNCTION("""COMPUTED_VALUE"""),"(不含腳座 )：高717X寬1231X深89.1 mm
(含腳座 )：高762.3X寬1231X深221.4 mm")</f>
        <v>(不含腳座 )：高717X寬1231X深89.1 mm
(含腳座 )：高762.3X寬1231X深221.4 mm</v>
      </c>
      <c r="R1335" s="12" t="str">
        <f ca="1">IFERROR(__xludf.DUMMYFUNCTION("""COMPUTED_VALUE"""),"中國")</f>
        <v>中國</v>
      </c>
      <c r="S1335" s="12"/>
      <c r="T1335" s="12"/>
      <c r="U1335" s="12" t="str">
        <f ca="1">IFERROR(__xludf.DUMMYFUNCTION("""COMPUTED_VALUE"""),"*東元家電官網登記
可享有全機3年保固
*未登記全機保固2年
*營業用僅1年保固")</f>
        <v>*東元家電官網登記
可享有全機3年保固
*未登記全機保固2年
*營業用僅1年保固</v>
      </c>
      <c r="V1335" s="12"/>
      <c r="W1335" s="12"/>
      <c r="X1335" s="12"/>
      <c r="Y1335" s="12"/>
      <c r="Z1335" s="14"/>
      <c r="AA1335" s="15" t="str">
        <f ca="1">IFERROR(__xludf.DUMMYFUNCTION("""COMPUTED_VALUE"""),"*解像度( H x V):3840X2160 *4K UHD 超高解析RGB真實4K *作業系統 Smart OS:Android 11.0 *Google Play *廣視角面板顯像技術*Bright View 超明亮面版*HDMI 4K 信號支持4K@60Hz*HDMI 4組、USB 2組、AV輸入端子1組")</f>
        <v>*解像度( H x V):3840X2160 *4K UHD 超高解析RGB真實4K *作業系統 Smart OS:Android 11.0 *Google Play *廣視角面板顯像技術*Bright View 超明亮面版*HDMI 4K 信號支持4K@60Hz*HDMI 4組、USB 2組、AV輸入端子1組</v>
      </c>
    </row>
    <row r="1336" spans="1:27" ht="19.5" customHeight="1">
      <c r="A1336" s="12" t="str">
        <f ca="1">IFERROR(__xludf.DUMMYFUNCTION("""COMPUTED_VALUE"""),"HDTV")</f>
        <v>HDTV</v>
      </c>
      <c r="B1336" s="12" t="str">
        <f ca="1">IFERROR(__xludf.DUMMYFUNCTION("""COMPUTED_VALUE"""),"安悅")</f>
        <v>安悅</v>
      </c>
      <c r="C1336" s="12" t="str">
        <f ca="1">IFERROR(__xludf.DUMMYFUNCTION("""COMPUTED_VALUE"""),"東元")</f>
        <v>東元</v>
      </c>
      <c r="D1336" s="12" t="str">
        <f ca="1">IFERROR(__xludf.DUMMYFUNCTION("""COMPUTED_VALUE"""),"東元 32型IPS HD低藍光液晶顯示器(含視訊盒)TL32K8TRE (TS1326TRA)")</f>
        <v>東元 32型IPS HD低藍光液晶顯示器(含視訊盒)TL32K8TRE (TS1326TRA)</v>
      </c>
      <c r="E1336" s="12" t="str">
        <f ca="1">IFERROR(__xludf.DUMMYFUNCTION("""COMPUTED_VALUE"""),"TL32K8TRE+TS1326TRA")</f>
        <v>TL32K8TRE+TS1326TRA</v>
      </c>
      <c r="F1336" s="12">
        <f ca="1">IFERROR(__xludf.DUMMYFUNCTION("""COMPUTED_VALUE"""),51082333)</f>
        <v>51082333</v>
      </c>
      <c r="G1336" s="12" t="str">
        <f ca="1">IFERROR(__xludf.DUMMYFUNCTION("""COMPUTED_VALUE"""),"NCTV01RF")</f>
        <v>NCTV01RF</v>
      </c>
      <c r="H1336" s="13">
        <f ca="1">IFERROR(__xludf.DUMMYFUNCTION("""COMPUTED_VALUE"""),8490)</f>
        <v>8490</v>
      </c>
      <c r="I1336" s="14">
        <f ca="1">IFERROR(__xludf.DUMMYFUNCTION("""COMPUTED_VALUE"""),5390)</f>
        <v>5390</v>
      </c>
      <c r="J1336" s="16">
        <f ca="1">IFERROR(__xludf.DUMMYFUNCTION("""COMPUTED_VALUE"""),45526)</f>
        <v>45526</v>
      </c>
      <c r="K1336" s="12" t="str">
        <f ca="1">IFERROR(__xludf.DUMMYFUNCTION("""COMPUTED_VALUE"""),"新機上架")</f>
        <v>新機上架</v>
      </c>
      <c r="L1336" s="12" t="str">
        <f ca="1">IFERROR(__xludf.DUMMYFUNCTION("""COMPUTED_VALUE"""),"上架中")</f>
        <v>上架中</v>
      </c>
      <c r="M1336" s="12" t="str">
        <f ca="1">IFERROR(__xludf.DUMMYFUNCTION("""COMPUTED_VALUE"""),"2024/8/22上架")</f>
        <v>2024/8/22上架</v>
      </c>
      <c r="N1336" s="12" t="str">
        <f ca="1">IFERROR(__xludf.DUMMYFUNCTION("""COMPUTED_VALUE"""),"螢幕/液晶電視")</f>
        <v>螢幕/液晶電視</v>
      </c>
      <c r="O1336" s="12"/>
      <c r="P1336" s="12" t="str">
        <f ca="1">IFERROR(__xludf.DUMMYFUNCTION("""COMPUTED_VALUE"""),"32型")</f>
        <v>32型</v>
      </c>
      <c r="Q1336" s="12" t="str">
        <f ca="1">IFERROR(__xludf.DUMMYFUNCTION("""COMPUTED_VALUE"""),"(不含腳座 )：高430X寬723X深81 mm
 (含腳座 )：高463X寬723X深 166 mm")</f>
        <v>(不含腳座 )：高430X寬723X深81 mm
 (含腳座 )：高463X寬723X深 166 mm</v>
      </c>
      <c r="R1336" s="12" t="str">
        <f ca="1">IFERROR(__xludf.DUMMYFUNCTION("""COMPUTED_VALUE"""),"中國")</f>
        <v>中國</v>
      </c>
      <c r="S1336" s="12"/>
      <c r="T1336" s="12"/>
      <c r="U1336" s="12" t="str">
        <f ca="1">IFERROR(__xludf.DUMMYFUNCTION("""COMPUTED_VALUE"""),"*東元家電官網登記
可享有全機3年保固
*未登記全機保固2年
*營業用僅1年保固")</f>
        <v>*東元家電官網登記
可享有全機3年保固
*未登記全機保固2年
*營業用僅1年保固</v>
      </c>
      <c r="V1336" s="12"/>
      <c r="W1336" s="12"/>
      <c r="X1336" s="12"/>
      <c r="Y1336" s="12"/>
      <c r="Z1336" s="14"/>
      <c r="AA1336" s="15" t="str">
        <f ca="1">IFERROR(__xludf.DUMMYFUNCTION("""COMPUTED_VALUE"""),"*硬板面板/廣視角面板顯像技術*低藍光模式*水燦光影像處理引擎*24P電影還原技術*虛擬環繞音效")</f>
        <v>*硬板面板/廣視角面板顯像技術*低藍光模式*水燦光影像處理引擎*24P電影還原技術*虛擬環繞音效</v>
      </c>
    </row>
    <row r="1337" spans="1:27" ht="19.5" customHeight="1">
      <c r="A1337" s="12" t="str">
        <f ca="1">IFERROR(__xludf.DUMMYFUNCTION("""COMPUTED_VALUE"""),"HDTV")</f>
        <v>HDTV</v>
      </c>
      <c r="B1337" s="12" t="str">
        <f ca="1">IFERROR(__xludf.DUMMYFUNCTION("""COMPUTED_VALUE"""),"安悅")</f>
        <v>安悅</v>
      </c>
      <c r="C1337" s="12" t="str">
        <f ca="1">IFERROR(__xludf.DUMMYFUNCTION("""COMPUTED_VALUE"""),"東元")</f>
        <v>東元</v>
      </c>
      <c r="D1337" s="12" t="str">
        <f ca="1">IFERROR(__xludf.DUMMYFUNCTION("""COMPUTED_VALUE"""),"東元43型4K Google TV連網液晶顯示器(無視訊盒)TL43GU2TRE(含TS1300TRH)")</f>
        <v>東元43型4K Google TV連網液晶顯示器(無視訊盒)TL43GU2TRE(含TS1300TRH)</v>
      </c>
      <c r="E1337" s="12" t="str">
        <f ca="1">IFERROR(__xludf.DUMMYFUNCTION("""COMPUTED_VALUE"""),"TL43GU2TRE")</f>
        <v>TL43GU2TRE</v>
      </c>
      <c r="F1337" s="12">
        <f ca="1">IFERROR(__xludf.DUMMYFUNCTION("""COMPUTED_VALUE"""),51082312)</f>
        <v>51082312</v>
      </c>
      <c r="G1337" s="12" t="str">
        <f ca="1">IFERROR(__xludf.DUMMYFUNCTION("""COMPUTED_VALUE"""),"NCTV01NJ")</f>
        <v>NCTV01NJ</v>
      </c>
      <c r="H1337" s="13">
        <f ca="1">IFERROR(__xludf.DUMMYFUNCTION("""COMPUTED_VALUE"""),14900)</f>
        <v>14900</v>
      </c>
      <c r="I1337" s="18">
        <f ca="1">IFERROR(__xludf.DUMMYFUNCTION("""COMPUTED_VALUE"""),10500)</f>
        <v>10500</v>
      </c>
      <c r="J1337" s="16">
        <f ca="1">IFERROR(__xludf.DUMMYFUNCTION("""COMPUTED_VALUE"""),45261)</f>
        <v>45261</v>
      </c>
      <c r="K1337" s="12" t="str">
        <f ca="1">IFERROR(__xludf.DUMMYFUNCTION("""COMPUTED_VALUE"""),"新機上架")</f>
        <v>新機上架</v>
      </c>
      <c r="L1337" s="12" t="str">
        <f ca="1">IFERROR(__xludf.DUMMYFUNCTION("""COMPUTED_VALUE"""),"上架中")</f>
        <v>上架中</v>
      </c>
      <c r="M1337" s="12" t="str">
        <f ca="1">IFERROR(__xludf.DUMMYFUNCTION("""COMPUTED_VALUE"""),"12/1新機上架")</f>
        <v>12/1新機上架</v>
      </c>
      <c r="N1337" s="12" t="str">
        <f ca="1">IFERROR(__xludf.DUMMYFUNCTION("""COMPUTED_VALUE"""),"螢幕/液晶電視")</f>
        <v>螢幕/液晶電視</v>
      </c>
      <c r="O1337" s="12"/>
      <c r="P1337" s="12" t="str">
        <f ca="1">IFERROR(__xludf.DUMMYFUNCTION("""COMPUTED_VALUE"""),"43型")</f>
        <v>43型</v>
      </c>
      <c r="Q1337" s="12" t="str">
        <f ca="1">IFERROR(__xludf.DUMMYFUNCTION("""COMPUTED_VALUE"""),"(不含腳座 )：高561寬963XX深82mm
 (含腳座 )：高616X寬963X深226 mm")</f>
        <v>(不含腳座 )：高561寬963XX深82mm
 (含腳座 )：高616X寬963X深226 mm</v>
      </c>
      <c r="R1337" s="12" t="str">
        <f ca="1">IFERROR(__xludf.DUMMYFUNCTION("""COMPUTED_VALUE"""),"中國")</f>
        <v>中國</v>
      </c>
      <c r="S1337" s="12"/>
      <c r="T1337" s="12"/>
      <c r="U1337" s="12" t="str">
        <f ca="1">IFERROR(__xludf.DUMMYFUNCTION("""COMPUTED_VALUE"""),"*東元家電官網登記
可享有全機3年保固
*未登記全機保固2年
*營業用僅1年保固")</f>
        <v>*東元家電官網登記
可享有全機3年保固
*未登記全機保固2年
*營業用僅1年保固</v>
      </c>
      <c r="V1337" s="12"/>
      <c r="W1337" s="12"/>
      <c r="X1337" s="12"/>
      <c r="Y1337" s="12"/>
      <c r="Z1337" s="14"/>
      <c r="AA1337" s="15" t="str">
        <f ca="1">IFERROR(__xludf.DUMMYFUNCTION("""COMPUTED_VALUE"""),"* Google TV 平台*4K UHD超高解析度*Bright view超明亮面板*178度超廣可視角度*HDR10/HLG/DolbyVision *無線傳屏(支援蘋果iOS/Android)*低藍光模式")</f>
        <v>* Google TV 平台*4K UHD超高解析度*Bright view超明亮面板*178度超廣可視角度*HDR10/HLG/DolbyVision *無線傳屏(支援蘋果iOS/Android)*低藍光模式</v>
      </c>
    </row>
    <row r="1338" spans="1:27" ht="19.5" customHeight="1">
      <c r="A1338" s="12" t="str">
        <f ca="1">IFERROR(__xludf.DUMMYFUNCTION("""COMPUTED_VALUE"""),"HDTV")</f>
        <v>HDTV</v>
      </c>
      <c r="B1338" s="12" t="str">
        <f ca="1">IFERROR(__xludf.DUMMYFUNCTION("""COMPUTED_VALUE"""),"安悅")</f>
        <v>安悅</v>
      </c>
      <c r="C1338" s="12" t="str">
        <f ca="1">IFERROR(__xludf.DUMMYFUNCTION("""COMPUTED_VALUE"""),"東元")</f>
        <v>東元</v>
      </c>
      <c r="D1338" s="12" t="str">
        <f ca="1">IFERROR(__xludf.DUMMYFUNCTION("""COMPUTED_VALUE"""),"東元50型4K Google TV連網液晶顯示器(無視訊盒)TL50GU2TRE(含TS1300TRH)")</f>
        <v>東元50型4K Google TV連網液晶顯示器(無視訊盒)TL50GU2TRE(含TS1300TRH)</v>
      </c>
      <c r="E1338" s="12" t="str">
        <f ca="1">IFERROR(__xludf.DUMMYFUNCTION("""COMPUTED_VALUE"""),"TL50GU2TRE")</f>
        <v>TL50GU2TRE</v>
      </c>
      <c r="F1338" s="12">
        <f ca="1">IFERROR(__xludf.DUMMYFUNCTION("""COMPUTED_VALUE"""),51082313)</f>
        <v>51082313</v>
      </c>
      <c r="G1338" s="12" t="str">
        <f ca="1">IFERROR(__xludf.DUMMYFUNCTION("""COMPUTED_VALUE"""),"NCTV01NK")</f>
        <v>NCTV01NK</v>
      </c>
      <c r="H1338" s="13">
        <f ca="1">IFERROR(__xludf.DUMMYFUNCTION("""COMPUTED_VALUE"""),16900)</f>
        <v>16900</v>
      </c>
      <c r="I1338" s="18">
        <f ca="1">IFERROR(__xludf.DUMMYFUNCTION("""COMPUTED_VALUE"""),13500)</f>
        <v>13500</v>
      </c>
      <c r="J1338" s="16">
        <f ca="1">IFERROR(__xludf.DUMMYFUNCTION("""COMPUTED_VALUE"""),45261)</f>
        <v>45261</v>
      </c>
      <c r="K1338" s="12" t="str">
        <f ca="1">IFERROR(__xludf.DUMMYFUNCTION("""COMPUTED_VALUE"""),"新機上架")</f>
        <v>新機上架</v>
      </c>
      <c r="L1338" s="12" t="str">
        <f ca="1">IFERROR(__xludf.DUMMYFUNCTION("""COMPUTED_VALUE"""),"上架中")</f>
        <v>上架中</v>
      </c>
      <c r="M1338" s="12" t="str">
        <f ca="1">IFERROR(__xludf.DUMMYFUNCTION("""COMPUTED_VALUE"""),"12/1新機上架")</f>
        <v>12/1新機上架</v>
      </c>
      <c r="N1338" s="12" t="str">
        <f ca="1">IFERROR(__xludf.DUMMYFUNCTION("""COMPUTED_VALUE"""),"螢幕/液晶電視")</f>
        <v>螢幕/液晶電視</v>
      </c>
      <c r="O1338" s="12"/>
      <c r="P1338" s="12" t="str">
        <f ca="1">IFERROR(__xludf.DUMMYFUNCTION("""COMPUTED_VALUE"""),"50型")</f>
        <v>50型</v>
      </c>
      <c r="Q1338" s="12" t="str">
        <f ca="1">IFERROR(__xludf.DUMMYFUNCTION("""COMPUTED_VALUE"""),"(不含底座) : 高 710.3X 寬 1116.8X 深 89.5 mm
 (含底座) : 高 706.8X 寬 1116.8X 深 291.7 mm")</f>
        <v>(不含底座) : 高 710.3X 寬 1116.8X 深 89.5 mm
 (含底座) : 高 706.8X 寬 1116.8X 深 291.7 mm</v>
      </c>
      <c r="R1338" s="12" t="str">
        <f ca="1">IFERROR(__xludf.DUMMYFUNCTION("""COMPUTED_VALUE"""),"中國")</f>
        <v>中國</v>
      </c>
      <c r="S1338" s="12"/>
      <c r="T1338" s="12"/>
      <c r="U1338" s="12" t="str">
        <f ca="1">IFERROR(__xludf.DUMMYFUNCTION("""COMPUTED_VALUE"""),"*東元家電官網登記
可享有全機3年保固
*未登記全機保固2年
*營業用僅1年保固")</f>
        <v>*東元家電官網登記
可享有全機3年保固
*未登記全機保固2年
*營業用僅1年保固</v>
      </c>
      <c r="V1338" s="12"/>
      <c r="W1338" s="12"/>
      <c r="X1338" s="12"/>
      <c r="Y1338" s="12"/>
      <c r="Z1338" s="14"/>
      <c r="AA1338" s="15" t="str">
        <f ca="1">IFERROR(__xludf.DUMMYFUNCTION("""COMPUTED_VALUE"""),"* Google TV 平台*4K UHD超高解析度*Bright view超明亮面板*178度超廣可視角度*HDR10/HLG/DolbyVision *無線傳屏(支援蘋果iOS/Android)*低藍光模式")</f>
        <v>* Google TV 平台*4K UHD超高解析度*Bright view超明亮面板*178度超廣可視角度*HDR10/HLG/DolbyVision *無線傳屏(支援蘋果iOS/Android)*低藍光模式</v>
      </c>
    </row>
    <row r="1339" spans="1:27" ht="19.5" customHeight="1">
      <c r="A1339" s="12" t="str">
        <f ca="1">IFERROR(__xludf.DUMMYFUNCTION("""COMPUTED_VALUE"""),"HDTV")</f>
        <v>HDTV</v>
      </c>
      <c r="B1339" s="12" t="str">
        <f ca="1">IFERROR(__xludf.DUMMYFUNCTION("""COMPUTED_VALUE"""),"安悅")</f>
        <v>安悅</v>
      </c>
      <c r="C1339" s="12" t="str">
        <f ca="1">IFERROR(__xludf.DUMMYFUNCTION("""COMPUTED_VALUE"""),"東元")</f>
        <v>東元</v>
      </c>
      <c r="D1339" s="12" t="str">
        <f ca="1">IFERROR(__xludf.DUMMYFUNCTION("""COMPUTED_VALUE"""),"東元55型4K Google TV連網液晶顯示器(無視訊盒)TL55GU2TRE(含TS1300TRH)")</f>
        <v>東元55型4K Google TV連網液晶顯示器(無視訊盒)TL55GU2TRE(含TS1300TRH)</v>
      </c>
      <c r="E1339" s="12" t="str">
        <f ca="1">IFERROR(__xludf.DUMMYFUNCTION("""COMPUTED_VALUE"""),"TL55GU2TRE")</f>
        <v>TL55GU2TRE</v>
      </c>
      <c r="F1339" s="12">
        <f ca="1">IFERROR(__xludf.DUMMYFUNCTION("""COMPUTED_VALUE"""),51082314)</f>
        <v>51082314</v>
      </c>
      <c r="G1339" s="12" t="str">
        <f ca="1">IFERROR(__xludf.DUMMYFUNCTION("""COMPUTED_VALUE"""),"NCTV01NL")</f>
        <v>NCTV01NL</v>
      </c>
      <c r="H1339" s="13">
        <f ca="1">IFERROR(__xludf.DUMMYFUNCTION("""COMPUTED_VALUE"""),19900)</f>
        <v>19900</v>
      </c>
      <c r="I1339" s="18">
        <f ca="1">IFERROR(__xludf.DUMMYFUNCTION("""COMPUTED_VALUE"""),15500)</f>
        <v>15500</v>
      </c>
      <c r="J1339" s="16">
        <f ca="1">IFERROR(__xludf.DUMMYFUNCTION("""COMPUTED_VALUE"""),45261)</f>
        <v>45261</v>
      </c>
      <c r="K1339" s="12" t="str">
        <f ca="1">IFERROR(__xludf.DUMMYFUNCTION("""COMPUTED_VALUE"""),"新機上架")</f>
        <v>新機上架</v>
      </c>
      <c r="L1339" s="12" t="str">
        <f ca="1">IFERROR(__xludf.DUMMYFUNCTION("""COMPUTED_VALUE"""),"上架中")</f>
        <v>上架中</v>
      </c>
      <c r="M1339" s="12" t="str">
        <f ca="1">IFERROR(__xludf.DUMMYFUNCTION("""COMPUTED_VALUE"""),"12/1新機上架")</f>
        <v>12/1新機上架</v>
      </c>
      <c r="N1339" s="12" t="str">
        <f ca="1">IFERROR(__xludf.DUMMYFUNCTION("""COMPUTED_VALUE"""),"螢幕/液晶電視")</f>
        <v>螢幕/液晶電視</v>
      </c>
      <c r="O1339" s="12"/>
      <c r="P1339" s="12" t="str">
        <f ca="1">IFERROR(__xludf.DUMMYFUNCTION("""COMPUTED_VALUE"""),"55型")</f>
        <v>55型</v>
      </c>
      <c r="Q1339" s="12" t="str">
        <f ca="1">IFERROR(__xludf.DUMMYFUNCTION("""COMPUTED_VALUE"""),"(不含腳座 )：高710.3X寬1230.9X深89.5 mm
 (含腳座 )：高771.9X寬1230.9X深291.7 mm")</f>
        <v>(不含腳座 )：高710.3X寬1230.9X深89.5 mm
 (含腳座 )：高771.9X寬1230.9X深291.7 mm</v>
      </c>
      <c r="R1339" s="12" t="str">
        <f ca="1">IFERROR(__xludf.DUMMYFUNCTION("""COMPUTED_VALUE"""),"中國")</f>
        <v>中國</v>
      </c>
      <c r="S1339" s="12"/>
      <c r="T1339" s="12"/>
      <c r="U1339" s="12" t="str">
        <f ca="1">IFERROR(__xludf.DUMMYFUNCTION("""COMPUTED_VALUE"""),"*東元家電官網登記
可享有全機3年保固
*未登記全機保固2年
*營業用僅1年保固")</f>
        <v>*東元家電官網登記
可享有全機3年保固
*未登記全機保固2年
*營業用僅1年保固</v>
      </c>
      <c r="V1339" s="12"/>
      <c r="W1339" s="12"/>
      <c r="X1339" s="12"/>
      <c r="Y1339" s="12"/>
      <c r="Z1339" s="14"/>
      <c r="AA1339" s="15" t="str">
        <f ca="1">IFERROR(__xludf.DUMMYFUNCTION("""COMPUTED_VALUE"""),"* Google TV 平台*4K UHD超高解析度*Bright view超明亮面板*178度超廣可視角度*HDR10/HLG/DolbyVision *無線傳屏(支援蘋果iOS/Android)*低藍光模式")</f>
        <v>* Google TV 平台*4K UHD超高解析度*Bright view超明亮面板*178度超廣可視角度*HDR10/HLG/DolbyVision *無線傳屏(支援蘋果iOS/Android)*低藍光模式</v>
      </c>
    </row>
    <row r="1340" spans="1:27" ht="19.5" customHeight="1">
      <c r="A1340" s="12" t="str">
        <f ca="1">IFERROR(__xludf.DUMMYFUNCTION("""COMPUTED_VALUE"""),"HDTV")</f>
        <v>HDTV</v>
      </c>
      <c r="B1340" s="12" t="str">
        <f ca="1">IFERROR(__xludf.DUMMYFUNCTION("""COMPUTED_VALUE"""),"安悅")</f>
        <v>安悅</v>
      </c>
      <c r="C1340" s="12" t="str">
        <f ca="1">IFERROR(__xludf.DUMMYFUNCTION("""COMPUTED_VALUE"""),"東元")</f>
        <v>東元</v>
      </c>
      <c r="D1340" s="12" t="str">
        <f ca="1">IFERROR(__xludf.DUMMYFUNCTION("""COMPUTED_VALUE"""),"東元65型4K Google TV連網液晶顯示器(無視訊盒)TL65GU2TRE(含TS1300TRH)")</f>
        <v>東元65型4K Google TV連網液晶顯示器(無視訊盒)TL65GU2TRE(含TS1300TRH)</v>
      </c>
      <c r="E1340" s="12" t="str">
        <f ca="1">IFERROR(__xludf.DUMMYFUNCTION("""COMPUTED_VALUE"""),"TL65GU2TRE")</f>
        <v>TL65GU2TRE</v>
      </c>
      <c r="F1340" s="12">
        <f ca="1">IFERROR(__xludf.DUMMYFUNCTION("""COMPUTED_VALUE"""),51082315)</f>
        <v>51082315</v>
      </c>
      <c r="G1340" s="12" t="str">
        <f ca="1">IFERROR(__xludf.DUMMYFUNCTION("""COMPUTED_VALUE"""),"NCTV01NM")</f>
        <v>NCTV01NM</v>
      </c>
      <c r="H1340" s="13">
        <f ca="1">IFERROR(__xludf.DUMMYFUNCTION("""COMPUTED_VALUE"""),24900)</f>
        <v>24900</v>
      </c>
      <c r="I1340" s="18">
        <f ca="1">IFERROR(__xludf.DUMMYFUNCTION("""COMPUTED_VALUE"""),19500)</f>
        <v>19500</v>
      </c>
      <c r="J1340" s="16">
        <f ca="1">IFERROR(__xludf.DUMMYFUNCTION("""COMPUTED_VALUE"""),45261)</f>
        <v>45261</v>
      </c>
      <c r="K1340" s="12" t="str">
        <f ca="1">IFERROR(__xludf.DUMMYFUNCTION("""COMPUTED_VALUE"""),"新機上架")</f>
        <v>新機上架</v>
      </c>
      <c r="L1340" s="12" t="str">
        <f ca="1">IFERROR(__xludf.DUMMYFUNCTION("""COMPUTED_VALUE"""),"上架中")</f>
        <v>上架中</v>
      </c>
      <c r="M1340" s="12" t="str">
        <f ca="1">IFERROR(__xludf.DUMMYFUNCTION("""COMPUTED_VALUE"""),"12/1新機上架")</f>
        <v>12/1新機上架</v>
      </c>
      <c r="N1340" s="12" t="str">
        <f ca="1">IFERROR(__xludf.DUMMYFUNCTION("""COMPUTED_VALUE"""),"螢幕/液晶電視")</f>
        <v>螢幕/液晶電視</v>
      </c>
      <c r="O1340" s="12"/>
      <c r="P1340" s="12" t="str">
        <f ca="1">IFERROR(__xludf.DUMMYFUNCTION("""COMPUTED_VALUE"""),"65型")</f>
        <v>65型</v>
      </c>
      <c r="Q1340" s="12" t="str">
        <f ca="1">IFERROR(__xludf.DUMMYFUNCTION("""COMPUTED_VALUE"""),"(不含腳座 )：高834.7X寬1452X深89.5 mm
 (含腳座 )：高900.1X寬1452X深327.1mm")</f>
        <v>(不含腳座 )：高834.7X寬1452X深89.5 mm
 (含腳座 )：高900.1X寬1452X深327.1mm</v>
      </c>
      <c r="R1340" s="12" t="str">
        <f ca="1">IFERROR(__xludf.DUMMYFUNCTION("""COMPUTED_VALUE"""),"中國")</f>
        <v>中國</v>
      </c>
      <c r="S1340" s="12"/>
      <c r="T1340" s="12"/>
      <c r="U1340" s="12" t="str">
        <f ca="1">IFERROR(__xludf.DUMMYFUNCTION("""COMPUTED_VALUE"""),"*東元家電官網登記
可享有全機3年保固
*未登記全機保固2年
*營業用僅1年保固")</f>
        <v>*東元家電官網登記
可享有全機3年保固
*未登記全機保固2年
*營業用僅1年保固</v>
      </c>
      <c r="V1340" s="12"/>
      <c r="W1340" s="12"/>
      <c r="X1340" s="12"/>
      <c r="Y1340" s="12"/>
      <c r="Z1340" s="14"/>
      <c r="AA1340" s="15" t="str">
        <f ca="1">IFERROR(__xludf.DUMMYFUNCTION("""COMPUTED_VALUE"""),"* Google TV 平台*4K UHD超高解析度*Bright view超明亮面板*178度超廣可視角度*HDR10/HLG/DolbyVision *無線傳屏(支援蘋果iOS/Android)*低藍光模式")</f>
        <v>* Google TV 平台*4K UHD超高解析度*Bright view超明亮面板*178度超廣可視角度*HDR10/HLG/DolbyVision *無線傳屏(支援蘋果iOS/Android)*低藍光模式</v>
      </c>
    </row>
    <row r="1341" spans="1:27" ht="19.5" customHeight="1">
      <c r="A1341" s="12" t="str">
        <f ca="1">IFERROR(__xludf.DUMMYFUNCTION("""COMPUTED_VALUE"""),"HDTV")</f>
        <v>HDTV</v>
      </c>
      <c r="B1341" s="12" t="str">
        <f ca="1">IFERROR(__xludf.DUMMYFUNCTION("""COMPUTED_VALUE"""),"安悅")</f>
        <v>安悅</v>
      </c>
      <c r="C1341" s="12" t="str">
        <f ca="1">IFERROR(__xludf.DUMMYFUNCTION("""COMPUTED_VALUE"""),"東元")</f>
        <v>東元</v>
      </c>
      <c r="D1341" s="12" t="str">
        <f ca="1">IFERROR(__xludf.DUMMYFUNCTION("""COMPUTED_VALUE"""),"東元 43型IPS FHD低藍光液晶顯示器(含視訊盒)TL43A10TRE (TS1325TRA )")</f>
        <v>東元 43型IPS FHD低藍光液晶顯示器(含視訊盒)TL43A10TRE (TS1325TRA )</v>
      </c>
      <c r="E1341" s="12" t="str">
        <f ca="1">IFERROR(__xludf.DUMMYFUNCTION("""COMPUTED_VALUE"""),"TL43A10TRE+TS1325TRA")</f>
        <v>TL43A10TRE+TS1325TRA</v>
      </c>
      <c r="F1341" s="12">
        <f ca="1">IFERROR(__xludf.DUMMYFUNCTION("""COMPUTED_VALUE"""),51082321)</f>
        <v>51082321</v>
      </c>
      <c r="G1341" s="12" t="str">
        <f ca="1">IFERROR(__xludf.DUMMYFUNCTION("""COMPUTED_VALUE"""),"NCTV01OF")</f>
        <v>NCTV01OF</v>
      </c>
      <c r="H1341" s="13">
        <f ca="1">IFERROR(__xludf.DUMMYFUNCTION("""COMPUTED_VALUE"""),8990)</f>
        <v>8990</v>
      </c>
      <c r="I1341" s="14">
        <f ca="1">IFERROR(__xludf.DUMMYFUNCTION("""COMPUTED_VALUE"""),7490)</f>
        <v>7490</v>
      </c>
      <c r="J1341" s="16">
        <f ca="1">IFERROR(__xludf.DUMMYFUNCTION("""COMPUTED_VALUE"""),45414)</f>
        <v>45414</v>
      </c>
      <c r="K1341" s="12" t="str">
        <f ca="1">IFERROR(__xludf.DUMMYFUNCTION("""COMPUTED_VALUE"""),"新機上架")</f>
        <v>新機上架</v>
      </c>
      <c r="L1341" s="12" t="str">
        <f ca="1">IFERROR(__xludf.DUMMYFUNCTION("""COMPUTED_VALUE"""),"上架中")</f>
        <v>上架中</v>
      </c>
      <c r="M1341" s="12" t="str">
        <f ca="1">IFERROR(__xludf.DUMMYFUNCTION("""COMPUTED_VALUE"""),"5/2新機上架")</f>
        <v>5/2新機上架</v>
      </c>
      <c r="N1341" s="12" t="str">
        <f ca="1">IFERROR(__xludf.DUMMYFUNCTION("""COMPUTED_VALUE"""),"螢幕/液晶電視")</f>
        <v>螢幕/液晶電視</v>
      </c>
      <c r="O1341" s="12"/>
      <c r="P1341" s="12" t="str">
        <f ca="1">IFERROR(__xludf.DUMMYFUNCTION("""COMPUTED_VALUE"""),"43型")</f>
        <v>43型</v>
      </c>
      <c r="Q1341" s="12" t="str">
        <f ca="1">IFERROR(__xludf.DUMMYFUNCTION("""COMPUTED_VALUE"""),"(不含底座) : 高 567.2X 寬 970.6X 深 73.6 mm
(含底座) : 高 621.7X 寬 970.6X 深 178.8 mm")</f>
        <v>(不含底座) : 高 567.2X 寬 970.6X 深 73.6 mm
(含底座) : 高 621.7X 寬 970.6X 深 178.8 mm</v>
      </c>
      <c r="R1341" s="12" t="str">
        <f ca="1">IFERROR(__xludf.DUMMYFUNCTION("""COMPUTED_VALUE"""),"中國")</f>
        <v>中國</v>
      </c>
      <c r="S1341" s="12"/>
      <c r="T1341" s="12"/>
      <c r="U1341" s="12" t="str">
        <f ca="1">IFERROR(__xludf.DUMMYFUNCTION("""COMPUTED_VALUE"""),"*東元家電官網登記
可享有全機3年保固
*未登記全機保固2年
*營業用僅1年保固")</f>
        <v>*東元家電官網登記
可享有全機3年保固
*未登記全機保固2年
*營業用僅1年保固</v>
      </c>
      <c r="V1341" s="12"/>
      <c r="W1341" s="12"/>
      <c r="X1341" s="12"/>
      <c r="Y1341" s="12"/>
      <c r="Z1341" s="14"/>
      <c r="AA1341" s="15" t="str">
        <f ca="1">IFERROR(__xludf.DUMMYFUNCTION("""COMPUTED_VALUE"""),"*廣視角面板顯像技術*低藍光模式*T.S.T獨家顯色影像調校技術*24P電影還原技術*虛擬環繞音效")</f>
        <v>*廣視角面板顯像技術*低藍光模式*T.S.T獨家顯色影像調校技術*24P電影還原技術*虛擬環繞音效</v>
      </c>
    </row>
    <row r="1342" spans="1:27" ht="19.5" customHeight="1">
      <c r="A1342" s="12" t="str">
        <f ca="1">IFERROR(__xludf.DUMMYFUNCTION("""COMPUTED_VALUE"""),"居家生活用品")</f>
        <v>居家生活用品</v>
      </c>
      <c r="B1342" s="12" t="str">
        <f ca="1">IFERROR(__xludf.DUMMYFUNCTION("""COMPUTED_VALUE"""),"忠寬")</f>
        <v>忠寬</v>
      </c>
      <c r="C1342" s="12" t="str">
        <f ca="1">IFERROR(__xludf.DUMMYFUNCTION("""COMPUTED_VALUE"""),"SAIKAIIndigoJapan")</f>
        <v>SAIKAIIndigoJapan</v>
      </c>
      <c r="D1342" s="12" t="str">
        <f ca="1">IFERROR(__xludf.DUMMYFUNCTION("""COMPUTED_VALUE"""),"日本西海波佐見燒藍丸紋飯碗5入組附筷")</f>
        <v>日本西海波佐見燒藍丸紋飯碗5入組附筷</v>
      </c>
      <c r="E1342" s="12" t="str">
        <f ca="1">IFERROR(__xludf.DUMMYFUNCTION("""COMPUTED_VALUE"""),"C1651980")</f>
        <v>C1651980</v>
      </c>
      <c r="F1342" s="12">
        <f ca="1">IFERROR(__xludf.DUMMYFUNCTION("""COMPUTED_VALUE"""),51097052)</f>
        <v>51097052</v>
      </c>
      <c r="G1342" s="12" t="str">
        <f ca="1">IFERROR(__xludf.DUMMYFUNCTION("""COMPUTED_VALUE"""),"EHOME069")</f>
        <v>EHOME069</v>
      </c>
      <c r="H1342" s="12">
        <f ca="1">IFERROR(__xludf.DUMMYFUNCTION("""COMPUTED_VALUE"""),1290)</f>
        <v>1290</v>
      </c>
      <c r="I1342" s="14">
        <f ca="1">IFERROR(__xludf.DUMMYFUNCTION("""COMPUTED_VALUE"""),990)</f>
        <v>990</v>
      </c>
      <c r="J1342" s="12"/>
      <c r="K1342" s="12"/>
      <c r="L1342" s="12" t="str">
        <f ca="1">IFERROR(__xludf.DUMMYFUNCTION("""COMPUTED_VALUE"""),"上架中")</f>
        <v>上架中</v>
      </c>
      <c r="M1342" s="12"/>
      <c r="N1342" s="12" t="str">
        <f ca="1">IFERROR(__xludf.DUMMYFUNCTION("""COMPUTED_VALUE"""),"餐具")</f>
        <v>餐具</v>
      </c>
      <c r="O1342" s="12" t="str">
        <f ca="1">IFERROR(__xludf.DUMMYFUNCTION("""COMPUTED_VALUE"""),"碗/白+藍色;筷/銀+黑色(玻璃纖維)")</f>
        <v>碗/白+藍色;筷/銀+黑色(玻璃纖維)</v>
      </c>
      <c r="P1342" s="12" t="str">
        <f ca="1">IFERROR(__xludf.DUMMYFUNCTION("""COMPUTED_VALUE"""),"碗/325mlx5pcs
筷/5雙")</f>
        <v>碗/325mlx5pcs
筷/5雙</v>
      </c>
      <c r="Q1342" s="12" t="str">
        <f ca="1">IFERROR(__xludf.DUMMYFUNCTION("""COMPUTED_VALUE"""),"碗/約直徑115x65mm/pc
筷/約230mm/雙")</f>
        <v>碗/約直徑115x65mm/pc
筷/約230mm/雙</v>
      </c>
      <c r="R1342" s="12" t="str">
        <f ca="1">IFERROR(__xludf.DUMMYFUNCTION("""COMPUTED_VALUE"""),"碗/日本
筷/中國")</f>
        <v>碗/日本
筷/中國</v>
      </c>
      <c r="S1342" s="12"/>
      <c r="T1342" s="12"/>
      <c r="U1342" s="12"/>
      <c r="V1342" s="12"/>
      <c r="W1342" s="12"/>
      <c r="X1342" s="12"/>
      <c r="Y1342" s="12"/>
      <c r="Z1342" s="14"/>
      <c r="AA1342" s="15" t="str">
        <f ca="1">IFERROR(__xludf.DUMMYFUNCTION("""COMPUTED_VALUE"""),"*日本波佐見IndigoJapan藍丸紋系列溫潤釉彩陶瓷輕量易用*銀冠六角筷身手感舒適*筷身耐熱溫度220度")</f>
        <v>*日本波佐見IndigoJapan藍丸紋系列溫潤釉彩陶瓷輕量易用*銀冠六角筷身手感舒適*筷身耐熱溫度220度</v>
      </c>
    </row>
    <row r="1343" spans="1:27" ht="19.5" customHeight="1">
      <c r="A1343" s="12" t="str">
        <f ca="1">IFERROR(__xludf.DUMMYFUNCTION("""COMPUTED_VALUE"""),"居家生活用品")</f>
        <v>居家生活用品</v>
      </c>
      <c r="B1343" s="12" t="str">
        <f ca="1">IFERROR(__xludf.DUMMYFUNCTION("""COMPUTED_VALUE"""),"忠寬")</f>
        <v>忠寬</v>
      </c>
      <c r="C1343" s="12" t="str">
        <f ca="1">IFERROR(__xludf.DUMMYFUNCTION("""COMPUTED_VALUE"""),"SAIKAIIndigoJapan")</f>
        <v>SAIKAIIndigoJapan</v>
      </c>
      <c r="D1343" s="12" t="str">
        <f ca="1">IFERROR(__xludf.DUMMYFUNCTION("""COMPUTED_VALUE"""),"日本西海波佐見燒藍丸紋飯碗10入組附筷")</f>
        <v>日本西海波佐見燒藍丸紋飯碗10入組附筷</v>
      </c>
      <c r="E1343" s="12" t="str">
        <f ca="1">IFERROR(__xludf.DUMMYFUNCTION("""COMPUTED_VALUE"""),"C1651997")</f>
        <v>C1651997</v>
      </c>
      <c r="F1343" s="12">
        <f ca="1">IFERROR(__xludf.DUMMYFUNCTION("""COMPUTED_VALUE"""),51097053)</f>
        <v>51097053</v>
      </c>
      <c r="G1343" s="12" t="str">
        <f ca="1">IFERROR(__xludf.DUMMYFUNCTION("""COMPUTED_VALUE"""),"EHOME070")</f>
        <v>EHOME070</v>
      </c>
      <c r="H1343" s="12">
        <f ca="1">IFERROR(__xludf.DUMMYFUNCTION("""COMPUTED_VALUE"""),2590)</f>
        <v>2590</v>
      </c>
      <c r="I1343" s="14">
        <f ca="1">IFERROR(__xludf.DUMMYFUNCTION("""COMPUTED_VALUE"""),1850)</f>
        <v>1850</v>
      </c>
      <c r="J1343" s="12"/>
      <c r="K1343" s="12"/>
      <c r="L1343" s="12" t="str">
        <f ca="1">IFERROR(__xludf.DUMMYFUNCTION("""COMPUTED_VALUE"""),"上架中")</f>
        <v>上架中</v>
      </c>
      <c r="M1343" s="12"/>
      <c r="N1343" s="12" t="str">
        <f ca="1">IFERROR(__xludf.DUMMYFUNCTION("""COMPUTED_VALUE"""),"餐具")</f>
        <v>餐具</v>
      </c>
      <c r="O1343" s="12" t="str">
        <f ca="1">IFERROR(__xludf.DUMMYFUNCTION("""COMPUTED_VALUE"""),"碗/白+藍色;筷/銀+黑色(玻璃纖維)")</f>
        <v>碗/白+藍色;筷/銀+黑色(玻璃纖維)</v>
      </c>
      <c r="P1343" s="12" t="str">
        <f ca="1">IFERROR(__xludf.DUMMYFUNCTION("""COMPUTED_VALUE"""),"碗/325mlx10pcs
筷/10雙")</f>
        <v>碗/325mlx10pcs
筷/10雙</v>
      </c>
      <c r="Q1343" s="12" t="str">
        <f ca="1">IFERROR(__xludf.DUMMYFUNCTION("""COMPUTED_VALUE"""),"碗/約直徑115x65mm/pc
筷/約230mm/雙")</f>
        <v>碗/約直徑115x65mm/pc
筷/約230mm/雙</v>
      </c>
      <c r="R1343" s="12" t="str">
        <f ca="1">IFERROR(__xludf.DUMMYFUNCTION("""COMPUTED_VALUE"""),"碗/日本
筷/中國")</f>
        <v>碗/日本
筷/中國</v>
      </c>
      <c r="S1343" s="12"/>
      <c r="T1343" s="12"/>
      <c r="U1343" s="12"/>
      <c r="V1343" s="12"/>
      <c r="W1343" s="12"/>
      <c r="X1343" s="12"/>
      <c r="Y1343" s="12"/>
      <c r="Z1343" s="14"/>
      <c r="AA1343" s="15" t="str">
        <f ca="1">IFERROR(__xludf.DUMMYFUNCTION("""COMPUTED_VALUE"""),"*日本波佐見IndigoJapan藍丸紋系列溫潤釉彩陶瓷輕量易用*銀冠六角筷身手感舒適*筷身耐熱溫度220度")</f>
        <v>*日本波佐見IndigoJapan藍丸紋系列溫潤釉彩陶瓷輕量易用*銀冠六角筷身手感舒適*筷身耐熱溫度220度</v>
      </c>
    </row>
    <row r="1344" spans="1:27" ht="19.5" customHeight="1">
      <c r="A1344" s="12" t="str">
        <f ca="1">IFERROR(__xludf.DUMMYFUNCTION("""COMPUTED_VALUE"""),"居家生活用品")</f>
        <v>居家生活用品</v>
      </c>
      <c r="B1344" s="12" t="str">
        <f ca="1">IFERROR(__xludf.DUMMYFUNCTION("""COMPUTED_VALUE"""),"忠寬")</f>
        <v>忠寬</v>
      </c>
      <c r="C1344" s="12" t="str">
        <f ca="1">IFERROR(__xludf.DUMMYFUNCTION("""COMPUTED_VALUE"""),"Quasi")</f>
        <v>Quasi</v>
      </c>
      <c r="D1344" s="12" t="str">
        <f ca="1">IFERROR(__xludf.DUMMYFUNCTION("""COMPUTED_VALUE"""),"司耐扣不鏽鋼保鮮盒組")</f>
        <v>司耐扣不鏽鋼保鮮盒組</v>
      </c>
      <c r="E1344" s="12" t="str">
        <f ca="1">IFERROR(__xludf.DUMMYFUNCTION("""COMPUTED_VALUE"""),"C1961959")</f>
        <v>C1961959</v>
      </c>
      <c r="F1344" s="12">
        <f ca="1">IFERROR(__xludf.DUMMYFUNCTION("""COMPUTED_VALUE"""),51097049)</f>
        <v>51097049</v>
      </c>
      <c r="G1344" s="12" t="str">
        <f ca="1">IFERROR(__xludf.DUMMYFUNCTION("""COMPUTED_VALUE"""),"EHOME066")</f>
        <v>EHOME066</v>
      </c>
      <c r="H1344" s="12">
        <f ca="1">IFERROR(__xludf.DUMMYFUNCTION("""COMPUTED_VALUE"""),1790)</f>
        <v>1790</v>
      </c>
      <c r="I1344" s="14">
        <f ca="1">IFERROR(__xludf.DUMMYFUNCTION("""COMPUTED_VALUE"""),1390)</f>
        <v>1390</v>
      </c>
      <c r="J1344" s="12"/>
      <c r="K1344" s="12"/>
      <c r="L1344" s="12" t="str">
        <f ca="1">IFERROR(__xludf.DUMMYFUNCTION("""COMPUTED_VALUE"""),"上架中")</f>
        <v>上架中</v>
      </c>
      <c r="M1344" s="12"/>
      <c r="N1344" s="12" t="str">
        <f ca="1">IFERROR(__xludf.DUMMYFUNCTION("""COMPUTED_VALUE"""),"保鮮盒/便當盒")</f>
        <v>保鮮盒/便當盒</v>
      </c>
      <c r="O1344" s="12" t="str">
        <f ca="1">IFERROR(__xludf.DUMMYFUNCTION("""COMPUTED_VALUE"""),"不鏽鋼色")</f>
        <v>不鏽鋼色</v>
      </c>
      <c r="P1344" s="12" t="str">
        <f ca="1">IFERROR(__xludf.DUMMYFUNCTION("""COMPUTED_VALUE"""),"540mlx2pcs、1100mlx2pcs、2000mlx2pcs")</f>
        <v>540mlx2pcs、1100mlx2pcs、2000mlx2pcs</v>
      </c>
      <c r="Q1344" s="12" t="str">
        <f ca="1">IFERROR(__xludf.DUMMYFUNCTION("""COMPUTED_VALUE"""),"540ml/約145x110x55mm
1100ml/約180x125x75mm
2000ml/約215x150x85mm
(含蓋外徑尺寸)")</f>
        <v>540ml/約145x110x55mm
1100ml/約180x125x75mm
2000ml/約215x150x85mm
(含蓋外徑尺寸)</v>
      </c>
      <c r="R1344" s="12" t="str">
        <f ca="1">IFERROR(__xludf.DUMMYFUNCTION("""COMPUTED_VALUE"""),"中國")</f>
        <v>中國</v>
      </c>
      <c r="S1344" s="12"/>
      <c r="T1344" s="12"/>
      <c r="U1344" s="12"/>
      <c r="V1344" s="12"/>
      <c r="W1344" s="12"/>
      <c r="X1344" s="12"/>
      <c r="Y1344" s="12"/>
      <c r="Z1344" s="14"/>
      <c r="AA1344" s="15" t="str">
        <f ca="1">IFERROR(__xludf.DUMMYFUNCTION("""COMPUTED_VALUE"""),"*SUS304不鏽鋼材質堅固耐用")</f>
        <v>*SUS304不鏽鋼材質堅固耐用</v>
      </c>
    </row>
    <row r="1345" spans="1:27" ht="19.5" customHeight="1">
      <c r="A1345" s="12" t="str">
        <f ca="1">IFERROR(__xludf.DUMMYFUNCTION("""COMPUTED_VALUE"""),"居家生活用品")</f>
        <v>居家生活用品</v>
      </c>
      <c r="B1345" s="12" t="str">
        <f ca="1">IFERROR(__xludf.DUMMYFUNCTION("""COMPUTED_VALUE"""),"忠寬")</f>
        <v>忠寬</v>
      </c>
      <c r="C1345" s="12" t="str">
        <f ca="1">IFERROR(__xludf.DUMMYFUNCTION("""COMPUTED_VALUE"""),"Quasi")</f>
        <v>Quasi</v>
      </c>
      <c r="D1345" s="12" t="str">
        <f ca="1">IFERROR(__xludf.DUMMYFUNCTION("""COMPUTED_VALUE"""),"歐遊樂保鮮盒袋組")</f>
        <v>歐遊樂保鮮盒袋組</v>
      </c>
      <c r="E1345" s="12" t="str">
        <f ca="1">IFERROR(__xludf.DUMMYFUNCTION("""COMPUTED_VALUE"""),"C3931966")</f>
        <v>C3931966</v>
      </c>
      <c r="F1345" s="12">
        <f ca="1">IFERROR(__xludf.DUMMYFUNCTION("""COMPUTED_VALUE"""),51097050)</f>
        <v>51097050</v>
      </c>
      <c r="G1345" s="12" t="str">
        <f ca="1">IFERROR(__xludf.DUMMYFUNCTION("""COMPUTED_VALUE"""),"EHOME067")</f>
        <v>EHOME067</v>
      </c>
      <c r="H1345" s="12">
        <f ca="1">IFERROR(__xludf.DUMMYFUNCTION("""COMPUTED_VALUE"""),1790)</f>
        <v>1790</v>
      </c>
      <c r="I1345" s="14">
        <f ca="1">IFERROR(__xludf.DUMMYFUNCTION("""COMPUTED_VALUE"""),1390)</f>
        <v>1390</v>
      </c>
      <c r="J1345" s="12"/>
      <c r="K1345" s="12"/>
      <c r="L1345" s="12" t="str">
        <f ca="1">IFERROR(__xludf.DUMMYFUNCTION("""COMPUTED_VALUE"""),"上架中")</f>
        <v>上架中</v>
      </c>
      <c r="M1345" s="12"/>
      <c r="N1345" s="12" t="str">
        <f ca="1">IFERROR(__xludf.DUMMYFUNCTION("""COMPUTED_VALUE"""),"保鮮盒/便當盒")</f>
        <v>保鮮盒/便當盒</v>
      </c>
      <c r="O1345" s="12" t="str">
        <f ca="1">IFERROR(__xludf.DUMMYFUNCTION("""COMPUTED_VALUE"""),"保鮮盒:不鏽鋼色/保冷袋:紅/藍2色")</f>
        <v>保鮮盒:不鏽鋼色/保冷袋:紅/藍2色</v>
      </c>
      <c r="P1345" s="12" t="str">
        <f ca="1">IFERROR(__xludf.DUMMYFUNCTION("""COMPUTED_VALUE"""),"1100mlx4pcs
中型保冷袋x1pc")</f>
        <v>1100mlx4pcs
中型保冷袋x1pc</v>
      </c>
      <c r="Q1345" s="12" t="str">
        <f ca="1">IFERROR(__xludf.DUMMYFUNCTION("""COMPUTED_VALUE"""),"保鮮盒:約180x125x75mm
(含蓋外徑尺寸)
保冷袋:H270xW230xL290mm(±5%)")</f>
        <v>保鮮盒:約180x125x75mm
(含蓋外徑尺寸)
保冷袋:H270xW230xL290mm(±5%)</v>
      </c>
      <c r="R1345" s="12" t="str">
        <f ca="1">IFERROR(__xludf.DUMMYFUNCTION("""COMPUTED_VALUE"""),"中國")</f>
        <v>中國</v>
      </c>
      <c r="S1345" s="12"/>
      <c r="T1345" s="12"/>
      <c r="U1345" s="12"/>
      <c r="V1345" s="12"/>
      <c r="W1345" s="12"/>
      <c r="X1345" s="12"/>
      <c r="Y1345" s="12"/>
      <c r="Z1345" s="14"/>
      <c r="AA1345" s="15" t="str">
        <f ca="1">IFERROR(__xludf.DUMMYFUNCTION("""COMPUTED_VALUE"""),"*尼龍面料材質.超厚PE發泡隔熱層保溫好*具有防漏、反熱幅射的隔熱效能保冷效果更持久*可摺疊收納")</f>
        <v>*尼龍面料材質.超厚PE發泡隔熱層保溫好*具有防漏、反熱幅射的隔熱效能保冷效果更持久*可摺疊收納</v>
      </c>
    </row>
    <row r="1346" spans="1:27" ht="19.5" customHeight="1">
      <c r="A1346" s="12" t="str">
        <f ca="1">IFERROR(__xludf.DUMMYFUNCTION("""COMPUTED_VALUE"""),"居家生活用品")</f>
        <v>居家生活用品</v>
      </c>
      <c r="B1346" s="12" t="str">
        <f ca="1">IFERROR(__xludf.DUMMYFUNCTION("""COMPUTED_VALUE"""),"忠寬")</f>
        <v>忠寬</v>
      </c>
      <c r="C1346" s="12" t="str">
        <f ca="1">IFERROR(__xludf.DUMMYFUNCTION("""COMPUTED_VALUE"""),"Quasi")</f>
        <v>Quasi</v>
      </c>
      <c r="D1346" s="12" t="str">
        <f ca="1">IFERROR(__xludf.DUMMYFUNCTION("""COMPUTED_VALUE"""),"思茗廣口附網雙層玻璃杯2入組")</f>
        <v>思茗廣口附網雙層玻璃杯2入組</v>
      </c>
      <c r="E1346" s="12" t="str">
        <f ca="1">IFERROR(__xludf.DUMMYFUNCTION("""COMPUTED_VALUE"""),"C1513007")</f>
        <v>C1513007</v>
      </c>
      <c r="F1346" s="12">
        <f ca="1">IFERROR(__xludf.DUMMYFUNCTION("""COMPUTED_VALUE"""),51097047)</f>
        <v>51097047</v>
      </c>
      <c r="G1346" s="12" t="str">
        <f ca="1">IFERROR(__xludf.DUMMYFUNCTION("""COMPUTED_VALUE"""),"EHOME064")</f>
        <v>EHOME064</v>
      </c>
      <c r="H1346" s="12">
        <f ca="1">IFERROR(__xludf.DUMMYFUNCTION("""COMPUTED_VALUE"""),1090)</f>
        <v>1090</v>
      </c>
      <c r="I1346" s="14">
        <f ca="1">IFERROR(__xludf.DUMMYFUNCTION("""COMPUTED_VALUE"""),790)</f>
        <v>790</v>
      </c>
      <c r="J1346" s="12"/>
      <c r="K1346" s="12"/>
      <c r="L1346" s="12" t="str">
        <f ca="1">IFERROR(__xludf.DUMMYFUNCTION("""COMPUTED_VALUE"""),"上架中")</f>
        <v>上架中</v>
      </c>
      <c r="M1346" s="12"/>
      <c r="N1346" s="12" t="str">
        <f ca="1">IFERROR(__xludf.DUMMYFUNCTION("""COMPUTED_VALUE"""),"水壺/保溫瓶")</f>
        <v>水壺/保溫瓶</v>
      </c>
      <c r="O1346" s="12" t="str">
        <f ca="1">IFERROR(__xludf.DUMMYFUNCTION("""COMPUTED_VALUE"""),"玻璃透明色")</f>
        <v>玻璃透明色</v>
      </c>
      <c r="P1346" s="12" t="str">
        <f ca="1">IFERROR(__xludf.DUMMYFUNCTION("""COMPUTED_VALUE"""),"500mlx2入")</f>
        <v>500mlx2入</v>
      </c>
      <c r="Q1346" s="12" t="str">
        <f ca="1">IFERROR(__xludf.DUMMYFUNCTION("""COMPUTED_VALUE"""),"約77×77×210mm/pc")</f>
        <v>約77×77×210mm/pc</v>
      </c>
      <c r="R1346" s="12" t="str">
        <f ca="1">IFERROR(__xludf.DUMMYFUNCTION("""COMPUTED_VALUE"""),"中國")</f>
        <v>中國</v>
      </c>
      <c r="S1346" s="12"/>
      <c r="T1346" s="12"/>
      <c r="U1346" s="12"/>
      <c r="V1346" s="12"/>
      <c r="W1346" s="12"/>
      <c r="X1346" s="12"/>
      <c r="Y1346" s="12"/>
      <c r="Z1346" s="14"/>
      <c r="AA1346" s="15" t="str">
        <f ca="1">IFERROR(__xludf.DUMMYFUNCTION("""COMPUTED_VALUE"""),"*提把式304不鏽鋼濾網輕鬆便利泡茶*304不鏽鋼內蓋旋轉密封設計不易滲漏*圓潤廣口設計盛裝各式飲品冰塊易放也易清洗*雙層高硼硅耐熱玻璃設計隔熱不燙手冷飲不冒汗""
")</f>
        <v xml:space="preserve">*提把式304不鏽鋼濾網輕鬆便利泡茶*304不鏽鋼內蓋旋轉密封設計不易滲漏*圓潤廣口設計盛裝各式飲品冰塊易放也易清洗*雙層高硼硅耐熱玻璃設計隔熱不燙手冷飲不冒汗"
</v>
      </c>
    </row>
    <row r="1347" spans="1:27" ht="19.5" customHeight="1">
      <c r="A1347" s="12" t="str">
        <f ca="1">IFERROR(__xludf.DUMMYFUNCTION("""COMPUTED_VALUE"""),"居家生活用品")</f>
        <v>居家生活用品</v>
      </c>
      <c r="B1347" s="12" t="str">
        <f ca="1">IFERROR(__xludf.DUMMYFUNCTION("""COMPUTED_VALUE"""),"忠寬")</f>
        <v>忠寬</v>
      </c>
      <c r="C1347" s="12" t="str">
        <f ca="1">IFERROR(__xludf.DUMMYFUNCTION("""COMPUTED_VALUE"""),"Quasi")</f>
        <v>Quasi</v>
      </c>
      <c r="D1347" s="12" t="str">
        <f ca="1">IFERROR(__xludf.DUMMYFUNCTION("""COMPUTED_VALUE"""),"Quasi易拉拍轉廚房料理萬用組")</f>
        <v>Quasi易拉拍轉廚房料理萬用組</v>
      </c>
      <c r="E1347" s="12" t="str">
        <f ca="1">IFERROR(__xludf.DUMMYFUNCTION("""COMPUTED_VALUE"""),"C1974097")</f>
        <v>C1974097</v>
      </c>
      <c r="F1347" s="12">
        <f ca="1">IFERROR(__xludf.DUMMYFUNCTION("""COMPUTED_VALUE"""),51097048)</f>
        <v>51097048</v>
      </c>
      <c r="G1347" s="12" t="str">
        <f ca="1">IFERROR(__xludf.DUMMYFUNCTION("""COMPUTED_VALUE"""),"EHOME065")</f>
        <v>EHOME065</v>
      </c>
      <c r="H1347" s="12">
        <f ca="1">IFERROR(__xludf.DUMMYFUNCTION("""COMPUTED_VALUE"""),2470)</f>
        <v>2470</v>
      </c>
      <c r="I1347" s="14">
        <f ca="1">IFERROR(__xludf.DUMMYFUNCTION("""COMPUTED_VALUE"""),1000)</f>
        <v>1000</v>
      </c>
      <c r="J1347" s="12"/>
      <c r="K1347" s="12"/>
      <c r="L1347" s="12" t="str">
        <f ca="1">IFERROR(__xludf.DUMMYFUNCTION("""COMPUTED_VALUE"""),"上架中")</f>
        <v>上架中</v>
      </c>
      <c r="M1347" s="12"/>
      <c r="N1347" s="12" t="str">
        <f ca="1">IFERROR(__xludf.DUMMYFUNCTION("""COMPUTED_VALUE"""),"刀具/料理配件")</f>
        <v>刀具/料理配件</v>
      </c>
      <c r="O1347" s="12" t="str">
        <f ca="1">IFERROR(__xludf.DUMMYFUNCTION("""COMPUTED_VALUE"""),"主色:綠+透明色")</f>
        <v>主色:綠+透明色</v>
      </c>
      <c r="P1347" s="12" t="str">
        <f ca="1">IFERROR(__xludf.DUMMYFUNCTION("""COMPUTED_VALUE"""),"拍拍旋轉料理攪拌器×1
拉拉旋轉蔬果脫水器×1
易轉榨汁器4件組×1")</f>
        <v>拍拍旋轉料理攪拌器×1
拉拉旋轉蔬果脫水器×1
易轉榨汁器4件組×1</v>
      </c>
      <c r="Q1347" s="12" t="str">
        <f ca="1">IFERROR(__xludf.DUMMYFUNCTION("""COMPUTED_VALUE"""),"攪拌器/約直徑155x296mm(含柄)
脫水器/約直徑245x160mm4L
榨汁器/約149x130x82mm400ml")</f>
        <v>攪拌器/約直徑155x296mm(含柄)
脫水器/約直徑245x160mm4L
榨汁器/約149x130x82mm400ml</v>
      </c>
      <c r="R1347" s="12" t="str">
        <f ca="1">IFERROR(__xludf.DUMMYFUNCTION("""COMPUTED_VALUE"""),"中國")</f>
        <v>中國</v>
      </c>
      <c r="S1347" s="12"/>
      <c r="T1347" s="12"/>
      <c r="U1347" s="12"/>
      <c r="V1347" s="12"/>
      <c r="W1347" s="12"/>
      <c r="X1347" s="12"/>
      <c r="Y1347" s="12"/>
      <c r="Z1347" s="14"/>
      <c r="AA1347" s="15" t="str">
        <f ca="1">IFERROR(__xludf.DUMMYFUNCTION("""COMPUTED_VALUE"""),"*脫水器:雙手拉式高速旋轉設計，快速清洗蔬果瀝除多餘水分;4L大容量透明容器，可直接當沙拉缽或水果盆作使用*攪拌器:手壓式旋轉設計，按壓即能完美切碎食材;可將手柄縮短並鎖上收納*榨汁器:雙層絞刀.現榨現喝;兼具蔬果磨泥食材調理.副食品製作功")</f>
        <v>*脫水器:雙手拉式高速旋轉設計，快速清洗蔬果瀝除多餘水分;4L大容量透明容器，可直接當沙拉缽或水果盆作使用*攪拌器:手壓式旋轉設計，按壓即能完美切碎食材;可將手柄縮短並鎖上收納*榨汁器:雙層絞刀.現榨現喝;兼具蔬果磨泥食材調理.副食品製作功</v>
      </c>
    </row>
    <row r="1348" spans="1:27" ht="19.5" customHeight="1">
      <c r="A1348" s="12" t="str">
        <f ca="1">IFERROR(__xludf.DUMMYFUNCTION("""COMPUTED_VALUE"""),"居家生活用品")</f>
        <v>居家生活用品</v>
      </c>
      <c r="B1348" s="12" t="str">
        <f ca="1">IFERROR(__xludf.DUMMYFUNCTION("""COMPUTED_VALUE"""),"忠寬")</f>
        <v>忠寬</v>
      </c>
      <c r="C1348" s="12" t="str">
        <f ca="1">IFERROR(__xludf.DUMMYFUNCTION("""COMPUTED_VALUE"""),"Pujadas")</f>
        <v>Pujadas</v>
      </c>
      <c r="D1348" s="12" t="str">
        <f ca="1">IFERROR(__xludf.DUMMYFUNCTION("""COMPUTED_VALUE"""),"西班牙Pujadas1921輕量鑄鐵平煎炒鍋含蓋-30cm")</f>
        <v>西班牙Pujadas1921輕量鑄鐵平煎炒鍋含蓋-30cm</v>
      </c>
      <c r="E1348" s="12">
        <f ca="1">IFERROR(__xludf.DUMMYFUNCTION("""COMPUTED_VALUE"""),2498304)</f>
        <v>2498304</v>
      </c>
      <c r="F1348" s="12">
        <f ca="1">IFERROR(__xludf.DUMMYFUNCTION("""COMPUTED_VALUE"""),51097043)</f>
        <v>51097043</v>
      </c>
      <c r="G1348" s="12" t="str">
        <f ca="1">IFERROR(__xludf.DUMMYFUNCTION("""COMPUTED_VALUE"""),"EHOME060")</f>
        <v>EHOME060</v>
      </c>
      <c r="H1348" s="12">
        <f ca="1">IFERROR(__xludf.DUMMYFUNCTION("""COMPUTED_VALUE"""),4290)</f>
        <v>4290</v>
      </c>
      <c r="I1348" s="14">
        <f ca="1">IFERROR(__xludf.DUMMYFUNCTION("""COMPUTED_VALUE"""),2299)</f>
        <v>2299</v>
      </c>
      <c r="J1348" s="12"/>
      <c r="K1348" s="12"/>
      <c r="L1348" s="12" t="str">
        <f ca="1">IFERROR(__xludf.DUMMYFUNCTION("""COMPUTED_VALUE"""),"上架中")</f>
        <v>上架中</v>
      </c>
      <c r="M1348" s="12"/>
      <c r="N1348" s="12" t="str">
        <f ca="1">IFERROR(__xludf.DUMMYFUNCTION("""COMPUTED_VALUE"""),"鍋具")</f>
        <v>鍋具</v>
      </c>
      <c r="O1348" s="12" t="str">
        <f ca="1">IFERROR(__xludf.DUMMYFUNCTION("""COMPUTED_VALUE"""),"黑")</f>
        <v>黑</v>
      </c>
      <c r="P1348" s="12" t="str">
        <f ca="1">IFERROR(__xludf.DUMMYFUNCTION("""COMPUTED_VALUE"""),"3.8L")</f>
        <v>3.8L</v>
      </c>
      <c r="Q1348" s="12" t="str">
        <f ca="1">IFERROR(__xludf.DUMMYFUNCTION("""COMPUTED_VALUE"""),"300x80mm")</f>
        <v>300x80mm</v>
      </c>
      <c r="R1348" s="12" t="str">
        <f ca="1">IFERROR(__xludf.DUMMYFUNCTION("""COMPUTED_VALUE"""),"西班牙")</f>
        <v>西班牙</v>
      </c>
      <c r="S1348" s="12"/>
      <c r="T1348" s="12"/>
      <c r="U1348" s="12"/>
      <c r="V1348" s="12"/>
      <c r="W1348" s="12"/>
      <c r="X1348" s="12"/>
      <c r="Y1348" s="12"/>
      <c r="Z1348" s="14"/>
      <c r="AA1348" s="15" t="str">
        <f ca="1">IFERROR(__xludf.DUMMYFUNCTION("""COMPUTED_VALUE"""),"*傳熱均勻*不鏽鋼中空把手鉚釘固定鍋身設計安全防燙不鬆脫*輕盈好掌握*適用:瓦斯爐.電磁爐.電陶爐.烤箱")</f>
        <v>*傳熱均勻*不鏽鋼中空把手鉚釘固定鍋身設計安全防燙不鬆脫*輕盈好掌握*適用:瓦斯爐.電磁爐.電陶爐.烤箱</v>
      </c>
    </row>
    <row r="1349" spans="1:27" ht="19.5" customHeight="1">
      <c r="A1349" s="12" t="str">
        <f ca="1">IFERROR(__xludf.DUMMYFUNCTION("""COMPUTED_VALUE"""),"居家生活用品")</f>
        <v>居家生活用品</v>
      </c>
      <c r="B1349" s="12" t="str">
        <f ca="1">IFERROR(__xludf.DUMMYFUNCTION("""COMPUTED_VALUE"""),"忠寬")</f>
        <v>忠寬</v>
      </c>
      <c r="C1349" s="12" t="str">
        <f ca="1">IFERROR(__xludf.DUMMYFUNCTION("""COMPUTED_VALUE"""),"Quasi")</f>
        <v>Quasi</v>
      </c>
      <c r="D1349" s="12" t="str">
        <f ca="1">IFERROR(__xludf.DUMMYFUNCTION("""COMPUTED_VALUE"""),"Quasi304不鏽鋼雙面砧板(混色)")</f>
        <v>Quasi304不鏽鋼雙面砧板(混色)</v>
      </c>
      <c r="E1349" s="12">
        <f ca="1">IFERROR(__xludf.DUMMYFUNCTION("""COMPUTED_VALUE"""),1940808)</f>
        <v>1940808</v>
      </c>
      <c r="F1349" s="12">
        <f ca="1">IFERROR(__xludf.DUMMYFUNCTION("""COMPUTED_VALUE"""),51097055)</f>
        <v>51097055</v>
      </c>
      <c r="G1349" s="12" t="str">
        <f ca="1">IFERROR(__xludf.DUMMYFUNCTION("""COMPUTED_VALUE"""),"EHOME072")</f>
        <v>EHOME072</v>
      </c>
      <c r="H1349" s="12">
        <f ca="1">IFERROR(__xludf.DUMMYFUNCTION("""COMPUTED_VALUE"""),990)</f>
        <v>990</v>
      </c>
      <c r="I1349" s="14">
        <f ca="1">IFERROR(__xludf.DUMMYFUNCTION("""COMPUTED_VALUE"""),650)</f>
        <v>650</v>
      </c>
      <c r="J1349" s="12"/>
      <c r="K1349" s="12"/>
      <c r="L1349" s="12" t="str">
        <f ca="1">IFERROR(__xludf.DUMMYFUNCTION("""COMPUTED_VALUE"""),"上架中")</f>
        <v>上架中</v>
      </c>
      <c r="M1349" s="12"/>
      <c r="N1349" s="12" t="str">
        <f ca="1">IFERROR(__xludf.DUMMYFUNCTION("""COMPUTED_VALUE"""),"刀具/料理配件")</f>
        <v>刀具/料理配件</v>
      </c>
      <c r="O1349" s="12" t="str">
        <f ca="1">IFERROR(__xludf.DUMMYFUNCTION("""COMPUTED_VALUE"""),"不鏽鋼色")</f>
        <v>不鏽鋼色</v>
      </c>
      <c r="P1349" s="12" t="str">
        <f ca="1">IFERROR(__xludf.DUMMYFUNCTION("""COMPUTED_VALUE"""),"非不鏽鋼砧板面-花色/隨機出貨")</f>
        <v>非不鏽鋼砧板面-花色/隨機出貨</v>
      </c>
      <c r="Q1349" s="12" t="str">
        <f ca="1">IFERROR(__xludf.DUMMYFUNCTION("""COMPUTED_VALUE"""),"約420×290×22mm±5%")</f>
        <v>約420×290×22mm±5%</v>
      </c>
      <c r="R1349" s="12" t="str">
        <f ca="1">IFERROR(__xludf.DUMMYFUNCTION("""COMPUTED_VALUE"""),"中國")</f>
        <v>中國</v>
      </c>
      <c r="S1349" s="12"/>
      <c r="T1349" s="12"/>
      <c r="U1349" s="12"/>
      <c r="V1349" s="12"/>
      <c r="W1349" s="12"/>
      <c r="X1349" s="12"/>
      <c r="Y1349" s="12"/>
      <c r="Z1349" s="14"/>
      <c r="AA1349" s="15" t="str">
        <f ca="1">IFERROR(__xludf.DUMMYFUNCTION("""COMPUTED_VALUE"""),"*側溝槽防掉漏設計‧雙面設計可分生熟食‧易清洗*TPR熱塑性橡膠邊框傾斜不易滑落*掛勾設計好收納*耐熱溫度:約-10~60℃")</f>
        <v>*側溝槽防掉漏設計‧雙面設計可分生熟食‧易清洗*TPR熱塑性橡膠邊框傾斜不易滑落*掛勾設計好收納*耐熱溫度:約-10~60℃</v>
      </c>
    </row>
    <row r="1350" spans="1:27" ht="19.5" customHeight="1">
      <c r="A1350" s="12" t="str">
        <f ca="1">IFERROR(__xludf.DUMMYFUNCTION("""COMPUTED_VALUE"""),"居家生活用品")</f>
        <v>居家生活用品</v>
      </c>
      <c r="B1350" s="12" t="str">
        <f ca="1">IFERROR(__xludf.DUMMYFUNCTION("""COMPUTED_VALUE"""),"忠寬")</f>
        <v>忠寬</v>
      </c>
      <c r="C1350" s="12" t="str">
        <f ca="1">IFERROR(__xludf.DUMMYFUNCTION("""COMPUTED_VALUE"""),"Quasi")</f>
        <v>Quasi</v>
      </c>
      <c r="D1350" s="12" t="str">
        <f ca="1">IFERROR(__xludf.DUMMYFUNCTION("""COMPUTED_VALUE"""),"居家_Quasi 雙層304蒸煮鍋24cm(附：不鏽鋼蒸片*2 )_2991737")</f>
        <v>居家_Quasi 雙層304蒸煮鍋24cm(附：不鏽鋼蒸片*2 )_2991737</v>
      </c>
      <c r="E1350" s="12">
        <f ca="1">IFERROR(__xludf.DUMMYFUNCTION("""COMPUTED_VALUE"""),2991737)</f>
        <v>2991737</v>
      </c>
      <c r="F1350" s="12">
        <f ca="1">IFERROR(__xludf.DUMMYFUNCTION("""COMPUTED_VALUE"""),51097089)</f>
        <v>51097089</v>
      </c>
      <c r="G1350" s="12" t="str">
        <f ca="1">IFERROR(__xludf.DUMMYFUNCTION("""COMPUTED_VALUE"""),"IGEM0943")</f>
        <v>IGEM0943</v>
      </c>
      <c r="H1350" s="13">
        <f ca="1">IFERROR(__xludf.DUMMYFUNCTION("""COMPUTED_VALUE"""),2190)</f>
        <v>2190</v>
      </c>
      <c r="I1350" s="18">
        <f ca="1">IFERROR(__xludf.DUMMYFUNCTION("""COMPUTED_VALUE"""),1290)</f>
        <v>1290</v>
      </c>
      <c r="J1350" s="16">
        <f ca="1">IFERROR(__xludf.DUMMYFUNCTION("""COMPUTED_VALUE"""),45254)</f>
        <v>45254</v>
      </c>
      <c r="K1350" s="12" t="str">
        <f ca="1">IFERROR(__xludf.DUMMYFUNCTION("""COMPUTED_VALUE"""),"新機上架")</f>
        <v>新機上架</v>
      </c>
      <c r="L1350" s="12" t="str">
        <f ca="1">IFERROR(__xludf.DUMMYFUNCTION("""COMPUTED_VALUE"""),"上架中")</f>
        <v>上架中</v>
      </c>
      <c r="M1350" s="12"/>
      <c r="N1350" s="12" t="str">
        <f ca="1">IFERROR(__xludf.DUMMYFUNCTION("""COMPUTED_VALUE"""),"鍋具")</f>
        <v>鍋具</v>
      </c>
      <c r="O1350" s="12" t="str">
        <f ca="1">IFERROR(__xludf.DUMMYFUNCTION("""COMPUTED_VALUE"""),"白鐵色")</f>
        <v>白鐵色</v>
      </c>
      <c r="P1350" s="12" t="str">
        <f ca="1">IFERROR(__xludf.DUMMYFUNCTION("""COMPUTED_VALUE"""),"24cm")</f>
        <v>24cm</v>
      </c>
      <c r="Q1350" s="12"/>
      <c r="R1350" s="12" t="str">
        <f ca="1">IFERROR(__xludf.DUMMYFUNCTION("""COMPUTED_VALUE"""),"中國")</f>
        <v>中國</v>
      </c>
      <c r="S1350" s="12"/>
      <c r="T1350" s="12"/>
      <c r="U1350" s="12"/>
      <c r="V1350" s="12"/>
      <c r="W1350" s="12"/>
      <c r="X1350" s="12"/>
      <c r="Y1350" s="12"/>
      <c r="Z1350" s="14"/>
      <c r="AA1350" s="15" t="str">
        <f ca="1">IFERROR(__xludf.DUMMYFUNCTION("""COMPUTED_VALUE"""),"*蒸煮悶燉，一鍋多用*雙層烹調，省時省能源*三層加厚複合鍋底，慢燉不易焦*適用爐具：瓦斯爐、電爐、紅外線爐、電磁爐、黑晶爐")</f>
        <v>*蒸煮悶燉，一鍋多用*雙層烹調，省時省能源*三層加厚複合鍋底，慢燉不易焦*適用爐具：瓦斯爐、電爐、紅外線爐、電磁爐、黑晶爐</v>
      </c>
    </row>
    <row r="1351" spans="1:27" ht="19.5" customHeight="1">
      <c r="A1351" s="12" t="str">
        <f ca="1">IFERROR(__xludf.DUMMYFUNCTION("""COMPUTED_VALUE"""),"居家生活用品")</f>
        <v>居家生活用品</v>
      </c>
      <c r="B1351" s="12" t="str">
        <f ca="1">IFERROR(__xludf.DUMMYFUNCTION("""COMPUTED_VALUE"""),"忠寬")</f>
        <v>忠寬</v>
      </c>
      <c r="C1351" s="12" t="str">
        <f ca="1">IFERROR(__xludf.DUMMYFUNCTION("""COMPUTED_VALUE"""),"Quasi")</f>
        <v>Quasi</v>
      </c>
      <c r="D1351" s="12" t="str">
        <f ca="1">IFERROR(__xludf.DUMMYFUNCTION("""COMPUTED_VALUE"""),"居家宅配_樂聚27cm/3.8L輕量ih不沾湯鍋_2302239")</f>
        <v>居家宅配_樂聚27cm/3.8L輕量ih不沾湯鍋_2302239</v>
      </c>
      <c r="E1351" s="12">
        <f ca="1">IFERROR(__xludf.DUMMYFUNCTION("""COMPUTED_VALUE"""),2302239)</f>
        <v>2302239</v>
      </c>
      <c r="F1351" s="12">
        <f ca="1">IFERROR(__xludf.DUMMYFUNCTION("""COMPUTED_VALUE"""),51097089)</f>
        <v>51097089</v>
      </c>
      <c r="G1351" s="12" t="str">
        <f ca="1">IFERROR(__xludf.DUMMYFUNCTION("""COMPUTED_VALUE"""),"IGEM112R")</f>
        <v>IGEM112R</v>
      </c>
      <c r="H1351" s="13">
        <f ca="1">IFERROR(__xludf.DUMMYFUNCTION("""COMPUTED_VALUE"""),2190)</f>
        <v>2190</v>
      </c>
      <c r="I1351" s="18">
        <f ca="1">IFERROR(__xludf.DUMMYFUNCTION("""COMPUTED_VALUE"""),1290)</f>
        <v>1290</v>
      </c>
      <c r="J1351" s="12"/>
      <c r="K1351" s="12" t="str">
        <f ca="1">IFERROR(__xludf.DUMMYFUNCTION("""COMPUTED_VALUE"""),"新機上架")</f>
        <v>新機上架</v>
      </c>
      <c r="L1351" s="12" t="str">
        <f ca="1">IFERROR(__xludf.DUMMYFUNCTION("""COMPUTED_VALUE"""),"專案")</f>
        <v>專案</v>
      </c>
      <c r="M1351" s="12"/>
      <c r="N1351" s="12"/>
      <c r="O1351" s="12"/>
      <c r="P1351" s="12"/>
      <c r="Q1351" s="12" t="str">
        <f ca="1">IFERROR(__xludf.DUMMYFUNCTION("""COMPUTED_VALUE"""),"約345x305x125mm (含蓋.雙耳) /鍋深約95mm /鍋內徑約270mm
容量: 約3.8L")</f>
        <v>約345x305x125mm (含蓋.雙耳) /鍋深約95mm /鍋內徑約270mm
容量: 約3.8L</v>
      </c>
      <c r="R1351" s="12" t="str">
        <f ca="1">IFERROR(__xludf.DUMMYFUNCTION("""COMPUTED_VALUE"""),"中國")</f>
        <v>中國</v>
      </c>
      <c r="S1351" s="12"/>
      <c r="T1351" s="12"/>
      <c r="U1351" s="12"/>
      <c r="V1351" s="12"/>
      <c r="W1351" s="12"/>
      <c r="X1351" s="12"/>
      <c r="Y1351" s="12"/>
      <c r="Z1351" s="14"/>
      <c r="AA1351" s="15" t="str">
        <f ca="1">IFERROR(__xludf.DUMMYFUNCTION("""COMPUTED_VALUE"""),"*輕量化深型鍋身設計，長時間使用不費力*鍋蓋透氣孔，不易溢鍋*透明玻璃鍋蓋，食材熟度一目了然*鍋蓋頭卡槽處貼心設計，可放置筷子跟湯勺*導熱速度快又平均，電磁爐可用")</f>
        <v>*輕量化深型鍋身設計，長時間使用不費力*鍋蓋透氣孔，不易溢鍋*透明玻璃鍋蓋，食材熟度一目了然*鍋蓋頭卡槽處貼心設計，可放置筷子跟湯勺*導熱速度快又平均，電磁爐可用</v>
      </c>
    </row>
    <row r="1352" spans="1:27" ht="19.5" customHeight="1">
      <c r="A1352" s="12" t="str">
        <f ca="1">IFERROR(__xludf.DUMMYFUNCTION("""COMPUTED_VALUE"""),"居家生活用品")</f>
        <v>居家生活用品</v>
      </c>
      <c r="B1352" s="12" t="str">
        <f ca="1">IFERROR(__xludf.DUMMYFUNCTION("""COMPUTED_VALUE"""),"忠寬")</f>
        <v>忠寬</v>
      </c>
      <c r="C1352" s="12" t="str">
        <f ca="1">IFERROR(__xludf.DUMMYFUNCTION("""COMPUTED_VALUE"""),"Olympia")</f>
        <v>Olympia</v>
      </c>
      <c r="D1352" s="12" t="str">
        <f ca="1">IFERROR(__xludf.DUMMYFUNCTION("""COMPUTED_VALUE"""),"義大利Rocker礦岩平煎鍋24cm附蓋組")</f>
        <v>義大利Rocker礦岩平煎鍋24cm附蓋組</v>
      </c>
      <c r="E1352" s="12" t="str">
        <f ca="1">IFERROR(__xludf.DUMMYFUNCTION("""COMPUTED_VALUE"""),"C2650563")</f>
        <v>C2650563</v>
      </c>
      <c r="F1352" s="12">
        <f ca="1">IFERROR(__xludf.DUMMYFUNCTION("""COMPUTED_VALUE"""),51097039)</f>
        <v>51097039</v>
      </c>
      <c r="G1352" s="12" t="str">
        <f ca="1">IFERROR(__xludf.DUMMYFUNCTION("""COMPUTED_VALUE"""),"EHOME056")</f>
        <v>EHOME056</v>
      </c>
      <c r="H1352" s="12">
        <f ca="1">IFERROR(__xludf.DUMMYFUNCTION("""COMPUTED_VALUE"""),2490)</f>
        <v>2490</v>
      </c>
      <c r="I1352" s="14">
        <f ca="1">IFERROR(__xludf.DUMMYFUNCTION("""COMPUTED_VALUE"""),1399)</f>
        <v>1399</v>
      </c>
      <c r="J1352" s="12"/>
      <c r="K1352" s="12"/>
      <c r="L1352" s="12" t="str">
        <f ca="1">IFERROR(__xludf.DUMMYFUNCTION("""COMPUTED_VALUE"""),"上架中")</f>
        <v>上架中</v>
      </c>
      <c r="M1352" s="12"/>
      <c r="N1352" s="12" t="str">
        <f ca="1">IFERROR(__xludf.DUMMYFUNCTION("""COMPUTED_VALUE"""),"鍋具")</f>
        <v>鍋具</v>
      </c>
      <c r="O1352" s="12" t="str">
        <f ca="1">IFERROR(__xludf.DUMMYFUNCTION("""COMPUTED_VALUE"""),"岩石灰")</f>
        <v>岩石灰</v>
      </c>
      <c r="P1352" s="12" t="str">
        <f ca="1">IFERROR(__xludf.DUMMYFUNCTION("""COMPUTED_VALUE"""),"3.4L")</f>
        <v>3.4L</v>
      </c>
      <c r="Q1352" s="12" t="str">
        <f ca="1">IFERROR(__xludf.DUMMYFUNCTION("""COMPUTED_VALUE"""),"240x62mm")</f>
        <v>240x62mm</v>
      </c>
      <c r="R1352" s="12" t="str">
        <f ca="1">IFERROR(__xludf.DUMMYFUNCTION("""COMPUTED_VALUE"""),"義大利")</f>
        <v>義大利</v>
      </c>
      <c r="S1352" s="12"/>
      <c r="T1352" s="12"/>
      <c r="U1352" s="12"/>
      <c r="V1352" s="12"/>
      <c r="W1352" s="12"/>
      <c r="X1352" s="12"/>
      <c r="Y1352" s="12"/>
      <c r="Z1352" s="14"/>
      <c r="AA1352" s="15" t="str">
        <f ca="1">IFERROR(__xludf.DUMMYFUNCTION("""COMPUTED_VALUE"""),"*耐磨抗刮*不沾黏易清洗*高效傳熱*少油輕食即可美味又健康")</f>
        <v>*耐磨抗刮*不沾黏易清洗*高效傳熱*少油輕食即可美味又健康</v>
      </c>
    </row>
    <row r="1353" spans="1:27" ht="19.5" customHeight="1">
      <c r="A1353" s="12" t="str">
        <f ca="1">IFERROR(__xludf.DUMMYFUNCTION("""COMPUTED_VALUE"""),"居家生活用品")</f>
        <v>居家生活用品</v>
      </c>
      <c r="B1353" s="12" t="str">
        <f ca="1">IFERROR(__xludf.DUMMYFUNCTION("""COMPUTED_VALUE"""),"忠寬")</f>
        <v>忠寬</v>
      </c>
      <c r="C1353" s="12" t="str">
        <f ca="1">IFERROR(__xludf.DUMMYFUNCTION("""COMPUTED_VALUE"""),"Olympia")</f>
        <v>Olympia</v>
      </c>
      <c r="D1353" s="12" t="str">
        <f ca="1">IFERROR(__xludf.DUMMYFUNCTION("""COMPUTED_VALUE"""),"義大利Rocker礦岩平煎鍋28cm含蓋組")</f>
        <v>義大利Rocker礦岩平煎鍋28cm含蓋組</v>
      </c>
      <c r="E1353" s="12" t="str">
        <f ca="1">IFERROR(__xludf.DUMMYFUNCTION("""COMPUTED_VALUE"""),"C2650471")</f>
        <v>C2650471</v>
      </c>
      <c r="F1353" s="12">
        <f ca="1">IFERROR(__xludf.DUMMYFUNCTION("""COMPUTED_VALUE"""),51097040)</f>
        <v>51097040</v>
      </c>
      <c r="G1353" s="12" t="str">
        <f ca="1">IFERROR(__xludf.DUMMYFUNCTION("""COMPUTED_VALUE"""),"EHOME057")</f>
        <v>EHOME057</v>
      </c>
      <c r="H1353" s="12">
        <f ca="1">IFERROR(__xludf.DUMMYFUNCTION("""COMPUTED_VALUE"""),2990)</f>
        <v>2990</v>
      </c>
      <c r="I1353" s="14">
        <f ca="1">IFERROR(__xludf.DUMMYFUNCTION("""COMPUTED_VALUE"""),1599)</f>
        <v>1599</v>
      </c>
      <c r="J1353" s="21">
        <f ca="1">IFERROR(__xludf.DUMMYFUNCTION("""COMPUTED_VALUE"""),45205)</f>
        <v>45205</v>
      </c>
      <c r="K1353" s="12" t="str">
        <f ca="1">IFERROR(__xludf.DUMMYFUNCTION("""COMPUTED_VALUE"""),"到貨")</f>
        <v>到貨</v>
      </c>
      <c r="L1353" s="12" t="str">
        <f ca="1">IFERROR(__xludf.DUMMYFUNCTION("""COMPUTED_VALUE"""),"上架中")</f>
        <v>上架中</v>
      </c>
      <c r="M1353" s="12"/>
      <c r="N1353" s="12" t="str">
        <f ca="1">IFERROR(__xludf.DUMMYFUNCTION("""COMPUTED_VALUE"""),"鍋具")</f>
        <v>鍋具</v>
      </c>
      <c r="O1353" s="12" t="str">
        <f ca="1">IFERROR(__xludf.DUMMYFUNCTION("""COMPUTED_VALUE"""),"岩石灰")</f>
        <v>岩石灰</v>
      </c>
      <c r="P1353" s="12" t="str">
        <f ca="1">IFERROR(__xludf.DUMMYFUNCTION("""COMPUTED_VALUE"""),"3.6L")</f>
        <v>3.6L</v>
      </c>
      <c r="Q1353" s="12" t="str">
        <f ca="1">IFERROR(__xludf.DUMMYFUNCTION("""COMPUTED_VALUE"""),"直徑280mm")</f>
        <v>直徑280mm</v>
      </c>
      <c r="R1353" s="12" t="str">
        <f ca="1">IFERROR(__xludf.DUMMYFUNCTION("""COMPUTED_VALUE"""),"義大利")</f>
        <v>義大利</v>
      </c>
      <c r="S1353" s="12"/>
      <c r="T1353" s="12"/>
      <c r="U1353" s="12"/>
      <c r="V1353" s="12"/>
      <c r="W1353" s="12"/>
      <c r="X1353" s="12"/>
      <c r="Y1353" s="12"/>
      <c r="Z1353" s="14"/>
      <c r="AA1353" s="15" t="str">
        <f ca="1">IFERROR(__xludf.DUMMYFUNCTION("""COMPUTED_VALUE"""),"*添加鈦元素強化不沾處理耐磨抗刮*不含PTFE與PFOA，不沾黏易清洗*高效率的傳熱功能*以中小火與少量油就能烹煮出美味料理.符合少油輕食的健康概念")</f>
        <v>*添加鈦元素強化不沾處理耐磨抗刮*不含PTFE與PFOA，不沾黏易清洗*高效率的傳熱功能*以中小火與少量油就能烹煮出美味料理.符合少油輕食的健康概念</v>
      </c>
    </row>
    <row r="1354" spans="1:27" ht="19.5" customHeight="1">
      <c r="A1354" s="12" t="str">
        <f ca="1">IFERROR(__xludf.DUMMYFUNCTION("""COMPUTED_VALUE"""),"居家生活用品")</f>
        <v>居家生活用品</v>
      </c>
      <c r="B1354" s="12" t="str">
        <f ca="1">IFERROR(__xludf.DUMMYFUNCTION("""COMPUTED_VALUE"""),"忠寬")</f>
        <v>忠寬</v>
      </c>
      <c r="C1354" s="12" t="str">
        <f ca="1">IFERROR(__xludf.DUMMYFUNCTION("""COMPUTED_VALUE"""),"Olympia")</f>
        <v>Olympia</v>
      </c>
      <c r="D1354" s="12" t="str">
        <f ca="1">IFERROR(__xludf.DUMMYFUNCTION("""COMPUTED_VALUE"""),"義大利Rocker礦岩平煎鍋32cm附蓋組")</f>
        <v>義大利Rocker礦岩平煎鍋32cm附蓋組</v>
      </c>
      <c r="E1354" s="12" t="str">
        <f ca="1">IFERROR(__xludf.DUMMYFUNCTION("""COMPUTED_VALUE"""),"C2650570")</f>
        <v>C2650570</v>
      </c>
      <c r="F1354" s="12">
        <f ca="1">IFERROR(__xludf.DUMMYFUNCTION("""COMPUTED_VALUE"""),51097041)</f>
        <v>51097041</v>
      </c>
      <c r="G1354" s="12" t="str">
        <f ca="1">IFERROR(__xludf.DUMMYFUNCTION("""COMPUTED_VALUE"""),"EHOME058")</f>
        <v>EHOME058</v>
      </c>
      <c r="H1354" s="12">
        <f ca="1">IFERROR(__xludf.DUMMYFUNCTION("""COMPUTED_VALUE"""),3290)</f>
        <v>3290</v>
      </c>
      <c r="I1354" s="14">
        <f ca="1">IFERROR(__xludf.DUMMYFUNCTION("""COMPUTED_VALUE"""),1990)</f>
        <v>1990</v>
      </c>
      <c r="J1354" s="12"/>
      <c r="K1354" s="12"/>
      <c r="L1354" s="12" t="str">
        <f ca="1">IFERROR(__xludf.DUMMYFUNCTION("""COMPUTED_VALUE"""),"缺貨")</f>
        <v>缺貨</v>
      </c>
      <c r="M1354" s="12"/>
      <c r="N1354" s="12" t="str">
        <f ca="1">IFERROR(__xludf.DUMMYFUNCTION("""COMPUTED_VALUE"""),"鍋具")</f>
        <v>鍋具</v>
      </c>
      <c r="O1354" s="12" t="str">
        <f ca="1">IFERROR(__xludf.DUMMYFUNCTION("""COMPUTED_VALUE"""),"岩石灰")</f>
        <v>岩石灰</v>
      </c>
      <c r="P1354" s="12" t="str">
        <f ca="1">IFERROR(__xludf.DUMMYFUNCTION("""COMPUTED_VALUE"""),"4.7L")</f>
        <v>4.7L</v>
      </c>
      <c r="Q1354" s="12" t="str">
        <f ca="1">IFERROR(__xludf.DUMMYFUNCTION("""COMPUTED_VALUE"""),"320x65mm")</f>
        <v>320x65mm</v>
      </c>
      <c r="R1354" s="12" t="str">
        <f ca="1">IFERROR(__xludf.DUMMYFUNCTION("""COMPUTED_VALUE"""),"義大利")</f>
        <v>義大利</v>
      </c>
      <c r="S1354" s="12"/>
      <c r="T1354" s="12"/>
      <c r="U1354" s="12"/>
      <c r="V1354" s="12"/>
      <c r="W1354" s="12"/>
      <c r="X1354" s="12"/>
      <c r="Y1354" s="12"/>
      <c r="Z1354" s="14"/>
      <c r="AA1354" s="15" t="str">
        <f ca="1">IFERROR(__xludf.DUMMYFUNCTION("""COMPUTED_VALUE"""),"*耐磨抗刮*不沾黏易清洗*高效傳熱*少油輕食即可美味又健康")</f>
        <v>*耐磨抗刮*不沾黏易清洗*高效傳熱*少油輕食即可美味又健康</v>
      </c>
    </row>
    <row r="1355" spans="1:27" ht="19.5" customHeight="1">
      <c r="A1355" s="12" t="str">
        <f ca="1">IFERROR(__xludf.DUMMYFUNCTION("""COMPUTED_VALUE"""),"居家生活用品")</f>
        <v>居家生活用品</v>
      </c>
      <c r="B1355" s="12" t="str">
        <f ca="1">IFERROR(__xludf.DUMMYFUNCTION("""COMPUTED_VALUE"""),"忠寬")</f>
        <v>忠寬</v>
      </c>
      <c r="C1355" s="12" t="str">
        <f ca="1">IFERROR(__xludf.DUMMYFUNCTION("""COMPUTED_VALUE"""),"Olympia")</f>
        <v>Olympia</v>
      </c>
      <c r="D1355" s="12" t="str">
        <f ca="1">IFERROR(__xludf.DUMMYFUNCTION("""COMPUTED_VALUE"""),"居家_Olympia義大利Rocker礦岩平煎鍋32cm(附耳)附蓋組_C2655608-3")</f>
        <v>居家_Olympia義大利Rocker礦岩平煎鍋32cm(附耳)附蓋組_C2655608-3</v>
      </c>
      <c r="E1355" s="12" t="str">
        <f ca="1">IFERROR(__xludf.DUMMYFUNCTION("""COMPUTED_VALUE"""),"C2655608-3")</f>
        <v>C2655608-3</v>
      </c>
      <c r="F1355" s="12">
        <f ca="1">IFERROR(__xludf.DUMMYFUNCTION("""COMPUTED_VALUE"""),51097112)</f>
        <v>51097112</v>
      </c>
      <c r="G1355" s="12" t="str">
        <f ca="1">IFERROR(__xludf.DUMMYFUNCTION("""COMPUTED_VALUE"""),"IGEM109U")</f>
        <v>IGEM109U</v>
      </c>
      <c r="H1355" s="13">
        <f ca="1">IFERROR(__xludf.DUMMYFUNCTION("""COMPUTED_VALUE"""),2990)</f>
        <v>2990</v>
      </c>
      <c r="I1355" s="14">
        <f ca="1">IFERROR(__xludf.DUMMYFUNCTION("""COMPUTED_VALUE"""),1899)</f>
        <v>1899</v>
      </c>
      <c r="J1355" s="12"/>
      <c r="K1355" s="12"/>
      <c r="L1355" s="12" t="str">
        <f ca="1">IFERROR(__xludf.DUMMYFUNCTION("""COMPUTED_VALUE"""),"上架中")</f>
        <v>上架中</v>
      </c>
      <c r="M1355" s="12"/>
      <c r="N1355" s="12" t="str">
        <f ca="1">IFERROR(__xludf.DUMMYFUNCTION("""COMPUTED_VALUE"""),"鍋具")</f>
        <v>鍋具</v>
      </c>
      <c r="O1355" s="12"/>
      <c r="P1355" s="12"/>
      <c r="Q1355" s="12" t="str">
        <f ca="1">IFERROR(__xludf.DUMMYFUNCTION("""COMPUTED_VALUE"""),"鍋具
 規格：Ø320×H65mm
玻璃蓋
 規格：約Ø332×85mm(含蓋頭.邊框)")</f>
        <v>鍋具
 規格：Ø320×H65mm
玻璃蓋
 規格：約Ø332×85mm(含蓋頭.邊框)</v>
      </c>
      <c r="R1355" s="12" t="str">
        <f ca="1">IFERROR(__xludf.DUMMYFUNCTION("""COMPUTED_VALUE"""),"義大利")</f>
        <v>義大利</v>
      </c>
      <c r="S1355" s="12"/>
      <c r="T1355" s="12"/>
      <c r="U1355" s="12"/>
      <c r="V1355" s="12"/>
      <c r="W1355" s="12"/>
      <c r="X1355" s="12"/>
      <c r="Y1355" s="12"/>
      <c r="Z1355" s="14"/>
      <c r="AA1355" s="15" t="str">
        <f ca="1">IFERROR(__xludf.DUMMYFUNCTION("""COMPUTED_VALUE"""),"*100%義大利製造進口*添加Quantanium鈦元素強化不沾處理耐磨抗刮*隔熱防燙.好拿又好握*可耐高溫.蒸氣孔釋壓防溢")</f>
        <v>*100%義大利製造進口*添加Quantanium鈦元素強化不沾處理耐磨抗刮*隔熱防燙.好拿又好握*可耐高溫.蒸氣孔釋壓防溢</v>
      </c>
    </row>
    <row r="1356" spans="1:27" ht="19.5" customHeight="1">
      <c r="A1356" s="12" t="str">
        <f ca="1">IFERROR(__xludf.DUMMYFUNCTION("""COMPUTED_VALUE"""),"居家生活用品")</f>
        <v>居家生活用品</v>
      </c>
      <c r="B1356" s="12" t="str">
        <f ca="1">IFERROR(__xludf.DUMMYFUNCTION("""COMPUTED_VALUE"""),"忠寬")</f>
        <v>忠寬</v>
      </c>
      <c r="C1356" s="12" t="str">
        <f ca="1">IFERROR(__xludf.DUMMYFUNCTION("""COMPUTED_VALUE"""),"銀峯GINPO")</f>
        <v>銀峯GINPO</v>
      </c>
      <c r="D1356" s="12" t="str">
        <f ca="1">IFERROR(__xludf.DUMMYFUNCTION("""COMPUTED_VALUE"""),"日本銀峯菊花土鍋-9號-飴糖咖")</f>
        <v>日本銀峯菊花土鍋-9號-飴糖咖</v>
      </c>
      <c r="E1356" s="12">
        <f ca="1">IFERROR(__xludf.DUMMYFUNCTION("""COMPUTED_VALUE"""),2970918)</f>
        <v>2970918</v>
      </c>
      <c r="F1356" s="12">
        <f ca="1">IFERROR(__xludf.DUMMYFUNCTION("""COMPUTED_VALUE"""),51097045)</f>
        <v>51097045</v>
      </c>
      <c r="G1356" s="12" t="str">
        <f ca="1">IFERROR(__xludf.DUMMYFUNCTION("""COMPUTED_VALUE"""),"EHOME062")</f>
        <v>EHOME062</v>
      </c>
      <c r="H1356" s="12">
        <f ca="1">IFERROR(__xludf.DUMMYFUNCTION("""COMPUTED_VALUE"""),3260)</f>
        <v>3260</v>
      </c>
      <c r="I1356" s="14">
        <f ca="1">IFERROR(__xludf.DUMMYFUNCTION("""COMPUTED_VALUE"""),1890)</f>
        <v>1890</v>
      </c>
      <c r="J1356" s="12"/>
      <c r="K1356" s="12"/>
      <c r="L1356" s="12" t="str">
        <f ca="1">IFERROR(__xludf.DUMMYFUNCTION("""COMPUTED_VALUE"""),"上架中")</f>
        <v>上架中</v>
      </c>
      <c r="M1356" s="12"/>
      <c r="N1356" s="12" t="str">
        <f ca="1">IFERROR(__xludf.DUMMYFUNCTION("""COMPUTED_VALUE"""),"鍋具")</f>
        <v>鍋具</v>
      </c>
      <c r="O1356" s="12" t="str">
        <f ca="1">IFERROR(__xludf.DUMMYFUNCTION("""COMPUTED_VALUE"""),"飴糖咖")</f>
        <v>飴糖咖</v>
      </c>
      <c r="P1356" s="12" t="str">
        <f ca="1">IFERROR(__xludf.DUMMYFUNCTION("""COMPUTED_VALUE"""),"2.7L")</f>
        <v>2.7L</v>
      </c>
      <c r="Q1356" s="12" t="str">
        <f ca="1">IFERROR(__xludf.DUMMYFUNCTION("""COMPUTED_VALUE"""),"310×285×150mm")</f>
        <v>310×285×150mm</v>
      </c>
      <c r="R1356" s="12" t="str">
        <f ca="1">IFERROR(__xludf.DUMMYFUNCTION("""COMPUTED_VALUE"""),"日本")</f>
        <v>日本</v>
      </c>
      <c r="S1356" s="12"/>
      <c r="T1356" s="12"/>
      <c r="U1356" s="12"/>
      <c r="V1356" s="12"/>
      <c r="W1356" s="12"/>
      <c r="X1356" s="12"/>
      <c r="Y1356" s="12"/>
      <c r="Z1356" s="14"/>
      <c r="AA1356" s="15" t="str">
        <f ca="1">IFERROR(__xludf.DUMMYFUNCTION("""COMPUTED_VALUE"""),"*菊花瓣紋路上蓋易抓手柄*蓄熱保溫佳鎖住原味*耐高溫陶土製可用於直火*外型美觀可直接上桌")</f>
        <v>*菊花瓣紋路上蓋易抓手柄*蓄熱保溫佳鎖住原味*耐高溫陶土製可用於直火*外型美觀可直接上桌</v>
      </c>
    </row>
    <row r="1357" spans="1:27" ht="19.5" customHeight="1">
      <c r="A1357" s="12" t="str">
        <f ca="1">IFERROR(__xludf.DUMMYFUNCTION("""COMPUTED_VALUE"""),"居家生活用品")</f>
        <v>居家生活用品</v>
      </c>
      <c r="B1357" s="12" t="str">
        <f ca="1">IFERROR(__xludf.DUMMYFUNCTION("""COMPUTED_VALUE"""),"忠寬")</f>
        <v>忠寬</v>
      </c>
      <c r="C1357" s="12" t="str">
        <f ca="1">IFERROR(__xludf.DUMMYFUNCTION("""COMPUTED_VALUE"""),"銀峯GINPO")</f>
        <v>銀峯GINPO</v>
      </c>
      <c r="D1357" s="12" t="str">
        <f ca="1">IFERROR(__xludf.DUMMYFUNCTION("""COMPUTED_VALUE"""),"日本銀峯2.7L菊花土鍋-9號(粉引)2970912")</f>
        <v>日本銀峯2.7L菊花土鍋-9號(粉引)2970912</v>
      </c>
      <c r="E1357" s="12">
        <f ca="1">IFERROR(__xludf.DUMMYFUNCTION("""COMPUTED_VALUE"""),2970912)</f>
        <v>2970912</v>
      </c>
      <c r="F1357" s="12">
        <f ca="1">IFERROR(__xludf.DUMMYFUNCTION("""COMPUTED_VALUE"""),51097059)</f>
        <v>51097059</v>
      </c>
      <c r="G1357" s="12" t="str">
        <f ca="1">IFERROR(__xludf.DUMMYFUNCTION("""COMPUTED_VALUE"""),"EHOME076")</f>
        <v>EHOME076</v>
      </c>
      <c r="H1357" s="12">
        <f ca="1">IFERROR(__xludf.DUMMYFUNCTION("""COMPUTED_VALUE"""),2990)</f>
        <v>2990</v>
      </c>
      <c r="I1357" s="14">
        <f ca="1">IFERROR(__xludf.DUMMYFUNCTION("""COMPUTED_VALUE"""),1890)</f>
        <v>1890</v>
      </c>
      <c r="J1357" s="12"/>
      <c r="K1357" s="12"/>
      <c r="L1357" s="12" t="str">
        <f ca="1">IFERROR(__xludf.DUMMYFUNCTION("""COMPUTED_VALUE"""),"上架中")</f>
        <v>上架中</v>
      </c>
      <c r="M1357" s="12"/>
      <c r="N1357" s="12" t="str">
        <f ca="1">IFERROR(__xludf.DUMMYFUNCTION("""COMPUTED_VALUE"""),"鍋具")</f>
        <v>鍋具</v>
      </c>
      <c r="O1357" s="12" t="str">
        <f ca="1">IFERROR(__xludf.DUMMYFUNCTION("""COMPUTED_VALUE"""),"粉引")</f>
        <v>粉引</v>
      </c>
      <c r="P1357" s="12" t="str">
        <f ca="1">IFERROR(__xludf.DUMMYFUNCTION("""COMPUTED_VALUE"""),"2.7L")</f>
        <v>2.7L</v>
      </c>
      <c r="Q1357" s="12"/>
      <c r="R1357" s="12" t="str">
        <f ca="1">IFERROR(__xludf.DUMMYFUNCTION("""COMPUTED_VALUE"""),"日本")</f>
        <v>日本</v>
      </c>
      <c r="S1357" s="12"/>
      <c r="T1357" s="12"/>
      <c r="U1357" s="12"/>
      <c r="V1357" s="12"/>
      <c r="W1357" s="12"/>
      <c r="X1357" s="12"/>
      <c r="Y1357" s="12"/>
      <c r="Z1357" s="14"/>
      <c r="AA1357" s="15" t="str">
        <f ca="1">IFERROR(__xludf.DUMMYFUNCTION("""COMPUTED_VALUE"""),"*低鍋身易快速煮沸烹調處理*低熱膨脹係數紅土耐高溫*高透輕薄多層琉璃釉預防氣味殘留可避免醬料顏色附著於鍋身*蓄熱保溫佳")</f>
        <v>*低鍋身易快速煮沸烹調處理*低熱膨脹係數紅土耐高溫*高透輕薄多層琉璃釉預防氣味殘留可避免醬料顏色附著於鍋身*蓄熱保溫佳</v>
      </c>
    </row>
    <row r="1358" spans="1:27" ht="19.5" customHeight="1">
      <c r="A1358" s="12" t="str">
        <f ca="1">IFERROR(__xludf.DUMMYFUNCTION("""COMPUTED_VALUE"""),"居家生活用品")</f>
        <v>居家生活用品</v>
      </c>
      <c r="B1358" s="12" t="str">
        <f ca="1">IFERROR(__xludf.DUMMYFUNCTION("""COMPUTED_VALUE"""),"忠寬")</f>
        <v>忠寬</v>
      </c>
      <c r="C1358" s="12" t="str">
        <f ca="1">IFERROR(__xludf.DUMMYFUNCTION("""COMPUTED_VALUE"""),"銀峯GINPO")</f>
        <v>銀峯GINPO</v>
      </c>
      <c r="D1358" s="12" t="str">
        <f ca="1">IFERROR(__xludf.DUMMYFUNCTION("""COMPUTED_VALUE"""),"日本銀峯2.7L菊花土鍋-9號(琉璃藍)2970917")</f>
        <v>日本銀峯2.7L菊花土鍋-9號(琉璃藍)2970917</v>
      </c>
      <c r="E1358" s="12">
        <f ca="1">IFERROR(__xludf.DUMMYFUNCTION("""COMPUTED_VALUE"""),2970917)</f>
        <v>2970917</v>
      </c>
      <c r="F1358" s="12">
        <f ca="1">IFERROR(__xludf.DUMMYFUNCTION("""COMPUTED_VALUE"""),51097060)</f>
        <v>51097060</v>
      </c>
      <c r="G1358" s="12" t="str">
        <f ca="1">IFERROR(__xludf.DUMMYFUNCTION("""COMPUTED_VALUE"""),"EHOME077")</f>
        <v>EHOME077</v>
      </c>
      <c r="H1358" s="12">
        <f ca="1">IFERROR(__xludf.DUMMYFUNCTION("""COMPUTED_VALUE"""),2990)</f>
        <v>2990</v>
      </c>
      <c r="I1358" s="14">
        <f ca="1">IFERROR(__xludf.DUMMYFUNCTION("""COMPUTED_VALUE"""),1890)</f>
        <v>1890</v>
      </c>
      <c r="J1358" s="12"/>
      <c r="K1358" s="12"/>
      <c r="L1358" s="12" t="str">
        <f ca="1">IFERROR(__xludf.DUMMYFUNCTION("""COMPUTED_VALUE"""),"上架中")</f>
        <v>上架中</v>
      </c>
      <c r="M1358" s="12"/>
      <c r="N1358" s="12" t="str">
        <f ca="1">IFERROR(__xludf.DUMMYFUNCTION("""COMPUTED_VALUE"""),"鍋具")</f>
        <v>鍋具</v>
      </c>
      <c r="O1358" s="12" t="str">
        <f ca="1">IFERROR(__xludf.DUMMYFUNCTION("""COMPUTED_VALUE"""),"琉璃藍")</f>
        <v>琉璃藍</v>
      </c>
      <c r="P1358" s="12" t="str">
        <f ca="1">IFERROR(__xludf.DUMMYFUNCTION("""COMPUTED_VALUE"""),"2.7L")</f>
        <v>2.7L</v>
      </c>
      <c r="Q1358" s="12"/>
      <c r="R1358" s="12" t="str">
        <f ca="1">IFERROR(__xludf.DUMMYFUNCTION("""COMPUTED_VALUE"""),"日本")</f>
        <v>日本</v>
      </c>
      <c r="S1358" s="12"/>
      <c r="T1358" s="12"/>
      <c r="U1358" s="12"/>
      <c r="V1358" s="12"/>
      <c r="W1358" s="12"/>
      <c r="X1358" s="12"/>
      <c r="Y1358" s="12"/>
      <c r="Z1358" s="14"/>
      <c r="AA1358" s="15" t="str">
        <f ca="1">IFERROR(__xludf.DUMMYFUNCTION("""COMPUTED_VALUE"""),"*低鍋身易快速煮沸烹調處理*低熱膨脹係數紅土耐高溫*高透輕薄多層琉璃釉預防氣味殘留可避免醬料顏色附著於鍋身*蓄熱保溫佳")</f>
        <v>*低鍋身易快速煮沸烹調處理*低熱膨脹係數紅土耐高溫*高透輕薄多層琉璃釉預防氣味殘留可避免醬料顏色附著於鍋身*蓄熱保溫佳</v>
      </c>
    </row>
    <row r="1359" spans="1:27" ht="19.5" customHeight="1">
      <c r="A1359" s="12" t="str">
        <f ca="1">IFERROR(__xludf.DUMMYFUNCTION("""COMPUTED_VALUE"""),"居家生活用品")</f>
        <v>居家生活用品</v>
      </c>
      <c r="B1359" s="12" t="str">
        <f ca="1">IFERROR(__xludf.DUMMYFUNCTION("""COMPUTED_VALUE"""),"忠寬")</f>
        <v>忠寬</v>
      </c>
      <c r="C1359" s="12" t="str">
        <f ca="1">IFERROR(__xludf.DUMMYFUNCTION("""COMPUTED_VALUE"""),"銀峯GINPO")</f>
        <v>銀峯GINPO</v>
      </c>
      <c r="D1359" s="12" t="str">
        <f ca="1">IFERROR(__xludf.DUMMYFUNCTION("""COMPUTED_VALUE"""),"日本銀峯菊花飯鍋3合-飴糖咖")</f>
        <v>日本銀峯菊花飯鍋3合-飴糖咖</v>
      </c>
      <c r="E1359" s="12">
        <f ca="1">IFERROR(__xludf.DUMMYFUNCTION("""COMPUTED_VALUE"""),2971717)</f>
        <v>2971717</v>
      </c>
      <c r="F1359" s="12">
        <f ca="1">IFERROR(__xludf.DUMMYFUNCTION("""COMPUTED_VALUE"""),51097046)</f>
        <v>51097046</v>
      </c>
      <c r="G1359" s="12" t="str">
        <f ca="1">IFERROR(__xludf.DUMMYFUNCTION("""COMPUTED_VALUE"""),"EHOME063")</f>
        <v>EHOME063</v>
      </c>
      <c r="H1359" s="12">
        <f ca="1">IFERROR(__xludf.DUMMYFUNCTION("""COMPUTED_VALUE"""),2680)</f>
        <v>2680</v>
      </c>
      <c r="I1359" s="14">
        <f ca="1">IFERROR(__xludf.DUMMYFUNCTION("""COMPUTED_VALUE"""),1990)</f>
        <v>1990</v>
      </c>
      <c r="J1359" s="12"/>
      <c r="K1359" s="12"/>
      <c r="L1359" s="12" t="str">
        <f ca="1">IFERROR(__xludf.DUMMYFUNCTION("""COMPUTED_VALUE"""),"上架中")</f>
        <v>上架中</v>
      </c>
      <c r="M1359" s="12"/>
      <c r="N1359" s="12" t="str">
        <f ca="1">IFERROR(__xludf.DUMMYFUNCTION("""COMPUTED_VALUE"""),"鍋具")</f>
        <v>鍋具</v>
      </c>
      <c r="O1359" s="12" t="str">
        <f ca="1">IFERROR(__xludf.DUMMYFUNCTION("""COMPUTED_VALUE"""),"飴糖咖")</f>
        <v>飴糖咖</v>
      </c>
      <c r="P1359" s="12" t="str">
        <f ca="1">IFERROR(__xludf.DUMMYFUNCTION("""COMPUTED_VALUE"""),"1.8L")</f>
        <v>1.8L</v>
      </c>
      <c r="Q1359" s="12" t="str">
        <f ca="1">IFERROR(__xludf.DUMMYFUNCTION("""COMPUTED_VALUE"""),"245×225×160mm")</f>
        <v>245×225×160mm</v>
      </c>
      <c r="R1359" s="12" t="str">
        <f ca="1">IFERROR(__xludf.DUMMYFUNCTION("""COMPUTED_VALUE"""),"日本")</f>
        <v>日本</v>
      </c>
      <c r="S1359" s="12"/>
      <c r="T1359" s="12"/>
      <c r="U1359" s="12"/>
      <c r="V1359" s="12"/>
      <c r="W1359" s="12"/>
      <c r="X1359" s="12"/>
      <c r="Y1359" s="12"/>
      <c r="Z1359" s="14"/>
      <c r="AA1359" s="15" t="str">
        <f ca="1">IFERROR(__xludf.DUMMYFUNCTION("""COMPUTED_VALUE"""),"*菊花瓣紋路上蓋易抓手柄*雙蓋設計傳熱快蓄熱佳節能優*鍋體厚實可直火加熱，外型美觀可直接上桌*各式炊飯.燉煮料理簡單一鍋調理一桌美味")</f>
        <v>*菊花瓣紋路上蓋易抓手柄*雙蓋設計傳熱快蓄熱佳節能優*鍋體厚實可直火加熱，外型美觀可直接上桌*各式炊飯.燉煮料理簡單一鍋調理一桌美味</v>
      </c>
    </row>
    <row r="1360" spans="1:27" ht="19.5" customHeight="1">
      <c r="A1360" s="12" t="str">
        <f ca="1">IFERROR(__xludf.DUMMYFUNCTION("""COMPUTED_VALUE"""),"居家生活用品")</f>
        <v>居家生活用品</v>
      </c>
      <c r="B1360" s="12" t="str">
        <f ca="1">IFERROR(__xludf.DUMMYFUNCTION("""COMPUTED_VALUE"""),"忠寬")</f>
        <v>忠寬</v>
      </c>
      <c r="C1360" s="12" t="str">
        <f ca="1">IFERROR(__xludf.DUMMYFUNCTION("""COMPUTED_VALUE"""),"MEHRZER")</f>
        <v>MEHRZER</v>
      </c>
      <c r="D1360" s="12" t="str">
        <f ca="1">IFERROR(__xludf.DUMMYFUNCTION("""COMPUTED_VALUE"""),"歐梅樂黑鑽石平煎鍋附蓋-24cm
條碼:4718008370976")</f>
        <v>歐梅樂黑鑽石平煎鍋附蓋-24cm
條碼:4718008370976</v>
      </c>
      <c r="E1360" s="12" t="str">
        <f ca="1">IFERROR(__xludf.DUMMYFUNCTION("""COMPUTED_VALUE"""),"C2650976")</f>
        <v>C2650976</v>
      </c>
      <c r="F1360" s="12">
        <f ca="1">IFERROR(__xludf.DUMMYFUNCTION("""COMPUTED_VALUE"""),51097056)</f>
        <v>51097056</v>
      </c>
      <c r="G1360" s="12" t="str">
        <f ca="1">IFERROR(__xludf.DUMMYFUNCTION("""COMPUTED_VALUE"""),"EHOME073")</f>
        <v>EHOME073</v>
      </c>
      <c r="H1360" s="12">
        <f ca="1">IFERROR(__xludf.DUMMYFUNCTION("""COMPUTED_VALUE"""),2290)</f>
        <v>2290</v>
      </c>
      <c r="I1360" s="14">
        <f ca="1">IFERROR(__xludf.DUMMYFUNCTION("""COMPUTED_VALUE"""),1490)</f>
        <v>1490</v>
      </c>
      <c r="J1360" s="12"/>
      <c r="K1360" s="12"/>
      <c r="L1360" s="12" t="str">
        <f ca="1">IFERROR(__xludf.DUMMYFUNCTION("""COMPUTED_VALUE"""),"上架中")</f>
        <v>上架中</v>
      </c>
      <c r="M1360" s="12"/>
      <c r="N1360" s="12" t="str">
        <f ca="1">IFERROR(__xludf.DUMMYFUNCTION("""COMPUTED_VALUE"""),"鍋具")</f>
        <v>鍋具</v>
      </c>
      <c r="O1360" s="12" t="str">
        <f ca="1">IFERROR(__xludf.DUMMYFUNCTION("""COMPUTED_VALUE"""),"鍋/主色:黑色")</f>
        <v>鍋/主色:黑色</v>
      </c>
      <c r="P1360" s="12"/>
      <c r="Q1360" s="12" t="str">
        <f ca="1">IFERROR(__xludf.DUMMYFUNCTION("""COMPUTED_VALUE"""),"鍋/約240×240×65mm±5%(不含手柄)
蓋/約240mm")</f>
        <v>鍋/約240×240×65mm±5%(不含手柄)
蓋/約240mm</v>
      </c>
      <c r="R1360" s="12" t="str">
        <f ca="1">IFERROR(__xludf.DUMMYFUNCTION("""COMPUTED_VALUE"""),"義大利
蓋/台灣")</f>
        <v>義大利
蓋/台灣</v>
      </c>
      <c r="S1360" s="12"/>
      <c r="T1360" s="12"/>
      <c r="U1360" s="12"/>
      <c r="V1360" s="12"/>
      <c r="W1360" s="12"/>
      <c r="X1360" s="12"/>
      <c r="Y1360" s="12"/>
      <c r="Z1360" s="14"/>
      <c r="AA1360" s="15" t="str">
        <f ca="1">IFERROR(__xludf.DUMMYFUNCTION("""COMPUTED_VALUE"""),"*歐洲義大利製造.使用三層鑽石塗層.耐磨耐腐蝕*不沾黏好清洗.烹飪少油煙*高效率的傳熱功能並將熱源均勻分配.以中小火與少量油就能烹煮出美味料理*適用:瓦斯爐.洗碗機.烘碗機*不適用:電磁爐.微波爐.烤箱""")</f>
        <v>*歐洲義大利製造.使用三層鑽石塗層.耐磨耐腐蝕*不沾黏好清洗.烹飪少油煙*高效率的傳熱功能並將熱源均勻分配.以中小火與少量油就能烹煮出美味料理*適用:瓦斯爐.洗碗機.烘碗機*不適用:電磁爐.微波爐.烤箱"</v>
      </c>
    </row>
    <row r="1361" spans="1:27" ht="19.5" customHeight="1">
      <c r="A1361" s="12" t="str">
        <f ca="1">IFERROR(__xludf.DUMMYFUNCTION("""COMPUTED_VALUE"""),"居家生活用品")</f>
        <v>居家生活用品</v>
      </c>
      <c r="B1361" s="12" t="str">
        <f ca="1">IFERROR(__xludf.DUMMYFUNCTION("""COMPUTED_VALUE"""),"忠寬")</f>
        <v>忠寬</v>
      </c>
      <c r="C1361" s="12" t="str">
        <f ca="1">IFERROR(__xludf.DUMMYFUNCTION("""COMPUTED_VALUE"""),"MEHRZER")</f>
        <v>MEHRZER</v>
      </c>
      <c r="D1361" s="12" t="str">
        <f ca="1">IFERROR(__xludf.DUMMYFUNCTION("""COMPUTED_VALUE"""),"歐梅樂黑鑽石平煎鍋附蓋-28cm
條碼:4718008370983")</f>
        <v>歐梅樂黑鑽石平煎鍋附蓋-28cm
條碼:4718008370983</v>
      </c>
      <c r="E1361" s="12" t="str">
        <f ca="1">IFERROR(__xludf.DUMMYFUNCTION("""COMPUTED_VALUE"""),"C2650983")</f>
        <v>C2650983</v>
      </c>
      <c r="F1361" s="12">
        <f ca="1">IFERROR(__xludf.DUMMYFUNCTION("""COMPUTED_VALUE"""),51097057)</f>
        <v>51097057</v>
      </c>
      <c r="G1361" s="12" t="str">
        <f ca="1">IFERROR(__xludf.DUMMYFUNCTION("""COMPUTED_VALUE"""),"EHOME074")</f>
        <v>EHOME074</v>
      </c>
      <c r="H1361" s="12">
        <f ca="1">IFERROR(__xludf.DUMMYFUNCTION("""COMPUTED_VALUE"""),2990)</f>
        <v>2990</v>
      </c>
      <c r="I1361" s="14">
        <f ca="1">IFERROR(__xludf.DUMMYFUNCTION("""COMPUTED_VALUE"""),1790)</f>
        <v>1790</v>
      </c>
      <c r="J1361" s="12"/>
      <c r="K1361" s="12"/>
      <c r="L1361" s="12" t="str">
        <f ca="1">IFERROR(__xludf.DUMMYFUNCTION("""COMPUTED_VALUE"""),"上架中")</f>
        <v>上架中</v>
      </c>
      <c r="M1361" s="12"/>
      <c r="N1361" s="12" t="str">
        <f ca="1">IFERROR(__xludf.DUMMYFUNCTION("""COMPUTED_VALUE"""),"鍋具")</f>
        <v>鍋具</v>
      </c>
      <c r="O1361" s="12" t="str">
        <f ca="1">IFERROR(__xludf.DUMMYFUNCTION("""COMPUTED_VALUE"""),"鍋/主色:黑色")</f>
        <v>鍋/主色:黑色</v>
      </c>
      <c r="P1361" s="12"/>
      <c r="Q1361" s="12" t="str">
        <f ca="1">IFERROR(__xludf.DUMMYFUNCTION("""COMPUTED_VALUE"""),"鍋/約280×280×70mm±5%(不含手柄)
蓋/約280mm")</f>
        <v>鍋/約280×280×70mm±5%(不含手柄)
蓋/約280mm</v>
      </c>
      <c r="R1361" s="12" t="str">
        <f ca="1">IFERROR(__xludf.DUMMYFUNCTION("""COMPUTED_VALUE"""),"義大利
蓋/台灣")</f>
        <v>義大利
蓋/台灣</v>
      </c>
      <c r="S1361" s="12"/>
      <c r="T1361" s="12"/>
      <c r="U1361" s="12"/>
      <c r="V1361" s="12"/>
      <c r="W1361" s="12"/>
      <c r="X1361" s="12"/>
      <c r="Y1361" s="12"/>
      <c r="Z1361" s="14"/>
      <c r="AA1361" s="15" t="str">
        <f ca="1">IFERROR(__xludf.DUMMYFUNCTION("""COMPUTED_VALUE"""),"*歐洲義大利製造.使用三層鑽石塗層.耐磨耐腐蝕*不沾黏好清洗.烹飪少油煙*高效率的傳熱功能並將熱源均勻分配.以中小火與少量油就能烹煮出美味料理*適用:瓦斯爐.洗碗機.烘碗機*不適用:電磁爐.微波爐.烤箱""")</f>
        <v>*歐洲義大利製造.使用三層鑽石塗層.耐磨耐腐蝕*不沾黏好清洗.烹飪少油煙*高效率的傳熱功能並將熱源均勻分配.以中小火與少量油就能烹煮出美味料理*適用:瓦斯爐.洗碗機.烘碗機*不適用:電磁爐.微波爐.烤箱"</v>
      </c>
    </row>
    <row r="1362" spans="1:27" ht="19.5" customHeight="1">
      <c r="A1362" s="12" t="str">
        <f ca="1">IFERROR(__xludf.DUMMYFUNCTION("""COMPUTED_VALUE"""),"居家生活用品")</f>
        <v>居家生活用品</v>
      </c>
      <c r="B1362" s="12" t="str">
        <f ca="1">IFERROR(__xludf.DUMMYFUNCTION("""COMPUTED_VALUE"""),"忠寬")</f>
        <v>忠寬</v>
      </c>
      <c r="C1362" s="12" t="str">
        <f ca="1">IFERROR(__xludf.DUMMYFUNCTION("""COMPUTED_VALUE"""),"MEHRZER")</f>
        <v>MEHRZER</v>
      </c>
      <c r="D1362" s="12" t="str">
        <f ca="1">IFERROR(__xludf.DUMMYFUNCTION("""COMPUTED_VALUE"""),"歐梅樂黑鑽石炒鍋附蓋-28cm
條碼:4718008370990")</f>
        <v>歐梅樂黑鑽石炒鍋附蓋-28cm
條碼:4718008370990</v>
      </c>
      <c r="E1362" s="12" t="str">
        <f ca="1">IFERROR(__xludf.DUMMYFUNCTION("""COMPUTED_VALUE"""),"C2650990")</f>
        <v>C2650990</v>
      </c>
      <c r="F1362" s="12">
        <f ca="1">IFERROR(__xludf.DUMMYFUNCTION("""COMPUTED_VALUE"""),51097058)</f>
        <v>51097058</v>
      </c>
      <c r="G1362" s="12" t="str">
        <f ca="1">IFERROR(__xludf.DUMMYFUNCTION("""COMPUTED_VALUE"""),"EHOME075")</f>
        <v>EHOME075</v>
      </c>
      <c r="H1362" s="12">
        <f ca="1">IFERROR(__xludf.DUMMYFUNCTION("""COMPUTED_VALUE"""),2990)</f>
        <v>2990</v>
      </c>
      <c r="I1362" s="14">
        <f ca="1">IFERROR(__xludf.DUMMYFUNCTION("""COMPUTED_VALUE"""),1790)</f>
        <v>1790</v>
      </c>
      <c r="J1362" s="12"/>
      <c r="K1362" s="12"/>
      <c r="L1362" s="12" t="str">
        <f ca="1">IFERROR(__xludf.DUMMYFUNCTION("""COMPUTED_VALUE"""),"上架中")</f>
        <v>上架中</v>
      </c>
      <c r="M1362" s="12"/>
      <c r="N1362" s="12" t="str">
        <f ca="1">IFERROR(__xludf.DUMMYFUNCTION("""COMPUTED_VALUE"""),"鍋具")</f>
        <v>鍋具</v>
      </c>
      <c r="O1362" s="12" t="str">
        <f ca="1">IFERROR(__xludf.DUMMYFUNCTION("""COMPUTED_VALUE"""),"鍋/主色:黑色")</f>
        <v>鍋/主色:黑色</v>
      </c>
      <c r="P1362" s="12"/>
      <c r="Q1362" s="12" t="str">
        <f ca="1">IFERROR(__xludf.DUMMYFUNCTION("""COMPUTED_VALUE"""),"鍋/約280×280×75mm±5%(不含手柄)
蓋/約280mm")</f>
        <v>鍋/約280×280×75mm±5%(不含手柄)
蓋/約280mm</v>
      </c>
      <c r="R1362" s="12" t="str">
        <f ca="1">IFERROR(__xludf.DUMMYFUNCTION("""COMPUTED_VALUE"""),"義大利
蓋/台灣")</f>
        <v>義大利
蓋/台灣</v>
      </c>
      <c r="S1362" s="12"/>
      <c r="T1362" s="12"/>
      <c r="U1362" s="12"/>
      <c r="V1362" s="12"/>
      <c r="W1362" s="12"/>
      <c r="X1362" s="12"/>
      <c r="Y1362" s="12"/>
      <c r="Z1362" s="14"/>
      <c r="AA1362" s="15" t="str">
        <f ca="1">IFERROR(__xludf.DUMMYFUNCTION("""COMPUTED_VALUE"""),"*歐洲義大利製造.使用三層鑽石塗層.耐磨耐腐蝕*不沾黏好清洗.烹飪少油煙*高效率的傳熱功能並將熱源均勻分配.以中小火與少量油就能烹煮出美味料理*適用:瓦斯爐.洗碗機.烘碗機*不適用:電磁爐.微波爐.烤箱")</f>
        <v>*歐洲義大利製造.使用三層鑽石塗層.耐磨耐腐蝕*不沾黏好清洗.烹飪少油煙*高效率的傳熱功能並將熱源均勻分配.以中小火與少量油就能烹煮出美味料理*適用:瓦斯爐.洗碗機.烘碗機*不適用:電磁爐.微波爐.烤箱</v>
      </c>
    </row>
    <row r="1363" spans="1:27" ht="19.5" customHeight="1">
      <c r="A1363" s="12" t="str">
        <f ca="1">IFERROR(__xludf.DUMMYFUNCTION("""COMPUTED_VALUE"""),"居家生活用品")</f>
        <v>居家生活用品</v>
      </c>
      <c r="B1363" s="12" t="str">
        <f ca="1">IFERROR(__xludf.DUMMYFUNCTION("""COMPUTED_VALUE"""),"忠寬")</f>
        <v>忠寬</v>
      </c>
      <c r="C1363" s="12" t="str">
        <f ca="1">IFERROR(__xludf.DUMMYFUNCTION("""COMPUTED_VALUE"""),"MEHRZER")</f>
        <v>MEHRZER</v>
      </c>
      <c r="D1363" s="12" t="str">
        <f ca="1">IFERROR(__xludf.DUMMYFUNCTION("""COMPUTED_VALUE"""),"居家_(藍)28CM歐梅樂平煎鍋-附矽膠玻璃蓋(適用28/30/32cm鍋具)、矽膠料理夾")</f>
        <v>居家_(藍)28CM歐梅樂平煎鍋-附矽膠玻璃蓋(適用28/30/32cm鍋具)、矽膠料理夾</v>
      </c>
      <c r="E1363" s="12" t="str">
        <f ca="1">IFERROR(__xludf.DUMMYFUNCTION("""COMPUTED_VALUE"""),"藍28CM歐梅樂")</f>
        <v>藍28CM歐梅樂</v>
      </c>
      <c r="F1363" s="12">
        <f ca="1">IFERROR(__xludf.DUMMYFUNCTION("""COMPUTED_VALUE"""),51057245)</f>
        <v>51057245</v>
      </c>
      <c r="G1363" s="12" t="str">
        <f ca="1">IFERROR(__xludf.DUMMYFUNCTION("""COMPUTED_VALUE"""),"IGEM073K")</f>
        <v>IGEM073K</v>
      </c>
      <c r="H1363" s="13">
        <f ca="1">IFERROR(__xludf.DUMMYFUNCTION("""COMPUTED_VALUE"""),3988)</f>
        <v>3988</v>
      </c>
      <c r="I1363" s="14">
        <f ca="1">IFERROR(__xludf.DUMMYFUNCTION("""COMPUTED_VALUE"""),2190)</f>
        <v>2190</v>
      </c>
      <c r="J1363" s="16">
        <f ca="1">IFERROR(__xludf.DUMMYFUNCTION("""COMPUTED_VALUE"""),44927)</f>
        <v>44927</v>
      </c>
      <c r="K1363" s="12" t="str">
        <f ca="1">IFERROR(__xludf.DUMMYFUNCTION("""COMPUTED_VALUE"""),"新機上架")</f>
        <v>新機上架</v>
      </c>
      <c r="L1363" s="12" t="str">
        <f ca="1">IFERROR(__xludf.DUMMYFUNCTION("""COMPUTED_VALUE"""),"上架中")</f>
        <v>上架中</v>
      </c>
      <c r="M1363" s="12" t="str">
        <f ca="1">IFERROR(__xludf.DUMMYFUNCTION("""COMPUTED_VALUE"""),"2023/1/1新機上架")</f>
        <v>2023/1/1新機上架</v>
      </c>
      <c r="N1363" s="12" t="str">
        <f ca="1">IFERROR(__xludf.DUMMYFUNCTION("""COMPUTED_VALUE"""),"鍋具")</f>
        <v>鍋具</v>
      </c>
      <c r="O1363" s="12" t="str">
        <f ca="1">IFERROR(__xludf.DUMMYFUNCTION("""COMPUTED_VALUE"""),"藍
")</f>
        <v xml:space="preserve">藍
</v>
      </c>
      <c r="P1363" s="12"/>
      <c r="Q1363" s="12" t="str">
        <f ca="1">IFERROR(__xludf.DUMMYFUNCTION("""COMPUTED_VALUE"""),"490*280*72mm(含手柄)
")</f>
        <v xml:space="preserve">490*280*72mm(含手柄)
</v>
      </c>
      <c r="R1363" s="12" t="str">
        <f ca="1">IFERROR(__xludf.DUMMYFUNCTION("""COMPUTED_VALUE"""),"義大利
")</f>
        <v xml:space="preserve">義大利
</v>
      </c>
      <c r="S1363" s="12"/>
      <c r="T1363" s="12"/>
      <c r="U1363" s="12" t="str">
        <f ca="1">IFERROR(__xludf.DUMMYFUNCTION("""COMPUTED_VALUE"""),"無
")</f>
        <v xml:space="preserve">無
</v>
      </c>
      <c r="V1363" s="12" t="str">
        <f ca="1">IFERROR(__xludf.DUMMYFUNCTION("""COMPUTED_VALUE"""),"無
")</f>
        <v xml:space="preserve">無
</v>
      </c>
      <c r="W1363" s="12"/>
      <c r="X1363" s="12"/>
      <c r="Y1363" s="12"/>
      <c r="Z1363" s="14"/>
      <c r="AA1363" s="15" t="str">
        <f ca="1">IFERROR(__xludf.DUMMYFUNCTION("""COMPUTED_VALUE"""),"*義大利製造*鑽石塗層*平均導熱*導熱速度快")</f>
        <v>*義大利製造*鑽石塗層*平均導熱*導熱速度快</v>
      </c>
    </row>
    <row r="1364" spans="1:27" ht="19.5" customHeight="1">
      <c r="A1364" s="12" t="str">
        <f ca="1">IFERROR(__xludf.DUMMYFUNCTION("""COMPUTED_VALUE"""),"居家生活用品")</f>
        <v>居家生活用品</v>
      </c>
      <c r="B1364" s="12" t="str">
        <f ca="1">IFERROR(__xludf.DUMMYFUNCTION("""COMPUTED_VALUE"""),"忠寬")</f>
        <v>忠寬</v>
      </c>
      <c r="C1364" s="12" t="str">
        <f ca="1">IFERROR(__xludf.DUMMYFUNCTION("""COMPUTED_VALUE"""),"MEHRZER")</f>
        <v>MEHRZER</v>
      </c>
      <c r="D1364" s="12" t="str">
        <f ca="1">IFERROR(__xludf.DUMMYFUNCTION("""COMPUTED_VALUE"""),"居家_(紅)28CM歐梅樂平煎鍋-附矽膠玻璃蓋(適用28/30/32cm鍋具)、矽膠料理夾")</f>
        <v>居家_(紅)28CM歐梅樂平煎鍋-附矽膠玻璃蓋(適用28/30/32cm鍋具)、矽膠料理夾</v>
      </c>
      <c r="E1364" s="12" t="str">
        <f ca="1">IFERROR(__xludf.DUMMYFUNCTION("""COMPUTED_VALUE"""),"紅28CM歐梅樂")</f>
        <v>紅28CM歐梅樂</v>
      </c>
      <c r="F1364" s="12">
        <f ca="1">IFERROR(__xludf.DUMMYFUNCTION("""COMPUTED_VALUE"""),51057246)</f>
        <v>51057246</v>
      </c>
      <c r="G1364" s="12" t="str">
        <f ca="1">IFERROR(__xludf.DUMMYFUNCTION("""COMPUTED_VALUE"""),"IGEM073L")</f>
        <v>IGEM073L</v>
      </c>
      <c r="H1364" s="13">
        <f ca="1">IFERROR(__xludf.DUMMYFUNCTION("""COMPUTED_VALUE"""),3988)</f>
        <v>3988</v>
      </c>
      <c r="I1364" s="14">
        <f ca="1">IFERROR(__xludf.DUMMYFUNCTION("""COMPUTED_VALUE"""),2190)</f>
        <v>2190</v>
      </c>
      <c r="J1364" s="16">
        <f ca="1">IFERROR(__xludf.DUMMYFUNCTION("""COMPUTED_VALUE"""),44927)</f>
        <v>44927</v>
      </c>
      <c r="K1364" s="12" t="str">
        <f ca="1">IFERROR(__xludf.DUMMYFUNCTION("""COMPUTED_VALUE"""),"新機上架")</f>
        <v>新機上架</v>
      </c>
      <c r="L1364" s="12" t="str">
        <f ca="1">IFERROR(__xludf.DUMMYFUNCTION("""COMPUTED_VALUE"""),"上架中")</f>
        <v>上架中</v>
      </c>
      <c r="M1364" s="12" t="str">
        <f ca="1">IFERROR(__xludf.DUMMYFUNCTION("""COMPUTED_VALUE"""),"2023/1/1新機上架")</f>
        <v>2023/1/1新機上架</v>
      </c>
      <c r="N1364" s="12" t="str">
        <f ca="1">IFERROR(__xludf.DUMMYFUNCTION("""COMPUTED_VALUE"""),"鍋具")</f>
        <v>鍋具</v>
      </c>
      <c r="O1364" s="12" t="str">
        <f ca="1">IFERROR(__xludf.DUMMYFUNCTION("""COMPUTED_VALUE"""),"紅")</f>
        <v>紅</v>
      </c>
      <c r="P1364" s="12"/>
      <c r="Q1364" s="12" t="str">
        <f ca="1">IFERROR(__xludf.DUMMYFUNCTION("""COMPUTED_VALUE"""),"490*280*72mm(含手柄)")</f>
        <v>490*280*72mm(含手柄)</v>
      </c>
      <c r="R1364" s="12" t="str">
        <f ca="1">IFERROR(__xludf.DUMMYFUNCTION("""COMPUTED_VALUE"""),"義大利
")</f>
        <v xml:space="preserve">義大利
</v>
      </c>
      <c r="S1364" s="12"/>
      <c r="T1364" s="12"/>
      <c r="U1364" s="12" t="str">
        <f ca="1">IFERROR(__xludf.DUMMYFUNCTION("""COMPUTED_VALUE"""),"無
")</f>
        <v xml:space="preserve">無
</v>
      </c>
      <c r="V1364" s="12" t="str">
        <f ca="1">IFERROR(__xludf.DUMMYFUNCTION("""COMPUTED_VALUE"""),"無
")</f>
        <v xml:space="preserve">無
</v>
      </c>
      <c r="W1364" s="12"/>
      <c r="X1364" s="12"/>
      <c r="Y1364" s="12"/>
      <c r="Z1364" s="14"/>
      <c r="AA1364" s="15" t="str">
        <f ca="1">IFERROR(__xludf.DUMMYFUNCTION("""COMPUTED_VALUE"""),"*義大利製造*鑽石塗層*平均導熱*導熱速度快")</f>
        <v>*義大利製造*鑽石塗層*平均導熱*導熱速度快</v>
      </c>
    </row>
    <row r="1365" spans="1:27" ht="19.5" customHeight="1">
      <c r="A1365" s="12" t="str">
        <f ca="1">IFERROR(__xludf.DUMMYFUNCTION("""COMPUTED_VALUE"""),"居家生活用品")</f>
        <v>居家生活用品</v>
      </c>
      <c r="B1365" s="12" t="str">
        <f ca="1">IFERROR(__xludf.DUMMYFUNCTION("""COMPUTED_VALUE"""),"忠寬")</f>
        <v>忠寬</v>
      </c>
      <c r="C1365" s="12" t="str">
        <f ca="1">IFERROR(__xludf.DUMMYFUNCTION("""COMPUTED_VALUE"""),"MEHRZER")</f>
        <v>MEHRZER</v>
      </c>
      <c r="D1365" s="12" t="str">
        <f ca="1">IFERROR(__xludf.DUMMYFUNCTION("""COMPUTED_VALUE"""),"居家_(黃)28CM歐梅樂平煎鍋-附矽膠玻璃蓋(適用28/30/32cm鍋具)、矽膠料理夾")</f>
        <v>居家_(黃)28CM歐梅樂平煎鍋-附矽膠玻璃蓋(適用28/30/32cm鍋具)、矽膠料理夾</v>
      </c>
      <c r="E1365" s="12" t="str">
        <f ca="1">IFERROR(__xludf.DUMMYFUNCTION("""COMPUTED_VALUE"""),"黃28CM歐梅樂")</f>
        <v>黃28CM歐梅樂</v>
      </c>
      <c r="F1365" s="12">
        <f ca="1">IFERROR(__xludf.DUMMYFUNCTION("""COMPUTED_VALUE"""),51057247)</f>
        <v>51057247</v>
      </c>
      <c r="G1365" s="12" t="str">
        <f ca="1">IFERROR(__xludf.DUMMYFUNCTION("""COMPUTED_VALUE"""),"IGEM073M")</f>
        <v>IGEM073M</v>
      </c>
      <c r="H1365" s="13">
        <f ca="1">IFERROR(__xludf.DUMMYFUNCTION("""COMPUTED_VALUE"""),3988)</f>
        <v>3988</v>
      </c>
      <c r="I1365" s="14">
        <f ca="1">IFERROR(__xludf.DUMMYFUNCTION("""COMPUTED_VALUE"""),2190)</f>
        <v>2190</v>
      </c>
      <c r="J1365" s="16">
        <f ca="1">IFERROR(__xludf.DUMMYFUNCTION("""COMPUTED_VALUE"""),44927)</f>
        <v>44927</v>
      </c>
      <c r="K1365" s="12" t="str">
        <f ca="1">IFERROR(__xludf.DUMMYFUNCTION("""COMPUTED_VALUE"""),"新機上架")</f>
        <v>新機上架</v>
      </c>
      <c r="L1365" s="12" t="str">
        <f ca="1">IFERROR(__xludf.DUMMYFUNCTION("""COMPUTED_VALUE"""),"上架中")</f>
        <v>上架中</v>
      </c>
      <c r="M1365" s="12" t="str">
        <f ca="1">IFERROR(__xludf.DUMMYFUNCTION("""COMPUTED_VALUE"""),"2023/1/1新機上架")</f>
        <v>2023/1/1新機上架</v>
      </c>
      <c r="N1365" s="12" t="str">
        <f ca="1">IFERROR(__xludf.DUMMYFUNCTION("""COMPUTED_VALUE"""),"鍋具")</f>
        <v>鍋具</v>
      </c>
      <c r="O1365" s="12" t="str">
        <f ca="1">IFERROR(__xludf.DUMMYFUNCTION("""COMPUTED_VALUE"""),"黃")</f>
        <v>黃</v>
      </c>
      <c r="P1365" s="12"/>
      <c r="Q1365" s="12" t="str">
        <f ca="1">IFERROR(__xludf.DUMMYFUNCTION("""COMPUTED_VALUE"""),"490*280*72mm(含手柄)")</f>
        <v>490*280*72mm(含手柄)</v>
      </c>
      <c r="R1365" s="12" t="str">
        <f ca="1">IFERROR(__xludf.DUMMYFUNCTION("""COMPUTED_VALUE"""),"義大利
")</f>
        <v xml:space="preserve">義大利
</v>
      </c>
      <c r="S1365" s="12"/>
      <c r="T1365" s="12"/>
      <c r="U1365" s="12" t="str">
        <f ca="1">IFERROR(__xludf.DUMMYFUNCTION("""COMPUTED_VALUE"""),"無
")</f>
        <v xml:space="preserve">無
</v>
      </c>
      <c r="V1365" s="12" t="str">
        <f ca="1">IFERROR(__xludf.DUMMYFUNCTION("""COMPUTED_VALUE"""),"無
")</f>
        <v xml:space="preserve">無
</v>
      </c>
      <c r="W1365" s="12"/>
      <c r="X1365" s="12"/>
      <c r="Y1365" s="12"/>
      <c r="Z1365" s="14"/>
      <c r="AA1365" s="15" t="str">
        <f ca="1">IFERROR(__xludf.DUMMYFUNCTION("""COMPUTED_VALUE"""),"*義大利製造*鑽石塗層*平均導熱*導熱速度快")</f>
        <v>*義大利製造*鑽石塗層*平均導熱*導熱速度快</v>
      </c>
    </row>
    <row r="1366" spans="1:27" ht="19.5" customHeight="1">
      <c r="A1366" s="12" t="str">
        <f ca="1">IFERROR(__xludf.DUMMYFUNCTION("""COMPUTED_VALUE"""),"居家生活用品")</f>
        <v>居家生活用品</v>
      </c>
      <c r="B1366" s="12" t="str">
        <f ca="1">IFERROR(__xludf.DUMMYFUNCTION("""COMPUTED_VALUE"""),"忠寬")</f>
        <v>忠寬</v>
      </c>
      <c r="C1366" s="12" t="str">
        <f ca="1">IFERROR(__xludf.DUMMYFUNCTION("""COMPUTED_VALUE"""),"六協刀")</f>
        <v>六協刀</v>
      </c>
      <c r="D1366" s="12" t="str">
        <f ca="1">IFERROR(__xludf.DUMMYFUNCTION("""COMPUTED_VALUE"""),"居家_六協刀刀具四件組_1133991")</f>
        <v>居家_六協刀刀具四件組_1133991</v>
      </c>
      <c r="E1366" s="12">
        <f ca="1">IFERROR(__xludf.DUMMYFUNCTION("""COMPUTED_VALUE"""),1133991)</f>
        <v>1133991</v>
      </c>
      <c r="F1366" s="12">
        <f ca="1">IFERROR(__xludf.DUMMYFUNCTION("""COMPUTED_VALUE"""),51097068)</f>
        <v>51097068</v>
      </c>
      <c r="G1366" s="12" t="str">
        <f ca="1">IFERROR(__xludf.DUMMYFUNCTION("""COMPUTED_VALUE"""),"IGEM085W")</f>
        <v>IGEM085W</v>
      </c>
      <c r="H1366" s="13">
        <f ca="1">IFERROR(__xludf.DUMMYFUNCTION("""COMPUTED_VALUE"""),2790)</f>
        <v>2790</v>
      </c>
      <c r="I1366" s="14">
        <f ca="1">IFERROR(__xludf.DUMMYFUNCTION("""COMPUTED_VALUE"""),1290)</f>
        <v>1290</v>
      </c>
      <c r="J1366" s="16">
        <f ca="1">IFERROR(__xludf.DUMMYFUNCTION("""COMPUTED_VALUE"""),45105)</f>
        <v>45105</v>
      </c>
      <c r="K1366" s="12" t="str">
        <f ca="1">IFERROR(__xludf.DUMMYFUNCTION("""COMPUTED_VALUE"""),"新機上架")</f>
        <v>新機上架</v>
      </c>
      <c r="L1366" s="12" t="str">
        <f ca="1">IFERROR(__xludf.DUMMYFUNCTION("""COMPUTED_VALUE"""),"上架中")</f>
        <v>上架中</v>
      </c>
      <c r="M1366" s="12"/>
      <c r="N1366" s="12" t="str">
        <f ca="1">IFERROR(__xludf.DUMMYFUNCTION("""COMPUTED_VALUE"""),"刀具/料理配件")</f>
        <v>刀具/料理配件</v>
      </c>
      <c r="O1366" s="12" t="str">
        <f ca="1">IFERROR(__xludf.DUMMYFUNCTION("""COMPUTED_VALUE"""),"黑")</f>
        <v>黑</v>
      </c>
      <c r="P1366" s="12" t="str">
        <f ca="1">IFERROR(__xludf.DUMMYFUNCTION("""COMPUTED_VALUE"""),"長38.5，寬11.5，高4公分")</f>
        <v>長38.5，寬11.5，高4公分</v>
      </c>
      <c r="Q1366" s="12" t="str">
        <f ca="1">IFERROR(__xludf.DUMMYFUNCTION("""COMPUTED_VALUE"""),"高40*寬115*長385mm")</f>
        <v>高40*寬115*長385mm</v>
      </c>
      <c r="R1366" s="12" t="str">
        <f ca="1">IFERROR(__xludf.DUMMYFUNCTION("""COMPUTED_VALUE"""),"韓國")</f>
        <v>韓國</v>
      </c>
      <c r="S1366" s="12"/>
      <c r="T1366" s="12"/>
      <c r="U1366" s="12"/>
      <c r="V1366" s="12"/>
      <c r="W1366" s="12"/>
      <c r="X1366" s="12"/>
      <c r="Y1366" s="12"/>
      <c r="Z1366" s="14"/>
      <c r="AA1366" s="15" t="str">
        <f ca="1">IFERROR(__xludf.DUMMYFUNCTION("""COMPUTED_VALUE"""),"*IH爐具可用*採用耐用合金材質*韓國製造使用安心*大理石不沾塗層易清洗*一體成形儲熱性佳")</f>
        <v>*IH爐具可用*採用耐用合金材質*韓國製造使用安心*大理石不沾塗層易清洗*一體成形儲熱性佳</v>
      </c>
    </row>
    <row r="1367" spans="1:27" ht="19.5" customHeight="1">
      <c r="A1367" s="12" t="str">
        <f ca="1">IFERROR(__xludf.DUMMYFUNCTION("""COMPUTED_VALUE"""),"居家生活用品")</f>
        <v>居家生活用品</v>
      </c>
      <c r="B1367" s="12" t="str">
        <f ca="1">IFERROR(__xludf.DUMMYFUNCTION("""COMPUTED_VALUE"""),"忠寬")</f>
        <v>忠寬</v>
      </c>
      <c r="C1367" s="12" t="str">
        <f ca="1">IFERROR(__xludf.DUMMYFUNCTION("""COMPUTED_VALUE"""),"LaCena")</f>
        <v>LaCena</v>
      </c>
      <c r="D1367" s="12" t="str">
        <f ca="1">IFERROR(__xludf.DUMMYFUNCTION("""COMPUTED_VALUE"""),"居家_LaCena 36cm大理石鑄造淺型平底鍋(IH適用)-2945779")</f>
        <v>居家_LaCena 36cm大理石鑄造淺型平底鍋(IH適用)-2945779</v>
      </c>
      <c r="E1367" s="12">
        <f ca="1">IFERROR(__xludf.DUMMYFUNCTION("""COMPUTED_VALUE"""),2945779)</f>
        <v>2945779</v>
      </c>
      <c r="F1367" s="12">
        <f ca="1">IFERROR(__xludf.DUMMYFUNCTION("""COMPUTED_VALUE"""),51097065)</f>
        <v>51097065</v>
      </c>
      <c r="G1367" s="12" t="str">
        <f ca="1">IFERROR(__xludf.DUMMYFUNCTION("""COMPUTED_VALUE"""),"IGEM085T")</f>
        <v>IGEM085T</v>
      </c>
      <c r="H1367" s="13">
        <f ca="1">IFERROR(__xludf.DUMMYFUNCTION("""COMPUTED_VALUE"""),1990)</f>
        <v>1990</v>
      </c>
      <c r="I1367" s="14">
        <f ca="1">IFERROR(__xludf.DUMMYFUNCTION("""COMPUTED_VALUE"""),1180)</f>
        <v>1180</v>
      </c>
      <c r="J1367" s="16">
        <f ca="1">IFERROR(__xludf.DUMMYFUNCTION("""COMPUTED_VALUE"""),45105)</f>
        <v>45105</v>
      </c>
      <c r="K1367" s="12" t="str">
        <f ca="1">IFERROR(__xludf.DUMMYFUNCTION("""COMPUTED_VALUE"""),"新機上架")</f>
        <v>新機上架</v>
      </c>
      <c r="L1367" s="12" t="str">
        <f ca="1">IFERROR(__xludf.DUMMYFUNCTION("""COMPUTED_VALUE"""),"上架中")</f>
        <v>上架中</v>
      </c>
      <c r="M1367" s="12"/>
      <c r="N1367" s="12" t="str">
        <f ca="1">IFERROR(__xludf.DUMMYFUNCTION("""COMPUTED_VALUE"""),"鍋具")</f>
        <v>鍋具</v>
      </c>
      <c r="O1367" s="12" t="str">
        <f ca="1">IFERROR(__xludf.DUMMYFUNCTION("""COMPUTED_VALUE"""),"黑")</f>
        <v>黑</v>
      </c>
      <c r="P1367" s="12" t="str">
        <f ca="1">IFERROR(__xludf.DUMMYFUNCTION("""COMPUTED_VALUE"""),"36cm")</f>
        <v>36cm</v>
      </c>
      <c r="Q1367" s="12" t="str">
        <f ca="1">IFERROR(__xludf.DUMMYFUNCTION("""COMPUTED_VALUE"""),"外徑約直徑360 × 432(含雙耳) × 高40mm")</f>
        <v>外徑約直徑360 × 432(含雙耳) × 高40mm</v>
      </c>
      <c r="R1367" s="12" t="str">
        <f ca="1">IFERROR(__xludf.DUMMYFUNCTION("""COMPUTED_VALUE"""),"韓國")</f>
        <v>韓國</v>
      </c>
      <c r="S1367" s="12"/>
      <c r="T1367" s="12"/>
      <c r="U1367" s="12"/>
      <c r="V1367" s="12"/>
      <c r="W1367" s="12"/>
      <c r="X1367" s="12"/>
      <c r="Y1367" s="12"/>
      <c r="Z1367" s="14"/>
      <c r="AA1367" s="15" t="str">
        <f ca="1">IFERROR(__xludf.DUMMYFUNCTION("""COMPUTED_VALUE"""),"*IH爐具可用*採用耐用合金材質*韓國製造使用安心*大理石不沾塗層易清洗*一體成形儲熱性佳")</f>
        <v>*IH爐具可用*採用耐用合金材質*韓國製造使用安心*大理石不沾塗層易清洗*一體成形儲熱性佳</v>
      </c>
    </row>
    <row r="1368" spans="1:27" ht="19.5" customHeight="1">
      <c r="A1368" s="12" t="str">
        <f ca="1">IFERROR(__xludf.DUMMYFUNCTION("""COMPUTED_VALUE"""),"居家生活用品")</f>
        <v>居家生活用品</v>
      </c>
      <c r="B1368" s="12" t="str">
        <f ca="1">IFERROR(__xludf.DUMMYFUNCTION("""COMPUTED_VALUE"""),"忠寬")</f>
        <v>忠寬</v>
      </c>
      <c r="C1368" s="12" t="str">
        <f ca="1">IFERROR(__xludf.DUMMYFUNCTION("""COMPUTED_VALUE"""),"LaCena")</f>
        <v>LaCena</v>
      </c>
      <c r="D1368" s="12" t="str">
        <f ca="1">IFERROR(__xludf.DUMMYFUNCTION("""COMPUTED_VALUE"""),"居家_LaCena 34cm大理石鑄造深型平底鍋(IH適用)-2946035")</f>
        <v>居家_LaCena 34cm大理石鑄造深型平底鍋(IH適用)-2946035</v>
      </c>
      <c r="E1368" s="12">
        <f ca="1">IFERROR(__xludf.DUMMYFUNCTION("""COMPUTED_VALUE"""),2946035)</f>
        <v>2946035</v>
      </c>
      <c r="F1368" s="12">
        <f ca="1">IFERROR(__xludf.DUMMYFUNCTION("""COMPUTED_VALUE"""),51097066)</f>
        <v>51097066</v>
      </c>
      <c r="G1368" s="12" t="str">
        <f ca="1">IFERROR(__xludf.DUMMYFUNCTION("""COMPUTED_VALUE"""),"IGEM085U")</f>
        <v>IGEM085U</v>
      </c>
      <c r="H1368" s="13">
        <f ca="1">IFERROR(__xludf.DUMMYFUNCTION("""COMPUTED_VALUE"""),1990)</f>
        <v>1990</v>
      </c>
      <c r="I1368" s="14">
        <f ca="1">IFERROR(__xludf.DUMMYFUNCTION("""COMPUTED_VALUE"""),1180)</f>
        <v>1180</v>
      </c>
      <c r="J1368" s="16">
        <f ca="1">IFERROR(__xludf.DUMMYFUNCTION("""COMPUTED_VALUE"""),45105)</f>
        <v>45105</v>
      </c>
      <c r="K1368" s="12" t="str">
        <f ca="1">IFERROR(__xludf.DUMMYFUNCTION("""COMPUTED_VALUE"""),"新機上架")</f>
        <v>新機上架</v>
      </c>
      <c r="L1368" s="12" t="str">
        <f ca="1">IFERROR(__xludf.DUMMYFUNCTION("""COMPUTED_VALUE"""),"上架中")</f>
        <v>上架中</v>
      </c>
      <c r="M1368" s="12"/>
      <c r="N1368" s="12" t="str">
        <f ca="1">IFERROR(__xludf.DUMMYFUNCTION("""COMPUTED_VALUE"""),"鍋具")</f>
        <v>鍋具</v>
      </c>
      <c r="O1368" s="12" t="str">
        <f ca="1">IFERROR(__xludf.DUMMYFUNCTION("""COMPUTED_VALUE"""),"黑")</f>
        <v>黑</v>
      </c>
      <c r="P1368" s="12" t="str">
        <f ca="1">IFERROR(__xludf.DUMMYFUNCTION("""COMPUTED_VALUE"""),"34cm")</f>
        <v>34cm</v>
      </c>
      <c r="Q1368" s="12" t="str">
        <f ca="1">IFERROR(__xludf.DUMMYFUNCTION("""COMPUTED_VALUE"""),"約長405(含把手)x寬340x高75mm")</f>
        <v>約長405(含把手)x寬340x高75mm</v>
      </c>
      <c r="R1368" s="12" t="str">
        <f ca="1">IFERROR(__xludf.DUMMYFUNCTION("""COMPUTED_VALUE"""),"韓國")</f>
        <v>韓國</v>
      </c>
      <c r="S1368" s="12"/>
      <c r="T1368" s="12"/>
      <c r="U1368" s="12"/>
      <c r="V1368" s="12"/>
      <c r="W1368" s="12"/>
      <c r="X1368" s="12"/>
      <c r="Y1368" s="12"/>
      <c r="Z1368" s="14"/>
      <c r="AA1368" s="15" t="str">
        <f ca="1">IFERROR(__xludf.DUMMYFUNCTION("""COMPUTED_VALUE"""),"*IH爐具可用*採用耐用合金材質*韓國製造使用安心*大理石不沾塗層易清洗*一體成形儲熱性佳")</f>
        <v>*IH爐具可用*採用耐用合金材質*韓國製造使用安心*大理石不沾塗層易清洗*一體成形儲熱性佳</v>
      </c>
    </row>
    <row r="1369" spans="1:27" ht="19.5" customHeight="1">
      <c r="A1369" s="12" t="str">
        <f ca="1">IFERROR(__xludf.DUMMYFUNCTION("""COMPUTED_VALUE"""),"居家生活用品")</f>
        <v>居家生活用品</v>
      </c>
      <c r="B1369" s="12" t="str">
        <f ca="1">IFERROR(__xludf.DUMMYFUNCTION("""COMPUTED_VALUE"""),"忠寬")</f>
        <v>忠寬</v>
      </c>
      <c r="C1369" s="12" t="str">
        <f ca="1">IFERROR(__xludf.DUMMYFUNCTION("""COMPUTED_VALUE"""),"象印ZOJIRISHI")</f>
        <v>象印ZOJIRISHI</v>
      </c>
      <c r="D1369" s="12" t="str">
        <f ca="1">IFERROR(__xludf.DUMMYFUNCTION("""COMPUTED_VALUE"""),"居家_象印不鏽鋼真空悶燒罐2入組【粉+綠】C2577272-1")</f>
        <v>居家_象印不鏽鋼真空悶燒罐2入組【粉+綠】C2577272-1</v>
      </c>
      <c r="E1369" s="12" t="str">
        <f ca="1">IFERROR(__xludf.DUMMYFUNCTION("""COMPUTED_VALUE"""),"C2577272-1")</f>
        <v>C2577272-1</v>
      </c>
      <c r="F1369" s="12">
        <f ca="1">IFERROR(__xludf.DUMMYFUNCTION("""COMPUTED_VALUE"""),51097101)</f>
        <v>51097101</v>
      </c>
      <c r="G1369" s="12" t="str">
        <f ca="1">IFERROR(__xludf.DUMMYFUNCTION("""COMPUTED_VALUE"""),"IGEM0962")</f>
        <v>IGEM0962</v>
      </c>
      <c r="H1369" s="13">
        <f ca="1">IFERROR(__xludf.DUMMYFUNCTION("""COMPUTED_VALUE"""),1398)</f>
        <v>1398</v>
      </c>
      <c r="I1369" s="18">
        <f ca="1">IFERROR(__xludf.DUMMYFUNCTION("""COMPUTED_VALUE"""),1190)</f>
        <v>1190</v>
      </c>
      <c r="J1369" s="16">
        <f ca="1">IFERROR(__xludf.DUMMYFUNCTION("""COMPUTED_VALUE"""),45302)</f>
        <v>45302</v>
      </c>
      <c r="K1369" s="12" t="str">
        <f ca="1">IFERROR(__xludf.DUMMYFUNCTION("""COMPUTED_VALUE"""),"新機上架")</f>
        <v>新機上架</v>
      </c>
      <c r="L1369" s="12" t="str">
        <f ca="1">IFERROR(__xludf.DUMMYFUNCTION("""COMPUTED_VALUE"""),"上架中")</f>
        <v>上架中</v>
      </c>
      <c r="M1369" s="12"/>
      <c r="N1369" s="12" t="str">
        <f ca="1">IFERROR(__xludf.DUMMYFUNCTION("""COMPUTED_VALUE"""),"保鮮盒/便當盒")</f>
        <v>保鮮盒/便當盒</v>
      </c>
      <c r="O1369" s="12"/>
      <c r="P1369" s="12"/>
      <c r="Q1369" s="12" t="str">
        <f ca="1">IFERROR(__xludf.DUMMYFUNCTION("""COMPUTED_VALUE"""),"360mlx2")</f>
        <v>360mlx2</v>
      </c>
      <c r="R1369" s="12" t="str">
        <f ca="1">IFERROR(__xludf.DUMMYFUNCTION("""COMPUTED_VALUE"""),"泰國")</f>
        <v>泰國</v>
      </c>
      <c r="S1369" s="12"/>
      <c r="T1369" s="12"/>
      <c r="U1369" s="12"/>
      <c r="V1369" s="12"/>
      <c r="W1369" s="12"/>
      <c r="X1369" s="12"/>
      <c r="Y1369" s="12"/>
      <c r="Z1369" s="14"/>
      <c r="AA1369" s="15" t="str">
        <f ca="1">IFERROR(__xludf.DUMMYFUNCTION("""COMPUTED_VALUE"""),"*可分解杯蓋，拆洗容易*可拆式杯口套，貼心不燙口*304不鏽鋼平滑杯口，享用更順暢*8cm超大廣口徑，方便湯匙食用*保溫效力6小時→59℃以上，保冷效力6小時→9℃以下
")</f>
        <v xml:space="preserve">*可分解杯蓋，拆洗容易*可拆式杯口套，貼心不燙口*304不鏽鋼平滑杯口，享用更順暢*8cm超大廣口徑，方便湯匙食用*保溫效力6小時→59℃以上，保冷效力6小時→9℃以下
</v>
      </c>
    </row>
    <row r="1370" spans="1:27" ht="19.5" customHeight="1">
      <c r="A1370" s="12" t="str">
        <f ca="1">IFERROR(__xludf.DUMMYFUNCTION("""COMPUTED_VALUE"""),"居家生活用品")</f>
        <v>居家生活用品</v>
      </c>
      <c r="B1370" s="12" t="str">
        <f ca="1">IFERROR(__xludf.DUMMYFUNCTION("""COMPUTED_VALUE"""),"忠寬")</f>
        <v>忠寬</v>
      </c>
      <c r="C1370" s="12" t="str">
        <f ca="1">IFERROR(__xludf.DUMMYFUNCTION("""COMPUTED_VALUE"""),"象印ZOJIRISHI")</f>
        <v>象印ZOJIRISHI</v>
      </c>
      <c r="D1370" s="12" t="str">
        <f ca="1">IFERROR(__xludf.DUMMYFUNCTION("""COMPUTED_VALUE"""),"居家_象印不鏽鋼真空悶燒罐2入組【綠+咖】C2577289-1")</f>
        <v>居家_象印不鏽鋼真空悶燒罐2入組【綠+咖】C2577289-1</v>
      </c>
      <c r="E1370" s="12" t="str">
        <f ca="1">IFERROR(__xludf.DUMMYFUNCTION("""COMPUTED_VALUE"""),"C2577289-1")</f>
        <v>C2577289-1</v>
      </c>
      <c r="F1370" s="12">
        <f ca="1">IFERROR(__xludf.DUMMYFUNCTION("""COMPUTED_VALUE"""),51097102)</f>
        <v>51097102</v>
      </c>
      <c r="G1370" s="12" t="str">
        <f ca="1">IFERROR(__xludf.DUMMYFUNCTION("""COMPUTED_VALUE"""),"IGEM0963")</f>
        <v>IGEM0963</v>
      </c>
      <c r="H1370" s="13">
        <f ca="1">IFERROR(__xludf.DUMMYFUNCTION("""COMPUTED_VALUE"""),1398)</f>
        <v>1398</v>
      </c>
      <c r="I1370" s="18">
        <f ca="1">IFERROR(__xludf.DUMMYFUNCTION("""COMPUTED_VALUE"""),1190)</f>
        <v>1190</v>
      </c>
      <c r="J1370" s="16">
        <f ca="1">IFERROR(__xludf.DUMMYFUNCTION("""COMPUTED_VALUE"""),45302)</f>
        <v>45302</v>
      </c>
      <c r="K1370" s="12" t="str">
        <f ca="1">IFERROR(__xludf.DUMMYFUNCTION("""COMPUTED_VALUE"""),"新機上架")</f>
        <v>新機上架</v>
      </c>
      <c r="L1370" s="12" t="str">
        <f ca="1">IFERROR(__xludf.DUMMYFUNCTION("""COMPUTED_VALUE"""),"上架中")</f>
        <v>上架中</v>
      </c>
      <c r="M1370" s="12"/>
      <c r="N1370" s="12" t="str">
        <f ca="1">IFERROR(__xludf.DUMMYFUNCTION("""COMPUTED_VALUE"""),"保鮮盒/便當盒")</f>
        <v>保鮮盒/便當盒</v>
      </c>
      <c r="O1370" s="12"/>
      <c r="P1370" s="12"/>
      <c r="Q1370" s="12" t="str">
        <f ca="1">IFERROR(__xludf.DUMMYFUNCTION("""COMPUTED_VALUE"""),"360mlx2")</f>
        <v>360mlx2</v>
      </c>
      <c r="R1370" s="12" t="str">
        <f ca="1">IFERROR(__xludf.DUMMYFUNCTION("""COMPUTED_VALUE"""),"泰國")</f>
        <v>泰國</v>
      </c>
      <c r="S1370" s="12"/>
      <c r="T1370" s="12"/>
      <c r="U1370" s="12"/>
      <c r="V1370" s="12"/>
      <c r="W1370" s="12"/>
      <c r="X1370" s="12"/>
      <c r="Y1370" s="12"/>
      <c r="Z1370" s="14"/>
      <c r="AA1370" s="15" t="str">
        <f ca="1">IFERROR(__xludf.DUMMYFUNCTION("""COMPUTED_VALUE"""),"*可分解杯蓋，拆洗容易*可拆式杯口套，貼心不燙口*304不鏽鋼平滑杯口，享用更順暢*8cm超大廣口徑，方便湯匙食用*保溫效力6小時→59℃以上，保冷效力6小時→9℃以下
")</f>
        <v xml:space="preserve">*可分解杯蓋，拆洗容易*可拆式杯口套，貼心不燙口*304不鏽鋼平滑杯口，享用更順暢*8cm超大廣口徑，方便湯匙食用*保溫效力6小時→59℃以上，保冷效力6小時→9℃以下
</v>
      </c>
    </row>
    <row r="1371" spans="1:27" ht="19.5" customHeight="1">
      <c r="A1371" s="12" t="str">
        <f ca="1">IFERROR(__xludf.DUMMYFUNCTION("""COMPUTED_VALUE"""),"居家生活用品")</f>
        <v>居家生活用品</v>
      </c>
      <c r="B1371" s="12" t="str">
        <f ca="1">IFERROR(__xludf.DUMMYFUNCTION("""COMPUTED_VALUE"""),"忠寬")</f>
        <v>忠寬</v>
      </c>
      <c r="C1371" s="12" t="str">
        <f ca="1">IFERROR(__xludf.DUMMYFUNCTION("""COMPUTED_VALUE"""),"象印ZOJIRISHI")</f>
        <v>象印ZOJIRISHI</v>
      </c>
      <c r="D1371" s="12" t="str">
        <f ca="1">IFERROR(__xludf.DUMMYFUNCTION("""COMPUTED_VALUE"""),"居家_象印不鏽鋼真空悶燒罐2入組【咖+粉】C2577654-1")</f>
        <v>居家_象印不鏽鋼真空悶燒罐2入組【咖+粉】C2577654-1</v>
      </c>
      <c r="E1371" s="12" t="str">
        <f ca="1">IFERROR(__xludf.DUMMYFUNCTION("""COMPUTED_VALUE"""),"C2577654-1")</f>
        <v>C2577654-1</v>
      </c>
      <c r="F1371" s="12">
        <f ca="1">IFERROR(__xludf.DUMMYFUNCTION("""COMPUTED_VALUE"""),51097103)</f>
        <v>51097103</v>
      </c>
      <c r="G1371" s="12" t="str">
        <f ca="1">IFERROR(__xludf.DUMMYFUNCTION("""COMPUTED_VALUE"""),"IGEM0964")</f>
        <v>IGEM0964</v>
      </c>
      <c r="H1371" s="13">
        <f ca="1">IFERROR(__xludf.DUMMYFUNCTION("""COMPUTED_VALUE"""),1398)</f>
        <v>1398</v>
      </c>
      <c r="I1371" s="18">
        <f ca="1">IFERROR(__xludf.DUMMYFUNCTION("""COMPUTED_VALUE"""),1190)</f>
        <v>1190</v>
      </c>
      <c r="J1371" s="16">
        <f ca="1">IFERROR(__xludf.DUMMYFUNCTION("""COMPUTED_VALUE"""),45302)</f>
        <v>45302</v>
      </c>
      <c r="K1371" s="12" t="str">
        <f ca="1">IFERROR(__xludf.DUMMYFUNCTION("""COMPUTED_VALUE"""),"新機上架")</f>
        <v>新機上架</v>
      </c>
      <c r="L1371" s="12" t="str">
        <f ca="1">IFERROR(__xludf.DUMMYFUNCTION("""COMPUTED_VALUE"""),"上架中")</f>
        <v>上架中</v>
      </c>
      <c r="M1371" s="12"/>
      <c r="N1371" s="12" t="str">
        <f ca="1">IFERROR(__xludf.DUMMYFUNCTION("""COMPUTED_VALUE"""),"保鮮盒/便當盒")</f>
        <v>保鮮盒/便當盒</v>
      </c>
      <c r="O1371" s="12"/>
      <c r="P1371" s="12"/>
      <c r="Q1371" s="12" t="str">
        <f ca="1">IFERROR(__xludf.DUMMYFUNCTION("""COMPUTED_VALUE"""),"360mlx2")</f>
        <v>360mlx2</v>
      </c>
      <c r="R1371" s="12" t="str">
        <f ca="1">IFERROR(__xludf.DUMMYFUNCTION("""COMPUTED_VALUE"""),"泰國")</f>
        <v>泰國</v>
      </c>
      <c r="S1371" s="12"/>
      <c r="T1371" s="12"/>
      <c r="U1371" s="12"/>
      <c r="V1371" s="12"/>
      <c r="W1371" s="12"/>
      <c r="X1371" s="12"/>
      <c r="Y1371" s="12"/>
      <c r="Z1371" s="14"/>
      <c r="AA1371" s="15" t="str">
        <f ca="1">IFERROR(__xludf.DUMMYFUNCTION("""COMPUTED_VALUE"""),"*可分解杯蓋，拆洗容易*可拆式杯口套，貼心不燙口*304不鏽鋼平滑杯口，享用更順暢*8cm超大廣口徑，方便湯匙食用*保溫效力6小時→59℃以上，保冷效力6小時→9℃以下
")</f>
        <v xml:space="preserve">*可分解杯蓋，拆洗容易*可拆式杯口套，貼心不燙口*304不鏽鋼平滑杯口，享用更順暢*8cm超大廣口徑，方便湯匙食用*保溫效力6小時→59℃以上，保冷效力6小時→9℃以下
</v>
      </c>
    </row>
    <row r="1372" spans="1:27" ht="19.5" customHeight="1">
      <c r="A1372" s="12" t="str">
        <f ca="1">IFERROR(__xludf.DUMMYFUNCTION("""COMPUTED_VALUE"""),"居家生活用品")</f>
        <v>居家生活用品</v>
      </c>
      <c r="B1372" s="12" t="str">
        <f ca="1">IFERROR(__xludf.DUMMYFUNCTION("""COMPUTED_VALUE"""),"忠寬")</f>
        <v>忠寬</v>
      </c>
      <c r="C1372" s="12" t="str">
        <f ca="1">IFERROR(__xludf.DUMMYFUNCTION("""COMPUTED_VALUE"""),"Nerez")</f>
        <v>Nerez</v>
      </c>
      <c r="D1372" s="12" t="str">
        <f ca="1">IFERROR(__xludf.DUMMYFUNCTION("""COMPUTED_VALUE"""),"居家_Nerez不鏽鋼提式保溫壺(0.8L黑*1+1L軍綠*1)_ C1519061-1")</f>
        <v>居家_Nerez不鏽鋼提式保溫壺(0.8L黑*1+1L軍綠*1)_ C1519061-1</v>
      </c>
      <c r="E1372" s="12" t="str">
        <f ca="1">IFERROR(__xludf.DUMMYFUNCTION("""COMPUTED_VALUE"""),"C1519061-1")</f>
        <v>C1519061-1</v>
      </c>
      <c r="F1372" s="12">
        <f ca="1">IFERROR(__xludf.DUMMYFUNCTION("""COMPUTED_VALUE"""),51097090)</f>
        <v>51097090</v>
      </c>
      <c r="G1372" s="12" t="str">
        <f ca="1">IFERROR(__xludf.DUMMYFUNCTION("""COMPUTED_VALUE"""),"IGEM0944")</f>
        <v>IGEM0944</v>
      </c>
      <c r="H1372" s="13">
        <f ca="1">IFERROR(__xludf.DUMMYFUNCTION("""COMPUTED_VALUE"""),1639)</f>
        <v>1639</v>
      </c>
      <c r="I1372" s="18">
        <f ca="1">IFERROR(__xludf.DUMMYFUNCTION("""COMPUTED_VALUE"""),1090)</f>
        <v>1090</v>
      </c>
      <c r="J1372" s="16">
        <f ca="1">IFERROR(__xludf.DUMMYFUNCTION("""COMPUTED_VALUE"""),45254)</f>
        <v>45254</v>
      </c>
      <c r="K1372" s="12" t="str">
        <f ca="1">IFERROR(__xludf.DUMMYFUNCTION("""COMPUTED_VALUE"""),"新機上架")</f>
        <v>新機上架</v>
      </c>
      <c r="L1372" s="12" t="str">
        <f ca="1">IFERROR(__xludf.DUMMYFUNCTION("""COMPUTED_VALUE"""),"上架中")</f>
        <v>上架中</v>
      </c>
      <c r="M1372" s="12"/>
      <c r="N1372" s="12" t="str">
        <f ca="1">IFERROR(__xludf.DUMMYFUNCTION("""COMPUTED_VALUE"""),"水壺/保溫瓶")</f>
        <v>水壺/保溫瓶</v>
      </c>
      <c r="O1372" s="12" t="str">
        <f ca="1">IFERROR(__xludf.DUMMYFUNCTION("""COMPUTED_VALUE"""),"黑*1+軍綠*1")</f>
        <v>黑*1+軍綠*1</v>
      </c>
      <c r="P1372" s="12" t="str">
        <f ca="1">IFERROR(__xludf.DUMMYFUNCTION("""COMPUTED_VALUE"""),"0.8L*1+1L*1")</f>
        <v>0.8L*1+1L*1</v>
      </c>
      <c r="Q1372" s="12"/>
      <c r="R1372" s="12" t="str">
        <f ca="1">IFERROR(__xludf.DUMMYFUNCTION("""COMPUTED_VALUE"""),"中國")</f>
        <v>中國</v>
      </c>
      <c r="S1372" s="12"/>
      <c r="T1372" s="12"/>
      <c r="U1372" s="12"/>
      <c r="V1372" s="12"/>
      <c r="W1372" s="12"/>
      <c r="X1372" s="12"/>
      <c r="Y1372" s="12"/>
      <c r="Z1372" s="14"/>
      <c r="AA1372" s="15" t="str">
        <f ca="1">IFERROR(__xludf.DUMMYFUNCTION("""COMPUTED_VALUE"""),"*食品級316不鏽鋼.耐高溫.耐酸鹼.使用安心*雙層抽真空技術.一秒開蓋快捷便利*圓滑舒適提把.提著走方便又省力*摩砂處理壺身.止滑又耐磨損.*設計時尚新穎.外出輕便攜帶")</f>
        <v>*食品級316不鏽鋼.耐高溫.耐酸鹼.使用安心*雙層抽真空技術.一秒開蓋快捷便利*圓滑舒適提把.提著走方便又省力*摩砂處理壺身.止滑又耐磨損.*設計時尚新穎.外出輕便攜帶</v>
      </c>
    </row>
    <row r="1373" spans="1:27" ht="19.5" customHeight="1">
      <c r="A1373" s="12" t="str">
        <f ca="1">IFERROR(__xludf.DUMMYFUNCTION("""COMPUTED_VALUE"""),"居家生活用品")</f>
        <v>居家生活用品</v>
      </c>
      <c r="B1373" s="12" t="str">
        <f ca="1">IFERROR(__xludf.DUMMYFUNCTION("""COMPUTED_VALUE"""),"忠寬")</f>
        <v>忠寬</v>
      </c>
      <c r="C1373" s="12" t="str">
        <f ca="1">IFERROR(__xludf.DUMMYFUNCTION("""COMPUTED_VALUE"""),"Nerez")</f>
        <v>Nerez</v>
      </c>
      <c r="D1373" s="12" t="str">
        <f ca="1">IFERROR(__xludf.DUMMYFUNCTION("""COMPUTED_VALUE"""),"居家_Nerez不鏽鋼提式保溫壺(0.8L軍綠*1+1L黑*1)_ C1519054-1")</f>
        <v>居家_Nerez不鏽鋼提式保溫壺(0.8L軍綠*1+1L黑*1)_ C1519054-1</v>
      </c>
      <c r="E1373" s="12" t="str">
        <f ca="1">IFERROR(__xludf.DUMMYFUNCTION("""COMPUTED_VALUE"""),"C1519054-1")</f>
        <v>C1519054-1</v>
      </c>
      <c r="F1373" s="12">
        <f ca="1">IFERROR(__xludf.DUMMYFUNCTION("""COMPUTED_VALUE"""),51097091)</f>
        <v>51097091</v>
      </c>
      <c r="G1373" s="12" t="str">
        <f ca="1">IFERROR(__xludf.DUMMYFUNCTION("""COMPUTED_VALUE"""),"IGEM0945")</f>
        <v>IGEM0945</v>
      </c>
      <c r="H1373" s="13">
        <f ca="1">IFERROR(__xludf.DUMMYFUNCTION("""COMPUTED_VALUE"""),1639)</f>
        <v>1639</v>
      </c>
      <c r="I1373" s="18">
        <f ca="1">IFERROR(__xludf.DUMMYFUNCTION("""COMPUTED_VALUE"""),1090)</f>
        <v>1090</v>
      </c>
      <c r="J1373" s="16">
        <f ca="1">IFERROR(__xludf.DUMMYFUNCTION("""COMPUTED_VALUE"""),45254)</f>
        <v>45254</v>
      </c>
      <c r="K1373" s="12" t="str">
        <f ca="1">IFERROR(__xludf.DUMMYFUNCTION("""COMPUTED_VALUE"""),"新機上架")</f>
        <v>新機上架</v>
      </c>
      <c r="L1373" s="12" t="str">
        <f ca="1">IFERROR(__xludf.DUMMYFUNCTION("""COMPUTED_VALUE"""),"上架中")</f>
        <v>上架中</v>
      </c>
      <c r="M1373" s="12"/>
      <c r="N1373" s="12" t="str">
        <f ca="1">IFERROR(__xludf.DUMMYFUNCTION("""COMPUTED_VALUE"""),"水壺/保溫瓶")</f>
        <v>水壺/保溫瓶</v>
      </c>
      <c r="O1373" s="12" t="str">
        <f ca="1">IFERROR(__xludf.DUMMYFUNCTION("""COMPUTED_VALUE"""),"軍綠*1+黑*1")</f>
        <v>軍綠*1+黑*1</v>
      </c>
      <c r="P1373" s="12" t="str">
        <f ca="1">IFERROR(__xludf.DUMMYFUNCTION("""COMPUTED_VALUE"""),"0.8L*1+1L*1")</f>
        <v>0.8L*1+1L*1</v>
      </c>
      <c r="Q1373" s="12"/>
      <c r="R1373" s="12" t="str">
        <f ca="1">IFERROR(__xludf.DUMMYFUNCTION("""COMPUTED_VALUE"""),"中國")</f>
        <v>中國</v>
      </c>
      <c r="S1373" s="12"/>
      <c r="T1373" s="12"/>
      <c r="U1373" s="12"/>
      <c r="V1373" s="12"/>
      <c r="W1373" s="12"/>
      <c r="X1373" s="12"/>
      <c r="Y1373" s="12"/>
      <c r="Z1373" s="14"/>
      <c r="AA1373" s="15" t="str">
        <f ca="1">IFERROR(__xludf.DUMMYFUNCTION("""COMPUTED_VALUE"""),"*食品級316不鏽鋼.耐高溫.耐酸鹼.使用安心*雙層抽真空技術.一秒開蓋快捷便利*圓滑舒適提把.提著走方便又省力*摩砂處理壺身.止滑又耐磨損.*設計時尚新穎.外出輕便攜帶")</f>
        <v>*食品級316不鏽鋼.耐高溫.耐酸鹼.使用安心*雙層抽真空技術.一秒開蓋快捷便利*圓滑舒適提把.提著走方便又省力*摩砂處理壺身.止滑又耐磨損.*設計時尚新穎.外出輕便攜帶</v>
      </c>
    </row>
    <row r="1374" spans="1:27" ht="19.5" customHeight="1">
      <c r="A1374" s="12" t="str">
        <f ca="1">IFERROR(__xludf.DUMMYFUNCTION("""COMPUTED_VALUE"""),"居家生活用品")</f>
        <v>居家生活用品</v>
      </c>
      <c r="B1374" s="12" t="str">
        <f ca="1">IFERROR(__xludf.DUMMYFUNCTION("""COMPUTED_VALUE"""),"忠寬")</f>
        <v>忠寬</v>
      </c>
      <c r="C1374" s="12" t="str">
        <f ca="1">IFERROR(__xludf.DUMMYFUNCTION("""COMPUTED_VALUE"""),"Astonish英國潔")</f>
        <v>Astonish英國潔</v>
      </c>
      <c r="D1374" s="12" t="str">
        <f ca="1">IFERROR(__xludf.DUMMYFUNCTION("""COMPUTED_VALUE"""),"居家_Astonish英國潔超值3入組(除黴+除油+浴廁)C1861124-1 ")</f>
        <v xml:space="preserve">居家_Astonish英國潔超值3入組(除黴+除油+浴廁)C1861124-1 </v>
      </c>
      <c r="E1374" s="12" t="str">
        <f ca="1">IFERROR(__xludf.DUMMYFUNCTION("""COMPUTED_VALUE"""),"C1861124-1")</f>
        <v>C1861124-1</v>
      </c>
      <c r="F1374" s="12">
        <f ca="1">IFERROR(__xludf.DUMMYFUNCTION("""COMPUTED_VALUE"""),51097092)</f>
        <v>51097092</v>
      </c>
      <c r="G1374" s="12" t="str">
        <f ca="1">IFERROR(__xludf.DUMMYFUNCTION("""COMPUTED_VALUE"""),"IGEM094W")</f>
        <v>IGEM094W</v>
      </c>
      <c r="H1374" s="13">
        <f ca="1">IFERROR(__xludf.DUMMYFUNCTION("""COMPUTED_VALUE"""),1860)</f>
        <v>1860</v>
      </c>
      <c r="I1374" s="18">
        <f ca="1">IFERROR(__xludf.DUMMYFUNCTION("""COMPUTED_VALUE"""),749)</f>
        <v>749</v>
      </c>
      <c r="J1374" s="16">
        <f ca="1">IFERROR(__xludf.DUMMYFUNCTION("""COMPUTED_VALUE"""),45272)</f>
        <v>45272</v>
      </c>
      <c r="K1374" s="12" t="str">
        <f ca="1">IFERROR(__xludf.DUMMYFUNCTION("""COMPUTED_VALUE"""),"新機上架")</f>
        <v>新機上架</v>
      </c>
      <c r="L1374" s="12" t="str">
        <f ca="1">IFERROR(__xludf.DUMMYFUNCTION("""COMPUTED_VALUE"""),"上架中")</f>
        <v>上架中</v>
      </c>
      <c r="M1374" s="12"/>
      <c r="N1374" s="12" t="str">
        <f ca="1">IFERROR(__xludf.DUMMYFUNCTION("""COMPUTED_VALUE"""),"衛浴清潔")</f>
        <v>衛浴清潔</v>
      </c>
      <c r="O1374" s="12"/>
      <c r="P1374" s="12"/>
      <c r="Q1374" s="12" t="str">
        <f ca="1">IFERROR(__xludf.DUMMYFUNCTION("""COMPUTED_VALUE"""),"750mlx3")</f>
        <v>750mlx3</v>
      </c>
      <c r="R1374" s="12" t="str">
        <f ca="1">IFERROR(__xludf.DUMMYFUNCTION("""COMPUTED_VALUE"""),"英國")</f>
        <v>英國</v>
      </c>
      <c r="S1374" s="12"/>
      <c r="T1374" s="12"/>
      <c r="U1374" s="12"/>
      <c r="V1374" s="12"/>
      <c r="W1374" s="12"/>
      <c r="X1374" s="12"/>
      <c r="Y1374" s="12"/>
      <c r="Z1374" s="14"/>
      <c r="AA1374" s="15" t="str">
        <f ca="1">IFERROR(__xludf.DUMMYFUNCTION("""COMPUTED_VALUE"""),"*獨家潔淨配方,無刺鼻氣味*貼心噴頭設計,輕鬆一噴,使用便利*各種難解油漬,一噴搞定*除霉.清潔.殺菌,一氣呵成*去除水垢.皂垢.頑強汙垢")</f>
        <v>*獨家潔淨配方,無刺鼻氣味*貼心噴頭設計,輕鬆一噴,使用便利*各種難解油漬,一噴搞定*除霉.清潔.殺菌,一氣呵成*去除水垢.皂垢.頑強汙垢</v>
      </c>
    </row>
    <row r="1375" spans="1:27" ht="19.5" customHeight="1">
      <c r="A1375" s="12" t="str">
        <f ca="1">IFERROR(__xludf.DUMMYFUNCTION("""COMPUTED_VALUE"""),"居家生活用品")</f>
        <v>居家生活用品</v>
      </c>
      <c r="B1375" s="12" t="str">
        <f ca="1">IFERROR(__xludf.DUMMYFUNCTION("""COMPUTED_VALUE"""),"忠寬")</f>
        <v>忠寬</v>
      </c>
      <c r="C1375" s="12" t="str">
        <f ca="1">IFERROR(__xludf.DUMMYFUNCTION("""COMPUTED_VALUE"""),"Astonish英國潔")</f>
        <v>Astonish英國潔</v>
      </c>
      <c r="D1375" s="12" t="str">
        <f ca="1">IFERROR(__xludf.DUMMYFUNCTION("""COMPUTED_VALUE"""),"居家_Astonish英國潔超值3入組(除黴+除油+衣物)C1862413")</f>
        <v>居家_Astonish英國潔超值3入組(除黴+除油+衣物)C1862413</v>
      </c>
      <c r="E1375" s="12" t="str">
        <f ca="1">IFERROR(__xludf.DUMMYFUNCTION("""COMPUTED_VALUE"""),"C1862413")</f>
        <v>C1862413</v>
      </c>
      <c r="F1375" s="12">
        <f ca="1">IFERROR(__xludf.DUMMYFUNCTION("""COMPUTED_VALUE"""),51097093)</f>
        <v>51097093</v>
      </c>
      <c r="G1375" s="12" t="str">
        <f ca="1">IFERROR(__xludf.DUMMYFUNCTION("""COMPUTED_VALUE"""),"IGEM094X")</f>
        <v>IGEM094X</v>
      </c>
      <c r="H1375" s="13">
        <f ca="1">IFERROR(__xludf.DUMMYFUNCTION("""COMPUTED_VALUE"""),1860)</f>
        <v>1860</v>
      </c>
      <c r="I1375" s="18">
        <f ca="1">IFERROR(__xludf.DUMMYFUNCTION("""COMPUTED_VALUE"""),749)</f>
        <v>749</v>
      </c>
      <c r="J1375" s="16">
        <f ca="1">IFERROR(__xludf.DUMMYFUNCTION("""COMPUTED_VALUE"""),45272)</f>
        <v>45272</v>
      </c>
      <c r="K1375" s="12" t="str">
        <f ca="1">IFERROR(__xludf.DUMMYFUNCTION("""COMPUTED_VALUE"""),"新機上架")</f>
        <v>新機上架</v>
      </c>
      <c r="L1375" s="12" t="str">
        <f ca="1">IFERROR(__xludf.DUMMYFUNCTION("""COMPUTED_VALUE"""),"上架中")</f>
        <v>上架中</v>
      </c>
      <c r="M1375" s="12"/>
      <c r="N1375" s="12" t="str">
        <f ca="1">IFERROR(__xludf.DUMMYFUNCTION("""COMPUTED_VALUE"""),"衛浴清潔")</f>
        <v>衛浴清潔</v>
      </c>
      <c r="O1375" s="12"/>
      <c r="P1375" s="12"/>
      <c r="Q1375" s="12" t="str">
        <f ca="1">IFERROR(__xludf.DUMMYFUNCTION("""COMPUTED_VALUE"""),"750mlx3")</f>
        <v>750mlx3</v>
      </c>
      <c r="R1375" s="12" t="str">
        <f ca="1">IFERROR(__xludf.DUMMYFUNCTION("""COMPUTED_VALUE"""),"英國")</f>
        <v>英國</v>
      </c>
      <c r="S1375" s="12"/>
      <c r="T1375" s="12"/>
      <c r="U1375" s="12"/>
      <c r="V1375" s="12"/>
      <c r="W1375" s="12"/>
      <c r="X1375" s="12"/>
      <c r="Y1375" s="12"/>
      <c r="Z1375" s="14"/>
      <c r="AA1375" s="15" t="str">
        <f ca="1">IFERROR(__xludf.DUMMYFUNCTION("""COMPUTED_VALUE"""),"*獨家潔淨配方,無刺鼻氣味*貼心噴頭設計,輕鬆一噴,使用便利*各種難解油漬,一噴搞定*除霉.清潔.殺菌,一氣呵成*迅速深入衣物纖維,分解衣物難洗汙漬")</f>
        <v>*獨家潔淨配方,無刺鼻氣味*貼心噴頭設計,輕鬆一噴,使用便利*各種難解油漬,一噴搞定*除霉.清潔.殺菌,一氣呵成*迅速深入衣物纖維,分解衣物難洗汙漬</v>
      </c>
    </row>
    <row r="1376" spans="1:27" ht="19.5" customHeight="1">
      <c r="A1376" s="12" t="str">
        <f ca="1">IFERROR(__xludf.DUMMYFUNCTION("""COMPUTED_VALUE"""),"居家生活用品")</f>
        <v>居家生活用品</v>
      </c>
      <c r="B1376" s="12" t="str">
        <f ca="1">IFERROR(__xludf.DUMMYFUNCTION("""COMPUTED_VALUE"""),"忠寬")</f>
        <v>忠寬</v>
      </c>
      <c r="C1376" s="12" t="str">
        <f ca="1">IFERROR(__xludf.DUMMYFUNCTION("""COMPUTED_VALUE"""),"Astonish英國潔")</f>
        <v>Astonish英國潔</v>
      </c>
      <c r="D1376" s="12" t="str">
        <f ca="1">IFERROR(__xludf.DUMMYFUNCTION("""COMPUTED_VALUE"""),"居家_Astonish英國潔超值3入組(除黴+浴廁+衣物)C1861148-2")</f>
        <v>居家_Astonish英國潔超值3入組(除黴+浴廁+衣物)C1861148-2</v>
      </c>
      <c r="E1376" s="12" t="str">
        <f ca="1">IFERROR(__xludf.DUMMYFUNCTION("""COMPUTED_VALUE"""),"C1861148-2")</f>
        <v>C1861148-2</v>
      </c>
      <c r="F1376" s="12">
        <f ca="1">IFERROR(__xludf.DUMMYFUNCTION("""COMPUTED_VALUE"""),51097094)</f>
        <v>51097094</v>
      </c>
      <c r="G1376" s="12" t="str">
        <f ca="1">IFERROR(__xludf.DUMMYFUNCTION("""COMPUTED_VALUE"""),"IGEM094Y")</f>
        <v>IGEM094Y</v>
      </c>
      <c r="H1376" s="13">
        <f ca="1">IFERROR(__xludf.DUMMYFUNCTION("""COMPUTED_VALUE"""),1860)</f>
        <v>1860</v>
      </c>
      <c r="I1376" s="18">
        <f ca="1">IFERROR(__xludf.DUMMYFUNCTION("""COMPUTED_VALUE"""),749)</f>
        <v>749</v>
      </c>
      <c r="J1376" s="16">
        <f ca="1">IFERROR(__xludf.DUMMYFUNCTION("""COMPUTED_VALUE"""),45272)</f>
        <v>45272</v>
      </c>
      <c r="K1376" s="12" t="str">
        <f ca="1">IFERROR(__xludf.DUMMYFUNCTION("""COMPUTED_VALUE"""),"新機上架")</f>
        <v>新機上架</v>
      </c>
      <c r="L1376" s="12" t="str">
        <f ca="1">IFERROR(__xludf.DUMMYFUNCTION("""COMPUTED_VALUE"""),"上架中")</f>
        <v>上架中</v>
      </c>
      <c r="M1376" s="12"/>
      <c r="N1376" s="12" t="str">
        <f ca="1">IFERROR(__xludf.DUMMYFUNCTION("""COMPUTED_VALUE"""),"衛浴清潔")</f>
        <v>衛浴清潔</v>
      </c>
      <c r="O1376" s="12"/>
      <c r="P1376" s="12"/>
      <c r="Q1376" s="12" t="str">
        <f ca="1">IFERROR(__xludf.DUMMYFUNCTION("""COMPUTED_VALUE"""),"750mlx3")</f>
        <v>750mlx3</v>
      </c>
      <c r="R1376" s="12" t="str">
        <f ca="1">IFERROR(__xludf.DUMMYFUNCTION("""COMPUTED_VALUE"""),"英國")</f>
        <v>英國</v>
      </c>
      <c r="S1376" s="12"/>
      <c r="T1376" s="12"/>
      <c r="U1376" s="12"/>
      <c r="V1376" s="12"/>
      <c r="W1376" s="12"/>
      <c r="X1376" s="12"/>
      <c r="Y1376" s="12"/>
      <c r="Z1376" s="14"/>
      <c r="AA1376" s="15" t="str">
        <f ca="1">IFERROR(__xludf.DUMMYFUNCTION("""COMPUTED_VALUE"""),"*獨家潔淨配方,無刺鼻氣味*貼心噴頭設計,輕鬆一噴,使用便利*各種難解油漬,一噴搞定*除霉.清潔.殺菌,一氣呵成*迅速深入衣物纖維,分解衣物難洗汙漬")</f>
        <v>*獨家潔淨配方,無刺鼻氣味*貼心噴頭設計,輕鬆一噴,使用便利*各種難解油漬,一噴搞定*除霉.清潔.殺菌,一氣呵成*迅速深入衣物纖維,分解衣物難洗汙漬</v>
      </c>
    </row>
    <row r="1377" spans="1:27" ht="19.5" customHeight="1">
      <c r="A1377" s="12" t="str">
        <f ca="1">IFERROR(__xludf.DUMMYFUNCTION("""COMPUTED_VALUE"""),"居家生活用品")</f>
        <v>居家生活用品</v>
      </c>
      <c r="B1377" s="12" t="str">
        <f ca="1">IFERROR(__xludf.DUMMYFUNCTION("""COMPUTED_VALUE"""),"忠寬")</f>
        <v>忠寬</v>
      </c>
      <c r="C1377" s="12" t="str">
        <f ca="1">IFERROR(__xludf.DUMMYFUNCTION("""COMPUTED_VALUE"""),"Astonish英國潔")</f>
        <v>Astonish英國潔</v>
      </c>
      <c r="D1377" s="12" t="str">
        <f ca="1">IFERROR(__xludf.DUMMYFUNCTION("""COMPUTED_VALUE"""),"居家_Astonish英國潔超值3入組(除油+浴廁+衣物)C1861124-4")</f>
        <v>居家_Astonish英國潔超值3入組(除油+浴廁+衣物)C1861124-4</v>
      </c>
      <c r="E1377" s="12" t="str">
        <f ca="1">IFERROR(__xludf.DUMMYFUNCTION("""COMPUTED_VALUE"""),"C1861124-4")</f>
        <v>C1861124-4</v>
      </c>
      <c r="F1377" s="12">
        <f ca="1">IFERROR(__xludf.DUMMYFUNCTION("""COMPUTED_VALUE"""),51097095)</f>
        <v>51097095</v>
      </c>
      <c r="G1377" s="12" t="str">
        <f ca="1">IFERROR(__xludf.DUMMYFUNCTION("""COMPUTED_VALUE"""),"IGEM094Z")</f>
        <v>IGEM094Z</v>
      </c>
      <c r="H1377" s="13">
        <f ca="1">IFERROR(__xludf.DUMMYFUNCTION("""COMPUTED_VALUE"""),1860)</f>
        <v>1860</v>
      </c>
      <c r="I1377" s="18">
        <f ca="1">IFERROR(__xludf.DUMMYFUNCTION("""COMPUTED_VALUE"""),749)</f>
        <v>749</v>
      </c>
      <c r="J1377" s="16">
        <f ca="1">IFERROR(__xludf.DUMMYFUNCTION("""COMPUTED_VALUE"""),45272)</f>
        <v>45272</v>
      </c>
      <c r="K1377" s="12" t="str">
        <f ca="1">IFERROR(__xludf.DUMMYFUNCTION("""COMPUTED_VALUE"""),"新機上架")</f>
        <v>新機上架</v>
      </c>
      <c r="L1377" s="12" t="str">
        <f ca="1">IFERROR(__xludf.DUMMYFUNCTION("""COMPUTED_VALUE"""),"上架中")</f>
        <v>上架中</v>
      </c>
      <c r="M1377" s="12"/>
      <c r="N1377" s="12" t="str">
        <f ca="1">IFERROR(__xludf.DUMMYFUNCTION("""COMPUTED_VALUE"""),"衛浴清潔")</f>
        <v>衛浴清潔</v>
      </c>
      <c r="O1377" s="12"/>
      <c r="P1377" s="12"/>
      <c r="Q1377" s="12" t="str">
        <f ca="1">IFERROR(__xludf.DUMMYFUNCTION("""COMPUTED_VALUE"""),"750mlx3")</f>
        <v>750mlx3</v>
      </c>
      <c r="R1377" s="12" t="str">
        <f ca="1">IFERROR(__xludf.DUMMYFUNCTION("""COMPUTED_VALUE"""),"英國")</f>
        <v>英國</v>
      </c>
      <c r="S1377" s="12"/>
      <c r="T1377" s="12"/>
      <c r="U1377" s="12"/>
      <c r="V1377" s="12"/>
      <c r="W1377" s="12"/>
      <c r="X1377" s="12"/>
      <c r="Y1377" s="12"/>
      <c r="Z1377" s="14"/>
      <c r="AA1377" s="15" t="str">
        <f ca="1">IFERROR(__xludf.DUMMYFUNCTION("""COMPUTED_VALUE"""),"*獨家潔淨配方,無刺鼻氣味*貼心噴頭設計,輕鬆一噴,使用便利*各種難解油漬,一噴搞定*除霉.清潔.殺菌,一氣呵成*迅速深入衣物纖維,分解衣物難洗汙漬")</f>
        <v>*獨家潔淨配方,無刺鼻氣味*貼心噴頭設計,輕鬆一噴,使用便利*各種難解油漬,一噴搞定*除霉.清潔.殺菌,一氣呵成*迅速深入衣物纖維,分解衣物難洗汙漬</v>
      </c>
    </row>
    <row r="1378" spans="1:27" ht="19.5" customHeight="1">
      <c r="A1378" s="12" t="str">
        <f ca="1">IFERROR(__xludf.DUMMYFUNCTION("""COMPUTED_VALUE"""),"居家生活用品")</f>
        <v>居家生活用品</v>
      </c>
      <c r="B1378" s="12" t="str">
        <f ca="1">IFERROR(__xludf.DUMMYFUNCTION("""COMPUTED_VALUE"""),"忠寬")</f>
        <v>忠寬</v>
      </c>
      <c r="C1378" s="12" t="str">
        <f ca="1">IFERROR(__xludf.DUMMYFUNCTION("""COMPUTED_VALUE"""),"Astonish英國潔")</f>
        <v>Astonish英國潔</v>
      </c>
      <c r="D1378" s="12" t="str">
        <f ca="1">IFERROR(__xludf.DUMMYFUNCTION("""COMPUTED_VALUE"""),"居家_Astonish英國潔超值3入組(除黴x3)C1861148-1")</f>
        <v>居家_Astonish英國潔超值3入組(除黴x3)C1861148-1</v>
      </c>
      <c r="E1378" s="12" t="str">
        <f ca="1">IFERROR(__xludf.DUMMYFUNCTION("""COMPUTED_VALUE"""),"C1861148-1")</f>
        <v>C1861148-1</v>
      </c>
      <c r="F1378" s="12">
        <f ca="1">IFERROR(__xludf.DUMMYFUNCTION("""COMPUTED_VALUE"""),51097096)</f>
        <v>51097096</v>
      </c>
      <c r="G1378" s="12" t="str">
        <f ca="1">IFERROR(__xludf.DUMMYFUNCTION("""COMPUTED_VALUE"""),"IGEM0951")</f>
        <v>IGEM0951</v>
      </c>
      <c r="H1378" s="13">
        <f ca="1">IFERROR(__xludf.DUMMYFUNCTION("""COMPUTED_VALUE"""),1860)</f>
        <v>1860</v>
      </c>
      <c r="I1378" s="18">
        <f ca="1">IFERROR(__xludf.DUMMYFUNCTION("""COMPUTED_VALUE"""),749)</f>
        <v>749</v>
      </c>
      <c r="J1378" s="16">
        <f ca="1">IFERROR(__xludf.DUMMYFUNCTION("""COMPUTED_VALUE"""),45272)</f>
        <v>45272</v>
      </c>
      <c r="K1378" s="12" t="str">
        <f ca="1">IFERROR(__xludf.DUMMYFUNCTION("""COMPUTED_VALUE"""),"新機上架")</f>
        <v>新機上架</v>
      </c>
      <c r="L1378" s="12" t="str">
        <f ca="1">IFERROR(__xludf.DUMMYFUNCTION("""COMPUTED_VALUE"""),"上架中")</f>
        <v>上架中</v>
      </c>
      <c r="M1378" s="12"/>
      <c r="N1378" s="12" t="str">
        <f ca="1">IFERROR(__xludf.DUMMYFUNCTION("""COMPUTED_VALUE"""),"衛浴清潔")</f>
        <v>衛浴清潔</v>
      </c>
      <c r="O1378" s="12"/>
      <c r="P1378" s="12"/>
      <c r="Q1378" s="12" t="str">
        <f ca="1">IFERROR(__xludf.DUMMYFUNCTION("""COMPUTED_VALUE"""),"750mlx3")</f>
        <v>750mlx3</v>
      </c>
      <c r="R1378" s="12" t="str">
        <f ca="1">IFERROR(__xludf.DUMMYFUNCTION("""COMPUTED_VALUE"""),"英國")</f>
        <v>英國</v>
      </c>
      <c r="S1378" s="12"/>
      <c r="T1378" s="12"/>
      <c r="U1378" s="12"/>
      <c r="V1378" s="12"/>
      <c r="W1378" s="12"/>
      <c r="X1378" s="12"/>
      <c r="Y1378" s="12"/>
      <c r="Z1378" s="14"/>
      <c r="AA1378" s="15" t="str">
        <f ca="1">IFERROR(__xludf.DUMMYFUNCTION("""COMPUTED_VALUE"""),"*獨家潔淨配方,無刺鼻氣味*貼心噴頭設計,輕鬆一噴,使用便利*各種難解油漬,一噴搞定*除霉.清潔.殺菌,一氣呵成*迅速深入衣物纖維,分解衣物難洗汙漬")</f>
        <v>*獨家潔淨配方,無刺鼻氣味*貼心噴頭設計,輕鬆一噴,使用便利*各種難解油漬,一噴搞定*除霉.清潔.殺菌,一氣呵成*迅速深入衣物纖維,分解衣物難洗汙漬</v>
      </c>
    </row>
    <row r="1379" spans="1:27" ht="19.5" customHeight="1">
      <c r="A1379" s="12" t="str">
        <f ca="1">IFERROR(__xludf.DUMMYFUNCTION("""COMPUTED_VALUE"""),"居家生活用品")</f>
        <v>居家生活用品</v>
      </c>
      <c r="B1379" s="12" t="str">
        <f ca="1">IFERROR(__xludf.DUMMYFUNCTION("""COMPUTED_VALUE"""),"忠寬")</f>
        <v>忠寬</v>
      </c>
      <c r="C1379" s="12" t="str">
        <f ca="1">IFERROR(__xludf.DUMMYFUNCTION("""COMPUTED_VALUE"""),"Astonish英國潔")</f>
        <v>Astonish英國潔</v>
      </c>
      <c r="D1379" s="12" t="str">
        <f ca="1">IFERROR(__xludf.DUMMYFUNCTION("""COMPUTED_VALUE"""),"居家_Astonish英國潔超值3入組(除油x3)C1861124-2")</f>
        <v>居家_Astonish英國潔超值3入組(除油x3)C1861124-2</v>
      </c>
      <c r="E1379" s="12" t="str">
        <f ca="1">IFERROR(__xludf.DUMMYFUNCTION("""COMPUTED_VALUE"""),"C1861124-2")</f>
        <v>C1861124-2</v>
      </c>
      <c r="F1379" s="12">
        <f ca="1">IFERROR(__xludf.DUMMYFUNCTION("""COMPUTED_VALUE"""),51097097)</f>
        <v>51097097</v>
      </c>
      <c r="G1379" s="12" t="str">
        <f ca="1">IFERROR(__xludf.DUMMYFUNCTION("""COMPUTED_VALUE"""),"IGEM0952")</f>
        <v>IGEM0952</v>
      </c>
      <c r="H1379" s="13">
        <f ca="1">IFERROR(__xludf.DUMMYFUNCTION("""COMPUTED_VALUE"""),1860)</f>
        <v>1860</v>
      </c>
      <c r="I1379" s="18">
        <f ca="1">IFERROR(__xludf.DUMMYFUNCTION("""COMPUTED_VALUE"""),749)</f>
        <v>749</v>
      </c>
      <c r="J1379" s="16">
        <f ca="1">IFERROR(__xludf.DUMMYFUNCTION("""COMPUTED_VALUE"""),45272)</f>
        <v>45272</v>
      </c>
      <c r="K1379" s="12" t="str">
        <f ca="1">IFERROR(__xludf.DUMMYFUNCTION("""COMPUTED_VALUE"""),"新機上架")</f>
        <v>新機上架</v>
      </c>
      <c r="L1379" s="12" t="str">
        <f ca="1">IFERROR(__xludf.DUMMYFUNCTION("""COMPUTED_VALUE"""),"上架中")</f>
        <v>上架中</v>
      </c>
      <c r="M1379" s="12"/>
      <c r="N1379" s="12" t="str">
        <f ca="1">IFERROR(__xludf.DUMMYFUNCTION("""COMPUTED_VALUE"""),"衛浴清潔")</f>
        <v>衛浴清潔</v>
      </c>
      <c r="O1379" s="12"/>
      <c r="P1379" s="12"/>
      <c r="Q1379" s="12" t="str">
        <f ca="1">IFERROR(__xludf.DUMMYFUNCTION("""COMPUTED_VALUE"""),"750mlx3")</f>
        <v>750mlx3</v>
      </c>
      <c r="R1379" s="12" t="str">
        <f ca="1">IFERROR(__xludf.DUMMYFUNCTION("""COMPUTED_VALUE"""),"英國")</f>
        <v>英國</v>
      </c>
      <c r="S1379" s="12"/>
      <c r="T1379" s="12"/>
      <c r="U1379" s="12"/>
      <c r="V1379" s="12"/>
      <c r="W1379" s="12"/>
      <c r="X1379" s="12"/>
      <c r="Y1379" s="12"/>
      <c r="Z1379" s="14"/>
      <c r="AA1379" s="15" t="str">
        <f ca="1">IFERROR(__xludf.DUMMYFUNCTION("""COMPUTED_VALUE"""),"*獨家潔淨配方,無刺鼻氣味*貼心噴頭設計,輕鬆一噴,使用便利*各種難解油漬,一噴搞定*除霉.清潔.殺菌,一氣呵成*迅速深入衣物纖維,分解衣物難洗汙漬")</f>
        <v>*獨家潔淨配方,無刺鼻氣味*貼心噴頭設計,輕鬆一噴,使用便利*各種難解油漬,一噴搞定*除霉.清潔.殺菌,一氣呵成*迅速深入衣物纖維,分解衣物難洗汙漬</v>
      </c>
    </row>
    <row r="1380" spans="1:27" ht="19.5" customHeight="1">
      <c r="A1380" s="12" t="str">
        <f ca="1">IFERROR(__xludf.DUMMYFUNCTION("""COMPUTED_VALUE"""),"居家生活用品")</f>
        <v>居家生活用品</v>
      </c>
      <c r="B1380" s="12" t="str">
        <f ca="1">IFERROR(__xludf.DUMMYFUNCTION("""COMPUTED_VALUE"""),"忠寬")</f>
        <v>忠寬</v>
      </c>
      <c r="C1380" s="12" t="str">
        <f ca="1">IFERROR(__xludf.DUMMYFUNCTION("""COMPUTED_VALUE"""),"Astonish英國潔")</f>
        <v>Astonish英國潔</v>
      </c>
      <c r="D1380" s="12" t="str">
        <f ca="1">IFERROR(__xludf.DUMMYFUNCTION("""COMPUTED_VALUE"""),"居家_Astonish英國潔超值3入組(浴廁x3)C1861094-1")</f>
        <v>居家_Astonish英國潔超值3入組(浴廁x3)C1861094-1</v>
      </c>
      <c r="E1380" s="12" t="str">
        <f ca="1">IFERROR(__xludf.DUMMYFUNCTION("""COMPUTED_VALUE"""),"C1861094-1")</f>
        <v>C1861094-1</v>
      </c>
      <c r="F1380" s="12">
        <f ca="1">IFERROR(__xludf.DUMMYFUNCTION("""COMPUTED_VALUE"""),51097098)</f>
        <v>51097098</v>
      </c>
      <c r="G1380" s="12" t="str">
        <f ca="1">IFERROR(__xludf.DUMMYFUNCTION("""COMPUTED_VALUE"""),"IGEM0953")</f>
        <v>IGEM0953</v>
      </c>
      <c r="H1380" s="13">
        <f ca="1">IFERROR(__xludf.DUMMYFUNCTION("""COMPUTED_VALUE"""),1860)</f>
        <v>1860</v>
      </c>
      <c r="I1380" s="18">
        <f ca="1">IFERROR(__xludf.DUMMYFUNCTION("""COMPUTED_VALUE"""),749)</f>
        <v>749</v>
      </c>
      <c r="J1380" s="16">
        <f ca="1">IFERROR(__xludf.DUMMYFUNCTION("""COMPUTED_VALUE"""),45272)</f>
        <v>45272</v>
      </c>
      <c r="K1380" s="12" t="str">
        <f ca="1">IFERROR(__xludf.DUMMYFUNCTION("""COMPUTED_VALUE"""),"新機上架")</f>
        <v>新機上架</v>
      </c>
      <c r="L1380" s="12" t="str">
        <f ca="1">IFERROR(__xludf.DUMMYFUNCTION("""COMPUTED_VALUE"""),"上架中")</f>
        <v>上架中</v>
      </c>
      <c r="M1380" s="12"/>
      <c r="N1380" s="12" t="str">
        <f ca="1">IFERROR(__xludf.DUMMYFUNCTION("""COMPUTED_VALUE"""),"衛浴清潔")</f>
        <v>衛浴清潔</v>
      </c>
      <c r="O1380" s="12"/>
      <c r="P1380" s="12"/>
      <c r="Q1380" s="12" t="str">
        <f ca="1">IFERROR(__xludf.DUMMYFUNCTION("""COMPUTED_VALUE"""),"750mlx3")</f>
        <v>750mlx3</v>
      </c>
      <c r="R1380" s="12" t="str">
        <f ca="1">IFERROR(__xludf.DUMMYFUNCTION("""COMPUTED_VALUE"""),"英國")</f>
        <v>英國</v>
      </c>
      <c r="S1380" s="12"/>
      <c r="T1380" s="12"/>
      <c r="U1380" s="12"/>
      <c r="V1380" s="12"/>
      <c r="W1380" s="12"/>
      <c r="X1380" s="12"/>
      <c r="Y1380" s="12"/>
      <c r="Z1380" s="14"/>
      <c r="AA1380" s="15" t="str">
        <f ca="1">IFERROR(__xludf.DUMMYFUNCTION("""COMPUTED_VALUE"""),"*獨家潔淨配方,無刺鼻氣味*貼心噴頭設計,輕鬆一噴,使用便利*各種難解油漬,一噴搞定*除霉.清潔.殺菌,一氣呵成*迅速深入衣物纖維,分解衣物難洗汙漬")</f>
        <v>*獨家潔淨配方,無刺鼻氣味*貼心噴頭設計,輕鬆一噴,使用便利*各種難解油漬,一噴搞定*除霉.清潔.殺菌,一氣呵成*迅速深入衣物纖維,分解衣物難洗汙漬</v>
      </c>
    </row>
    <row r="1381" spans="1:27" ht="19.5" customHeight="1">
      <c r="A1381" s="12" t="str">
        <f ca="1">IFERROR(__xludf.DUMMYFUNCTION("""COMPUTED_VALUE"""),"居家生活用品")</f>
        <v>居家生活用品</v>
      </c>
      <c r="B1381" s="12" t="str">
        <f ca="1">IFERROR(__xludf.DUMMYFUNCTION("""COMPUTED_VALUE"""),"忠寬")</f>
        <v>忠寬</v>
      </c>
      <c r="C1381" s="12" t="str">
        <f ca="1">IFERROR(__xludf.DUMMYFUNCTION("""COMPUTED_VALUE"""),"Astonish英國潔")</f>
        <v>Astonish英國潔</v>
      </c>
      <c r="D1381" s="12" t="str">
        <f ca="1">IFERROR(__xludf.DUMMYFUNCTION("""COMPUTED_VALUE"""),"居家_Astonish英國潔超值3入組(衣物x3)C1962947-1")</f>
        <v>居家_Astonish英國潔超值3入組(衣物x3)C1962947-1</v>
      </c>
      <c r="E1381" s="12" t="str">
        <f ca="1">IFERROR(__xludf.DUMMYFUNCTION("""COMPUTED_VALUE"""),"C1962947-1")</f>
        <v>C1962947-1</v>
      </c>
      <c r="F1381" s="12">
        <f ca="1">IFERROR(__xludf.DUMMYFUNCTION("""COMPUTED_VALUE"""),51097099)</f>
        <v>51097099</v>
      </c>
      <c r="G1381" s="12" t="str">
        <f ca="1">IFERROR(__xludf.DUMMYFUNCTION("""COMPUTED_VALUE"""),"IGEM0954")</f>
        <v>IGEM0954</v>
      </c>
      <c r="H1381" s="13">
        <f ca="1">IFERROR(__xludf.DUMMYFUNCTION("""COMPUTED_VALUE"""),1860)</f>
        <v>1860</v>
      </c>
      <c r="I1381" s="18">
        <f ca="1">IFERROR(__xludf.DUMMYFUNCTION("""COMPUTED_VALUE"""),749)</f>
        <v>749</v>
      </c>
      <c r="J1381" s="16">
        <f ca="1">IFERROR(__xludf.DUMMYFUNCTION("""COMPUTED_VALUE"""),45272)</f>
        <v>45272</v>
      </c>
      <c r="K1381" s="12" t="str">
        <f ca="1">IFERROR(__xludf.DUMMYFUNCTION("""COMPUTED_VALUE"""),"新機上架")</f>
        <v>新機上架</v>
      </c>
      <c r="L1381" s="12" t="str">
        <f ca="1">IFERROR(__xludf.DUMMYFUNCTION("""COMPUTED_VALUE"""),"上架中")</f>
        <v>上架中</v>
      </c>
      <c r="M1381" s="12"/>
      <c r="N1381" s="12" t="str">
        <f ca="1">IFERROR(__xludf.DUMMYFUNCTION("""COMPUTED_VALUE"""),"衛浴清潔")</f>
        <v>衛浴清潔</v>
      </c>
      <c r="O1381" s="12"/>
      <c r="P1381" s="12"/>
      <c r="Q1381" s="12" t="str">
        <f ca="1">IFERROR(__xludf.DUMMYFUNCTION("""COMPUTED_VALUE"""),"750mlx3")</f>
        <v>750mlx3</v>
      </c>
      <c r="R1381" s="12" t="str">
        <f ca="1">IFERROR(__xludf.DUMMYFUNCTION("""COMPUTED_VALUE"""),"英國")</f>
        <v>英國</v>
      </c>
      <c r="S1381" s="12"/>
      <c r="T1381" s="12"/>
      <c r="U1381" s="12"/>
      <c r="V1381" s="12"/>
      <c r="W1381" s="12"/>
      <c r="X1381" s="12"/>
      <c r="Y1381" s="12"/>
      <c r="Z1381" s="14"/>
      <c r="AA1381" s="15" t="str">
        <f ca="1">IFERROR(__xludf.DUMMYFUNCTION("""COMPUTED_VALUE"""),"*獨家潔淨配方,無刺鼻氣味*貼心噴頭設計,輕鬆一噴,使用便利*各種難解油漬,一噴搞定*除霉.清潔.殺菌,一氣呵成*迅速深入衣物纖維,分解衣物難洗汙漬")</f>
        <v>*獨家潔淨配方,無刺鼻氣味*貼心噴頭設計,輕鬆一噴,使用便利*各種難解油漬,一噴搞定*除霉.清潔.殺菌,一氣呵成*迅速深入衣物纖維,分解衣物難洗汙漬</v>
      </c>
    </row>
    <row r="1382" spans="1:27" ht="19.5" customHeight="1">
      <c r="A1382" s="12" t="str">
        <f ca="1">IFERROR(__xludf.DUMMYFUNCTION("""COMPUTED_VALUE"""),"居家生活用品")</f>
        <v>居家生活用品</v>
      </c>
      <c r="B1382" s="12" t="str">
        <f ca="1">IFERROR(__xludf.DUMMYFUNCTION("""COMPUTED_VALUE"""),"凱創")</f>
        <v>凱創</v>
      </c>
      <c r="C1382" s="12" t="str">
        <f ca="1">IFERROR(__xludf.DUMMYFUNCTION("""COMPUTED_VALUE"""),"3M")</f>
        <v>3M</v>
      </c>
      <c r="D1382" s="12" t="str">
        <f ca="1">IFERROR(__xludf.DUMMYFUNCTION("""COMPUTED_VALUE"""),"3M濾水壺即淨長效濾心4入裝")</f>
        <v>3M濾水壺即淨長效濾心4入裝</v>
      </c>
      <c r="E1382" s="12" t="str">
        <f ca="1">IFERROR(__xludf.DUMMYFUNCTION("""COMPUTED_VALUE"""),"濾水壺即淨長效濾心4入裝")</f>
        <v>濾水壺即淨長效濾心4入裝</v>
      </c>
      <c r="F1382" s="12">
        <f ca="1">IFERROR(__xludf.DUMMYFUNCTION("""COMPUTED_VALUE"""),51084257)</f>
        <v>51084257</v>
      </c>
      <c r="G1382" s="12" t="str">
        <f ca="1">IFERROR(__xludf.DUMMYFUNCTION("""COMPUTED_VALUE"""),"EHOME081")</f>
        <v>EHOME081</v>
      </c>
      <c r="H1382" s="12">
        <f ca="1">IFERROR(__xludf.DUMMYFUNCTION("""COMPUTED_VALUE"""),1478)</f>
        <v>1478</v>
      </c>
      <c r="I1382" s="14">
        <f ca="1">IFERROR(__xludf.DUMMYFUNCTION("""COMPUTED_VALUE"""),1088)</f>
        <v>1088</v>
      </c>
      <c r="J1382" s="12"/>
      <c r="K1382" s="12"/>
      <c r="L1382" s="12" t="str">
        <f ca="1">IFERROR(__xludf.DUMMYFUNCTION("""COMPUTED_VALUE"""),"上架中")</f>
        <v>上架中</v>
      </c>
      <c r="M1382" s="12"/>
      <c r="N1382" s="12" t="str">
        <f ca="1">IFERROR(__xludf.DUMMYFUNCTION("""COMPUTED_VALUE"""),"濾水壺")</f>
        <v>濾水壺</v>
      </c>
      <c r="O1382" s="12" t="str">
        <f ca="1">IFERROR(__xludf.DUMMYFUNCTION("""COMPUTED_VALUE"""),"白")</f>
        <v>白</v>
      </c>
      <c r="P1382" s="12"/>
      <c r="Q1382" s="12" t="str">
        <f ca="1">IFERROR(__xludf.DUMMYFUNCTION("""COMPUTED_VALUE"""),"255*130*255mm")</f>
        <v>255*130*255mm</v>
      </c>
      <c r="R1382" s="12" t="str">
        <f ca="1">IFERROR(__xludf.DUMMYFUNCTION("""COMPUTED_VALUE"""),"台灣")</f>
        <v>台灣</v>
      </c>
      <c r="S1382" s="12"/>
      <c r="T1382" s="12"/>
      <c r="U1382" s="12"/>
      <c r="V1382" s="12"/>
      <c r="W1382" s="12"/>
      <c r="X1382" s="12"/>
      <c r="Y1382" s="12"/>
      <c r="Z1382" s="14"/>
      <c r="AA1382" s="15"/>
    </row>
    <row r="1383" spans="1:27" ht="19.5" customHeight="1">
      <c r="A1383" s="12" t="str">
        <f ca="1">IFERROR(__xludf.DUMMYFUNCTION("""COMPUTED_VALUE"""),"居家生活用品")</f>
        <v>居家生活用品</v>
      </c>
      <c r="B1383" s="12" t="str">
        <f ca="1">IFERROR(__xludf.DUMMYFUNCTION("""COMPUTED_VALUE"""),"凱創")</f>
        <v>凱創</v>
      </c>
      <c r="C1383" s="12" t="str">
        <f ca="1">IFERROR(__xludf.DUMMYFUNCTION("""COMPUTED_VALUE"""),"3M")</f>
        <v>3M</v>
      </c>
      <c r="D1383" s="12" t="str">
        <f ca="1">IFERROR(__xludf.DUMMYFUNCTION("""COMPUTED_VALUE"""),"3MS003DIY淨水組(內含1濾心)")</f>
        <v>3MS003DIY淨水組(內含1濾心)</v>
      </c>
      <c r="E1383" s="12" t="str">
        <f ca="1">IFERROR(__xludf.DUMMYFUNCTION("""COMPUTED_VALUE"""),"S003-D")</f>
        <v>S003-D</v>
      </c>
      <c r="F1383" s="12">
        <f ca="1">IFERROR(__xludf.DUMMYFUNCTION("""COMPUTED_VALUE"""),51084269)</f>
        <v>51084269</v>
      </c>
      <c r="G1383" s="12" t="str">
        <f ca="1">IFERROR(__xludf.DUMMYFUNCTION("""COMPUTED_VALUE"""),"EHOME093")</f>
        <v>EHOME093</v>
      </c>
      <c r="H1383" s="12">
        <f ca="1">IFERROR(__xludf.DUMMYFUNCTION("""COMPUTED_VALUE"""),3590)</f>
        <v>3590</v>
      </c>
      <c r="I1383" s="14">
        <f ca="1">IFERROR(__xludf.DUMMYFUNCTION("""COMPUTED_VALUE"""),3190)</f>
        <v>3190</v>
      </c>
      <c r="J1383" s="12"/>
      <c r="K1383" s="12"/>
      <c r="L1383" s="12" t="str">
        <f ca="1">IFERROR(__xludf.DUMMYFUNCTION("""COMPUTED_VALUE"""),"上架中")</f>
        <v>上架中</v>
      </c>
      <c r="M1383" s="12"/>
      <c r="N1383" s="12" t="str">
        <f ca="1">IFERROR(__xludf.DUMMYFUNCTION("""COMPUTED_VALUE"""),"淨水器")</f>
        <v>淨水器</v>
      </c>
      <c r="O1383" s="12" t="str">
        <f ca="1">IFERROR(__xludf.DUMMYFUNCTION("""COMPUTED_VALUE"""),"X")</f>
        <v>X</v>
      </c>
      <c r="P1383" s="12"/>
      <c r="Q1383" s="12" t="str">
        <f ca="1">IFERROR(__xludf.DUMMYFUNCTION("""COMPUTED_VALUE"""),"商品尺寸：高310x寬60x深68mm")</f>
        <v>商品尺寸：高310x寬60x深68mm</v>
      </c>
      <c r="R1383" s="12" t="str">
        <f ca="1">IFERROR(__xludf.DUMMYFUNCTION("""COMPUTED_VALUE"""),"機器-台灣／濾心-墨西哥")</f>
        <v>機器-台灣／濾心-墨西哥</v>
      </c>
      <c r="S1383" s="12"/>
      <c r="T1383" s="12"/>
      <c r="U1383" s="22" t="str">
        <f ca="1">IFERROR(__xludf.DUMMYFUNCTION("""COMPUTED_VALUE"""),"主機正常使用下一年保固")</f>
        <v>主機正常使用下一年保固</v>
      </c>
      <c r="V1383" s="12"/>
      <c r="W1383" s="12"/>
      <c r="X1383" s="12"/>
      <c r="Y1383" s="12"/>
      <c r="Z1383" s="14"/>
      <c r="AA1383" s="15" t="str">
        <f ca="1">IFERROR(__xludf.DUMMYFUNCTION("""COMPUTED_VALUE"""),"*免鑽洞輕鬆DIY，淨水好簡單*有效去除餘氯/異味/孢子囊菌/重金屬*即淨即飲，適合租屋族/小家庭*通過美國NSF42、53認證/SGS驗證*小體積省空間，免插電無廢水*5秒鐘免工具快速更換濾心")</f>
        <v>*免鑽洞輕鬆DIY，淨水好簡單*有效去除餘氯/異味/孢子囊菌/重金屬*即淨即飲，適合租屋族/小家庭*通過美國NSF42、53認證/SGS驗證*小體積省空間，免插電無廢水*5秒鐘免工具快速更換濾心</v>
      </c>
    </row>
    <row r="1384" spans="1:27" ht="19.5" customHeight="1">
      <c r="A1384" s="12" t="str">
        <f ca="1">IFERROR(__xludf.DUMMYFUNCTION("""COMPUTED_VALUE"""),"居家生活用品")</f>
        <v>居家生活用品</v>
      </c>
      <c r="B1384" s="12" t="str">
        <f ca="1">IFERROR(__xludf.DUMMYFUNCTION("""COMPUTED_VALUE"""),"凱創")</f>
        <v>凱創</v>
      </c>
      <c r="C1384" s="12" t="str">
        <f ca="1">IFERROR(__xludf.DUMMYFUNCTION("""COMPUTED_VALUE"""),"3M")</f>
        <v>3M</v>
      </c>
      <c r="D1384" s="12" t="str">
        <f ca="1">IFERROR(__xludf.DUMMYFUNCTION("""COMPUTED_VALUE"""),"3MF003DIY淨水器替換濾心兩入")</f>
        <v>3MF003DIY淨水器替換濾心兩入</v>
      </c>
      <c r="E1384" s="12" t="str">
        <f ca="1">IFERROR(__xludf.DUMMYFUNCTION("""COMPUTED_VALUE"""),"3US-F003-5")</f>
        <v>3US-F003-5</v>
      </c>
      <c r="F1384" s="12">
        <f ca="1">IFERROR(__xludf.DUMMYFUNCTION("""COMPUTED_VALUE"""),51084270)</f>
        <v>51084270</v>
      </c>
      <c r="G1384" s="12" t="str">
        <f ca="1">IFERROR(__xludf.DUMMYFUNCTION("""COMPUTED_VALUE"""),"EHOME094")</f>
        <v>EHOME094</v>
      </c>
      <c r="H1384" s="12">
        <f ca="1">IFERROR(__xludf.DUMMYFUNCTION("""COMPUTED_VALUE"""),4090)</f>
        <v>4090</v>
      </c>
      <c r="I1384" s="14">
        <f ca="1">IFERROR(__xludf.DUMMYFUNCTION("""COMPUTED_VALUE"""),3690)</f>
        <v>3690</v>
      </c>
      <c r="J1384" s="12"/>
      <c r="K1384" s="12"/>
      <c r="L1384" s="12" t="str">
        <f ca="1">IFERROR(__xludf.DUMMYFUNCTION("""COMPUTED_VALUE"""),"上架中")</f>
        <v>上架中</v>
      </c>
      <c r="M1384" s="12"/>
      <c r="N1384" s="12" t="str">
        <f ca="1">IFERROR(__xludf.DUMMYFUNCTION("""COMPUTED_VALUE"""),"淨水器")</f>
        <v>淨水器</v>
      </c>
      <c r="O1384" s="12" t="str">
        <f ca="1">IFERROR(__xludf.DUMMYFUNCTION("""COMPUTED_VALUE"""),"X")</f>
        <v>X</v>
      </c>
      <c r="P1384" s="12" t="str">
        <f ca="1">IFERROR(__xludf.DUMMYFUNCTION("""COMPUTED_VALUE"""),"★本商品一經拆封安裝使用，恕無法辦理退貨★
◆內容物：S003DIY淨水器替換濾心x2
◆主要材質：高密度活性碳棒
◆濾心型號：3US-F003-5
◆適用淨水器型號：DS02/DS02-CG/Waterduo/L21/S003
◆過濾孔徑：0.5微米
◆商品尺寸：寬5.2x高29.5cm/單支
◆包裝尺寸：寬12x深6.2x高30.8cm
◆商品重量：400g/單支
◆包裝重量：1200g
◆操作溫度：4.4~37.8°C
◆最大濾出水量：每分鐘2.8公升
◆總濾水量：2839公升
◆操作水壓：20~5"&amp;"7psi
◆活性碳濾心更換週期：6個月／使用水量達2839公升
◆產地：墨西哥
◆效期：10年(未拆封)")</f>
        <v>★本商品一經拆封安裝使用，恕無法辦理退貨★
◆內容物：S003DIY淨水器替換濾心x2
◆主要材質：高密度活性碳棒
◆濾心型號：3US-F003-5
◆適用淨水器型號：DS02/DS02-CG/Waterduo/L21/S003
◆過濾孔徑：0.5微米
◆商品尺寸：寬5.2x高29.5cm/單支
◆包裝尺寸：寬12x深6.2x高30.8cm
◆商品重量：400g/單支
◆包裝重量：1200g
◆操作溫度：4.4~37.8°C
◆最大濾出水量：每分鐘2.8公升
◆總濾水量：2839公升
◆操作水壓：20~57psi
◆活性碳濾心更換週期：6個月／使用水量達2839公升
◆產地：墨西哥
◆效期：10年(未拆封)</v>
      </c>
      <c r="Q1384" s="12" t="str">
        <f ca="1">IFERROR(__xludf.DUMMYFUNCTION("""COMPUTED_VALUE"""),"商品尺寸：高295x寬52mm/單支")</f>
        <v>商品尺寸：高295x寬52mm/單支</v>
      </c>
      <c r="R1384" s="12" t="str">
        <f ca="1">IFERROR(__xludf.DUMMYFUNCTION("""COMPUTED_VALUE"""),"墨西哥")</f>
        <v>墨西哥</v>
      </c>
      <c r="S1384" s="12"/>
      <c r="T1384" s="12"/>
      <c r="U1384" s="22" t="str">
        <f ca="1">IFERROR(__xludf.DUMMYFUNCTION("""COMPUTED_VALUE"""),"X")</f>
        <v>X</v>
      </c>
      <c r="V1384" s="12"/>
      <c r="W1384" s="12"/>
      <c r="X1384" s="12"/>
      <c r="Y1384" s="12"/>
      <c r="Z1384" s="14"/>
      <c r="AA1384" s="15" t="str">
        <f ca="1">IFERROR(__xludf.DUMMYFUNCTION("""COMPUTED_VALUE"""),"*適用S003/DS03/L21/Waterduo/DS02系列淨水器*有效去除餘氯/異味/孢子囊菌/重金屬*通過美國NSF42、53認證/SGS驗證*5秒鐘免工具快速更換濾心")</f>
        <v>*適用S003/DS03/L21/Waterduo/DS02系列淨水器*有效去除餘氯/異味/孢子囊菌/重金屬*通過美國NSF42、53認證/SGS驗證*5秒鐘免工具快速更換濾心</v>
      </c>
    </row>
    <row r="1385" spans="1:27" ht="19.5" customHeight="1">
      <c r="A1385" s="12" t="str">
        <f ca="1">IFERROR(__xludf.DUMMYFUNCTION("""COMPUTED_VALUE"""),"居家生活用品")</f>
        <v>居家生活用品</v>
      </c>
      <c r="B1385" s="12" t="str">
        <f ca="1">IFERROR(__xludf.DUMMYFUNCTION("""COMPUTED_VALUE"""),"凱創")</f>
        <v>凱創</v>
      </c>
      <c r="C1385" s="12" t="str">
        <f ca="1">IFERROR(__xludf.DUMMYFUNCTION("""COMPUTED_VALUE"""),"3M")</f>
        <v>3M</v>
      </c>
      <c r="D1385" s="12" t="str">
        <f ca="1">IFERROR(__xludf.DUMMYFUNCTION("""COMPUTED_VALUE"""),"3M極淨便捷系列櫥下型淨水器(一機一心+原廠鵝頸龍頭+免費基本安裝)")</f>
        <v>3M極淨便捷系列櫥下型淨水器(一機一心+原廠鵝頸龍頭+免費基本安裝)</v>
      </c>
      <c r="E1385" s="12" t="str">
        <f ca="1">IFERROR(__xludf.DUMMYFUNCTION("""COMPUTED_VALUE"""),"3US-S004-5")</f>
        <v>3US-S004-5</v>
      </c>
      <c r="F1385" s="12">
        <f ca="1">IFERROR(__xludf.DUMMYFUNCTION("""COMPUTED_VALUE"""),51084255)</f>
        <v>51084255</v>
      </c>
      <c r="G1385" s="12" t="str">
        <f ca="1">IFERROR(__xludf.DUMMYFUNCTION("""COMPUTED_VALUE"""),"EHOME079")</f>
        <v>EHOME079</v>
      </c>
      <c r="H1385" s="12">
        <f ca="1">IFERROR(__xludf.DUMMYFUNCTION("""COMPUTED_VALUE"""),7490)</f>
        <v>7490</v>
      </c>
      <c r="I1385" s="14">
        <f ca="1">IFERROR(__xludf.DUMMYFUNCTION("""COMPUTED_VALUE"""),6990)</f>
        <v>6990</v>
      </c>
      <c r="J1385" s="12"/>
      <c r="K1385" s="12"/>
      <c r="L1385" s="12" t="str">
        <f ca="1">IFERROR(__xludf.DUMMYFUNCTION("""COMPUTED_VALUE"""),"上架中")</f>
        <v>上架中</v>
      </c>
      <c r="M1385" s="12"/>
      <c r="N1385" s="12" t="str">
        <f ca="1">IFERROR(__xludf.DUMMYFUNCTION("""COMPUTED_VALUE"""),"淨水器")</f>
        <v>淨水器</v>
      </c>
      <c r="O1385" s="12" t="str">
        <f ca="1">IFERROR(__xludf.DUMMYFUNCTION("""COMPUTED_VALUE"""),"白")</f>
        <v>白</v>
      </c>
      <c r="P1385" s="12"/>
      <c r="Q1385" s="12" t="str">
        <f ca="1">IFERROR(__xludf.DUMMYFUNCTION("""COMPUTED_VALUE"""),"446*70*180mm")</f>
        <v>446*70*180mm</v>
      </c>
      <c r="R1385" s="12" t="str">
        <f ca="1">IFERROR(__xludf.DUMMYFUNCTION("""COMPUTED_VALUE"""),"濾頭:台灣/濾心:美國")</f>
        <v>濾頭:台灣/濾心:美國</v>
      </c>
      <c r="S1385" s="12"/>
      <c r="T1385" s="12"/>
      <c r="U1385" s="12"/>
      <c r="V1385" s="12"/>
      <c r="W1385" s="12"/>
      <c r="X1385" s="12" t="str">
        <f ca="1">IFERROR(__xludf.DUMMYFUNCTION("""COMPUTED_VALUE"""),"(114/1/1-2/28)隨貨送特福不鏽鋼隨行保溫杯(市價$599)")</f>
        <v>(114/1/1-2/28)隨貨送特福不鏽鋼隨行保溫杯(市價$599)</v>
      </c>
      <c r="Y1385" s="12"/>
      <c r="Z1385" s="14"/>
      <c r="AA1385" s="15"/>
    </row>
    <row r="1386" spans="1:27" ht="19.5" customHeight="1">
      <c r="A1386" s="12" t="str">
        <f ca="1">IFERROR(__xludf.DUMMYFUNCTION("""COMPUTED_VALUE"""),"居家生活用品")</f>
        <v>居家生活用品</v>
      </c>
      <c r="B1386" s="12" t="str">
        <f ca="1">IFERROR(__xludf.DUMMYFUNCTION("""COMPUTED_VALUE"""),"凱創")</f>
        <v>凱創</v>
      </c>
      <c r="C1386" s="12" t="str">
        <f ca="1">IFERROR(__xludf.DUMMYFUNCTION("""COMPUTED_VALUE"""),"3M")</f>
        <v>3M</v>
      </c>
      <c r="D1386" s="12" t="str">
        <f ca="1">IFERROR(__xludf.DUMMYFUNCTION("""COMPUTED_VALUE"""),"3M極淨便捷系列淨水器3US-S004-5濾心")</f>
        <v>3M極淨便捷系列淨水器3US-S004-5濾心</v>
      </c>
      <c r="E1386" s="12" t="str">
        <f ca="1">IFERROR(__xludf.DUMMYFUNCTION("""COMPUTED_VALUE"""),"3US-S004-5濾心")</f>
        <v>3US-S004-5濾心</v>
      </c>
      <c r="F1386" s="12">
        <f ca="1">IFERROR(__xludf.DUMMYFUNCTION("""COMPUTED_VALUE"""),51084256)</f>
        <v>51084256</v>
      </c>
      <c r="G1386" s="12" t="str">
        <f ca="1">IFERROR(__xludf.DUMMYFUNCTION("""COMPUTED_VALUE"""),"EHOME080")</f>
        <v>EHOME080</v>
      </c>
      <c r="H1386" s="12">
        <f ca="1">IFERROR(__xludf.DUMMYFUNCTION("""COMPUTED_VALUE"""),4200)</f>
        <v>4200</v>
      </c>
      <c r="I1386" s="14">
        <f ca="1">IFERROR(__xludf.DUMMYFUNCTION("""COMPUTED_VALUE"""),2690)</f>
        <v>2690</v>
      </c>
      <c r="J1386" s="12"/>
      <c r="K1386" s="12"/>
      <c r="L1386" s="12" t="str">
        <f ca="1">IFERROR(__xludf.DUMMYFUNCTION("""COMPUTED_VALUE"""),"上架中")</f>
        <v>上架中</v>
      </c>
      <c r="M1386" s="12"/>
      <c r="N1386" s="12" t="str">
        <f ca="1">IFERROR(__xludf.DUMMYFUNCTION("""COMPUTED_VALUE"""),"淨水器")</f>
        <v>淨水器</v>
      </c>
      <c r="O1386" s="12" t="str">
        <f ca="1">IFERROR(__xludf.DUMMYFUNCTION("""COMPUTED_VALUE"""),"白")</f>
        <v>白</v>
      </c>
      <c r="P1386" s="12"/>
      <c r="Q1386" s="12" t="str">
        <f ca="1">IFERROR(__xludf.DUMMYFUNCTION("""COMPUTED_VALUE"""),"168*85*379mm")</f>
        <v>168*85*379mm</v>
      </c>
      <c r="R1386" s="12" t="str">
        <f ca="1">IFERROR(__xludf.DUMMYFUNCTION("""COMPUTED_VALUE"""),"美國")</f>
        <v>美國</v>
      </c>
      <c r="S1386" s="12"/>
      <c r="T1386" s="12"/>
      <c r="U1386" s="12"/>
      <c r="V1386" s="12"/>
      <c r="W1386" s="12"/>
      <c r="X1386" s="12"/>
      <c r="Y1386" s="12"/>
      <c r="Z1386" s="14"/>
      <c r="AA1386" s="15"/>
    </row>
    <row r="1387" spans="1:27" ht="19.5" customHeight="1">
      <c r="A1387" s="12" t="str">
        <f ca="1">IFERROR(__xludf.DUMMYFUNCTION("""COMPUTED_VALUE"""),"居家生活用品")</f>
        <v>居家生活用品</v>
      </c>
      <c r="B1387" s="12" t="str">
        <f ca="1">IFERROR(__xludf.DUMMYFUNCTION("""COMPUTED_VALUE"""),"凱創")</f>
        <v>凱創</v>
      </c>
      <c r="C1387" s="12" t="str">
        <f ca="1">IFERROR(__xludf.DUMMYFUNCTION("""COMPUTED_VALUE"""),"3M")</f>
        <v>3M</v>
      </c>
      <c r="D1387" s="12" t="str">
        <f ca="1">IFERROR(__xludf.DUMMYFUNCTION("""COMPUTED_VALUE"""),"居家_3M 升級版防蹣涼夏被-經典藍(5x7)-宅配限本島")</f>
        <v>居家_3M 升級版防蹣涼夏被-經典藍(5x7)-宅配限本島</v>
      </c>
      <c r="E1387" s="12" t="str">
        <f ca="1">IFERROR(__xludf.DUMMYFUNCTION("""COMPUTED_VALUE"""),"3M-7100252788-居家")</f>
        <v>3M-7100252788-居家</v>
      </c>
      <c r="F1387" s="12">
        <f ca="1">IFERROR(__xludf.DUMMYFUNCTION("""COMPUTED_VALUE"""),51057189)</f>
        <v>51057189</v>
      </c>
      <c r="G1387" s="12" t="str">
        <f ca="1">IFERROR(__xludf.DUMMYFUNCTION("""COMPUTED_VALUE"""),"IGEM070X")</f>
        <v>IGEM070X</v>
      </c>
      <c r="H1387" s="13">
        <f ca="1">IFERROR(__xludf.DUMMYFUNCTION("""COMPUTED_VALUE"""),4990)</f>
        <v>4990</v>
      </c>
      <c r="I1387" s="14">
        <f ca="1">IFERROR(__xludf.DUMMYFUNCTION("""COMPUTED_VALUE"""),2790)</f>
        <v>2790</v>
      </c>
      <c r="J1387" s="12"/>
      <c r="K1387" s="12"/>
      <c r="L1387" s="12" t="str">
        <f ca="1">IFERROR(__xludf.DUMMYFUNCTION("""COMPUTED_VALUE"""),"上架中")</f>
        <v>上架中</v>
      </c>
      <c r="M1387" s="12" t="str">
        <f ca="1">IFERROR(__xludf.DUMMYFUNCTION("""COMPUTED_VALUE"""),"2022/11/1新機上架")</f>
        <v>2022/11/1新機上架</v>
      </c>
      <c r="N1387" s="12" t="str">
        <f ca="1">IFERROR(__xludf.DUMMYFUNCTION("""COMPUTED_VALUE"""),"棉被/毯/被套")</f>
        <v>棉被/毯/被套</v>
      </c>
      <c r="O1387" s="12" t="str">
        <f ca="1">IFERROR(__xludf.DUMMYFUNCTION("""COMPUTED_VALUE"""),"經典藍")</f>
        <v>經典藍</v>
      </c>
      <c r="P1387" s="12" t="str">
        <f ca="1">IFERROR(__xludf.DUMMYFUNCTION("""COMPUTED_VALUE"""),"單人")</f>
        <v>單人</v>
      </c>
      <c r="Q1387" s="12" t="str">
        <f ca="1">IFERROR(__xludf.DUMMYFUNCTION("""COMPUTED_VALUE"""),"1500x 2100 mm(5尺x7尺) (±5%)")</f>
        <v>1500x 2100 mm(5尺x7尺) (±5%)</v>
      </c>
      <c r="R1387" s="12" t="str">
        <f ca="1">IFERROR(__xludf.DUMMYFUNCTION("""COMPUTED_VALUE"""),"台灣")</f>
        <v>台灣</v>
      </c>
      <c r="S1387" s="12"/>
      <c r="T1387" s="12"/>
      <c r="U1387" s="12"/>
      <c r="V1387" s="12"/>
      <c r="W1387" s="12"/>
      <c r="X1387" s="12"/>
      <c r="Y1387" s="12"/>
      <c r="Z1387" s="14"/>
      <c r="AA1387" s="15" t="str">
        <f ca="1">IFERROR(__xludf.DUMMYFUNCTION("""COMPUTED_VALUE"""),"*UP+涼感升級15%，瞬涼6°C*1被2用，自己的溫度自己DIY*獨特耳帶設計，換季更便利*極細纖維孔徑，輕盈舒適透氣*耐洗耐烘乾不糾結*科技纖維可水洗，不易孳生塵蹣")</f>
        <v>*UP+涼感升級15%，瞬涼6°C*1被2用，自己的溫度自己DIY*獨特耳帶設計，換季更便利*極細纖維孔徑，輕盈舒適透氣*耐洗耐烘乾不糾結*科技纖維可水洗，不易孳生塵蹣</v>
      </c>
    </row>
    <row r="1388" spans="1:27" ht="19.5" customHeight="1">
      <c r="A1388" s="12" t="str">
        <f ca="1">IFERROR(__xludf.DUMMYFUNCTION("""COMPUTED_VALUE"""),"居家生活用品")</f>
        <v>居家生活用品</v>
      </c>
      <c r="B1388" s="12" t="str">
        <f ca="1">IFERROR(__xludf.DUMMYFUNCTION("""COMPUTED_VALUE"""),"凱創")</f>
        <v>凱創</v>
      </c>
      <c r="C1388" s="12" t="str">
        <f ca="1">IFERROR(__xludf.DUMMYFUNCTION("""COMPUTED_VALUE"""),"3M")</f>
        <v>3M</v>
      </c>
      <c r="D1388" s="12" t="str">
        <f ca="1">IFERROR(__xludf.DUMMYFUNCTION("""COMPUTED_VALUE"""),"居家_3M 升級版防蹣涼夏被-經典藍(6x7)-宅配限本島")</f>
        <v>居家_3M 升級版防蹣涼夏被-經典藍(6x7)-宅配限本島</v>
      </c>
      <c r="E1388" s="12" t="str">
        <f ca="1">IFERROR(__xludf.DUMMYFUNCTION("""COMPUTED_VALUE"""),"3M-7100252789-居家")</f>
        <v>3M-7100252789-居家</v>
      </c>
      <c r="F1388" s="12">
        <f ca="1">IFERROR(__xludf.DUMMYFUNCTION("""COMPUTED_VALUE"""),51057190)</f>
        <v>51057190</v>
      </c>
      <c r="G1388" s="12" t="str">
        <f ca="1">IFERROR(__xludf.DUMMYFUNCTION("""COMPUTED_VALUE"""),"IGEM070Y")</f>
        <v>IGEM070Y</v>
      </c>
      <c r="H1388" s="13">
        <f ca="1">IFERROR(__xludf.DUMMYFUNCTION("""COMPUTED_VALUE"""),5490)</f>
        <v>5490</v>
      </c>
      <c r="I1388" s="14">
        <f ca="1">IFERROR(__xludf.DUMMYFUNCTION("""COMPUTED_VALUE"""),2990)</f>
        <v>2990</v>
      </c>
      <c r="J1388" s="12"/>
      <c r="K1388" s="12"/>
      <c r="L1388" s="12" t="str">
        <f ca="1">IFERROR(__xludf.DUMMYFUNCTION("""COMPUTED_VALUE"""),"上架中")</f>
        <v>上架中</v>
      </c>
      <c r="M1388" s="12" t="str">
        <f ca="1">IFERROR(__xludf.DUMMYFUNCTION("""COMPUTED_VALUE"""),"2022/11/1新機上架")</f>
        <v>2022/11/1新機上架</v>
      </c>
      <c r="N1388" s="12" t="str">
        <f ca="1">IFERROR(__xludf.DUMMYFUNCTION("""COMPUTED_VALUE"""),"棉被/毯/被套")</f>
        <v>棉被/毯/被套</v>
      </c>
      <c r="O1388" s="12" t="str">
        <f ca="1">IFERROR(__xludf.DUMMYFUNCTION("""COMPUTED_VALUE"""),"經典藍")</f>
        <v>經典藍</v>
      </c>
      <c r="P1388" s="12" t="str">
        <f ca="1">IFERROR(__xludf.DUMMYFUNCTION("""COMPUTED_VALUE"""),"雙人")</f>
        <v>雙人</v>
      </c>
      <c r="Q1388" s="12" t="str">
        <f ca="1">IFERROR(__xludf.DUMMYFUNCTION("""COMPUTED_VALUE"""),"1800x 2100 mm(6尺x7尺) (±5%)")</f>
        <v>1800x 2100 mm(6尺x7尺) (±5%)</v>
      </c>
      <c r="R1388" s="12" t="str">
        <f ca="1">IFERROR(__xludf.DUMMYFUNCTION("""COMPUTED_VALUE"""),"台灣")</f>
        <v>台灣</v>
      </c>
      <c r="S1388" s="12"/>
      <c r="T1388" s="12"/>
      <c r="U1388" s="12"/>
      <c r="V1388" s="12"/>
      <c r="W1388" s="12"/>
      <c r="X1388" s="12"/>
      <c r="Y1388" s="12"/>
      <c r="Z1388" s="14"/>
      <c r="AA1388" s="15" t="str">
        <f ca="1">IFERROR(__xludf.DUMMYFUNCTION("""COMPUTED_VALUE"""),"*UP+涼感升級15%，瞬涼6°C*1被2用，自己的溫度自己DIY*獨特耳帶設計，換季更便利*極細纖維孔徑，輕盈舒適透氣*耐洗耐烘乾不糾結*科技纖維可水洗，不易孳生塵蹣")</f>
        <v>*UP+涼感升級15%，瞬涼6°C*1被2用，自己的溫度自己DIY*獨特耳帶設計，換季更便利*極細纖維孔徑，輕盈舒適透氣*耐洗耐烘乾不糾結*科技纖維可水洗，不易孳生塵蹣</v>
      </c>
    </row>
    <row r="1389" spans="1:27" ht="19.5" customHeight="1">
      <c r="A1389" s="12" t="str">
        <f ca="1">IFERROR(__xludf.DUMMYFUNCTION("""COMPUTED_VALUE"""),"居家生活用品")</f>
        <v>居家生活用品</v>
      </c>
      <c r="B1389" s="12" t="str">
        <f ca="1">IFERROR(__xludf.DUMMYFUNCTION("""COMPUTED_VALUE"""),"凱創")</f>
        <v>凱創</v>
      </c>
      <c r="C1389" s="12" t="str">
        <f ca="1">IFERROR(__xludf.DUMMYFUNCTION("""COMPUTED_VALUE"""),"3M")</f>
        <v>3M</v>
      </c>
      <c r="D1389" s="12" t="str">
        <f ca="1">IFERROR(__xludf.DUMMYFUNCTION("""COMPUTED_VALUE"""),"居家_3M NZ250 新2代發熱纖維四季被-單人(5x7)-宅配限本島")</f>
        <v>居家_3M NZ250 新2代發熱纖維四季被-單人(5x7)-宅配限本島</v>
      </c>
      <c r="E1389" s="12" t="str">
        <f ca="1">IFERROR(__xludf.DUMMYFUNCTION("""COMPUTED_VALUE"""),"3M-7100134147-居家")</f>
        <v>3M-7100134147-居家</v>
      </c>
      <c r="F1389" s="12">
        <f ca="1">IFERROR(__xludf.DUMMYFUNCTION("""COMPUTED_VALUE"""),51057191)</f>
        <v>51057191</v>
      </c>
      <c r="G1389" s="12" t="str">
        <f ca="1">IFERROR(__xludf.DUMMYFUNCTION("""COMPUTED_VALUE"""),"IGEM070Z")</f>
        <v>IGEM070Z</v>
      </c>
      <c r="H1389" s="13">
        <f ca="1">IFERROR(__xludf.DUMMYFUNCTION("""COMPUTED_VALUE"""),7990)</f>
        <v>7990</v>
      </c>
      <c r="I1389" s="14">
        <f ca="1">IFERROR(__xludf.DUMMYFUNCTION("""COMPUTED_VALUE"""),4399)</f>
        <v>4399</v>
      </c>
      <c r="J1389" s="12"/>
      <c r="K1389" s="12"/>
      <c r="L1389" s="12" t="str">
        <f ca="1">IFERROR(__xludf.DUMMYFUNCTION("""COMPUTED_VALUE"""),"上架中")</f>
        <v>上架中</v>
      </c>
      <c r="M1389" s="12" t="str">
        <f ca="1">IFERROR(__xludf.DUMMYFUNCTION("""COMPUTED_VALUE"""),"2022/11/1新機上架")</f>
        <v>2022/11/1新機上架</v>
      </c>
      <c r="N1389" s="12" t="str">
        <f ca="1">IFERROR(__xludf.DUMMYFUNCTION("""COMPUTED_VALUE"""),"棉被/毯/被套")</f>
        <v>棉被/毯/被套</v>
      </c>
      <c r="O1389" s="12" t="str">
        <f ca="1">IFERROR(__xludf.DUMMYFUNCTION("""COMPUTED_VALUE"""),"白色")</f>
        <v>白色</v>
      </c>
      <c r="P1389" s="12" t="str">
        <f ca="1">IFERROR(__xludf.DUMMYFUNCTION("""COMPUTED_VALUE"""),"單人")</f>
        <v>單人</v>
      </c>
      <c r="Q1389" s="12" t="str">
        <f ca="1">IFERROR(__xludf.DUMMYFUNCTION("""COMPUTED_VALUE"""),"1500*2100 mm (5尺x7尺) (±5%) (標準單人)")</f>
        <v>1500*2100 mm (5尺x7尺) (±5%) (標準單人)</v>
      </c>
      <c r="R1389" s="12" t="str">
        <f ca="1">IFERROR(__xludf.DUMMYFUNCTION("""COMPUTED_VALUE"""),"台灣")</f>
        <v>台灣</v>
      </c>
      <c r="S1389" s="12"/>
      <c r="T1389" s="12"/>
      <c r="U1389" s="12"/>
      <c r="V1389" s="12"/>
      <c r="W1389" s="12"/>
      <c r="X1389" s="12" t="str">
        <f ca="1">IFERROR(__xludf.DUMMYFUNCTION("""COMPUTED_VALUE"""),"(114/1/1-2/28)隨貨送特福不鏽鋼隨行保溫杯(市價$599)")</f>
        <v>(114/1/1-2/28)隨貨送特福不鏽鋼隨行保溫杯(市價$599)</v>
      </c>
      <c r="Y1389" s="12"/>
      <c r="Z1389" s="14"/>
      <c r="AA1389" s="15" t="str">
        <f ca="1">IFERROR(__xludf.DUMMYFUNCTION("""COMPUTED_VALUE"""),"*被感保暖－全新發熱材質，禦寒保暖升級*被感輕透－在相同CLO值下，3M重量僅為蠶絲被38%*被感抑蹣－科技纖維可水洗，抑制塵蹣生長*被感便捷－耐水洗可烘乾，便利又潔淨")</f>
        <v>*被感保暖－全新發熱材質，禦寒保暖升級*被感輕透－在相同CLO值下，3M重量僅為蠶絲被38%*被感抑蹣－科技纖維可水洗，抑制塵蹣生長*被感便捷－耐水洗可烘乾，便利又潔淨</v>
      </c>
    </row>
    <row r="1390" spans="1:27" ht="19.5" customHeight="1">
      <c r="A1390" s="12" t="str">
        <f ca="1">IFERROR(__xludf.DUMMYFUNCTION("""COMPUTED_VALUE"""),"居家生活用品")</f>
        <v>居家生活用品</v>
      </c>
      <c r="B1390" s="12" t="str">
        <f ca="1">IFERROR(__xludf.DUMMYFUNCTION("""COMPUTED_VALUE"""),"凱創")</f>
        <v>凱創</v>
      </c>
      <c r="C1390" s="12" t="str">
        <f ca="1">IFERROR(__xludf.DUMMYFUNCTION("""COMPUTED_VALUE"""),"3M")</f>
        <v>3M</v>
      </c>
      <c r="D1390" s="12" t="str">
        <f ca="1">IFERROR(__xludf.DUMMYFUNCTION("""COMPUTED_VALUE"""),"居家_3M NZ250 新2代發熱纖維四季被-雙人(6x7)-宅配限本島")</f>
        <v>居家_3M NZ250 新2代發熱纖維四季被-雙人(6x7)-宅配限本島</v>
      </c>
      <c r="E1390" s="12" t="str">
        <f ca="1">IFERROR(__xludf.DUMMYFUNCTION("""COMPUTED_VALUE"""),"3M-7100134148-居家")</f>
        <v>3M-7100134148-居家</v>
      </c>
      <c r="F1390" s="12">
        <f ca="1">IFERROR(__xludf.DUMMYFUNCTION("""COMPUTED_VALUE"""),51057192)</f>
        <v>51057192</v>
      </c>
      <c r="G1390" s="12" t="str">
        <f ca="1">IFERROR(__xludf.DUMMYFUNCTION("""COMPUTED_VALUE"""),"IGEM0711")</f>
        <v>IGEM0711</v>
      </c>
      <c r="H1390" s="13">
        <f ca="1">IFERROR(__xludf.DUMMYFUNCTION("""COMPUTED_VALUE"""),9490)</f>
        <v>9490</v>
      </c>
      <c r="I1390" s="14">
        <f ca="1">IFERROR(__xludf.DUMMYFUNCTION("""COMPUTED_VALUE"""),4799)</f>
        <v>4799</v>
      </c>
      <c r="J1390" s="12"/>
      <c r="K1390" s="12"/>
      <c r="L1390" s="12" t="str">
        <f ca="1">IFERROR(__xludf.DUMMYFUNCTION("""COMPUTED_VALUE"""),"上架中")</f>
        <v>上架中</v>
      </c>
      <c r="M1390" s="12" t="str">
        <f ca="1">IFERROR(__xludf.DUMMYFUNCTION("""COMPUTED_VALUE"""),"2022/11/1新機上架")</f>
        <v>2022/11/1新機上架</v>
      </c>
      <c r="N1390" s="12" t="str">
        <f ca="1">IFERROR(__xludf.DUMMYFUNCTION("""COMPUTED_VALUE"""),"棉被/毯/被套")</f>
        <v>棉被/毯/被套</v>
      </c>
      <c r="O1390" s="12" t="str">
        <f ca="1">IFERROR(__xludf.DUMMYFUNCTION("""COMPUTED_VALUE"""),"白色")</f>
        <v>白色</v>
      </c>
      <c r="P1390" s="12" t="str">
        <f ca="1">IFERROR(__xludf.DUMMYFUNCTION("""COMPUTED_VALUE"""),"雙人")</f>
        <v>雙人</v>
      </c>
      <c r="Q1390" s="12" t="str">
        <f ca="1">IFERROR(__xludf.DUMMYFUNCTION("""COMPUTED_VALUE"""),"1800*2100 mm (6尺x7尺) (±5%) (標準雙人)")</f>
        <v>1800*2100 mm (6尺x7尺) (±5%) (標準雙人)</v>
      </c>
      <c r="R1390" s="12" t="str">
        <f ca="1">IFERROR(__xludf.DUMMYFUNCTION("""COMPUTED_VALUE"""),"台灣")</f>
        <v>台灣</v>
      </c>
      <c r="S1390" s="12"/>
      <c r="T1390" s="12"/>
      <c r="U1390" s="12"/>
      <c r="V1390" s="12"/>
      <c r="W1390" s="12"/>
      <c r="X1390" s="12" t="str">
        <f ca="1">IFERROR(__xludf.DUMMYFUNCTION("""COMPUTED_VALUE"""),"(114/1/1-2/28)隨貨送特福不鏽鋼隨行保溫杯(市價$599)")</f>
        <v>(114/1/1-2/28)隨貨送特福不鏽鋼隨行保溫杯(市價$599)</v>
      </c>
      <c r="Y1390" s="12"/>
      <c r="Z1390" s="14"/>
      <c r="AA1390" s="15" t="str">
        <f ca="1">IFERROR(__xludf.DUMMYFUNCTION("""COMPUTED_VALUE"""),"*被感保暖－全新發熱材質，禦寒保暖升級*被感輕透－在相同CLO值下，3M重量僅為蠶絲被38%*被感抑蹣－科技纖維可水洗，抑制塵蹣生長*被感便捷－耐水洗可烘乾，便利又潔淨")</f>
        <v>*被感保暖－全新發熱材質，禦寒保暖升級*被感輕透－在相同CLO值下，3M重量僅為蠶絲被38%*被感抑蹣－科技纖維可水洗，抑制塵蹣生長*被感便捷－耐水洗可烘乾，便利又潔淨</v>
      </c>
    </row>
    <row r="1391" spans="1:27" ht="19.5" customHeight="1">
      <c r="A1391" s="12" t="str">
        <f ca="1">IFERROR(__xludf.DUMMYFUNCTION("""COMPUTED_VALUE"""),"居家生活用品")</f>
        <v>居家生活用品</v>
      </c>
      <c r="B1391" s="12" t="str">
        <f ca="1">IFERROR(__xludf.DUMMYFUNCTION("""COMPUTED_VALUE"""),"凱創")</f>
        <v>凱創</v>
      </c>
      <c r="C1391" s="12" t="str">
        <f ca="1">IFERROR(__xludf.DUMMYFUNCTION("""COMPUTED_VALUE"""),"3M")</f>
        <v>3M</v>
      </c>
      <c r="D1391" s="12" t="str">
        <f ca="1">IFERROR(__xludf.DUMMYFUNCTION("""COMPUTED_VALUE"""),"居家_3M NZ250 新2代發熱纖維四季被-雙人加大(8x7)-宅配限本島")</f>
        <v>居家_3M NZ250 新2代發熱纖維四季被-雙人加大(8x7)-宅配限本島</v>
      </c>
      <c r="E1391" s="12" t="str">
        <f ca="1">IFERROR(__xludf.DUMMYFUNCTION("""COMPUTED_VALUE"""),"3M-7100134149-居家")</f>
        <v>3M-7100134149-居家</v>
      </c>
      <c r="F1391" s="12">
        <f ca="1">IFERROR(__xludf.DUMMYFUNCTION("""COMPUTED_VALUE"""),51057193)</f>
        <v>51057193</v>
      </c>
      <c r="G1391" s="12" t="str">
        <f ca="1">IFERROR(__xludf.DUMMYFUNCTION("""COMPUTED_VALUE"""),"IGEM0712")</f>
        <v>IGEM0712</v>
      </c>
      <c r="H1391" s="13">
        <f ca="1">IFERROR(__xludf.DUMMYFUNCTION("""COMPUTED_VALUE"""),10990)</f>
        <v>10990</v>
      </c>
      <c r="I1391" s="14">
        <f ca="1">IFERROR(__xludf.DUMMYFUNCTION("""COMPUTED_VALUE"""),5199)</f>
        <v>5199</v>
      </c>
      <c r="J1391" s="12"/>
      <c r="K1391" s="12"/>
      <c r="L1391" s="12" t="str">
        <f ca="1">IFERROR(__xludf.DUMMYFUNCTION("""COMPUTED_VALUE"""),"上架中")</f>
        <v>上架中</v>
      </c>
      <c r="M1391" s="12" t="str">
        <f ca="1">IFERROR(__xludf.DUMMYFUNCTION("""COMPUTED_VALUE"""),"2022/11/1新機上架")</f>
        <v>2022/11/1新機上架</v>
      </c>
      <c r="N1391" s="12" t="str">
        <f ca="1">IFERROR(__xludf.DUMMYFUNCTION("""COMPUTED_VALUE"""),"棉被/毯/被套")</f>
        <v>棉被/毯/被套</v>
      </c>
      <c r="O1391" s="12" t="str">
        <f ca="1">IFERROR(__xludf.DUMMYFUNCTION("""COMPUTED_VALUE"""),"白色")</f>
        <v>白色</v>
      </c>
      <c r="P1391" s="12" t="str">
        <f ca="1">IFERROR(__xludf.DUMMYFUNCTION("""COMPUTED_VALUE"""),"雙人加大")</f>
        <v>雙人加大</v>
      </c>
      <c r="Q1391" s="12" t="str">
        <f ca="1">IFERROR(__xludf.DUMMYFUNCTION("""COMPUTED_VALUE"""),"2400*2100 mm (8尺x7尺) (±5%) (雙人加大)")</f>
        <v>2400*2100 mm (8尺x7尺) (±5%) (雙人加大)</v>
      </c>
      <c r="R1391" s="12" t="str">
        <f ca="1">IFERROR(__xludf.DUMMYFUNCTION("""COMPUTED_VALUE"""),"台灣")</f>
        <v>台灣</v>
      </c>
      <c r="S1391" s="12"/>
      <c r="T1391" s="12"/>
      <c r="U1391" s="12"/>
      <c r="V1391" s="12"/>
      <c r="W1391" s="12"/>
      <c r="X1391" s="12" t="str">
        <f ca="1">IFERROR(__xludf.DUMMYFUNCTION("""COMPUTED_VALUE"""),"(114/1/1-2/28)隨貨送特福不鏽鋼隨行保溫杯(市價$599)")</f>
        <v>(114/1/1-2/28)隨貨送特福不鏽鋼隨行保溫杯(市價$599)</v>
      </c>
      <c r="Y1391" s="12"/>
      <c r="Z1391" s="14"/>
      <c r="AA1391" s="15" t="str">
        <f ca="1">IFERROR(__xludf.DUMMYFUNCTION("""COMPUTED_VALUE"""),"*被感保暖－全新發熱材質，禦寒保暖升級*被感輕透－在相同CLO值下，3M重量僅為蠶絲被38%*被感抑蹣－科技纖維可水洗，抑制塵蹣生長*被感便捷－耐水洗可烘乾，便利又潔淨")</f>
        <v>*被感保暖－全新發熱材質，禦寒保暖升級*被感輕透－在相同CLO值下，3M重量僅為蠶絲被38%*被感抑蹣－科技纖維可水洗，抑制塵蹣生長*被感便捷－耐水洗可烘乾，便利又潔淨</v>
      </c>
    </row>
    <row r="1392" spans="1:27" ht="19.5" customHeight="1">
      <c r="A1392" s="12" t="str">
        <f ca="1">IFERROR(__xludf.DUMMYFUNCTION("""COMPUTED_VALUE"""),"居家生活用品")</f>
        <v>居家生活用品</v>
      </c>
      <c r="B1392" s="12" t="str">
        <f ca="1">IFERROR(__xludf.DUMMYFUNCTION("""COMPUTED_VALUE"""),"凱創")</f>
        <v>凱創</v>
      </c>
      <c r="C1392" s="12" t="str">
        <f ca="1">IFERROR(__xludf.DUMMYFUNCTION("""COMPUTED_VALUE"""),"3M")</f>
        <v>3M</v>
      </c>
      <c r="D1392" s="12" t="str">
        <f ca="1">IFERROR(__xludf.DUMMYFUNCTION("""COMPUTED_VALUE"""),"居家_3M LF- 200-K1 天然乳膠防蹣枕 (適用 2~6歲幼童)-宅配限本島")</f>
        <v>居家_3M LF- 200-K1 天然乳膠防蹣枕 (適用 2~6歲幼童)-宅配限本島</v>
      </c>
      <c r="E1392" s="12" t="str">
        <f ca="1">IFERROR(__xludf.DUMMYFUNCTION("""COMPUTED_VALUE"""),"3M-7100040827-居家")</f>
        <v>3M-7100040827-居家</v>
      </c>
      <c r="F1392" s="12">
        <f ca="1">IFERROR(__xludf.DUMMYFUNCTION("""COMPUTED_VALUE"""),51057194)</f>
        <v>51057194</v>
      </c>
      <c r="G1392" s="12" t="str">
        <f ca="1">IFERROR(__xludf.DUMMYFUNCTION("""COMPUTED_VALUE"""),"IGEM0713")</f>
        <v>IGEM0713</v>
      </c>
      <c r="H1392" s="13">
        <f ca="1">IFERROR(__xludf.DUMMYFUNCTION("""COMPUTED_VALUE"""),1490)</f>
        <v>1490</v>
      </c>
      <c r="I1392" s="14">
        <f ca="1">IFERROR(__xludf.DUMMYFUNCTION("""COMPUTED_VALUE"""),1140)</f>
        <v>1140</v>
      </c>
      <c r="J1392" s="12"/>
      <c r="K1392" s="12"/>
      <c r="L1392" s="12" t="str">
        <f ca="1">IFERROR(__xludf.DUMMYFUNCTION("""COMPUTED_VALUE"""),"上架中")</f>
        <v>上架中</v>
      </c>
      <c r="M1392" s="12" t="str">
        <f ca="1">IFERROR(__xludf.DUMMYFUNCTION("""COMPUTED_VALUE"""),"2022/11/1新機上架")</f>
        <v>2022/11/1新機上架</v>
      </c>
      <c r="N1392" s="12" t="str">
        <f ca="1">IFERROR(__xludf.DUMMYFUNCTION("""COMPUTED_VALUE"""),"枕頭/枕套")</f>
        <v>枕頭/枕套</v>
      </c>
      <c r="O1392" s="12" t="str">
        <f ca="1">IFERROR(__xludf.DUMMYFUNCTION("""COMPUTED_VALUE"""),"白色")</f>
        <v>白色</v>
      </c>
      <c r="P1392" s="12" t="str">
        <f ca="1">IFERROR(__xludf.DUMMYFUNCTION("""COMPUTED_VALUE"""),"2-6歲幼童")</f>
        <v>2-6歲幼童</v>
      </c>
      <c r="Q1392" s="12" t="str">
        <f ca="1">IFERROR(__xludf.DUMMYFUNCTION("""COMPUTED_VALUE"""),"460*300*35 mm(+-5%)")</f>
        <v>460*300*35 mm(+-5%)</v>
      </c>
      <c r="R1392" s="12" t="str">
        <f ca="1">IFERROR(__xludf.DUMMYFUNCTION("""COMPUTED_VALUE"""),"台灣(表布為德國原裝進口)")</f>
        <v>台灣(表布為德國原裝進口)</v>
      </c>
      <c r="S1392" s="12"/>
      <c r="T1392" s="12"/>
      <c r="U1392" s="12"/>
      <c r="V1392" s="12"/>
      <c r="W1392" s="12"/>
      <c r="X1392" s="12"/>
      <c r="Y1392" s="12"/>
      <c r="Z1392" s="14"/>
      <c r="AA1392" s="15" t="str">
        <f ca="1">IFERROR(__xludf.DUMMYFUNCTION("""COMPUTED_VALUE"""),"*100%防蹣 透氣 環保*德國進口表布，獲美國IBT實驗室認證*具真正防蹣效果，永久阻隔塵蹣*專利織法形成高密度氣孔*低過敏性適用度高")</f>
        <v>*100%防蹣 透氣 環保*德國進口表布，獲美國IBT實驗室認證*具真正防蹣效果，永久阻隔塵蹣*專利織法形成高密度氣孔*低過敏性適用度高</v>
      </c>
    </row>
    <row r="1393" spans="1:27" ht="19.5" customHeight="1">
      <c r="A1393" s="12" t="str">
        <f ca="1">IFERROR(__xludf.DUMMYFUNCTION("""COMPUTED_VALUE"""),"居家生活用品")</f>
        <v>居家生活用品</v>
      </c>
      <c r="B1393" s="12" t="str">
        <f ca="1">IFERROR(__xludf.DUMMYFUNCTION("""COMPUTED_VALUE"""),"凱創")</f>
        <v>凱創</v>
      </c>
      <c r="C1393" s="12" t="str">
        <f ca="1">IFERROR(__xludf.DUMMYFUNCTION("""COMPUTED_VALUE"""),"3M")</f>
        <v>3M</v>
      </c>
      <c r="D1393" s="12" t="str">
        <f ca="1">IFERROR(__xludf.DUMMYFUNCTION("""COMPUTED_VALUE"""),"居家_3M LF- 200-K2 天然乳膠防蹣枕 (適用 6-11歲學童)-宅配限本島")</f>
        <v>居家_3M LF- 200-K2 天然乳膠防蹣枕 (適用 6-11歲學童)-宅配限本島</v>
      </c>
      <c r="E1393" s="12" t="str">
        <f ca="1">IFERROR(__xludf.DUMMYFUNCTION("""COMPUTED_VALUE"""),"3M-7100040828-居家")</f>
        <v>3M-7100040828-居家</v>
      </c>
      <c r="F1393" s="12">
        <f ca="1">IFERROR(__xludf.DUMMYFUNCTION("""COMPUTED_VALUE"""),51057195)</f>
        <v>51057195</v>
      </c>
      <c r="G1393" s="12" t="str">
        <f ca="1">IFERROR(__xludf.DUMMYFUNCTION("""COMPUTED_VALUE"""),"IGEM0714")</f>
        <v>IGEM0714</v>
      </c>
      <c r="H1393" s="13">
        <f ca="1">IFERROR(__xludf.DUMMYFUNCTION("""COMPUTED_VALUE"""),1690)</f>
        <v>1690</v>
      </c>
      <c r="I1393" s="14">
        <f ca="1">IFERROR(__xludf.DUMMYFUNCTION("""COMPUTED_VALUE"""),1380)</f>
        <v>1380</v>
      </c>
      <c r="J1393" s="12"/>
      <c r="K1393" s="12"/>
      <c r="L1393" s="12" t="str">
        <f ca="1">IFERROR(__xludf.DUMMYFUNCTION("""COMPUTED_VALUE"""),"上架中")</f>
        <v>上架中</v>
      </c>
      <c r="M1393" s="12" t="str">
        <f ca="1">IFERROR(__xludf.DUMMYFUNCTION("""COMPUTED_VALUE"""),"2022/11/1新機上架")</f>
        <v>2022/11/1新機上架</v>
      </c>
      <c r="N1393" s="12" t="str">
        <f ca="1">IFERROR(__xludf.DUMMYFUNCTION("""COMPUTED_VALUE"""),"枕頭/枕套")</f>
        <v>枕頭/枕套</v>
      </c>
      <c r="O1393" s="12" t="str">
        <f ca="1">IFERROR(__xludf.DUMMYFUNCTION("""COMPUTED_VALUE"""),"白色")</f>
        <v>白色</v>
      </c>
      <c r="P1393" s="12" t="str">
        <f ca="1">IFERROR(__xludf.DUMMYFUNCTION("""COMPUTED_VALUE"""),"6-11歲學童")</f>
        <v>6-11歲學童</v>
      </c>
      <c r="Q1393" s="12" t="str">
        <f ca="1">IFERROR(__xludf.DUMMYFUNCTION("""COMPUTED_VALUE"""),"460*300*50 mm(+-5%)")</f>
        <v>460*300*50 mm(+-5%)</v>
      </c>
      <c r="R1393" s="12" t="str">
        <f ca="1">IFERROR(__xludf.DUMMYFUNCTION("""COMPUTED_VALUE"""),"台灣(表布為德國原裝進口)")</f>
        <v>台灣(表布為德國原裝進口)</v>
      </c>
      <c r="S1393" s="12"/>
      <c r="T1393" s="12"/>
      <c r="U1393" s="12"/>
      <c r="V1393" s="12"/>
      <c r="W1393" s="12"/>
      <c r="X1393" s="12"/>
      <c r="Y1393" s="12"/>
      <c r="Z1393" s="14"/>
      <c r="AA1393" s="15" t="str">
        <f ca="1">IFERROR(__xludf.DUMMYFUNCTION("""COMPUTED_VALUE"""),"*100%防蹣 透氣 環保*德國進口表布，獲美國IBT實驗室認證*具真正防蹣效果，永久阻隔塵蹣*專利織法形成高密度氣孔*低過敏性適用度高")</f>
        <v>*100%防蹣 透氣 環保*德國進口表布，獲美國IBT實驗室認證*具真正防蹣效果，永久阻隔塵蹣*專利織法形成高密度氣孔*低過敏性適用度高</v>
      </c>
    </row>
    <row r="1394" spans="1:27" ht="19.5" customHeight="1">
      <c r="A1394" s="12" t="str">
        <f ca="1">IFERROR(__xludf.DUMMYFUNCTION("""COMPUTED_VALUE"""),"居家生活用品")</f>
        <v>居家生活用品</v>
      </c>
      <c r="B1394" s="12" t="str">
        <f ca="1">IFERROR(__xludf.DUMMYFUNCTION("""COMPUTED_VALUE"""),"凱創")</f>
        <v>凱創</v>
      </c>
      <c r="C1394" s="12" t="str">
        <f ca="1">IFERROR(__xludf.DUMMYFUNCTION("""COMPUTED_VALUE"""),"3M")</f>
        <v>3M</v>
      </c>
      <c r="D1394" s="12" t="str">
        <f ca="1">IFERROR(__xludf.DUMMYFUNCTION("""COMPUTED_VALUE"""),"居家_3M 防蹣枕頭（加厚支撐型）-宅配限本島")</f>
        <v>居家_3M 防蹣枕頭（加厚支撐型）-宅配限本島</v>
      </c>
      <c r="E1394" s="12" t="str">
        <f ca="1">IFERROR(__xludf.DUMMYFUNCTION("""COMPUTED_VALUE"""),"3M-7100085336-居家")</f>
        <v>3M-7100085336-居家</v>
      </c>
      <c r="F1394" s="12">
        <f ca="1">IFERROR(__xludf.DUMMYFUNCTION("""COMPUTED_VALUE"""),51057196)</f>
        <v>51057196</v>
      </c>
      <c r="G1394" s="12" t="str">
        <f ca="1">IFERROR(__xludf.DUMMYFUNCTION("""COMPUTED_VALUE"""),"IGEM0715")</f>
        <v>IGEM0715</v>
      </c>
      <c r="H1394" s="13">
        <f ca="1">IFERROR(__xludf.DUMMYFUNCTION("""COMPUTED_VALUE"""),850)</f>
        <v>850</v>
      </c>
      <c r="I1394" s="14">
        <f ca="1">IFERROR(__xludf.DUMMYFUNCTION("""COMPUTED_VALUE"""),730)</f>
        <v>730</v>
      </c>
      <c r="J1394" s="12"/>
      <c r="K1394" s="12"/>
      <c r="L1394" s="12" t="str">
        <f ca="1">IFERROR(__xludf.DUMMYFUNCTION("""COMPUTED_VALUE"""),"上架中")</f>
        <v>上架中</v>
      </c>
      <c r="M1394" s="12" t="str">
        <f ca="1">IFERROR(__xludf.DUMMYFUNCTION("""COMPUTED_VALUE"""),"2022/11/1新機上架")</f>
        <v>2022/11/1新機上架</v>
      </c>
      <c r="N1394" s="12" t="str">
        <f ca="1">IFERROR(__xludf.DUMMYFUNCTION("""COMPUTED_VALUE"""),"枕頭/枕套")</f>
        <v>枕頭/枕套</v>
      </c>
      <c r="O1394" s="12" t="str">
        <f ca="1">IFERROR(__xludf.DUMMYFUNCTION("""COMPUTED_VALUE"""),"白色")</f>
        <v>白色</v>
      </c>
      <c r="P1394" s="12" t="str">
        <f ca="1">IFERROR(__xludf.DUMMYFUNCTION("""COMPUTED_VALUE"""),"加厚支撐型")</f>
        <v>加厚支撐型</v>
      </c>
      <c r="Q1394" s="12" t="str">
        <f ca="1">IFERROR(__xludf.DUMMYFUNCTION("""COMPUTED_VALUE"""),"(長)700x(寬)480x155mm")</f>
        <v>(長)700x(寬)480x155mm</v>
      </c>
      <c r="R1394" s="12" t="str">
        <f ca="1">IFERROR(__xludf.DUMMYFUNCTION("""COMPUTED_VALUE"""),"台灣 (德國進口表布)")</f>
        <v>台灣 (德國進口表布)</v>
      </c>
      <c r="S1394" s="12"/>
      <c r="T1394" s="12"/>
      <c r="U1394" s="12"/>
      <c r="V1394" s="12"/>
      <c r="W1394" s="12"/>
      <c r="X1394" s="12"/>
      <c r="Y1394" s="12"/>
      <c r="Z1394" s="14"/>
      <c r="AA1394" s="15" t="str">
        <f ca="1">IFERROR(__xludf.DUMMYFUNCTION("""COMPUTED_VALUE"""),"*高度偏中高 *適合側躺與高身高成人*美國IBT實驗室認證有效防蹣*高透氣纖維材質*彈性佳受壓不易變形")</f>
        <v>*高度偏中高 *適合側躺與高身高成人*美國IBT實驗室認證有效防蹣*高透氣纖維材質*彈性佳受壓不易變形</v>
      </c>
    </row>
    <row r="1395" spans="1:27" ht="12.75">
      <c r="A1395" s="25" t="str">
        <f ca="1">IFERROR(__xludf.DUMMYFUNCTION("""COMPUTED_VALUE"""),"居家生活用品")</f>
        <v>居家生活用品</v>
      </c>
      <c r="B1395" s="25" t="str">
        <f ca="1">IFERROR(__xludf.DUMMYFUNCTION("""COMPUTED_VALUE"""),"凱創")</f>
        <v>凱創</v>
      </c>
      <c r="C1395" s="25" t="str">
        <f ca="1">IFERROR(__xludf.DUMMYFUNCTION("""COMPUTED_VALUE"""),"3M")</f>
        <v>3M</v>
      </c>
      <c r="D1395" s="25" t="str">
        <f ca="1">IFERROR(__xludf.DUMMYFUNCTION("""COMPUTED_VALUE"""),"居家_3M MZ800 防蹣可調式記憶枕-工學助眠型(內附防蹣枕套)-宅配限本島")</f>
        <v>居家_3M MZ800 防蹣可調式記憶枕-工學助眠型(內附防蹣枕套)-宅配限本島</v>
      </c>
      <c r="E1395" s="25" t="str">
        <f ca="1">IFERROR(__xludf.DUMMYFUNCTION("""COMPUTED_VALUE"""),"3M-7100219326-居家")</f>
        <v>3M-7100219326-居家</v>
      </c>
      <c r="F1395" s="25">
        <f ca="1">IFERROR(__xludf.DUMMYFUNCTION("""COMPUTED_VALUE"""),51057197)</f>
        <v>51057197</v>
      </c>
      <c r="G1395" s="25" t="str">
        <f ca="1">IFERROR(__xludf.DUMMYFUNCTION("""COMPUTED_VALUE"""),"IGEM0716")</f>
        <v>IGEM0716</v>
      </c>
      <c r="H1395" s="26">
        <f ca="1">IFERROR(__xludf.DUMMYFUNCTION("""COMPUTED_VALUE"""),5990)</f>
        <v>5990</v>
      </c>
      <c r="I1395" s="27">
        <f ca="1">IFERROR(__xludf.DUMMYFUNCTION("""COMPUTED_VALUE"""),3290)</f>
        <v>3290</v>
      </c>
      <c r="J1395" s="25"/>
      <c r="K1395" s="25"/>
      <c r="L1395" s="25" t="str">
        <f ca="1">IFERROR(__xludf.DUMMYFUNCTION("""COMPUTED_VALUE"""),"上架中")</f>
        <v>上架中</v>
      </c>
      <c r="M1395" s="25" t="str">
        <f ca="1">IFERROR(__xludf.DUMMYFUNCTION("""COMPUTED_VALUE"""),"2022/11/1新機上架")</f>
        <v>2022/11/1新機上架</v>
      </c>
      <c r="N1395" s="25" t="str">
        <f ca="1">IFERROR(__xludf.DUMMYFUNCTION("""COMPUTED_VALUE"""),"枕頭/枕套")</f>
        <v>枕頭/枕套</v>
      </c>
      <c r="O1395" s="25" t="str">
        <f ca="1">IFERROR(__xludf.DUMMYFUNCTION("""COMPUTED_VALUE"""),"白色")</f>
        <v>白色</v>
      </c>
      <c r="P1395" s="25" t="str">
        <f ca="1">IFERROR(__xludf.DUMMYFUNCTION("""COMPUTED_VALUE"""),"工學助眠型")</f>
        <v>工學助眠型</v>
      </c>
      <c r="Q1395" s="25" t="str">
        <f ca="1">IFERROR(__xludf.DUMMYFUNCTION("""COMPUTED_VALUE"""),"610 x 340 x 60-100 mm (±5%)")</f>
        <v>610 x 340 x 60-100 mm (±5%)</v>
      </c>
      <c r="R1395" s="25" t="str">
        <f ca="1">IFERROR(__xludf.DUMMYFUNCTION("""COMPUTED_VALUE"""),"台灣")</f>
        <v>台灣</v>
      </c>
      <c r="S1395" s="25"/>
      <c r="T1395" s="25"/>
      <c r="U1395" s="25"/>
      <c r="V1395" s="25"/>
      <c r="W1395" s="25"/>
      <c r="X1395" s="25" t="str">
        <f ca="1">IFERROR(__xludf.DUMMYFUNCTION("""COMPUTED_VALUE"""),"(114/1/1-2/28)隨貨送特福不鏽鋼隨行保溫杯(市價$599)")</f>
        <v>(114/1/1-2/28)隨貨送特福不鏽鋼隨行保溫杯(市價$599)</v>
      </c>
      <c r="Y1395" s="25"/>
      <c r="Z1395" s="27"/>
      <c r="AA1395" s="28" t="str">
        <f ca="1">IFERROR(__xludf.DUMMYFUNCTION("""COMPUTED_VALUE"""),"*高度可調，高低睡姿皆適用*流線型設計，貼合肩頸好好眠*左右包覆，有效承托頭肩頸*10萬次壓縮測試，回彈力維持99%*快速散熱持久恆溫，舒適不悶熱*100%防蹣表布，枕套可拆洗")</f>
        <v>*高度可調，高低睡姿皆適用*流線型設計，貼合肩頸好好眠*左右包覆，有效承托頭肩頸*10萬次壓縮測試，回彈力維持99%*快速散熱持久恆溫，舒適不悶熱*100%防蹣表布，枕套可拆洗</v>
      </c>
    </row>
    <row r="1396" spans="1:27" ht="12.75">
      <c r="A1396" s="25" t="str">
        <f ca="1">IFERROR(__xludf.DUMMYFUNCTION("""COMPUTED_VALUE"""),"居家生活用品")</f>
        <v>居家生活用品</v>
      </c>
      <c r="B1396" s="25" t="str">
        <f ca="1">IFERROR(__xludf.DUMMYFUNCTION("""COMPUTED_VALUE"""),"凱創")</f>
        <v>凱創</v>
      </c>
      <c r="C1396" s="25" t="str">
        <f ca="1">IFERROR(__xludf.DUMMYFUNCTION("""COMPUTED_VALUE"""),"3M")</f>
        <v>3M</v>
      </c>
      <c r="D1396" s="25" t="str">
        <f ca="1">IFERROR(__xludf.DUMMYFUNCTION("""COMPUTED_VALUE"""),"居家_3M WZ100 新一代防蹣水洗枕-標準型-宅配限本島")</f>
        <v>居家_3M WZ100 新一代防蹣水洗枕-標準型-宅配限本島</v>
      </c>
      <c r="E1396" s="25" t="str">
        <f ca="1">IFERROR(__xludf.DUMMYFUNCTION("""COMPUTED_VALUE"""),"3M-7100135453-居家")</f>
        <v>3M-7100135453-居家</v>
      </c>
      <c r="F1396" s="25">
        <f ca="1">IFERROR(__xludf.DUMMYFUNCTION("""COMPUTED_VALUE"""),51057198)</f>
        <v>51057198</v>
      </c>
      <c r="G1396" s="25" t="str">
        <f ca="1">IFERROR(__xludf.DUMMYFUNCTION("""COMPUTED_VALUE"""),"IGEM0717")</f>
        <v>IGEM0717</v>
      </c>
      <c r="H1396" s="26">
        <f ca="1">IFERROR(__xludf.DUMMYFUNCTION("""COMPUTED_VALUE"""),1499)</f>
        <v>1499</v>
      </c>
      <c r="I1396" s="27">
        <f ca="1">IFERROR(__xludf.DUMMYFUNCTION("""COMPUTED_VALUE"""),1199)</f>
        <v>1199</v>
      </c>
      <c r="J1396" s="25"/>
      <c r="K1396" s="25"/>
      <c r="L1396" s="25" t="str">
        <f ca="1">IFERROR(__xludf.DUMMYFUNCTION("""COMPUTED_VALUE"""),"上架中")</f>
        <v>上架中</v>
      </c>
      <c r="M1396" s="25" t="str">
        <f ca="1">IFERROR(__xludf.DUMMYFUNCTION("""COMPUTED_VALUE"""),"2022/11/1新機上架")</f>
        <v>2022/11/1新機上架</v>
      </c>
      <c r="N1396" s="25" t="str">
        <f ca="1">IFERROR(__xludf.DUMMYFUNCTION("""COMPUTED_VALUE"""),"枕頭/枕套")</f>
        <v>枕頭/枕套</v>
      </c>
      <c r="O1396" s="25" t="str">
        <f ca="1">IFERROR(__xludf.DUMMYFUNCTION("""COMPUTED_VALUE"""),"白色")</f>
        <v>白色</v>
      </c>
      <c r="P1396" s="25" t="str">
        <f ca="1">IFERROR(__xludf.DUMMYFUNCTION("""COMPUTED_VALUE"""),"標準型")</f>
        <v>標準型</v>
      </c>
      <c r="Q1396" s="25" t="str">
        <f ca="1">IFERROR(__xludf.DUMMYFUNCTION("""COMPUTED_VALUE"""),"700*480 mm (±5%)")</f>
        <v>700*480 mm (±5%)</v>
      </c>
      <c r="R1396" s="25" t="str">
        <f ca="1">IFERROR(__xludf.DUMMYFUNCTION("""COMPUTED_VALUE"""),"台灣")</f>
        <v>台灣</v>
      </c>
      <c r="S1396" s="25"/>
      <c r="T1396" s="25"/>
      <c r="U1396" s="25"/>
      <c r="V1396" s="25"/>
      <c r="W1396" s="25"/>
      <c r="X1396" s="25"/>
      <c r="Y1396" s="25"/>
      <c r="Z1396" s="27"/>
      <c r="AA1396" s="28" t="str">
        <f ca="1">IFERROR(__xludf.DUMMYFUNCTION("""COMPUTED_VALUE"""),"*寬度加長更舒適*36次水洗機烘不糾結*支撐力提高38%，透氣度提高350%*通過TTRI物理性塵蹣阻隔測試*高密度編織，常保透氣與舒適*通過國際檢測，不含有毒物質*台灣製造更安心")</f>
        <v>*寬度加長更舒適*36次水洗機烘不糾結*支撐力提高38%，透氣度提高350%*通過TTRI物理性塵蹣阻隔測試*高密度編織，常保透氣與舒適*通過國際檢測，不含有毒物質*台灣製造更安心</v>
      </c>
    </row>
    <row r="1397" spans="1:27" ht="12.75">
      <c r="A1397" s="25" t="str">
        <f ca="1">IFERROR(__xludf.DUMMYFUNCTION("""COMPUTED_VALUE"""),"居家生活用品")</f>
        <v>居家生活用品</v>
      </c>
      <c r="B1397" s="25" t="str">
        <f ca="1">IFERROR(__xludf.DUMMYFUNCTION("""COMPUTED_VALUE"""),"凱創")</f>
        <v>凱創</v>
      </c>
      <c r="C1397" s="25" t="str">
        <f ca="1">IFERROR(__xludf.DUMMYFUNCTION("""COMPUTED_VALUE"""),"3M")</f>
        <v>3M</v>
      </c>
      <c r="D1397" s="25" t="str">
        <f ca="1">IFERROR(__xludf.DUMMYFUNCTION("""COMPUTED_VALUE"""),"居家_3M Collection 天然柔感系列枕頭套2入-宅配限本島")</f>
        <v>居家_3M Collection 天然柔感系列枕頭套2入-宅配限本島</v>
      </c>
      <c r="E1397" s="25" t="str">
        <f ca="1">IFERROR(__xludf.DUMMYFUNCTION("""COMPUTED_VALUE"""),"3M-7100264739-居家")</f>
        <v>3M-7100264739-居家</v>
      </c>
      <c r="F1397" s="25">
        <f ca="1">IFERROR(__xludf.DUMMYFUNCTION("""COMPUTED_VALUE"""),51057199)</f>
        <v>51057199</v>
      </c>
      <c r="G1397" s="25" t="str">
        <f ca="1">IFERROR(__xludf.DUMMYFUNCTION("""COMPUTED_VALUE"""),"IGEM0718")</f>
        <v>IGEM0718</v>
      </c>
      <c r="H1397" s="26">
        <f ca="1">IFERROR(__xludf.DUMMYFUNCTION("""COMPUTED_VALUE"""),1699)</f>
        <v>1699</v>
      </c>
      <c r="I1397" s="27">
        <f ca="1">IFERROR(__xludf.DUMMYFUNCTION("""COMPUTED_VALUE"""),1340)</f>
        <v>1340</v>
      </c>
      <c r="J1397" s="25"/>
      <c r="K1397" s="25"/>
      <c r="L1397" s="25" t="str">
        <f ca="1">IFERROR(__xludf.DUMMYFUNCTION("""COMPUTED_VALUE"""),"上架中")</f>
        <v>上架中</v>
      </c>
      <c r="M1397" s="25" t="str">
        <f ca="1">IFERROR(__xludf.DUMMYFUNCTION("""COMPUTED_VALUE"""),"2022/11/1新機上架")</f>
        <v>2022/11/1新機上架</v>
      </c>
      <c r="N1397" s="25" t="str">
        <f ca="1">IFERROR(__xludf.DUMMYFUNCTION("""COMPUTED_VALUE"""),"枕頭/枕套")</f>
        <v>枕頭/枕套</v>
      </c>
      <c r="O1397" s="25" t="str">
        <f ca="1">IFERROR(__xludf.DUMMYFUNCTION("""COMPUTED_VALUE"""),"清新藍")</f>
        <v>清新藍</v>
      </c>
      <c r="P1397" s="25" t="str">
        <f ca="1">IFERROR(__xludf.DUMMYFUNCTION("""COMPUTED_VALUE"""),"枕頭套2入")</f>
        <v>枕頭套2入</v>
      </c>
      <c r="Q1397" s="25" t="str">
        <f ca="1">IFERROR(__xludf.DUMMYFUNCTION("""COMPUTED_VALUE"""),"750 x 480 mm (±5%)")</f>
        <v>750 x 480 mm (±5%)</v>
      </c>
      <c r="R1397" s="25" t="str">
        <f ca="1">IFERROR(__xludf.DUMMYFUNCTION("""COMPUTED_VALUE"""),"台灣")</f>
        <v>台灣</v>
      </c>
      <c r="S1397" s="25"/>
      <c r="T1397" s="25"/>
      <c r="U1397" s="25"/>
      <c r="V1397" s="25"/>
      <c r="W1397" s="25"/>
      <c r="X1397" s="25"/>
      <c r="Y1397" s="25"/>
      <c r="Z1397" s="27"/>
      <c r="AA1397" s="28" t="str">
        <f ca="1">IFERROR(__xludf.DUMMYFUNCTION("""COMPUTED_VALUE"""),"*天然天絲材質，柔順親膚*輕盈舒適，透氣不悶熱*濕氣+溫度調節，不易滋菌*耐水洗可烘乾，可有效抑蹣*通過SGS/Intertek/TUV檢測*符合歐盟生態環保標籤資格")</f>
        <v>*天然天絲材質，柔順親膚*輕盈舒適，透氣不悶熱*濕氣+溫度調節，不易滋菌*耐水洗可烘乾，可有效抑蹣*通過SGS/Intertek/TUV檢測*符合歐盟生態環保標籤資格</v>
      </c>
    </row>
    <row r="1398" spans="1:27" ht="12.75">
      <c r="A1398" s="25" t="str">
        <f ca="1">IFERROR(__xludf.DUMMYFUNCTION("""COMPUTED_VALUE"""),"居家生活用品")</f>
        <v>居家生活用品</v>
      </c>
      <c r="B1398" s="25" t="str">
        <f ca="1">IFERROR(__xludf.DUMMYFUNCTION("""COMPUTED_VALUE"""),"凱創")</f>
        <v>凱創</v>
      </c>
      <c r="C1398" s="25" t="str">
        <f ca="1">IFERROR(__xludf.DUMMYFUNCTION("""COMPUTED_VALUE"""),"3M")</f>
        <v>3M</v>
      </c>
      <c r="D1398" s="25" t="str">
        <f ca="1">IFERROR(__xludf.DUMMYFUNCTION("""COMPUTED_VALUE"""),"居家_3M SPA極緻快乾頭巾-粉紫(3入組)-宅配限本島")</f>
        <v>居家_3M SPA極緻快乾頭巾-粉紫(3入組)-宅配限本島</v>
      </c>
      <c r="E1398" s="25" t="str">
        <f ca="1">IFERROR(__xludf.DUMMYFUNCTION("""COMPUTED_VALUE"""),"3M-7100183905*3-居家")</f>
        <v>3M-7100183905*3-居家</v>
      </c>
      <c r="F1398" s="25">
        <f ca="1">IFERROR(__xludf.DUMMYFUNCTION("""COMPUTED_VALUE"""),51057200)</f>
        <v>51057200</v>
      </c>
      <c r="G1398" s="25" t="str">
        <f ca="1">IFERROR(__xludf.DUMMYFUNCTION("""COMPUTED_VALUE"""),"IGEM0719")</f>
        <v>IGEM0719</v>
      </c>
      <c r="H1398" s="26">
        <f ca="1">IFERROR(__xludf.DUMMYFUNCTION("""COMPUTED_VALUE"""),1356)</f>
        <v>1356</v>
      </c>
      <c r="I1398" s="27">
        <f ca="1">IFERROR(__xludf.DUMMYFUNCTION("""COMPUTED_VALUE"""),999)</f>
        <v>999</v>
      </c>
      <c r="J1398" s="25"/>
      <c r="K1398" s="25"/>
      <c r="L1398" s="25" t="str">
        <f ca="1">IFERROR(__xludf.DUMMYFUNCTION("""COMPUTED_VALUE"""),"上架中")</f>
        <v>上架中</v>
      </c>
      <c r="M1398" s="25" t="str">
        <f ca="1">IFERROR(__xludf.DUMMYFUNCTION("""COMPUTED_VALUE"""),"2022/11/1新機上架")</f>
        <v>2022/11/1新機上架</v>
      </c>
      <c r="N1398" s="25" t="str">
        <f ca="1">IFERROR(__xludf.DUMMYFUNCTION("""COMPUTED_VALUE"""),"毛巾/浴巾")</f>
        <v>毛巾/浴巾</v>
      </c>
      <c r="O1398" s="25" t="str">
        <f ca="1">IFERROR(__xludf.DUMMYFUNCTION("""COMPUTED_VALUE"""),"粉紫")</f>
        <v>粉紫</v>
      </c>
      <c r="P1398" s="25" t="str">
        <f ca="1">IFERROR(__xludf.DUMMYFUNCTION("""COMPUTED_VALUE"""),"粉紫(3入組)")</f>
        <v>粉紫(3入組)</v>
      </c>
      <c r="Q1398" s="25" t="str">
        <f ca="1">IFERROR(__xludf.DUMMYFUNCTION("""COMPUTED_VALUE"""),"(包裝尺寸)：110*63*145 mm")</f>
        <v>(包裝尺寸)：110*63*145 mm</v>
      </c>
      <c r="R1398" s="25" t="str">
        <f ca="1">IFERROR(__xludf.DUMMYFUNCTION("""COMPUTED_VALUE"""),"台灣")</f>
        <v>台灣</v>
      </c>
      <c r="S1398" s="25"/>
      <c r="T1398" s="25"/>
      <c r="U1398" s="25"/>
      <c r="V1398" s="25"/>
      <c r="W1398" s="25"/>
      <c r="X1398" s="25"/>
      <c r="Y1398" s="25"/>
      <c r="Z1398" s="27"/>
      <c r="AA1398" s="28" t="str">
        <f ca="1">IFERROR(__xludf.DUMMYFUNCTION("""COMPUTED_VALUE"""),"*全新立體編織技術*超細纖維柔軟親膚不刺激*貼心帽型設計，配戴簡單舒適*吸水力提升30%，加速頭髮更快乾*晾乾力提升80%，快速晾乾，不易生菌、潮濕*適用各種髮量，呵護髮質健康")</f>
        <v>*全新立體編織技術*超細纖維柔軟親膚不刺激*貼心帽型設計，配戴簡單舒適*吸水力提升30%，加速頭髮更快乾*晾乾力提升80%，快速晾乾，不易生菌、潮濕*適用各種髮量，呵護髮質健康</v>
      </c>
    </row>
    <row r="1399" spans="1:27" ht="12.75">
      <c r="A1399" s="25" t="str">
        <f ca="1">IFERROR(__xludf.DUMMYFUNCTION("""COMPUTED_VALUE"""),"居家生活用品")</f>
        <v>居家生活用品</v>
      </c>
      <c r="B1399" s="25" t="str">
        <f ca="1">IFERROR(__xludf.DUMMYFUNCTION("""COMPUTED_VALUE"""),"凱創")</f>
        <v>凱創</v>
      </c>
      <c r="C1399" s="25" t="str">
        <f ca="1">IFERROR(__xludf.DUMMYFUNCTION("""COMPUTED_VALUE"""),"3M")</f>
        <v>3M</v>
      </c>
      <c r="D1399" s="25" t="str">
        <f ca="1">IFERROR(__xludf.DUMMYFUNCTION("""COMPUTED_VALUE"""),"居家_3M 可水洗輕柔暖被-雙人")</f>
        <v>居家_3M 可水洗輕柔暖被-雙人</v>
      </c>
      <c r="E1399" s="25" t="str">
        <f ca="1">IFERROR(__xludf.DUMMYFUNCTION("""COMPUTED_VALUE"""),"3M-7000011681")</f>
        <v>3M-7000011681</v>
      </c>
      <c r="F1399" s="25">
        <f ca="1">IFERROR(__xludf.DUMMYFUNCTION("""COMPUTED_VALUE"""),51084312)</f>
        <v>51084312</v>
      </c>
      <c r="G1399" s="25" t="str">
        <f ca="1">IFERROR(__xludf.DUMMYFUNCTION("""COMPUTED_VALUE"""),"IGEM092H")</f>
        <v>IGEM092H</v>
      </c>
      <c r="H1399" s="26">
        <f ca="1">IFERROR(__xludf.DUMMYFUNCTION("""COMPUTED_VALUE"""),6990)</f>
        <v>6990</v>
      </c>
      <c r="I1399" s="27">
        <f ca="1">IFERROR(__xludf.DUMMYFUNCTION("""COMPUTED_VALUE"""),4290)</f>
        <v>4290</v>
      </c>
      <c r="J1399" s="25"/>
      <c r="K1399" s="25"/>
      <c r="L1399" s="25" t="str">
        <f ca="1">IFERROR(__xludf.DUMMYFUNCTION("""COMPUTED_VALUE"""),"上架中")</f>
        <v>上架中</v>
      </c>
      <c r="M1399" s="25"/>
      <c r="N1399" s="25" t="str">
        <f ca="1">IFERROR(__xludf.DUMMYFUNCTION("""COMPUTED_VALUE"""),"棉被/毯/被套")</f>
        <v>棉被/毯/被套</v>
      </c>
      <c r="O1399" s="25"/>
      <c r="P1399" s="25" t="str">
        <f ca="1">IFERROR(__xludf.DUMMYFUNCTION("""COMPUTED_VALUE"""),"◆商品重量：2.5 kg
 ◆包裝尺寸：長50 x 寬20 x 高39 cm
 ◆包裝重量：2.8 kg
 ◆表布：100% Cotton棉
 ◆填充物：100% Polyester聚酯纖維")</f>
        <v>◆商品重量：2.5 kg
 ◆包裝尺寸：長50 x 寬20 x 高39 cm
 ◆包裝重量：2.8 kg
 ◆表布：100% Cotton棉
 ◆填充物：100% Polyester聚酯纖維</v>
      </c>
      <c r="Q1399" s="25" t="str">
        <f ca="1">IFERROR(__xludf.DUMMYFUNCTION("""COMPUTED_VALUE"""),"1800 x 2100 mm(±5%)")</f>
        <v>1800 x 2100 mm(±5%)</v>
      </c>
      <c r="R1399" s="25" t="str">
        <f ca="1">IFERROR(__xludf.DUMMYFUNCTION("""COMPUTED_VALUE"""),"台灣")</f>
        <v>台灣</v>
      </c>
      <c r="S1399" s="25"/>
      <c r="T1399" s="25"/>
      <c r="U1399" s="25"/>
      <c r="V1399" s="25"/>
      <c r="W1399" s="25"/>
      <c r="X1399" s="25" t="str">
        <f ca="1">IFERROR(__xludf.DUMMYFUNCTION("""COMPUTED_VALUE"""),"(114/1/1-2/28)隨貨送特福不鏽鋼隨行保溫杯(市價$599)")</f>
        <v>(114/1/1-2/28)隨貨送特福不鏽鋼隨行保溫杯(市價$599)</v>
      </c>
      <c r="Y1399" s="25"/>
      <c r="Z1399" s="27"/>
      <c r="AA1399" s="28" t="str">
        <f ca="1">IFERROR(__xludf.DUMMYFUNCTION("""COMPUTED_VALUE"""),"*可重複水洗機烘，不易變形結塊*高保暖科技纖維，一年四季不畏寒*不含動物性蛋白質，有效抑蹣無異味*輕柔透氣，重量較蠶絲被輕38%")</f>
        <v>*可重複水洗機烘，不易變形結塊*高保暖科技纖維，一年四季不畏寒*不含動物性蛋白質，有效抑蹣無異味*輕柔透氣，重量較蠶絲被輕38%</v>
      </c>
    </row>
    <row r="1400" spans="1:27" ht="12.75">
      <c r="A1400" s="25" t="str">
        <f ca="1">IFERROR(__xludf.DUMMYFUNCTION("""COMPUTED_VALUE"""),"居家生活用品")</f>
        <v>居家生活用品</v>
      </c>
      <c r="B1400" s="25" t="str">
        <f ca="1">IFERROR(__xludf.DUMMYFUNCTION("""COMPUTED_VALUE"""),"凱創")</f>
        <v>凱創</v>
      </c>
      <c r="C1400" s="25" t="str">
        <f ca="1">IFERROR(__xludf.DUMMYFUNCTION("""COMPUTED_VALUE"""),"Tefal")</f>
        <v>Tefal</v>
      </c>
      <c r="D1400" s="25" t="str">
        <f ca="1">IFERROR(__xludf.DUMMYFUNCTION("""COMPUTED_VALUE"""),"【Tefal法國特福】極致黑艷28CM不沾平底鍋+玻璃蓋")</f>
        <v>【Tefal法國特福】極致黑艷28CM不沾平底鍋+玻璃蓋</v>
      </c>
      <c r="E1400" s="25" t="str">
        <f ca="1">IFERROR(__xludf.DUMMYFUNCTION("""COMPUTED_VALUE"""),"SE-B2250695+SE-GL0028")</f>
        <v>SE-B2250695+SE-GL0028</v>
      </c>
      <c r="F1400" s="25">
        <f ca="1">IFERROR(__xludf.DUMMYFUNCTION("""COMPUTED_VALUE"""),51057162)</f>
        <v>51057162</v>
      </c>
      <c r="G1400" s="25" t="str">
        <f ca="1">IFERROR(__xludf.DUMMYFUNCTION("""COMPUTED_VALUE"""),"EHOME110")</f>
        <v>EHOME110</v>
      </c>
      <c r="H1400" s="25">
        <f ca="1">IFERROR(__xludf.DUMMYFUNCTION("""COMPUTED_VALUE"""),1980)</f>
        <v>1980</v>
      </c>
      <c r="I1400" s="27">
        <f ca="1">IFERROR(__xludf.DUMMYFUNCTION("""COMPUTED_VALUE"""),1090)</f>
        <v>1090</v>
      </c>
      <c r="J1400" s="25"/>
      <c r="K1400" s="25"/>
      <c r="L1400" s="25" t="str">
        <f ca="1">IFERROR(__xludf.DUMMYFUNCTION("""COMPUTED_VALUE"""),"上架中")</f>
        <v>上架中</v>
      </c>
      <c r="M1400" s="25"/>
      <c r="N1400" s="25" t="str">
        <f ca="1">IFERROR(__xludf.DUMMYFUNCTION("""COMPUTED_VALUE"""),"鍋具")</f>
        <v>鍋具</v>
      </c>
      <c r="O1400" s="25"/>
      <c r="P1400" s="25" t="str">
        <f ca="1">IFERROR(__xludf.DUMMYFUNCTION("""COMPUTED_VALUE"""),"鍋:◆材質：鋁合金、TITANIUM鈦合金強化塗層、電木把手◆尺寸：鍋具口徑28cm／鍋底徑20.5cm／含鍋把總長47cm／鍋深7cm◆重量：0.783kg
耐熱玻璃蓋:◆尺寸：直徑28cm◆重量：0.78kg""")</f>
        <v>鍋:◆材質：鋁合金、TITANIUM鈦合金強化塗層、電木把手◆尺寸：鍋具口徑28cm／鍋底徑20.5cm／含鍋把總長47cm／鍋深7cm◆重量：0.783kg
耐熱玻璃蓋:◆尺寸：直徑28cm◆重量：0.78kg"</v>
      </c>
      <c r="Q1400" s="25" t="str">
        <f ca="1">IFERROR(__xludf.DUMMYFUNCTION("""COMPUTED_VALUE"""),"鍋◆尺寸：鍋具口徑280mm／鍋底直徑205mm／含鍋把總長470mm／鍋深70mm
耐熱玻璃蓋◆尺寸：直徑280mm")</f>
        <v>鍋◆尺寸：鍋具口徑280mm／鍋底直徑205mm／含鍋把總長470mm／鍋深70mm
耐熱玻璃蓋◆尺寸：直徑280mm</v>
      </c>
      <c r="R1400" s="25" t="str">
        <f ca="1">IFERROR(__xludf.DUMMYFUNCTION("""COMPUTED_VALUE"""),"鍋：中國
耐熱玻璃蓋：台灣")</f>
        <v>鍋：中國
耐熱玻璃蓋：台灣</v>
      </c>
      <c r="S1400" s="25"/>
      <c r="T1400" s="25"/>
      <c r="U1400" s="25"/>
      <c r="V1400" s="25"/>
      <c r="W1400" s="25"/>
      <c r="X1400" s="25"/>
      <c r="Y1400" s="25"/>
      <c r="Z1400" s="27"/>
      <c r="AA1400" s="28" t="str">
        <f ca="1">IFERROR(__xludf.DUMMYFUNCTION("""COMPUTED_VALUE"""),"*高鍋邊好煎好炒更好煮*智慧佳溫紅心，掌握最佳烹調溫度*特福獨家研發的TITANIUM不沾塗層配方，添加鈦合金粒子，抗磨耐刮性最為優異，不沾效果佳又好清洗*導熱快又均勻，省時省瓦斯*鋁合金輕量化鍋身，鍋背外層採用易潔PTFE處理，防沾抗污好清洗")</f>
        <v>*高鍋邊好煎好炒更好煮*智慧佳溫紅心，掌握最佳烹調溫度*特福獨家研發的TITANIUM不沾塗層配方，添加鈦合金粒子，抗磨耐刮性最為優異，不沾效果佳又好清洗*導熱快又均勻，省時省瓦斯*鋁合金輕量化鍋身，鍋背外層採用易潔PTFE處理，防沾抗污好清洗</v>
      </c>
    </row>
    <row r="1401" spans="1:27" ht="12.75">
      <c r="A1401" s="25" t="str">
        <f ca="1">IFERROR(__xludf.DUMMYFUNCTION("""COMPUTED_VALUE"""),"居家生活用品")</f>
        <v>居家生活用品</v>
      </c>
      <c r="B1401" s="25" t="str">
        <f ca="1">IFERROR(__xludf.DUMMYFUNCTION("""COMPUTED_VALUE"""),"凱創")</f>
        <v>凱創</v>
      </c>
      <c r="C1401" s="25" t="str">
        <f ca="1">IFERROR(__xludf.DUMMYFUNCTION("""COMPUTED_VALUE"""),"Tefal")</f>
        <v>Tefal</v>
      </c>
      <c r="D1401" s="25" t="str">
        <f ca="1">IFERROR(__xludf.DUMMYFUNCTION("""COMPUTED_VALUE"""),"居家宅配_Tefal法國特福左岸雅廚系列28CM不沾平底鍋(電磁爐適用)+玻璃蓋")</f>
        <v>居家宅配_Tefal法國特福左岸雅廚系列28CM不沾平底鍋(電磁爐適用)+玻璃蓋</v>
      </c>
      <c r="E1401" s="25" t="str">
        <f ca="1">IFERROR(__xludf.DUMMYFUNCTION("""COMPUTED_VALUE"""),"G2700672")</f>
        <v>G2700672</v>
      </c>
      <c r="F1401" s="25">
        <f ca="1">IFERROR(__xludf.DUMMYFUNCTION("""COMPUTED_VALUE"""),51084355)</f>
        <v>51084355</v>
      </c>
      <c r="G1401" s="25" t="str">
        <f ca="1">IFERROR(__xludf.DUMMYFUNCTION("""COMPUTED_VALUE"""),"IGEM112F")</f>
        <v>IGEM112F</v>
      </c>
      <c r="H1401" s="26">
        <f ca="1">IFERROR(__xludf.DUMMYFUNCTION("""COMPUTED_VALUE"""),4425)</f>
        <v>4425</v>
      </c>
      <c r="I1401" s="27">
        <f ca="1">IFERROR(__xludf.DUMMYFUNCTION("""COMPUTED_VALUE"""),1999)</f>
        <v>1999</v>
      </c>
      <c r="J1401" s="25"/>
      <c r="K1401" s="25" t="str">
        <f ca="1">IFERROR(__xludf.DUMMYFUNCTION("""COMPUTED_VALUE"""),"新機上架")</f>
        <v>新機上架</v>
      </c>
      <c r="L1401" s="25" t="str">
        <f ca="1">IFERROR(__xludf.DUMMYFUNCTION("""COMPUTED_VALUE"""),"專案")</f>
        <v>專案</v>
      </c>
      <c r="M1401" s="25"/>
      <c r="N1401" s="25"/>
      <c r="O1401" s="25" t="str">
        <f ca="1">IFERROR(__xludf.DUMMYFUNCTION("""COMPUTED_VALUE"""),"黑色")</f>
        <v>黑色</v>
      </c>
      <c r="P1401" s="25" t="str">
        <f ca="1">IFERROR(__xludf.DUMMYFUNCTION("""COMPUTED_VALUE"""),"28CM")</f>
        <v>28CM</v>
      </c>
      <c r="Q1401" s="25" t="str">
        <f ca="1">IFERROR(__xludf.DUMMYFUNCTION("""COMPUTED_VALUE"""),"鍋具口徑280mm／鍋底直徑237mm／含鍋把總長475mm／鍋深50mm")</f>
        <v>鍋具口徑280mm／鍋底直徑237mm／含鍋把總長475mm／鍋深50mm</v>
      </c>
      <c r="R1401" s="25" t="str">
        <f ca="1">IFERROR(__xludf.DUMMYFUNCTION("""COMPUTED_VALUE"""),"法國")</f>
        <v>法國</v>
      </c>
      <c r="S1401" s="25"/>
      <c r="T1401" s="25"/>
      <c r="U1401" s="25"/>
      <c r="V1401" s="25"/>
      <c r="W1401" s="25"/>
      <c r="X1401" s="25"/>
      <c r="Y1401" s="25"/>
      <c r="Z1401" s="27"/>
      <c r="AA1401" s="28" t="str">
        <f ca="1">IFERROR(__xludf.DUMMYFUNCTION("""COMPUTED_VALUE"""),"*煎煮必備大面積不沾鍋底*智慧佳溫紅心，掌握最佳烹調溫度*添加鈦合金微粒子，強效抗磨耐刮*鍋內鍋外無縫不沾，乾淨衛生*特快傳熱底部，電磁爐同樣速熱*防變形設計，比一般鍋具更耐用")</f>
        <v>*煎煮必備大面積不沾鍋底*智慧佳溫紅心，掌握最佳烹調溫度*添加鈦合金微粒子，強效抗磨耐刮*鍋內鍋外無縫不沾，乾淨衛生*特快傳熱底部，電磁爐同樣速熱*防變形設計，比一般鍋具更耐用</v>
      </c>
    </row>
    <row r="1402" spans="1:27" ht="12.75">
      <c r="A1402" s="25" t="str">
        <f ca="1">IFERROR(__xludf.DUMMYFUNCTION("""COMPUTED_VALUE"""),"居家生活用品")</f>
        <v>居家生活用品</v>
      </c>
      <c r="B1402" s="25" t="str">
        <f ca="1">IFERROR(__xludf.DUMMYFUNCTION("""COMPUTED_VALUE"""),"凱創")</f>
        <v>凱創</v>
      </c>
      <c r="C1402" s="25" t="str">
        <f ca="1">IFERROR(__xludf.DUMMYFUNCTION("""COMPUTED_VALUE"""),"法國特福")</f>
        <v>法國特福</v>
      </c>
      <c r="D1402" s="25" t="str">
        <f ca="1">IFERROR(__xludf.DUMMYFUNCTION("""COMPUTED_VALUE"""),"居家_Tefal法國特福 巴洛克系列不沾鍋具3件組(26cm深平底鍋+32cm炒鍋+炒鍋蓋)")</f>
        <v>居家_Tefal法國特福 巴洛克系列不沾鍋具3件組(26cm深平底鍋+32cm炒鍋+炒鍋蓋)</v>
      </c>
      <c r="E1402" s="25" t="str">
        <f ca="1">IFERROR(__xludf.DUMMYFUNCTION("""COMPUTED_VALUE"""),"SE-B224S396")</f>
        <v>SE-B224S396</v>
      </c>
      <c r="F1402" s="25">
        <f ca="1">IFERROR(__xludf.DUMMYFUNCTION("""COMPUTED_VALUE"""),51084314)</f>
        <v>51084314</v>
      </c>
      <c r="G1402" s="25" t="str">
        <f ca="1">IFERROR(__xludf.DUMMYFUNCTION("""COMPUTED_VALUE"""),"IGEM092J")</f>
        <v>IGEM092J</v>
      </c>
      <c r="H1402" s="26">
        <f ca="1">IFERROR(__xludf.DUMMYFUNCTION("""COMPUTED_VALUE"""),2999)</f>
        <v>2999</v>
      </c>
      <c r="I1402" s="27">
        <f ca="1">IFERROR(__xludf.DUMMYFUNCTION("""COMPUTED_VALUE"""),1580)</f>
        <v>1580</v>
      </c>
      <c r="J1402" s="25"/>
      <c r="K1402" s="25"/>
      <c r="L1402" s="25" t="str">
        <f ca="1">IFERROR(__xludf.DUMMYFUNCTION("""COMPUTED_VALUE"""),"上架中")</f>
        <v>上架中</v>
      </c>
      <c r="M1402" s="25"/>
      <c r="N1402" s="25" t="str">
        <f ca="1">IFERROR(__xludf.DUMMYFUNCTION("""COMPUTED_VALUE"""),"鍋具")</f>
        <v>鍋具</v>
      </c>
      <c r="O1402" s="25"/>
      <c r="P1402" s="25" t="str">
        <f ca="1">IFERROR(__xludf.DUMMYFUNCTION("""COMPUTED_VALUE"""),"32cm炒鍋 ◆材質：鋁合金、TITANIUM鈦合金強化塗層（PTFE，耐熱溫度250°C）、電木把手、耐熱玻璃蓋 26cm深平底鍋
 ◆材質：鋁合金、TITANIUM鈦合金強化塗層（PTFE，耐熱溫度250°C）、電木把手")</f>
        <v>32cm炒鍋 ◆材質：鋁合金、TITANIUM鈦合金強化塗層（PTFE，耐熱溫度250°C）、電木把手、耐熱玻璃蓋 26cm深平底鍋
 ◆材質：鋁合金、TITANIUM鈦合金強化塗層（PTFE，耐熱溫度250°C）、電木把手</v>
      </c>
      <c r="Q1402" s="25" t="str">
        <f ca="1">IFERROR(__xludf.DUMMYFUNCTION("""COMPUTED_VALUE"""),"32cm炒鍋
 尺寸：鍋具口徑320mm／鍋底直徑145mm／含鍋把總長570mm／鍋深91mm
 重量：1.97 Kg(含蓋)／單鍋1.02 Kg
 26cm深平底鍋
 ◆尺寸：鍋具口徑26cm／鍋底直徑18cm／含鍋把總長44.5cm／鍋深6.4cm
 ◆重量：641 g")</f>
        <v>32cm炒鍋
 尺寸：鍋具口徑320mm／鍋底直徑145mm／含鍋把總長570mm／鍋深91mm
 重量：1.97 Kg(含蓋)／單鍋1.02 Kg
 26cm深平底鍋
 ◆尺寸：鍋具口徑26cm／鍋底直徑18cm／含鍋把總長44.5cm／鍋深6.4cm
 ◆重量：641 g</v>
      </c>
      <c r="R1402" s="25" t="str">
        <f ca="1">IFERROR(__xludf.DUMMYFUNCTION("""COMPUTED_VALUE"""),"中國")</f>
        <v>中國</v>
      </c>
      <c r="S1402" s="25"/>
      <c r="T1402" s="25"/>
      <c r="U1402" s="25"/>
      <c r="V1402" s="25"/>
      <c r="W1402" s="25"/>
      <c r="X1402" s="25"/>
      <c r="Y1402" s="25"/>
      <c r="Z1402" s="27"/>
      <c r="AA1402" s="28" t="str">
        <f ca="1">IFERROR(__xludf.DUMMYFUNCTION("""COMPUTED_VALUE"""),"*家庭必備煎煮炒樣樣行*高鍋邊順手好翻炒*智慧佳溫紅心，掌握最佳烹調溫度*塗層添加鈦合金粒子抗刮耐磨*安全節能的鍋體設計")</f>
        <v>*家庭必備煎煮炒樣樣行*高鍋邊順手好翻炒*智慧佳溫紅心，掌握最佳烹調溫度*塗層添加鈦合金粒子抗刮耐磨*安全節能的鍋體設計</v>
      </c>
    </row>
    <row r="1403" spans="1:27" ht="12.75">
      <c r="A1403" s="25" t="str">
        <f ca="1">IFERROR(__xludf.DUMMYFUNCTION("""COMPUTED_VALUE"""),"居家生活用品")</f>
        <v>居家生活用品</v>
      </c>
      <c r="B1403" s="25" t="str">
        <f ca="1">IFERROR(__xludf.DUMMYFUNCTION("""COMPUTED_VALUE"""),"凱創")</f>
        <v>凱創</v>
      </c>
      <c r="C1403" s="25" t="str">
        <f ca="1">IFERROR(__xludf.DUMMYFUNCTION("""COMPUTED_VALUE"""),"法國特福")</f>
        <v>法國特福</v>
      </c>
      <c r="D1403" s="25" t="str">
        <f ca="1">IFERROR(__xludf.DUMMYFUNCTION("""COMPUTED_VALUE"""),"居家_法國特福Tefal 爵士系列不沾鍋四件組(28cm炒鍋+16cm湯鍋+16cm鍋蓋+鍋鏟)")</f>
        <v>居家_法國特福Tefal 爵士系列不沾鍋四件組(28cm炒鍋+16cm湯鍋+16cm鍋蓋+鍋鏟)</v>
      </c>
      <c r="E1403" s="25" t="str">
        <f ca="1">IFERROR(__xludf.DUMMYFUNCTION("""COMPUTED_VALUE"""),"SE-B225S405")</f>
        <v>SE-B225S405</v>
      </c>
      <c r="F1403" s="25">
        <f ca="1">IFERROR(__xludf.DUMMYFUNCTION("""COMPUTED_VALUE"""),51084342)</f>
        <v>51084342</v>
      </c>
      <c r="G1403" s="25" t="str">
        <f ca="1">IFERROR(__xludf.DUMMYFUNCTION("""COMPUTED_VALUE"""),"IGEM1048")</f>
        <v>IGEM1048</v>
      </c>
      <c r="H1403" s="26">
        <f ca="1">IFERROR(__xludf.DUMMYFUNCTION("""COMPUTED_VALUE"""),3670)</f>
        <v>3670</v>
      </c>
      <c r="I1403" s="27">
        <f ca="1">IFERROR(__xludf.DUMMYFUNCTION("""COMPUTED_VALUE"""),999)</f>
        <v>999</v>
      </c>
      <c r="J1403" s="25"/>
      <c r="K1403" s="25" t="str">
        <f ca="1">IFERROR(__xludf.DUMMYFUNCTION("""COMPUTED_VALUE"""),"新機上架")</f>
        <v>新機上架</v>
      </c>
      <c r="L1403" s="25" t="str">
        <f ca="1">IFERROR(__xludf.DUMMYFUNCTION("""COMPUTED_VALUE"""),"上架中")</f>
        <v>上架中</v>
      </c>
      <c r="M1403" s="25"/>
      <c r="N1403" s="25" t="str">
        <f ca="1">IFERROR(__xludf.DUMMYFUNCTION("""COMPUTED_VALUE"""),"鍋具")</f>
        <v>鍋具</v>
      </c>
      <c r="O1403" s="25" t="str">
        <f ca="1">IFERROR(__xludf.DUMMYFUNCTION("""COMPUTED_VALUE"""),"鍋底黑色")</f>
        <v>鍋底黑色</v>
      </c>
      <c r="P1403" s="25" t="str">
        <f ca="1">IFERROR(__xludf.DUMMYFUNCTION("""COMPUTED_VALUE"""),"◆28cm小炒鍋
 材質：鋁合金、TITANIUM不沾塗層（PTFE，耐熱溫度250°C）、PTFE烤漆外層、電木把手
 尺寸：鍋具口徑28cm／鍋底直徑14.5cm／含鍋把總長46.5cm／鍋深8.1cm
 重量：756 g
 ◆16cm單柄湯鍋
 材質：鋁合金、TITANIUM不沾塗層（PTFE，耐熱溫度250°C）、PTFE烤漆外層、電木把手
 尺寸：鍋具口徑16cm／鍋底直徑16cm／含鍋把總長32.5cm／鍋深7.8cm
 重量：395 g
 ◆鍋鏟
 材質：電木塑膠
 尺寸：長29 x"&amp;" 寬8 cm
 重量：47 g
 耐熱範圍：~220°C
 ◆耐熱玻璃蓋
 尺寸：直徑16cm
 重量：297 g")</f>
        <v>◆28cm小炒鍋
 材質：鋁合金、TITANIUM不沾塗層（PTFE，耐熱溫度250°C）、PTFE烤漆外層、電木把手
 尺寸：鍋具口徑28cm／鍋底直徑14.5cm／含鍋把總長46.5cm／鍋深8.1cm
 重量：756 g
 ◆16cm單柄湯鍋
 材質：鋁合金、TITANIUM不沾塗層（PTFE，耐熱溫度250°C）、PTFE烤漆外層、電木把手
 尺寸：鍋具口徑16cm／鍋底直徑16cm／含鍋把總長32.5cm／鍋深7.8cm
 重量：395 g
 ◆鍋鏟
 材質：電木塑膠
 尺寸：長29 x 寬8 cm
 重量：47 g
 耐熱範圍：~220°C
 ◆耐熱玻璃蓋
 尺寸：直徑16cm
 重量：297 g</v>
      </c>
      <c r="Q1403" s="25"/>
      <c r="R1403" s="25" t="str">
        <f ca="1">IFERROR(__xludf.DUMMYFUNCTION("""COMPUTED_VALUE"""),"中國")</f>
        <v>中國</v>
      </c>
      <c r="S1403" s="25"/>
      <c r="T1403" s="25"/>
      <c r="U1403" s="25"/>
      <c r="V1403" s="25"/>
      <c r="W1403" s="25"/>
      <c r="X1403" s="25"/>
      <c r="Y1403" s="25"/>
      <c r="Z1403" s="27"/>
      <c r="AA1403" s="28" t="str">
        <f ca="1">IFERROR(__xludf.DUMMYFUNCTION("""COMPUTED_VALUE"""),"*常用鍋具一次大滿足*輕鬆搞定煎煮炒各種料理模式*智慧佳溫紅心，掌握最佳烹調溫度*TITANIUM鈦合金塗層，少油健康烹煮*易潔處理，防沾抗汙好清洗")</f>
        <v>*常用鍋具一次大滿足*輕鬆搞定煎煮炒各種料理模式*智慧佳溫紅心，掌握最佳烹調溫度*TITANIUM鈦合金塗層，少油健康烹煮*易潔處理，防沾抗汙好清洗</v>
      </c>
    </row>
    <row r="1404" spans="1:27" ht="12.75">
      <c r="A1404" s="25" t="str">
        <f ca="1">IFERROR(__xludf.DUMMYFUNCTION("""COMPUTED_VALUE"""),"居家生活用品")</f>
        <v>居家生活用品</v>
      </c>
      <c r="B1404" s="25" t="str">
        <f ca="1">IFERROR(__xludf.DUMMYFUNCTION("""COMPUTED_VALUE"""),"凱創")</f>
        <v>凱創</v>
      </c>
      <c r="C1404" s="25" t="str">
        <f ca="1">IFERROR(__xludf.DUMMYFUNCTION("""COMPUTED_VALUE"""),"清淨海")</f>
        <v>清淨海</v>
      </c>
      <c r="D1404" s="25" t="str">
        <f ca="1">IFERROR(__xludf.DUMMYFUNCTION("""COMPUTED_VALUE"""),"居家_【清淨海】檸檬系列環保地板清潔劑(2000ml*4+4000ml*1)-宅配限本島")</f>
        <v>居家_【清淨海】檸檬系列環保地板清潔劑(2000ml*4+4000ml*1)-宅配限本島</v>
      </c>
      <c r="E1404" s="25" t="str">
        <f ca="1">IFERROR(__xludf.DUMMYFUNCTION("""COMPUTED_VALUE"""),"地板清潔劑2000ml*4+4000ml*1")</f>
        <v>地板清潔劑2000ml*4+4000ml*1</v>
      </c>
      <c r="F1404" s="25">
        <f ca="1">IFERROR(__xludf.DUMMYFUNCTION("""COMPUTED_VALUE"""),51057039)</f>
        <v>51057039</v>
      </c>
      <c r="G1404" s="25" t="str">
        <f ca="1">IFERROR(__xludf.DUMMYFUNCTION("""COMPUTED_VALUE"""),"EHOME038")</f>
        <v>EHOME038</v>
      </c>
      <c r="H1404" s="25">
        <f ca="1">IFERROR(__xludf.DUMMYFUNCTION("""COMPUTED_VALUE"""),1399)</f>
        <v>1399</v>
      </c>
      <c r="I1404" s="27">
        <f ca="1">IFERROR(__xludf.DUMMYFUNCTION("""COMPUTED_VALUE"""),899)</f>
        <v>899</v>
      </c>
      <c r="J1404" s="25"/>
      <c r="K1404" s="25"/>
      <c r="L1404" s="25" t="str">
        <f ca="1">IFERROR(__xludf.DUMMYFUNCTION("""COMPUTED_VALUE"""),"上架中")</f>
        <v>上架中</v>
      </c>
      <c r="M1404" s="25"/>
      <c r="N1404" s="25" t="str">
        <f ca="1">IFERROR(__xludf.DUMMYFUNCTION("""COMPUTED_VALUE"""),"地面清潔")</f>
        <v>地面清潔</v>
      </c>
      <c r="O1404" s="25"/>
      <c r="P1404" s="25"/>
      <c r="Q1404" s="25"/>
      <c r="R1404" s="25"/>
      <c r="S1404" s="25"/>
      <c r="T1404" s="25"/>
      <c r="U1404" s="25"/>
      <c r="V1404" s="25"/>
      <c r="W1404" s="25"/>
      <c r="X1404" s="25"/>
      <c r="Y1404" s="25"/>
      <c r="Z1404" s="27"/>
      <c r="AA1404" s="28"/>
    </row>
    <row r="1405" spans="1:27" ht="12.75">
      <c r="A1405" s="25" t="str">
        <f ca="1">IFERROR(__xludf.DUMMYFUNCTION("""COMPUTED_VALUE"""),"居家生活用品")</f>
        <v>居家生活用品</v>
      </c>
      <c r="B1405" s="25" t="str">
        <f ca="1">IFERROR(__xludf.DUMMYFUNCTION("""COMPUTED_VALUE"""),"凱創")</f>
        <v>凱創</v>
      </c>
      <c r="C1405" s="25" t="str">
        <f ca="1">IFERROR(__xludf.DUMMYFUNCTION("""COMPUTED_VALUE"""),"清淨海")</f>
        <v>清淨海</v>
      </c>
      <c r="D1405" s="25" t="str">
        <f ca="1">IFERROR(__xludf.DUMMYFUNCTION("""COMPUTED_VALUE"""),"居家_【清淨海】檸檬系列環保洗碗精500g-宅配限本島《箱購12入組》")</f>
        <v>居家_【清淨海】檸檬系列環保洗碗精500g-宅配限本島《箱購12入組》</v>
      </c>
      <c r="E1405" s="25" t="str">
        <f ca="1">IFERROR(__xludf.DUMMYFUNCTION("""COMPUTED_VALUE"""),"洗碗精500gx12")</f>
        <v>洗碗精500gx12</v>
      </c>
      <c r="F1405" s="25">
        <f ca="1">IFERROR(__xludf.DUMMYFUNCTION("""COMPUTED_VALUE"""),51057041)</f>
        <v>51057041</v>
      </c>
      <c r="G1405" s="25" t="str">
        <f ca="1">IFERROR(__xludf.DUMMYFUNCTION("""COMPUTED_VALUE"""),"EHOME040")</f>
        <v>EHOME040</v>
      </c>
      <c r="H1405" s="25">
        <f ca="1">IFERROR(__xludf.DUMMYFUNCTION("""COMPUTED_VALUE"""),1428)</f>
        <v>1428</v>
      </c>
      <c r="I1405" s="27">
        <f ca="1">IFERROR(__xludf.DUMMYFUNCTION("""COMPUTED_VALUE"""),879)</f>
        <v>879</v>
      </c>
      <c r="J1405" s="25"/>
      <c r="K1405" s="25"/>
      <c r="L1405" s="25" t="str">
        <f ca="1">IFERROR(__xludf.DUMMYFUNCTION("""COMPUTED_VALUE"""),"上架中")</f>
        <v>上架中</v>
      </c>
      <c r="M1405" s="25"/>
      <c r="N1405" s="25" t="str">
        <f ca="1">IFERROR(__xludf.DUMMYFUNCTION("""COMPUTED_VALUE"""),"廚房清潔")</f>
        <v>廚房清潔</v>
      </c>
      <c r="O1405" s="25"/>
      <c r="P1405" s="25"/>
      <c r="Q1405" s="25"/>
      <c r="R1405" s="25"/>
      <c r="S1405" s="25"/>
      <c r="T1405" s="25"/>
      <c r="U1405" s="25"/>
      <c r="V1405" s="25"/>
      <c r="W1405" s="25"/>
      <c r="X1405" s="25"/>
      <c r="Y1405" s="25"/>
      <c r="Z1405" s="27"/>
      <c r="AA1405" s="28"/>
    </row>
    <row r="1406" spans="1:27" ht="12.75">
      <c r="A1406" s="25" t="str">
        <f ca="1">IFERROR(__xludf.DUMMYFUNCTION("""COMPUTED_VALUE"""),"居家生活用品")</f>
        <v>居家生活用品</v>
      </c>
      <c r="B1406" s="25" t="str">
        <f ca="1">IFERROR(__xludf.DUMMYFUNCTION("""COMPUTED_VALUE"""),"凱創")</f>
        <v>凱創</v>
      </c>
      <c r="C1406" s="25" t="str">
        <f ca="1">IFERROR(__xludf.DUMMYFUNCTION("""COMPUTED_VALUE"""),"清淨海")</f>
        <v>清淨海</v>
      </c>
      <c r="D1406" s="25" t="str">
        <f ca="1">IFERROR(__xludf.DUMMYFUNCTION("""COMPUTED_VALUE"""),"居家_【清淨海】檸檬系列環保洗衣粉1.5kg-宅配限本島《箱購6入組》")</f>
        <v>居家_【清淨海】檸檬系列環保洗衣粉1.5kg-宅配限本島《箱購6入組》</v>
      </c>
      <c r="E1406" s="25" t="str">
        <f ca="1">IFERROR(__xludf.DUMMYFUNCTION("""COMPUTED_VALUE"""),"洗衣粉1.5kgx6")</f>
        <v>洗衣粉1.5kgx6</v>
      </c>
      <c r="F1406" s="25">
        <f ca="1">IFERROR(__xludf.DUMMYFUNCTION("""COMPUTED_VALUE"""),51057047)</f>
        <v>51057047</v>
      </c>
      <c r="G1406" s="25" t="str">
        <f ca="1">IFERROR(__xludf.DUMMYFUNCTION("""COMPUTED_VALUE"""),"EHOME050")</f>
        <v>EHOME050</v>
      </c>
      <c r="H1406" s="25">
        <f ca="1">IFERROR(__xludf.DUMMYFUNCTION("""COMPUTED_VALUE"""),1399)</f>
        <v>1399</v>
      </c>
      <c r="I1406" s="27">
        <f ca="1">IFERROR(__xludf.DUMMYFUNCTION("""COMPUTED_VALUE"""),799)</f>
        <v>799</v>
      </c>
      <c r="J1406" s="25"/>
      <c r="K1406" s="25"/>
      <c r="L1406" s="25" t="str">
        <f ca="1">IFERROR(__xludf.DUMMYFUNCTION("""COMPUTED_VALUE"""),"上架中")</f>
        <v>上架中</v>
      </c>
      <c r="M1406" s="25"/>
      <c r="N1406" s="25" t="str">
        <f ca="1">IFERROR(__xludf.DUMMYFUNCTION("""COMPUTED_VALUE"""),"衣物清潔")</f>
        <v>衣物清潔</v>
      </c>
      <c r="O1406" s="25"/>
      <c r="P1406" s="25"/>
      <c r="Q1406" s="25"/>
      <c r="R1406" s="25"/>
      <c r="S1406" s="25"/>
      <c r="T1406" s="25"/>
      <c r="U1406" s="25"/>
      <c r="V1406" s="25"/>
      <c r="W1406" s="25"/>
      <c r="X1406" s="25"/>
      <c r="Y1406" s="25"/>
      <c r="Z1406" s="27"/>
      <c r="AA1406" s="28"/>
    </row>
    <row r="1407" spans="1:27" ht="12.75">
      <c r="A1407" s="25" t="str">
        <f ca="1">IFERROR(__xludf.DUMMYFUNCTION("""COMPUTED_VALUE"""),"居家生活用品")</f>
        <v>居家生活用品</v>
      </c>
      <c r="B1407" s="25" t="str">
        <f ca="1">IFERROR(__xludf.DUMMYFUNCTION("""COMPUTED_VALUE"""),"凱創")</f>
        <v>凱創</v>
      </c>
      <c r="C1407" s="25" t="str">
        <f ca="1">IFERROR(__xludf.DUMMYFUNCTION("""COMPUTED_VALUE"""),"清淨海")</f>
        <v>清淨海</v>
      </c>
      <c r="D1407" s="25" t="str">
        <f ca="1">IFERROR(__xludf.DUMMYFUNCTION("""COMPUTED_VALUE"""),"居家_【清淨海】檸檬系列環保洗手慕斯(480ml*2+補充包450g*6)-宅配限本島")</f>
        <v>居家_【清淨海】檸檬系列環保洗手慕斯(480ml*2+補充包450g*6)-宅配限本島</v>
      </c>
      <c r="E1407" s="25" t="str">
        <f ca="1">IFERROR(__xludf.DUMMYFUNCTION("""COMPUTED_VALUE"""),"洗手慕斯480ml*2+補充包450g*6")</f>
        <v>洗手慕斯480ml*2+補充包450g*6</v>
      </c>
      <c r="F1407" s="25">
        <f ca="1">IFERROR(__xludf.DUMMYFUNCTION("""COMPUTED_VALUE"""),51057049)</f>
        <v>51057049</v>
      </c>
      <c r="G1407" s="25" t="str">
        <f ca="1">IFERROR(__xludf.DUMMYFUNCTION("""COMPUTED_VALUE"""),"EHOME052")</f>
        <v>EHOME052</v>
      </c>
      <c r="H1407" s="25">
        <f ca="1">IFERROR(__xludf.DUMMYFUNCTION("""COMPUTED_VALUE"""),1599)</f>
        <v>1599</v>
      </c>
      <c r="I1407" s="27">
        <f ca="1">IFERROR(__xludf.DUMMYFUNCTION("""COMPUTED_VALUE"""),899)</f>
        <v>899</v>
      </c>
      <c r="J1407" s="25"/>
      <c r="K1407" s="25"/>
      <c r="L1407" s="25" t="str">
        <f ca="1">IFERROR(__xludf.DUMMYFUNCTION("""COMPUTED_VALUE"""),"上架中")</f>
        <v>上架中</v>
      </c>
      <c r="M1407" s="25"/>
      <c r="N1407" s="25" t="str">
        <f ca="1">IFERROR(__xludf.DUMMYFUNCTION("""COMPUTED_VALUE"""),"身體清潔")</f>
        <v>身體清潔</v>
      </c>
      <c r="O1407" s="25"/>
      <c r="P1407" s="25"/>
      <c r="Q1407" s="25"/>
      <c r="R1407" s="25"/>
      <c r="S1407" s="25"/>
      <c r="T1407" s="25"/>
      <c r="U1407" s="25"/>
      <c r="V1407" s="25"/>
      <c r="W1407" s="25"/>
      <c r="X1407" s="25"/>
      <c r="Y1407" s="25"/>
      <c r="Z1407" s="27"/>
      <c r="AA1407" s="28"/>
    </row>
    <row r="1408" spans="1:27" ht="12.75">
      <c r="A1408" s="25" t="str">
        <f ca="1">IFERROR(__xludf.DUMMYFUNCTION("""COMPUTED_VALUE"""),"居家生活用品")</f>
        <v>居家生活用品</v>
      </c>
      <c r="B1408" s="25" t="str">
        <f ca="1">IFERROR(__xludf.DUMMYFUNCTION("""COMPUTED_VALUE"""),"凱創")</f>
        <v>凱創</v>
      </c>
      <c r="C1408" s="25" t="str">
        <f ca="1">IFERROR(__xludf.DUMMYFUNCTION("""COMPUTED_VALUE"""),"清淨海")</f>
        <v>清淨海</v>
      </c>
      <c r="D1408" s="25" t="str">
        <f ca="1">IFERROR(__xludf.DUMMYFUNCTION("""COMPUTED_VALUE"""),"居家_【清淨海】巧檸酸-食品等級檸檬酸350g-宅配限本島《箱購6入組》")</f>
        <v>居家_【清淨海】巧檸酸-食品等級檸檬酸350g-宅配限本島《箱購6入組》</v>
      </c>
      <c r="E1408" s="25" t="str">
        <f ca="1">IFERROR(__xludf.DUMMYFUNCTION("""COMPUTED_VALUE"""),"巧檸酸350gx6")</f>
        <v>巧檸酸350gx6</v>
      </c>
      <c r="F1408" s="25">
        <f ca="1">IFERROR(__xludf.DUMMYFUNCTION("""COMPUTED_VALUE"""),51057050)</f>
        <v>51057050</v>
      </c>
      <c r="G1408" s="25" t="str">
        <f ca="1">IFERROR(__xludf.DUMMYFUNCTION("""COMPUTED_VALUE"""),"EHOME053")</f>
        <v>EHOME053</v>
      </c>
      <c r="H1408" s="25">
        <f ca="1">IFERROR(__xludf.DUMMYFUNCTION("""COMPUTED_VALUE"""),894)</f>
        <v>894</v>
      </c>
      <c r="I1408" s="27">
        <f ca="1">IFERROR(__xludf.DUMMYFUNCTION("""COMPUTED_VALUE"""),629)</f>
        <v>629</v>
      </c>
      <c r="J1408" s="25"/>
      <c r="K1408" s="25"/>
      <c r="L1408" s="25" t="str">
        <f ca="1">IFERROR(__xludf.DUMMYFUNCTION("""COMPUTED_VALUE"""),"上架中")</f>
        <v>上架中</v>
      </c>
      <c r="M1408" s="25"/>
      <c r="N1408" s="25" t="str">
        <f ca="1">IFERROR(__xludf.DUMMYFUNCTION("""COMPUTED_VALUE"""),"廚房清潔")</f>
        <v>廚房清潔</v>
      </c>
      <c r="O1408" s="25"/>
      <c r="P1408" s="25"/>
      <c r="Q1408" s="25"/>
      <c r="R1408" s="25"/>
      <c r="S1408" s="25"/>
      <c r="T1408" s="25"/>
      <c r="U1408" s="25"/>
      <c r="V1408" s="25"/>
      <c r="W1408" s="25"/>
      <c r="X1408" s="25"/>
      <c r="Y1408" s="25"/>
      <c r="Z1408" s="27"/>
      <c r="AA1408" s="28"/>
    </row>
    <row r="1409" spans="1:27" ht="12.75">
      <c r="A1409" s="25" t="str">
        <f ca="1">IFERROR(__xludf.DUMMYFUNCTION("""COMPUTED_VALUE"""),"居家生活用品")</f>
        <v>居家生活用品</v>
      </c>
      <c r="B1409" s="25" t="str">
        <f ca="1">IFERROR(__xludf.DUMMYFUNCTION("""COMPUTED_VALUE"""),"凱創")</f>
        <v>凱創</v>
      </c>
      <c r="C1409" s="25" t="str">
        <f ca="1">IFERROR(__xludf.DUMMYFUNCTION("""COMPUTED_VALUE"""),"清淨海")</f>
        <v>清淨海</v>
      </c>
      <c r="D1409" s="25" t="str">
        <f ca="1">IFERROR(__xludf.DUMMYFUNCTION("""COMPUTED_VALUE"""),"居家_【清淨海】巧蘇打-食品等級小蘇打350g-宅配限本島《箱購6入組》")</f>
        <v>居家_【清淨海】巧蘇打-食品等級小蘇打350g-宅配限本島《箱購6入組》</v>
      </c>
      <c r="E1409" s="25" t="str">
        <f ca="1">IFERROR(__xludf.DUMMYFUNCTION("""COMPUTED_VALUE"""),"巧蘇打350gx6")</f>
        <v>巧蘇打350gx6</v>
      </c>
      <c r="F1409" s="25">
        <f ca="1">IFERROR(__xludf.DUMMYFUNCTION("""COMPUTED_VALUE"""),51057051)</f>
        <v>51057051</v>
      </c>
      <c r="G1409" s="25" t="str">
        <f ca="1">IFERROR(__xludf.DUMMYFUNCTION("""COMPUTED_VALUE"""),"EHOME054")</f>
        <v>EHOME054</v>
      </c>
      <c r="H1409" s="25">
        <f ca="1">IFERROR(__xludf.DUMMYFUNCTION("""COMPUTED_VALUE"""),894)</f>
        <v>894</v>
      </c>
      <c r="I1409" s="27">
        <f ca="1">IFERROR(__xludf.DUMMYFUNCTION("""COMPUTED_VALUE"""),629)</f>
        <v>629</v>
      </c>
      <c r="J1409" s="25"/>
      <c r="K1409" s="25"/>
      <c r="L1409" s="25" t="str">
        <f ca="1">IFERROR(__xludf.DUMMYFUNCTION("""COMPUTED_VALUE"""),"上架中")</f>
        <v>上架中</v>
      </c>
      <c r="M1409" s="25"/>
      <c r="N1409" s="25" t="str">
        <f ca="1">IFERROR(__xludf.DUMMYFUNCTION("""COMPUTED_VALUE"""),"廚房清潔")</f>
        <v>廚房清潔</v>
      </c>
      <c r="O1409" s="25"/>
      <c r="P1409" s="25"/>
      <c r="Q1409" s="25"/>
      <c r="R1409" s="25"/>
      <c r="S1409" s="25"/>
      <c r="T1409" s="25"/>
      <c r="U1409" s="25"/>
      <c r="V1409" s="25"/>
      <c r="W1409" s="25"/>
      <c r="X1409" s="25"/>
      <c r="Y1409" s="25"/>
      <c r="Z1409" s="27"/>
      <c r="AA1409" s="28"/>
    </row>
    <row r="1410" spans="1:27" ht="12.75">
      <c r="A1410" s="25" t="str">
        <f ca="1">IFERROR(__xludf.DUMMYFUNCTION("""COMPUTED_VALUE"""),"居家生活用品")</f>
        <v>居家生活用品</v>
      </c>
      <c r="B1410" s="25" t="str">
        <f ca="1">IFERROR(__xludf.DUMMYFUNCTION("""COMPUTED_VALUE"""),"凱創")</f>
        <v>凱創</v>
      </c>
      <c r="C1410" s="25" t="str">
        <f ca="1">IFERROR(__xludf.DUMMYFUNCTION("""COMPUTED_VALUE"""),"清淨海")</f>
        <v>清淨海</v>
      </c>
      <c r="D1410" s="25" t="str">
        <f ca="1">IFERROR(__xludf.DUMMYFUNCTION("""COMPUTED_VALUE"""),"居家_檸檬系列【環保洗衣精1800g*3】+【環保洗衣精補充包1500g*3】+【環保地板清潔劑2000ml*1】-宅配限本島")</f>
        <v>居家_檸檬系列【環保洗衣精1800g*3】+【環保洗衣精補充包1500g*3】+【環保地板清潔劑2000ml*1】-宅配限本島</v>
      </c>
      <c r="E1410" s="25" t="str">
        <f ca="1">IFERROR(__xludf.DUMMYFUNCTION("""COMPUTED_VALUE"""),"洗衣精1800g*3+洗衣精補充包1500g*3+地板清潔劑2000ml*1")</f>
        <v>洗衣精1800g*3+洗衣精補充包1500g*3+地板清潔劑2000ml*1</v>
      </c>
      <c r="F1410" s="25">
        <f ca="1">IFERROR(__xludf.DUMMYFUNCTION("""COMPUTED_VALUE"""),51084271)</f>
        <v>51084271</v>
      </c>
      <c r="G1410" s="25" t="str">
        <f ca="1">IFERROR(__xludf.DUMMYFUNCTION("""COMPUTED_VALUE"""),"EHOME095")</f>
        <v>EHOME095</v>
      </c>
      <c r="H1410" s="25">
        <f ca="1">IFERROR(__xludf.DUMMYFUNCTION("""COMPUTED_VALUE"""),1453)</f>
        <v>1453</v>
      </c>
      <c r="I1410" s="27">
        <f ca="1">IFERROR(__xludf.DUMMYFUNCTION("""COMPUTED_VALUE"""),899)</f>
        <v>899</v>
      </c>
      <c r="J1410" s="25"/>
      <c r="K1410" s="25"/>
      <c r="L1410" s="25" t="str">
        <f ca="1">IFERROR(__xludf.DUMMYFUNCTION("""COMPUTED_VALUE"""),"上架中")</f>
        <v>上架中</v>
      </c>
      <c r="M1410" s="25"/>
      <c r="N1410" s="25" t="str">
        <f ca="1">IFERROR(__xludf.DUMMYFUNCTION("""COMPUTED_VALUE"""),"衣物清潔")</f>
        <v>衣物清潔</v>
      </c>
      <c r="O1410" s="25"/>
      <c r="P1410" s="25"/>
      <c r="Q1410" s="25"/>
      <c r="R1410" s="25"/>
      <c r="S1410" s="25"/>
      <c r="T1410" s="25"/>
      <c r="U1410" s="25"/>
      <c r="V1410" s="25"/>
      <c r="W1410" s="25"/>
      <c r="X1410" s="25"/>
      <c r="Y1410" s="25"/>
      <c r="Z1410" s="27"/>
      <c r="AA1410" s="28" t="str">
        <f ca="1">IFERROR(__xludf.DUMMYFUNCTION("""COMPUTED_VALUE"""),"植萃來源成分、濃縮用量精省、 高生物分解友善生態")</f>
        <v>植萃來源成分、濃縮用量精省、 高生物分解友善生態</v>
      </c>
    </row>
    <row r="1411" spans="1:27" ht="12.75">
      <c r="A1411" s="25" t="str">
        <f ca="1">IFERROR(__xludf.DUMMYFUNCTION("""COMPUTED_VALUE"""),"居家生活用品")</f>
        <v>居家生活用品</v>
      </c>
      <c r="B1411" s="25" t="str">
        <f ca="1">IFERROR(__xludf.DUMMYFUNCTION("""COMPUTED_VALUE"""),"凱創")</f>
        <v>凱創</v>
      </c>
      <c r="C1411" s="25" t="str">
        <f ca="1">IFERROR(__xludf.DUMMYFUNCTION("""COMPUTED_VALUE"""),"清淨海")</f>
        <v>清淨海</v>
      </c>
      <c r="D1411" s="25" t="str">
        <f ca="1">IFERROR(__xludf.DUMMYFUNCTION("""COMPUTED_VALUE"""),"居家_檸檬系列【環保洗衣精1800g*3】+【環保洗衣粉1.5kg*2】+【環保地板清潔劑2000ml*1】-宅配限本島")</f>
        <v>居家_檸檬系列【環保洗衣精1800g*3】+【環保洗衣粉1.5kg*2】+【環保地板清潔劑2000ml*1】-宅配限本島</v>
      </c>
      <c r="E1411" s="25" t="str">
        <f ca="1">IFERROR(__xludf.DUMMYFUNCTION("""COMPUTED_VALUE"""),"洗衣精1800g*3+洗衣粉1.5kg*2+地板清潔劑2000ml*1")</f>
        <v>洗衣精1800g*3+洗衣粉1.5kg*2+地板清潔劑2000ml*1</v>
      </c>
      <c r="F1411" s="25">
        <f ca="1">IFERROR(__xludf.DUMMYFUNCTION("""COMPUTED_VALUE"""),51084272)</f>
        <v>51084272</v>
      </c>
      <c r="G1411" s="25" t="str">
        <f ca="1">IFERROR(__xludf.DUMMYFUNCTION("""COMPUTED_VALUE"""),"EHOME096")</f>
        <v>EHOME096</v>
      </c>
      <c r="H1411" s="25">
        <f ca="1">IFERROR(__xludf.DUMMYFUNCTION("""COMPUTED_VALUE"""),1376)</f>
        <v>1376</v>
      </c>
      <c r="I1411" s="27">
        <f ca="1">IFERROR(__xludf.DUMMYFUNCTION("""COMPUTED_VALUE"""),799)</f>
        <v>799</v>
      </c>
      <c r="J1411" s="25"/>
      <c r="K1411" s="25"/>
      <c r="L1411" s="25" t="str">
        <f ca="1">IFERROR(__xludf.DUMMYFUNCTION("""COMPUTED_VALUE"""),"上架中")</f>
        <v>上架中</v>
      </c>
      <c r="M1411" s="25"/>
      <c r="N1411" s="25" t="str">
        <f ca="1">IFERROR(__xludf.DUMMYFUNCTION("""COMPUTED_VALUE"""),"衣物清潔")</f>
        <v>衣物清潔</v>
      </c>
      <c r="O1411" s="25"/>
      <c r="P1411" s="25"/>
      <c r="Q1411" s="25"/>
      <c r="R1411" s="25"/>
      <c r="S1411" s="25"/>
      <c r="T1411" s="25"/>
      <c r="U1411" s="25"/>
      <c r="V1411" s="25"/>
      <c r="W1411" s="25"/>
      <c r="X1411" s="25"/>
      <c r="Y1411" s="25"/>
      <c r="Z1411" s="27"/>
      <c r="AA1411" s="28"/>
    </row>
    <row r="1412" spans="1:27" ht="12.75">
      <c r="A1412" s="25" t="str">
        <f ca="1">IFERROR(__xludf.DUMMYFUNCTION("""COMPUTED_VALUE"""),"居家生活用品")</f>
        <v>居家生活用品</v>
      </c>
      <c r="B1412" s="25" t="str">
        <f ca="1">IFERROR(__xludf.DUMMYFUNCTION("""COMPUTED_VALUE"""),"凱創")</f>
        <v>凱創</v>
      </c>
      <c r="C1412" s="25" t="str">
        <f ca="1">IFERROR(__xludf.DUMMYFUNCTION("""COMPUTED_VALUE"""),"清淨海")</f>
        <v>清淨海</v>
      </c>
      <c r="D1412" s="25" t="str">
        <f ca="1">IFERROR(__xludf.DUMMYFUNCTION("""COMPUTED_VALUE"""),"居家_【清淨海】檸檬系列環保洗衣精 1800g(箱購6入)-宅配限本島")</f>
        <v>居家_【清淨海】檸檬系列環保洗衣精 1800g(箱購6入)-宅配限本島</v>
      </c>
      <c r="E1412" s="25" t="str">
        <f ca="1">IFERROR(__xludf.DUMMYFUNCTION("""COMPUTED_VALUE"""),"SM-LMC-LD1800")</f>
        <v>SM-LMC-LD1800</v>
      </c>
      <c r="F1412" s="25">
        <f ca="1">IFERROR(__xludf.DUMMYFUNCTION("""COMPUTED_VALUE"""),51057201)</f>
        <v>51057201</v>
      </c>
      <c r="G1412" s="25" t="str">
        <f ca="1">IFERROR(__xludf.DUMMYFUNCTION("""COMPUTED_VALUE"""),"IGEM071A")</f>
        <v>IGEM071A</v>
      </c>
      <c r="H1412" s="26">
        <f ca="1">IFERROR(__xludf.DUMMYFUNCTION("""COMPUTED_VALUE"""),1374)</f>
        <v>1374</v>
      </c>
      <c r="I1412" s="27">
        <f ca="1">IFERROR(__xludf.DUMMYFUNCTION("""COMPUTED_VALUE"""),749)</f>
        <v>749</v>
      </c>
      <c r="J1412" s="25"/>
      <c r="K1412" s="25"/>
      <c r="L1412" s="25" t="str">
        <f ca="1">IFERROR(__xludf.DUMMYFUNCTION("""COMPUTED_VALUE"""),"上架中")</f>
        <v>上架中</v>
      </c>
      <c r="M1412" s="25" t="str">
        <f ca="1">IFERROR(__xludf.DUMMYFUNCTION("""COMPUTED_VALUE"""),"2022/11/1新機上架")</f>
        <v>2022/11/1新機上架</v>
      </c>
      <c r="N1412" s="25" t="str">
        <f ca="1">IFERROR(__xludf.DUMMYFUNCTION("""COMPUTED_VALUE"""),"衣物清潔")</f>
        <v>衣物清潔</v>
      </c>
      <c r="O1412" s="25"/>
      <c r="P1412" s="25" t="str">
        <f ca="1">IFERROR(__xludf.DUMMYFUNCTION("""COMPUTED_VALUE"""),"1800g*6")</f>
        <v>1800g*6</v>
      </c>
      <c r="Q1412" s="25"/>
      <c r="R1412" s="25" t="str">
        <f ca="1">IFERROR(__xludf.DUMMYFUNCTION("""COMPUTED_VALUE"""),"台灣")</f>
        <v>台灣</v>
      </c>
      <c r="S1412" s="25"/>
      <c r="T1412" s="25"/>
      <c r="U1412" s="25"/>
      <c r="V1412" s="25"/>
      <c r="W1412" s="25"/>
      <c r="X1412" s="25"/>
      <c r="Y1412" s="25"/>
      <c r="Z1412" s="27"/>
      <c r="AA1412" s="28" t="str">
        <f ca="1">IFERROR(__xludf.DUMMYFUNCTION("""COMPUTED_VALUE"""),"*日本專利除臭柿單寧科技*天然植物性防霉除臭抑菌*大人/小孩/寵物衣物皆適用*不含酒精，溫和不刺激*通過SGS檢驗/CNS2477洗淨力標準")</f>
        <v>*日本專利除臭柿單寧科技*天然植物性防霉除臭抑菌*大人/小孩/寵物衣物皆適用*不含酒精，溫和不刺激*通過SGS檢驗/CNS2477洗淨力標準</v>
      </c>
    </row>
    <row r="1413" spans="1:27" ht="12.75">
      <c r="A1413" s="25" t="str">
        <f ca="1">IFERROR(__xludf.DUMMYFUNCTION("""COMPUTED_VALUE"""),"居家生活用品")</f>
        <v>居家生活用品</v>
      </c>
      <c r="B1413" s="25" t="str">
        <f ca="1">IFERROR(__xludf.DUMMYFUNCTION("""COMPUTED_VALUE"""),"凱創")</f>
        <v>凱創</v>
      </c>
      <c r="C1413" s="25" t="str">
        <f ca="1">IFERROR(__xludf.DUMMYFUNCTION("""COMPUTED_VALUE"""),"清淨海")</f>
        <v>清淨海</v>
      </c>
      <c r="D1413" s="25" t="str">
        <f ca="1">IFERROR(__xludf.DUMMYFUNCTION("""COMPUTED_VALUE"""),"居家_【清淨海】檸檬系列環保洗衣精補充包 1500g(箱購6入)-宅配限本島")</f>
        <v>居家_【清淨海】檸檬系列環保洗衣精補充包 1500g(箱購6入)-宅配限本島</v>
      </c>
      <c r="E1413" s="25" t="str">
        <f ca="1">IFERROR(__xludf.DUMMYFUNCTION("""COMPUTED_VALUE"""),"SM-LMC-LD1500R")</f>
        <v>SM-LMC-LD1500R</v>
      </c>
      <c r="F1413" s="25">
        <f ca="1">IFERROR(__xludf.DUMMYFUNCTION("""COMPUTED_VALUE"""),51057202)</f>
        <v>51057202</v>
      </c>
      <c r="G1413" s="25" t="str">
        <f ca="1">IFERROR(__xludf.DUMMYFUNCTION("""COMPUTED_VALUE"""),"IGEM071B")</f>
        <v>IGEM071B</v>
      </c>
      <c r="H1413" s="26">
        <f ca="1">IFERROR(__xludf.DUMMYFUNCTION("""COMPUTED_VALUE"""),1074)</f>
        <v>1074</v>
      </c>
      <c r="I1413" s="27">
        <f ca="1">IFERROR(__xludf.DUMMYFUNCTION("""COMPUTED_VALUE"""),639)</f>
        <v>639</v>
      </c>
      <c r="J1413" s="25"/>
      <c r="K1413" s="25"/>
      <c r="L1413" s="25" t="str">
        <f ca="1">IFERROR(__xludf.DUMMYFUNCTION("""COMPUTED_VALUE"""),"上架中")</f>
        <v>上架中</v>
      </c>
      <c r="M1413" s="25" t="str">
        <f ca="1">IFERROR(__xludf.DUMMYFUNCTION("""COMPUTED_VALUE"""),"2022/11/1新機上架")</f>
        <v>2022/11/1新機上架</v>
      </c>
      <c r="N1413" s="25" t="str">
        <f ca="1">IFERROR(__xludf.DUMMYFUNCTION("""COMPUTED_VALUE"""),"衣物清潔")</f>
        <v>衣物清潔</v>
      </c>
      <c r="O1413" s="25"/>
      <c r="P1413" s="25" t="str">
        <f ca="1">IFERROR(__xludf.DUMMYFUNCTION("""COMPUTED_VALUE"""),"1500g*6")</f>
        <v>1500g*6</v>
      </c>
      <c r="Q1413" s="25"/>
      <c r="R1413" s="25" t="str">
        <f ca="1">IFERROR(__xludf.DUMMYFUNCTION("""COMPUTED_VALUE"""),"台灣")</f>
        <v>台灣</v>
      </c>
      <c r="S1413" s="25"/>
      <c r="T1413" s="25"/>
      <c r="U1413" s="25"/>
      <c r="V1413" s="25"/>
      <c r="W1413" s="25"/>
      <c r="X1413" s="25"/>
      <c r="Y1413" s="25"/>
      <c r="Z1413" s="27"/>
      <c r="AA1413" s="28" t="str">
        <f ca="1">IFERROR(__xludf.DUMMYFUNCTION("""COMPUTED_VALUE"""),"*日本專利除臭柿單寧科技*天然植物性防霉除臭抑菌*大人/小孩/寵物衣物皆適用*不含酒精，溫和不刺激*通過SGS檢驗/CNS2477洗淨力標準")</f>
        <v>*日本專利除臭柿單寧科技*天然植物性防霉除臭抑菌*大人/小孩/寵物衣物皆適用*不含酒精，溫和不刺激*通過SGS檢驗/CNS2477洗淨力標準</v>
      </c>
    </row>
    <row r="1414" spans="1:27" ht="12.75">
      <c r="A1414" s="25" t="str">
        <f ca="1">IFERROR(__xludf.DUMMYFUNCTION("""COMPUTED_VALUE"""),"居家生活用品")</f>
        <v>居家生活用品</v>
      </c>
      <c r="B1414" s="25" t="str">
        <f ca="1">IFERROR(__xludf.DUMMYFUNCTION("""COMPUTED_VALUE"""),"凱創")</f>
        <v>凱創</v>
      </c>
      <c r="C1414" s="25" t="str">
        <f ca="1">IFERROR(__xludf.DUMMYFUNCTION("""COMPUTED_VALUE"""),"清淨海")</f>
        <v>清淨海</v>
      </c>
      <c r="D1414" s="25" t="str">
        <f ca="1">IFERROR(__xludf.DUMMYFUNCTION("""COMPUTED_VALUE"""),"居家_【清淨海】檸檬系列環保廚房清潔劑(500g*6+4000ml)-宅配限本島")</f>
        <v>居家_【清淨海】檸檬系列環保廚房清潔劑(500g*6+4000ml)-宅配限本島</v>
      </c>
      <c r="E1414" s="25" t="str">
        <f ca="1">IFERROR(__xludf.DUMMYFUNCTION("""COMPUTED_VALUE"""),"廚房清潔劑500g *6+4000ml")</f>
        <v>廚房清潔劑500g *6+4000ml</v>
      </c>
      <c r="F1414" s="25">
        <f ca="1">IFERROR(__xludf.DUMMYFUNCTION("""COMPUTED_VALUE"""),51057045)</f>
        <v>51057045</v>
      </c>
      <c r="G1414" s="25" t="str">
        <f ca="1">IFERROR(__xludf.DUMMYFUNCTION("""COMPUTED_VALUE"""),"EHOME048")</f>
        <v>EHOME048</v>
      </c>
      <c r="H1414" s="25">
        <f ca="1">IFERROR(__xludf.DUMMYFUNCTION("""COMPUTED_VALUE"""),1499)</f>
        <v>1499</v>
      </c>
      <c r="I1414" s="27">
        <f ca="1">IFERROR(__xludf.DUMMYFUNCTION("""COMPUTED_VALUE"""),979)</f>
        <v>979</v>
      </c>
      <c r="J1414" s="25"/>
      <c r="K1414" s="25"/>
      <c r="L1414" s="25" t="str">
        <f ca="1">IFERROR(__xludf.DUMMYFUNCTION("""COMPUTED_VALUE"""),"上架中")</f>
        <v>上架中</v>
      </c>
      <c r="M1414" s="25"/>
      <c r="N1414" s="25" t="str">
        <f ca="1">IFERROR(__xludf.DUMMYFUNCTION("""COMPUTED_VALUE"""),"廚房清潔")</f>
        <v>廚房清潔</v>
      </c>
      <c r="O1414" s="25"/>
      <c r="P1414" s="25"/>
      <c r="Q1414" s="25" t="str">
        <f ca="1">IFERROR(__xludf.DUMMYFUNCTION("""COMPUTED_VALUE"""),"500g *6+4000ml*1")</f>
        <v>500g *6+4000ml*1</v>
      </c>
      <c r="R1414" s="25" t="str">
        <f ca="1">IFERROR(__xludf.DUMMYFUNCTION("""COMPUTED_VALUE"""),"台灣")</f>
        <v>台灣</v>
      </c>
      <c r="S1414" s="25"/>
      <c r="T1414" s="25"/>
      <c r="U1414" s="25"/>
      <c r="V1414" s="25"/>
      <c r="W1414" s="25"/>
      <c r="X1414" s="25"/>
      <c r="Y1414" s="25"/>
      <c r="Z1414" s="27"/>
      <c r="AA1414" s="28" t="str">
        <f ca="1">IFERROR(__xludf.DUMMYFUNCTION("""COMPUTED_VALUE"""),"*去味檸檬精油 不加香精*植萃來源成分 安心純粹*無揮發性毒氣 中性溫和*免手套免口罩 灰水安全*高生物分解度 友善生態")</f>
        <v>*去味檸檬精油 不加香精*植萃來源成分 安心純粹*無揮發性毒氣 中性溫和*免手套免口罩 灰水安全*高生物分解度 友善生態</v>
      </c>
    </row>
    <row r="1415" spans="1:27" ht="12.75">
      <c r="A1415" s="25" t="str">
        <f ca="1">IFERROR(__xludf.DUMMYFUNCTION("""COMPUTED_VALUE"""),"居家生活用品")</f>
        <v>居家生活用品</v>
      </c>
      <c r="B1415" s="25" t="str">
        <f ca="1">IFERROR(__xludf.DUMMYFUNCTION("""COMPUTED_VALUE"""),"凱創")</f>
        <v>凱創</v>
      </c>
      <c r="C1415" s="25" t="str">
        <f ca="1">IFERROR(__xludf.DUMMYFUNCTION("""COMPUTED_VALUE"""),"清淨海")</f>
        <v>清淨海</v>
      </c>
      <c r="D1415" s="25" t="str">
        <f ca="1">IFERROR(__xludf.DUMMYFUNCTION("""COMPUTED_VALUE"""),"居家_【清淨海】檸檬系列環保浴廁清潔劑( 500g*6+4000ml)-宅配限本島")</f>
        <v>居家_【清淨海】檸檬系列環保浴廁清潔劑( 500g*6+4000ml)-宅配限本島</v>
      </c>
      <c r="E1415" s="25" t="str">
        <f ca="1">IFERROR(__xludf.DUMMYFUNCTION("""COMPUTED_VALUE"""),"浴廁清潔劑500g *6+4000ml")</f>
        <v>浴廁清潔劑500g *6+4000ml</v>
      </c>
      <c r="F1415" s="25">
        <f ca="1">IFERROR(__xludf.DUMMYFUNCTION("""COMPUTED_VALUE"""),51057046)</f>
        <v>51057046</v>
      </c>
      <c r="G1415" s="25" t="str">
        <f ca="1">IFERROR(__xludf.DUMMYFUNCTION("""COMPUTED_VALUE"""),"EHOME049")</f>
        <v>EHOME049</v>
      </c>
      <c r="H1415" s="25">
        <f ca="1">IFERROR(__xludf.DUMMYFUNCTION("""COMPUTED_VALUE"""),1499)</f>
        <v>1499</v>
      </c>
      <c r="I1415" s="27">
        <f ca="1">IFERROR(__xludf.DUMMYFUNCTION("""COMPUTED_VALUE"""),979)</f>
        <v>979</v>
      </c>
      <c r="J1415" s="25"/>
      <c r="K1415" s="25"/>
      <c r="L1415" s="25" t="str">
        <f ca="1">IFERROR(__xludf.DUMMYFUNCTION("""COMPUTED_VALUE"""),"上架中")</f>
        <v>上架中</v>
      </c>
      <c r="M1415" s="25"/>
      <c r="N1415" s="25" t="str">
        <f ca="1">IFERROR(__xludf.DUMMYFUNCTION("""COMPUTED_VALUE"""),"衛浴清潔")</f>
        <v>衛浴清潔</v>
      </c>
      <c r="O1415" s="25"/>
      <c r="P1415" s="25"/>
      <c r="Q1415" s="25" t="str">
        <f ca="1">IFERROR(__xludf.DUMMYFUNCTION("""COMPUTED_VALUE"""),"500g *6+4000ml*1")</f>
        <v>500g *6+4000ml*1</v>
      </c>
      <c r="R1415" s="25" t="str">
        <f ca="1">IFERROR(__xludf.DUMMYFUNCTION("""COMPUTED_VALUE"""),"台灣")</f>
        <v>台灣</v>
      </c>
      <c r="S1415" s="25"/>
      <c r="T1415" s="25"/>
      <c r="U1415" s="25"/>
      <c r="V1415" s="25"/>
      <c r="W1415" s="25"/>
      <c r="X1415" s="25"/>
      <c r="Y1415" s="25"/>
      <c r="Z1415" s="27"/>
      <c r="AA1415" s="28" t="str">
        <f ca="1">IFERROR(__xludf.DUMMYFUNCTION("""COMPUTED_VALUE"""),"""拒絕強酸、強鹼，ph值溫和中性，不刺鼻、不需戴手套，對付頑垢不用再全副武裝，只要多等5分鐘，給孩子、家人一個安心的空間*95%以上高生物分解度，自然分解，河川土地零污染，愛地球生生不息*洗淨零負擔：不添加磷、螢光增白劑、甲醛、三氯沙、含氯漂白劑、NTA、過硼酸鹽、EDTA、APEO、壬基苯酚類界面活性劑
")</f>
        <v xml:space="preserve">"拒絕強酸、強鹼，ph值溫和中性，不刺鼻、不需戴手套，對付頑垢不用再全副武裝，只要多等5分鐘，給孩子、家人一個安心的空間*95%以上高生物分解度，自然分解，河川土地零污染，愛地球生生不息*洗淨零負擔：不添加磷、螢光增白劑、甲醛、三氯沙、含氯漂白劑、NTA、過硼酸鹽、EDTA、APEO、壬基苯酚類界面活性劑
</v>
      </c>
    </row>
    <row r="1416" spans="1:27" ht="12.75">
      <c r="A1416" s="25" t="str">
        <f ca="1">IFERROR(__xludf.DUMMYFUNCTION("""COMPUTED_VALUE"""),"居家生活用品")</f>
        <v>居家生活用品</v>
      </c>
      <c r="B1416" s="25" t="str">
        <f ca="1">IFERROR(__xludf.DUMMYFUNCTION("""COMPUTED_VALUE"""),"凱創")</f>
        <v>凱創</v>
      </c>
      <c r="C1416" s="25" t="str">
        <f ca="1">IFERROR(__xludf.DUMMYFUNCTION("""COMPUTED_VALUE"""),"清淨海")</f>
        <v>清淨海</v>
      </c>
      <c r="D1416" s="25" t="str">
        <f ca="1">IFERROR(__xludf.DUMMYFUNCTION("""COMPUTED_VALUE"""),"居家_【清淨海】櫻花7+系列【洗衣精1800g*2】+【洗衣精補充包1500g*6】")</f>
        <v>居家_【清淨海】櫻花7+系列【洗衣精1800g*2】+【洗衣精補充包1500g*6】</v>
      </c>
      <c r="E1416" s="25" t="str">
        <f ca="1">IFERROR(__xludf.DUMMYFUNCTION("""COMPUTED_VALUE"""),"SM-FLC-G04")</f>
        <v>SM-FLC-G04</v>
      </c>
      <c r="F1416" s="25">
        <f ca="1">IFERROR(__xludf.DUMMYFUNCTION("""COMPUTED_VALUE"""),51084316)</f>
        <v>51084316</v>
      </c>
      <c r="G1416" s="25" t="str">
        <f ca="1">IFERROR(__xludf.DUMMYFUNCTION("""COMPUTED_VALUE"""),"IGEM098F")</f>
        <v>IGEM098F</v>
      </c>
      <c r="H1416" s="25">
        <f ca="1">IFERROR(__xludf.DUMMYFUNCTION("""COMPUTED_VALUE"""),1999)</f>
        <v>1999</v>
      </c>
      <c r="I1416" s="27">
        <f ca="1">IFERROR(__xludf.DUMMYFUNCTION("""COMPUTED_VALUE"""),1490)</f>
        <v>1490</v>
      </c>
      <c r="J1416" s="25"/>
      <c r="K1416" s="25" t="str">
        <f ca="1">IFERROR(__xludf.DUMMYFUNCTION("""COMPUTED_VALUE"""),"新機上架")</f>
        <v>新機上架</v>
      </c>
      <c r="L1416" s="25" t="str">
        <f ca="1">IFERROR(__xludf.DUMMYFUNCTION("""COMPUTED_VALUE"""),"上架中")</f>
        <v>上架中</v>
      </c>
      <c r="M1416" s="25"/>
      <c r="N1416" s="25" t="str">
        <f ca="1">IFERROR(__xludf.DUMMYFUNCTION("""COMPUTED_VALUE"""),"衣物清潔")</f>
        <v>衣物清潔</v>
      </c>
      <c r="O1416" s="25" t="str">
        <f ca="1">IFERROR(__xludf.DUMMYFUNCTION("""COMPUTED_VALUE"""),"瓶子粉紅色")</f>
        <v>瓶子粉紅色</v>
      </c>
      <c r="P1416" s="25" t="str">
        <f ca="1">IFERROR(__xludf.DUMMYFUNCTION("""COMPUTED_VALUE"""),"◆成份：純水、杭菊萃取液、椰子油界面活性劑、甜菜鹼界面活性劑、椰子醯胺、山犁聚糖硬脂酸酯、食鹽、檸檬酸、抑菌劑
 內容物：1800g洗衣精x2+1500g補充包x6
 ◆保存期限：3年")</f>
        <v>◆成份：純水、杭菊萃取液、椰子油界面活性劑、甜菜鹼界面活性劑、椰子醯胺、山犁聚糖硬脂酸酯、食鹽、檸檬酸、抑菌劑
 內容物：1800g洗衣精x2+1500g補充包x6
 ◆保存期限：3年</v>
      </c>
      <c r="Q1416" s="25"/>
      <c r="R1416" s="25" t="str">
        <f ca="1">IFERROR(__xludf.DUMMYFUNCTION("""COMPUTED_VALUE"""),"台灣")</f>
        <v>台灣</v>
      </c>
      <c r="S1416" s="25"/>
      <c r="T1416" s="25"/>
      <c r="U1416" s="25"/>
      <c r="V1416" s="25"/>
      <c r="W1416" s="25"/>
      <c r="X1416" s="25" t="str">
        <f ca="1">IFERROR(__xludf.DUMMYFUNCTION("""COMPUTED_VALUE"""),"(114/1/1-2/28)隨貨送3M馬桶刷1柄4刷頭")</f>
        <v>(114/1/1-2/28)隨貨送3M馬桶刷1柄4刷頭</v>
      </c>
      <c r="Y1416" s="25"/>
      <c r="Z1416" s="27"/>
      <c r="AA1416" s="28" t="str">
        <f ca="1">IFERROR(__xludf.DUMMYFUNCTION("""COMPUTED_VALUE"""),"*櫻花香氛讓洗滌從嗅覺開始愉悅*嚴選成分，植物系椰子油來源溫和潔淨*中性溫和自然柔纖，滾筒/手洗皆可*無多餘石化成分，回歸純粹潔淨*清潔灰水友善循環，稀釋後可灌溉*優於CNS國家標準，濃縮1杯洗1籃衣物")</f>
        <v>*櫻花香氛讓洗滌從嗅覺開始愉悅*嚴選成分，植物系椰子油來源溫和潔淨*中性溫和自然柔纖，滾筒/手洗皆可*無多餘石化成分，回歸純粹潔淨*清潔灰水友善循環，稀釋後可灌溉*優於CNS國家標準，濃縮1杯洗1籃衣物</v>
      </c>
    </row>
    <row r="1417" spans="1:27" ht="12.75">
      <c r="A1417" s="25" t="str">
        <f ca="1">IFERROR(__xludf.DUMMYFUNCTION("""COMPUTED_VALUE"""),"居家生活用品")</f>
        <v>居家生活用品</v>
      </c>
      <c r="B1417" s="25" t="str">
        <f ca="1">IFERROR(__xludf.DUMMYFUNCTION("""COMPUTED_VALUE"""),"凱創")</f>
        <v>凱創</v>
      </c>
      <c r="C1417" s="25" t="str">
        <f ca="1">IFERROR(__xludf.DUMMYFUNCTION("""COMPUTED_VALUE"""),"清淨海")</f>
        <v>清淨海</v>
      </c>
      <c r="D1417" s="25" t="str">
        <f ca="1">IFERROR(__xludf.DUMMYFUNCTION("""COMPUTED_VALUE"""),"居家_【清淨海】櫻花7+系列【洗衣精1800g*2】+【洗衣精補充包1500g*4】")</f>
        <v>居家_【清淨海】櫻花7+系列【洗衣精1800g*2】+【洗衣精補充包1500g*4】</v>
      </c>
      <c r="E1417" s="25" t="str">
        <f ca="1">IFERROR(__xludf.DUMMYFUNCTION("""COMPUTED_VALUE"""),"SM-FLC-LD1800*2+SM-FLC-LD1500R*4")</f>
        <v>SM-FLC-LD1800*2+SM-FLC-LD1500R*4</v>
      </c>
      <c r="F1417" s="25">
        <f ca="1">IFERROR(__xludf.DUMMYFUNCTION("""COMPUTED_VALUE"""),51084317)</f>
        <v>51084317</v>
      </c>
      <c r="G1417" s="25" t="str">
        <f ca="1">IFERROR(__xludf.DUMMYFUNCTION("""COMPUTED_VALUE"""),"IGEM098G")</f>
        <v>IGEM098G</v>
      </c>
      <c r="H1417" s="25">
        <f ca="1">IFERROR(__xludf.DUMMYFUNCTION("""COMPUTED_VALUE"""),1699)</f>
        <v>1699</v>
      </c>
      <c r="I1417" s="27">
        <f ca="1">IFERROR(__xludf.DUMMYFUNCTION("""COMPUTED_VALUE"""),1190)</f>
        <v>1190</v>
      </c>
      <c r="J1417" s="25"/>
      <c r="K1417" s="25" t="str">
        <f ca="1">IFERROR(__xludf.DUMMYFUNCTION("""COMPUTED_VALUE"""),"新機上架")</f>
        <v>新機上架</v>
      </c>
      <c r="L1417" s="25" t="str">
        <f ca="1">IFERROR(__xludf.DUMMYFUNCTION("""COMPUTED_VALUE"""),"上架中")</f>
        <v>上架中</v>
      </c>
      <c r="M1417" s="25"/>
      <c r="N1417" s="25" t="str">
        <f ca="1">IFERROR(__xludf.DUMMYFUNCTION("""COMPUTED_VALUE"""),"衣物清潔")</f>
        <v>衣物清潔</v>
      </c>
      <c r="O1417" s="25" t="str">
        <f ca="1">IFERROR(__xludf.DUMMYFUNCTION("""COMPUTED_VALUE"""),"瓶子粉紅色")</f>
        <v>瓶子粉紅色</v>
      </c>
      <c r="P1417" s="25" t="str">
        <f ca="1">IFERROR(__xludf.DUMMYFUNCTION("""COMPUTED_VALUE"""),"◆成份：純水、杭菊萃取液、椰子油界面活性劑、甜菜鹼界面活性劑、椰子醯胺、山犁聚糖硬脂酸酯、食鹽、檸檬酸、抑菌劑
 內容物：1800g洗衣精x2+1500g補充包x4
 ◆保存期限：3年")</f>
        <v>◆成份：純水、杭菊萃取液、椰子油界面活性劑、甜菜鹼界面活性劑、椰子醯胺、山犁聚糖硬脂酸酯、食鹽、檸檬酸、抑菌劑
 內容物：1800g洗衣精x2+1500g補充包x4
 ◆保存期限：3年</v>
      </c>
      <c r="Q1417" s="25"/>
      <c r="R1417" s="25" t="str">
        <f ca="1">IFERROR(__xludf.DUMMYFUNCTION("""COMPUTED_VALUE"""),"台灣")</f>
        <v>台灣</v>
      </c>
      <c r="S1417" s="25"/>
      <c r="T1417" s="25"/>
      <c r="U1417" s="25"/>
      <c r="V1417" s="25"/>
      <c r="W1417" s="25"/>
      <c r="X1417" s="25" t="str">
        <f ca="1">IFERROR(__xludf.DUMMYFUNCTION("""COMPUTED_VALUE"""),"(114/1/1-2/28)隨貨送3M馬桶刷1柄4刷頭")</f>
        <v>(114/1/1-2/28)隨貨送3M馬桶刷1柄4刷頭</v>
      </c>
      <c r="Y1417" s="25"/>
      <c r="Z1417" s="27"/>
      <c r="AA1417" s="28" t="str">
        <f ca="1">IFERROR(__xludf.DUMMYFUNCTION("""COMPUTED_VALUE"""),"*櫻花香氛讓洗滌從嗅覺開始愉悅*嚴選成分，植物系椰子油來源溫和潔淨*中性溫和自然柔纖，滾筒/手洗皆可*無多餘石化成分，回歸純粹潔淨*清潔灰水友善循環，稀釋後可灌溉*優於CNS國家標準，濃縮1杯洗1籃衣物")</f>
        <v>*櫻花香氛讓洗滌從嗅覺開始愉悅*嚴選成分，植物系椰子油來源溫和潔淨*中性溫和自然柔纖，滾筒/手洗皆可*無多餘石化成分，回歸純粹潔淨*清潔灰水友善循環，稀釋後可灌溉*優於CNS國家標準，濃縮1杯洗1籃衣物</v>
      </c>
    </row>
    <row r="1418" spans="1:27" ht="12.75">
      <c r="A1418" s="25" t="str">
        <f ca="1">IFERROR(__xludf.DUMMYFUNCTION("""COMPUTED_VALUE"""),"居家生活用品")</f>
        <v>居家生活用品</v>
      </c>
      <c r="B1418" s="25" t="str">
        <f ca="1">IFERROR(__xludf.DUMMYFUNCTION("""COMPUTED_VALUE"""),"凱創")</f>
        <v>凱創</v>
      </c>
      <c r="C1418" s="25" t="str">
        <f ca="1">IFERROR(__xludf.DUMMYFUNCTION("""COMPUTED_VALUE"""),"清淨海")</f>
        <v>清淨海</v>
      </c>
      <c r="D1418" s="25" t="str">
        <f ca="1">IFERROR(__xludf.DUMMYFUNCTION("""COMPUTED_VALUE"""),"居家_【清淨海】櫻花7+系列洗衣精1800g(箱購6入)")</f>
        <v>居家_【清淨海】櫻花7+系列洗衣精1800g(箱購6入)</v>
      </c>
      <c r="E1418" s="25" t="str">
        <f ca="1">IFERROR(__xludf.DUMMYFUNCTION("""COMPUTED_VALUE"""),"SM-FLC-LD1800*6")</f>
        <v>SM-FLC-LD1800*6</v>
      </c>
      <c r="F1418" s="25">
        <f ca="1">IFERROR(__xludf.DUMMYFUNCTION("""COMPUTED_VALUE"""),51084318)</f>
        <v>51084318</v>
      </c>
      <c r="G1418" s="25" t="str">
        <f ca="1">IFERROR(__xludf.DUMMYFUNCTION("""COMPUTED_VALUE"""),"IGEM098H")</f>
        <v>IGEM098H</v>
      </c>
      <c r="H1418" s="25">
        <f ca="1">IFERROR(__xludf.DUMMYFUNCTION("""COMPUTED_VALUE"""),1799)</f>
        <v>1799</v>
      </c>
      <c r="I1418" s="27">
        <f ca="1">IFERROR(__xludf.DUMMYFUNCTION("""COMPUTED_VALUE"""),1299)</f>
        <v>1299</v>
      </c>
      <c r="J1418" s="25"/>
      <c r="K1418" s="25" t="str">
        <f ca="1">IFERROR(__xludf.DUMMYFUNCTION("""COMPUTED_VALUE"""),"新機上架")</f>
        <v>新機上架</v>
      </c>
      <c r="L1418" s="25" t="str">
        <f ca="1">IFERROR(__xludf.DUMMYFUNCTION("""COMPUTED_VALUE"""),"上架中")</f>
        <v>上架中</v>
      </c>
      <c r="M1418" s="25"/>
      <c r="N1418" s="25" t="str">
        <f ca="1">IFERROR(__xludf.DUMMYFUNCTION("""COMPUTED_VALUE"""),"衣物清潔")</f>
        <v>衣物清潔</v>
      </c>
      <c r="O1418" s="25" t="str">
        <f ca="1">IFERROR(__xludf.DUMMYFUNCTION("""COMPUTED_VALUE"""),"瓶子粉紅色")</f>
        <v>瓶子粉紅色</v>
      </c>
      <c r="P1418" s="25" t="str">
        <f ca="1">IFERROR(__xludf.DUMMYFUNCTION("""COMPUTED_VALUE"""),"◆成份：純水、杭菊萃取液、椰子油界面活性劑、甜菜鹼界面活性劑、椰子醯胺、山犁聚糖硬脂酸酯、食鹽、檸檬酸、抑菌劑
 內容物：1800g洗衣精x6
 ◆保存期限：3年")</f>
        <v>◆成份：純水、杭菊萃取液、椰子油界面活性劑、甜菜鹼界面活性劑、椰子醯胺、山犁聚糖硬脂酸酯、食鹽、檸檬酸、抑菌劑
 內容物：1800g洗衣精x6
 ◆保存期限：3年</v>
      </c>
      <c r="Q1418" s="25"/>
      <c r="R1418" s="25" t="str">
        <f ca="1">IFERROR(__xludf.DUMMYFUNCTION("""COMPUTED_VALUE"""),"台灣")</f>
        <v>台灣</v>
      </c>
      <c r="S1418" s="25"/>
      <c r="T1418" s="25"/>
      <c r="U1418" s="25"/>
      <c r="V1418" s="25"/>
      <c r="W1418" s="25"/>
      <c r="X1418" s="25" t="str">
        <f ca="1">IFERROR(__xludf.DUMMYFUNCTION("""COMPUTED_VALUE"""),"(114/1/1-2/28)隨貨送3M馬桶刷1柄4刷頭")</f>
        <v>(114/1/1-2/28)隨貨送3M馬桶刷1柄4刷頭</v>
      </c>
      <c r="Y1418" s="25"/>
      <c r="Z1418" s="27"/>
      <c r="AA1418" s="28" t="str">
        <f ca="1">IFERROR(__xludf.DUMMYFUNCTION("""COMPUTED_VALUE"""),"*櫻花香氛讓洗滌從嗅覺開始愉悅*嚴選成分，植物系椰子油來源溫和潔淨*中性溫和自然柔纖，滾筒/手洗皆可*無多餘石化成分，回歸純粹潔淨*清潔灰水友善循環，稀釋後可灌溉*優於CNS國家標準，濃縮1杯洗1籃衣物")</f>
        <v>*櫻花香氛讓洗滌從嗅覺開始愉悅*嚴選成分，植物系椰子油來源溫和潔淨*中性溫和自然柔纖，滾筒/手洗皆可*無多餘石化成分，回歸純粹潔淨*清潔灰水友善循環，稀釋後可灌溉*優於CNS國家標準，濃縮1杯洗1籃衣物</v>
      </c>
    </row>
    <row r="1419" spans="1:27" ht="12.75">
      <c r="A1419" s="25" t="str">
        <f ca="1">IFERROR(__xludf.DUMMYFUNCTION("""COMPUTED_VALUE"""),"居家生活用品")</f>
        <v>居家生活用品</v>
      </c>
      <c r="B1419" s="25" t="str">
        <f ca="1">IFERROR(__xludf.DUMMYFUNCTION("""COMPUTED_VALUE"""),"凱創")</f>
        <v>凱創</v>
      </c>
      <c r="C1419" s="25" t="str">
        <f ca="1">IFERROR(__xludf.DUMMYFUNCTION("""COMPUTED_VALUE"""),"清淨海")</f>
        <v>清淨海</v>
      </c>
      <c r="D1419" s="25" t="str">
        <f ca="1">IFERROR(__xludf.DUMMYFUNCTION("""COMPUTED_VALUE"""),"居家_【清淨海】櫻花7+系列洗衣精補充包1500g(箱購8入)")</f>
        <v>居家_【清淨海】櫻花7+系列洗衣精補充包1500g(箱購8入)</v>
      </c>
      <c r="E1419" s="25" t="str">
        <f ca="1">IFERROR(__xludf.DUMMYFUNCTION("""COMPUTED_VALUE"""),"SM-FLC-LD1500R*8")</f>
        <v>SM-FLC-LD1500R*8</v>
      </c>
      <c r="F1419" s="25">
        <f ca="1">IFERROR(__xludf.DUMMYFUNCTION("""COMPUTED_VALUE"""),51084319)</f>
        <v>51084319</v>
      </c>
      <c r="G1419" s="25" t="str">
        <f ca="1">IFERROR(__xludf.DUMMYFUNCTION("""COMPUTED_VALUE"""),"IGEM098I")</f>
        <v>IGEM098I</v>
      </c>
      <c r="H1419" s="25">
        <f ca="1">IFERROR(__xludf.DUMMYFUNCTION("""COMPUTED_VALUE"""),1899)</f>
        <v>1899</v>
      </c>
      <c r="I1419" s="27">
        <f ca="1">IFERROR(__xludf.DUMMYFUNCTION("""COMPUTED_VALUE"""),1399)</f>
        <v>1399</v>
      </c>
      <c r="J1419" s="25"/>
      <c r="K1419" s="25" t="str">
        <f ca="1">IFERROR(__xludf.DUMMYFUNCTION("""COMPUTED_VALUE"""),"新機上架")</f>
        <v>新機上架</v>
      </c>
      <c r="L1419" s="25" t="str">
        <f ca="1">IFERROR(__xludf.DUMMYFUNCTION("""COMPUTED_VALUE"""),"上架中")</f>
        <v>上架中</v>
      </c>
      <c r="M1419" s="25"/>
      <c r="N1419" s="25" t="str">
        <f ca="1">IFERROR(__xludf.DUMMYFUNCTION("""COMPUTED_VALUE"""),"衣物清潔")</f>
        <v>衣物清潔</v>
      </c>
      <c r="O1419" s="25" t="str">
        <f ca="1">IFERROR(__xludf.DUMMYFUNCTION("""COMPUTED_VALUE"""),"包裝粉紅色")</f>
        <v>包裝粉紅色</v>
      </c>
      <c r="P1419" s="25" t="str">
        <f ca="1">IFERROR(__xludf.DUMMYFUNCTION("""COMPUTED_VALUE"""),"◆成份：純水、杭菊萃取液、椰子油界面活性劑、甜菜鹼界面活性劑、椰子醯胺、山犁聚糖硬脂酸酯、食鹽、檸檬酸、抑菌劑
 內容物：1500g洗衣精補充包x8
 ◆保存期限：3年")</f>
        <v>◆成份：純水、杭菊萃取液、椰子油界面活性劑、甜菜鹼界面活性劑、椰子醯胺、山犁聚糖硬脂酸酯、食鹽、檸檬酸、抑菌劑
 內容物：1500g洗衣精補充包x8
 ◆保存期限：3年</v>
      </c>
      <c r="Q1419" s="25"/>
      <c r="R1419" s="25" t="str">
        <f ca="1">IFERROR(__xludf.DUMMYFUNCTION("""COMPUTED_VALUE"""),"台灣")</f>
        <v>台灣</v>
      </c>
      <c r="S1419" s="25"/>
      <c r="T1419" s="25"/>
      <c r="U1419" s="25"/>
      <c r="V1419" s="25"/>
      <c r="W1419" s="25"/>
      <c r="X1419" s="25" t="str">
        <f ca="1">IFERROR(__xludf.DUMMYFUNCTION("""COMPUTED_VALUE"""),"(114/1/1-2/28)隨貨送3M馬桶刷1柄4刷頭")</f>
        <v>(114/1/1-2/28)隨貨送3M馬桶刷1柄4刷頭</v>
      </c>
      <c r="Y1419" s="25"/>
      <c r="Z1419" s="27"/>
      <c r="AA1419" s="28" t="str">
        <f ca="1">IFERROR(__xludf.DUMMYFUNCTION("""COMPUTED_VALUE"""),"*櫻花香氛讓洗滌從嗅覺開始愉悅*嚴選成分，植物系椰子油來源溫和潔淨*中性溫和自然柔纖，滾筒/手洗皆可*無多餘石化成分，回歸純粹潔淨*清潔灰水友善循環，稀釋後可灌溉*優於CNS國家標準，濃縮1杯洗1籃衣物")</f>
        <v>*櫻花香氛讓洗滌從嗅覺開始愉悅*嚴選成分，植物系椰子油來源溫和潔淨*中性溫和自然柔纖，滾筒/手洗皆可*無多餘石化成分，回歸純粹潔淨*清潔灰水友善循環，稀釋後可灌溉*優於CNS國家標準，濃縮1杯洗1籃衣物</v>
      </c>
    </row>
    <row r="1420" spans="1:27" ht="12.75">
      <c r="A1420" s="25" t="str">
        <f ca="1">IFERROR(__xludf.DUMMYFUNCTION("""COMPUTED_VALUE"""),"居家生活用品")</f>
        <v>居家生活用品</v>
      </c>
      <c r="B1420" s="25" t="str">
        <f ca="1">IFERROR(__xludf.DUMMYFUNCTION("""COMPUTED_VALUE"""),"凱創")</f>
        <v>凱創</v>
      </c>
      <c r="C1420" s="25" t="str">
        <f ca="1">IFERROR(__xludf.DUMMYFUNCTION("""COMPUTED_VALUE"""),"清淨海")</f>
        <v>清淨海</v>
      </c>
      <c r="D1420" s="25" t="str">
        <f ca="1">IFERROR(__xludf.DUMMYFUNCTION("""COMPUTED_VALUE"""),"居家_【清淨海】槽洗淨_洗衣槽專用去污劑450g(箱購6入)")</f>
        <v>居家_【清淨海】槽洗淨_洗衣槽專用去污劑450g(箱購6入)</v>
      </c>
      <c r="E1420" s="25" t="str">
        <f ca="1">IFERROR(__xludf.DUMMYFUNCTION("""COMPUTED_VALUE"""),"SM-SHH-WC0450*6")</f>
        <v>SM-SHH-WC0450*6</v>
      </c>
      <c r="F1420" s="25">
        <f ca="1">IFERROR(__xludf.DUMMYFUNCTION("""COMPUTED_VALUE"""),51084320)</f>
        <v>51084320</v>
      </c>
      <c r="G1420" s="25" t="str">
        <f ca="1">IFERROR(__xludf.DUMMYFUNCTION("""COMPUTED_VALUE"""),"IGEM098J")</f>
        <v>IGEM098J</v>
      </c>
      <c r="H1420" s="25">
        <f ca="1">IFERROR(__xludf.DUMMYFUNCTION("""COMPUTED_VALUE"""),1194)</f>
        <v>1194</v>
      </c>
      <c r="I1420" s="27">
        <f ca="1">IFERROR(__xludf.DUMMYFUNCTION("""COMPUTED_VALUE"""),899)</f>
        <v>899</v>
      </c>
      <c r="J1420" s="25"/>
      <c r="K1420" s="25" t="str">
        <f ca="1">IFERROR(__xludf.DUMMYFUNCTION("""COMPUTED_VALUE"""),"新機上架")</f>
        <v>新機上架</v>
      </c>
      <c r="L1420" s="25" t="str">
        <f ca="1">IFERROR(__xludf.DUMMYFUNCTION("""COMPUTED_VALUE"""),"上架中")</f>
        <v>上架中</v>
      </c>
      <c r="M1420" s="25"/>
      <c r="N1420" s="25" t="str">
        <f ca="1">IFERROR(__xludf.DUMMYFUNCTION("""COMPUTED_VALUE"""),"衣物清潔")</f>
        <v>衣物清潔</v>
      </c>
      <c r="O1420" s="25" t="str">
        <f ca="1">IFERROR(__xludf.DUMMYFUNCTION("""COMPUTED_VALUE"""),"包裝藍色")</f>
        <v>包裝藍色</v>
      </c>
      <c r="P1420" s="25" t="str">
        <f ca="1">IFERROR(__xludf.DUMMYFUNCTION("""COMPUTED_VALUE"""),"◆成份：過碳酸鈉、小蘇打、日本專利柿子萃取、香精、抑菌劑
 ◆淨含量：450g(150gx3包)
 ◆包裝重量：535g
 ◆保存期限：三年")</f>
        <v>◆成份：過碳酸鈉、小蘇打、日本專利柿子萃取、香精、抑菌劑
 ◆淨含量：450g(150gx3包)
 ◆包裝重量：535g
 ◆保存期限：三年</v>
      </c>
      <c r="Q1420" s="25"/>
      <c r="R1420" s="25" t="str">
        <f ca="1">IFERROR(__xludf.DUMMYFUNCTION("""COMPUTED_VALUE"""),"台灣")</f>
        <v>台灣</v>
      </c>
      <c r="S1420" s="25"/>
      <c r="T1420" s="25"/>
      <c r="U1420" s="25"/>
      <c r="V1420" s="25"/>
      <c r="W1420" s="25"/>
      <c r="X1420" s="25"/>
      <c r="Y1420" s="25"/>
      <c r="Z1420" s="27"/>
      <c r="AA1420" s="28" t="str">
        <f ca="1">IFERROR(__xludf.DUMMYFUNCTION("""COMPUTED_VALUE"""),"*日本專利除臭柿單寧科技*除菌/淨化/除臭/防霉/去垢多效合一*高規格化妝品級原料標準*植物來源安心潔淨*直立/滾筒洗衣機均適用")</f>
        <v>*日本專利除臭柿單寧科技*除菌/淨化/除臭/防霉/去垢多效合一*高規格化妝品級原料標準*植物來源安心潔淨*直立/滾筒洗衣機均適用</v>
      </c>
    </row>
    <row r="1421" spans="1:27" ht="12.75">
      <c r="A1421" s="25" t="str">
        <f ca="1">IFERROR(__xludf.DUMMYFUNCTION("""COMPUTED_VALUE"""),"居家生活用品")</f>
        <v>居家生活用品</v>
      </c>
      <c r="B1421" s="25" t="str">
        <f ca="1">IFERROR(__xludf.DUMMYFUNCTION("""COMPUTED_VALUE"""),"凱創")</f>
        <v>凱創</v>
      </c>
      <c r="C1421" s="25" t="str">
        <f ca="1">IFERROR(__xludf.DUMMYFUNCTION("""COMPUTED_VALUE"""),"清淨海")</f>
        <v>清淨海</v>
      </c>
      <c r="D1421" s="25" t="str">
        <f ca="1">IFERROR(__xludf.DUMMYFUNCTION("""COMPUTED_VALUE"""),"居家_【清淨海】檸檬泡泡 碗盤洗滌噴霧 400g《6入組》")</f>
        <v>居家_【清淨海】檸檬泡泡 碗盤洗滌噴霧 400g《6入組》</v>
      </c>
      <c r="E1421" s="25" t="str">
        <f ca="1">IFERROR(__xludf.DUMMYFUNCTION("""COMPUTED_VALUE"""),"LBH-DL0400")</f>
        <v>LBH-DL0400</v>
      </c>
      <c r="F1421" s="25">
        <f ca="1">IFERROR(__xludf.DUMMYFUNCTION("""COMPUTED_VALUE"""),51084344)</f>
        <v>51084344</v>
      </c>
      <c r="G1421" s="25" t="str">
        <f ca="1">IFERROR(__xludf.DUMMYFUNCTION("""COMPUTED_VALUE"""),"IGEM105V")</f>
        <v>IGEM105V</v>
      </c>
      <c r="H1421" s="25">
        <f ca="1">IFERROR(__xludf.DUMMYFUNCTION("""COMPUTED_VALUE"""),1314)</f>
        <v>1314</v>
      </c>
      <c r="I1421" s="27">
        <f ca="1">IFERROR(__xludf.DUMMYFUNCTION("""COMPUTED_VALUE"""),849)</f>
        <v>849</v>
      </c>
      <c r="J1421" s="25"/>
      <c r="K1421" s="25"/>
      <c r="L1421" s="25" t="str">
        <f ca="1">IFERROR(__xludf.DUMMYFUNCTION("""COMPUTED_VALUE"""),"上架中")</f>
        <v>上架中</v>
      </c>
      <c r="M1421" s="25"/>
      <c r="N1421" s="25" t="str">
        <f ca="1">IFERROR(__xludf.DUMMYFUNCTION("""COMPUTED_VALUE"""),"廚房清潔")</f>
        <v>廚房清潔</v>
      </c>
      <c r="O1421" s="25" t="str">
        <f ca="1">IFERROR(__xludf.DUMMYFUNCTION("""COMPUTED_VALUE"""),"瓶身透明")</f>
        <v>瓶身透明</v>
      </c>
      <c r="P1421" s="25" t="str">
        <f ca="1">IFERROR(__xludf.DUMMYFUNCTION("""COMPUTED_VALUE"""),"◆成份：純水、月桂醇聚醚硫酸酯鈉(椰子油界面活性劑)、椰油酰胺丙基甜菜鹼(甜菜鹼界面活性劑)、氯化鈉(食鹽)、癸基葡萄糖苷(APG)、月桂酸鉀(橄欖液態皂)、甲基異噻唑啉酮MI、苯並異噻啉酮BIT、丙三醇(甘油)、檸檬精油、百里香酚
 ◆淨含量：400g*6入
 ◆保存期限：3年")</f>
        <v>◆成份：純水、月桂醇聚醚硫酸酯鈉(椰子油界面活性劑)、椰油酰胺丙基甜菜鹼(甜菜鹼界面活性劑)、氯化鈉(食鹽)、癸基葡萄糖苷(APG)、月桂酸鉀(橄欖液態皂)、甲基異噻唑啉酮MI、苯並異噻啉酮BIT、丙三醇(甘油)、檸檬精油、百里香酚
 ◆淨含量：400g*6入
 ◆保存期限：3年</v>
      </c>
      <c r="Q1421" s="25"/>
      <c r="R1421" s="25" t="str">
        <f ca="1">IFERROR(__xludf.DUMMYFUNCTION("""COMPUTED_VALUE"""),"台灣")</f>
        <v>台灣</v>
      </c>
      <c r="S1421" s="25"/>
      <c r="T1421" s="25"/>
      <c r="U1421" s="25"/>
      <c r="V1421" s="25"/>
      <c r="W1421" s="25"/>
      <c r="X1421" s="25"/>
      <c r="Y1421" s="25"/>
      <c r="Z1421" s="27"/>
      <c r="AA1421" s="28" t="str">
        <f ca="1">IFERROR(__xludf.DUMMYFUNCTION("""COMPUTED_VALUE"""),"*可清潔難洗縫隙/重油污廚具*冷壓皂液，溶解頑強油污*360°水性泡泡，深入死角*植萃起泡，溫和低敏*獨特噴頭，噴出集中泡沫")</f>
        <v>*可清潔難洗縫隙/重油污廚具*冷壓皂液，溶解頑強油污*360°水性泡泡，深入死角*植萃起泡，溫和低敏*獨特噴頭，噴出集中泡沫</v>
      </c>
    </row>
    <row r="1422" spans="1:27" ht="12.75">
      <c r="A1422" s="25" t="str">
        <f ca="1">IFERROR(__xludf.DUMMYFUNCTION("""COMPUTED_VALUE"""),"居家生活用品")</f>
        <v>居家生活用品</v>
      </c>
      <c r="B1422" s="25" t="str">
        <f ca="1">IFERROR(__xludf.DUMMYFUNCTION("""COMPUTED_VALUE"""),"凱創")</f>
        <v>凱創</v>
      </c>
      <c r="C1422" s="25" t="str">
        <f ca="1">IFERROR(__xludf.DUMMYFUNCTION("""COMPUTED_VALUE"""),"清淨海")</f>
        <v>清淨海</v>
      </c>
      <c r="D1422" s="25" t="str">
        <f ca="1">IFERROR(__xludf.DUMMYFUNCTION("""COMPUTED_VALUE"""),"居家_【清淨海】檸檬系列 環保洗衣精超值組1800gx2+1500gx4")</f>
        <v>居家_【清淨海】檸檬系列 環保洗衣精超值組1800gx2+1500gx4</v>
      </c>
      <c r="E1422" s="25" t="str">
        <f ca="1">IFERROR(__xludf.DUMMYFUNCTION("""COMPUTED_VALUE"""),"LMC-G01")</f>
        <v>LMC-G01</v>
      </c>
      <c r="F1422" s="25">
        <f ca="1">IFERROR(__xludf.DUMMYFUNCTION("""COMPUTED_VALUE"""),51084345)</f>
        <v>51084345</v>
      </c>
      <c r="G1422" s="25" t="str">
        <f ca="1">IFERROR(__xludf.DUMMYFUNCTION("""COMPUTED_VALUE"""),"IGEM105W")</f>
        <v>IGEM105W</v>
      </c>
      <c r="H1422" s="25">
        <f ca="1">IFERROR(__xludf.DUMMYFUNCTION("""COMPUTED_VALUE"""),1174)</f>
        <v>1174</v>
      </c>
      <c r="I1422" s="27">
        <f ca="1">IFERROR(__xludf.DUMMYFUNCTION("""COMPUTED_VALUE"""),739)</f>
        <v>739</v>
      </c>
      <c r="J1422" s="25"/>
      <c r="K1422" s="25"/>
      <c r="L1422" s="25" t="str">
        <f ca="1">IFERROR(__xludf.DUMMYFUNCTION("""COMPUTED_VALUE"""),"上架中")</f>
        <v>上架中</v>
      </c>
      <c r="M1422" s="25"/>
      <c r="N1422" s="25" t="str">
        <f ca="1">IFERROR(__xludf.DUMMYFUNCTION("""COMPUTED_VALUE"""),"衣物清潔")</f>
        <v>衣物清潔</v>
      </c>
      <c r="O1422" s="25" t="str">
        <f ca="1">IFERROR(__xludf.DUMMYFUNCTION("""COMPUTED_VALUE"""),"瓶身白色")</f>
        <v>瓶身白色</v>
      </c>
      <c r="P1422" s="25" t="str">
        <f ca="1">IFERROR(__xludf.DUMMYFUNCTION("""COMPUTED_VALUE"""),"◆成份：純水、椰子油界面活性劑(月桂醇聚醚硫酸酯鈉)、抑菌劑(對羥基苯甲酸丙酯)、檸檬酸、食鹽(氯化鈉)
 ◆容量：1800gx2+1500gx4
 ◆pH值：7±1
 ◆保存期限：三年")</f>
        <v>◆成份：純水、椰子油界面活性劑(月桂醇聚醚硫酸酯鈉)、抑菌劑(對羥基苯甲酸丙酯)、檸檬酸、食鹽(氯化鈉)
 ◆容量：1800gx2+1500gx4
 ◆pH值：7±1
 ◆保存期限：三年</v>
      </c>
      <c r="Q1422" s="25"/>
      <c r="R1422" s="25" t="str">
        <f ca="1">IFERROR(__xludf.DUMMYFUNCTION("""COMPUTED_VALUE"""),"台灣")</f>
        <v>台灣</v>
      </c>
      <c r="S1422" s="25"/>
      <c r="T1422" s="25"/>
      <c r="U1422" s="25"/>
      <c r="V1422" s="25"/>
      <c r="W1422" s="25"/>
      <c r="X1422" s="25"/>
      <c r="Y1422" s="25"/>
      <c r="Z1422" s="27"/>
      <c r="AA1422" s="28" t="str">
        <f ca="1">IFERROR(__xludf.DUMMYFUNCTION("""COMPUTED_VALUE"""),"*環保標章認證*生物分解度95%以上*洗淨力超越國家標準*低敏溫和，適用嬰幼兒與貼身衣物*低泡性好沖洗，省水又省電")</f>
        <v>*環保標章認證*生物分解度95%以上*洗淨力超越國家標準*低敏溫和，適用嬰幼兒與貼身衣物*低泡性好沖洗，省水又省電</v>
      </c>
    </row>
    <row r="1423" spans="1:27" ht="12.75">
      <c r="A1423" s="25" t="str">
        <f ca="1">IFERROR(__xludf.DUMMYFUNCTION("""COMPUTED_VALUE"""),"居家生活用品")</f>
        <v>居家生活用品</v>
      </c>
      <c r="B1423" s="25" t="str">
        <f ca="1">IFERROR(__xludf.DUMMYFUNCTION("""COMPUTED_VALUE"""),"凱創")</f>
        <v>凱創</v>
      </c>
      <c r="C1423" s="25" t="str">
        <f ca="1">IFERROR(__xludf.DUMMYFUNCTION("""COMPUTED_VALUE"""),"清淨海")</f>
        <v>清淨海</v>
      </c>
      <c r="D1423" s="25" t="str">
        <f ca="1">IFERROR(__xludf.DUMMYFUNCTION("""COMPUTED_VALUE"""),"居家_【清淨海】檸檬系列 環保洗衣精超值組1800gx2+1500gx6")</f>
        <v>居家_【清淨海】檸檬系列 環保洗衣精超值組1800gx2+1500gx6</v>
      </c>
      <c r="E1423" s="25" t="str">
        <f ca="1">IFERROR(__xludf.DUMMYFUNCTION("""COMPUTED_VALUE"""),"LMC-G02")</f>
        <v>LMC-G02</v>
      </c>
      <c r="F1423" s="25">
        <f ca="1">IFERROR(__xludf.DUMMYFUNCTION("""COMPUTED_VALUE"""),51084346)</f>
        <v>51084346</v>
      </c>
      <c r="G1423" s="25" t="str">
        <f ca="1">IFERROR(__xludf.DUMMYFUNCTION("""COMPUTED_VALUE"""),"IGEM105X")</f>
        <v>IGEM105X</v>
      </c>
      <c r="H1423" s="25">
        <f ca="1">IFERROR(__xludf.DUMMYFUNCTION("""COMPUTED_VALUE"""),1432)</f>
        <v>1432</v>
      </c>
      <c r="I1423" s="27">
        <f ca="1">IFERROR(__xludf.DUMMYFUNCTION("""COMPUTED_VALUE"""),879)</f>
        <v>879</v>
      </c>
      <c r="J1423" s="25"/>
      <c r="K1423" s="25"/>
      <c r="L1423" s="25" t="str">
        <f ca="1">IFERROR(__xludf.DUMMYFUNCTION("""COMPUTED_VALUE"""),"上架中")</f>
        <v>上架中</v>
      </c>
      <c r="M1423" s="25"/>
      <c r="N1423" s="25" t="str">
        <f ca="1">IFERROR(__xludf.DUMMYFUNCTION("""COMPUTED_VALUE"""),"衣物清潔")</f>
        <v>衣物清潔</v>
      </c>
      <c r="O1423" s="25" t="str">
        <f ca="1">IFERROR(__xludf.DUMMYFUNCTION("""COMPUTED_VALUE"""),"瓶身白色")</f>
        <v>瓶身白色</v>
      </c>
      <c r="P1423" s="25" t="str">
        <f ca="1">IFERROR(__xludf.DUMMYFUNCTION("""COMPUTED_VALUE"""),"◆成份：純水、椰子油界面活性劑(月桂醇聚醚硫酸酯鈉)、抑菌劑(對羥基苯甲酸丙酯)、檸檬酸、食鹽(氯化鈉)
 ◆容量：1800gx2+1500gx6
 ◆pH值：7±1
 ◆保存期限：三年")</f>
        <v>◆成份：純水、椰子油界面活性劑(月桂醇聚醚硫酸酯鈉)、抑菌劑(對羥基苯甲酸丙酯)、檸檬酸、食鹽(氯化鈉)
 ◆容量：1800gx2+1500gx6
 ◆pH值：7±1
 ◆保存期限：三年</v>
      </c>
      <c r="Q1423" s="25"/>
      <c r="R1423" s="25" t="str">
        <f ca="1">IFERROR(__xludf.DUMMYFUNCTION("""COMPUTED_VALUE"""),"台灣")</f>
        <v>台灣</v>
      </c>
      <c r="S1423" s="25"/>
      <c r="T1423" s="25"/>
      <c r="U1423" s="25"/>
      <c r="V1423" s="25"/>
      <c r="W1423" s="25"/>
      <c r="X1423" s="25"/>
      <c r="Y1423" s="25"/>
      <c r="Z1423" s="27"/>
      <c r="AA1423" s="28" t="str">
        <f ca="1">IFERROR(__xludf.DUMMYFUNCTION("""COMPUTED_VALUE"""),"*環保標章認證*生物分解度95%以上*洗淨力超越國家標準*低敏溫和，適用嬰幼兒與貼身衣物*低泡性好沖洗，省水又省電")</f>
        <v>*環保標章認證*生物分解度95%以上*洗淨力超越國家標準*低敏溫和，適用嬰幼兒與貼身衣物*低泡性好沖洗，省水又省電</v>
      </c>
    </row>
    <row r="1424" spans="1:27" ht="12.75">
      <c r="A1424" s="25" t="str">
        <f ca="1">IFERROR(__xludf.DUMMYFUNCTION("""COMPUTED_VALUE"""),"居家生活用品")</f>
        <v>居家生活用品</v>
      </c>
      <c r="B1424" s="25" t="str">
        <f ca="1">IFERROR(__xludf.DUMMYFUNCTION("""COMPUTED_VALUE"""),"順發")</f>
        <v>順發</v>
      </c>
      <c r="C1424" s="25" t="str">
        <f ca="1">IFERROR(__xludf.DUMMYFUNCTION("""COMPUTED_VALUE"""),"Brita")</f>
        <v>Brita</v>
      </c>
      <c r="D1424" s="25" t="str">
        <f ca="1">IFERROR(__xludf.DUMMYFUNCTION("""COMPUTED_VALUE"""),"BRITA 馬利拉濾水壺3.5L(藍)_797152_MXpro XL")</f>
        <v>BRITA 馬利拉濾水壺3.5L(藍)_797152_MXpro XL</v>
      </c>
      <c r="E1424" s="25" t="str">
        <f ca="1">IFERROR(__xludf.DUMMYFUNCTION("""COMPUTED_VALUE"""),"MARELLA-XL-MXPRO-BL")</f>
        <v>MARELLA-XL-MXPRO-BL</v>
      </c>
      <c r="F1424" s="25">
        <f ca="1">IFERROR(__xludf.DUMMYFUNCTION("""COMPUTED_VALUE"""),51095782)</f>
        <v>51095782</v>
      </c>
      <c r="G1424" s="25" t="str">
        <f ca="1">IFERROR(__xludf.DUMMYFUNCTION("""COMPUTED_VALUE"""),"IGEM1001")</f>
        <v>IGEM1001</v>
      </c>
      <c r="H1424" s="26">
        <f ca="1">IFERROR(__xludf.DUMMYFUNCTION("""COMPUTED_VALUE"""),2349)</f>
        <v>2349</v>
      </c>
      <c r="I1424" s="27">
        <f ca="1">IFERROR(__xludf.DUMMYFUNCTION("""COMPUTED_VALUE"""),1745)</f>
        <v>1745</v>
      </c>
      <c r="J1424" s="29">
        <f ca="1">IFERROR(__xludf.DUMMYFUNCTION("""COMPUTED_VALUE"""),45390)</f>
        <v>45390</v>
      </c>
      <c r="K1424" s="25" t="str">
        <f ca="1">IFERROR(__xludf.DUMMYFUNCTION("""COMPUTED_VALUE"""),"新機上架")</f>
        <v>新機上架</v>
      </c>
      <c r="L1424" s="26" t="str">
        <f ca="1">IFERROR(__xludf.DUMMYFUNCTION("""COMPUTED_VALUE"""),"上架中")</f>
        <v>上架中</v>
      </c>
      <c r="M1424" s="25" t="str">
        <f ca="1">IFERROR(__xludf.DUMMYFUNCTION("""COMPUTED_VALUE"""),"2024/4/8新機上架")</f>
        <v>2024/4/8新機上架</v>
      </c>
      <c r="N1424" s="25" t="str">
        <f ca="1">IFERROR(__xludf.DUMMYFUNCTION("""COMPUTED_VALUE"""),"濾水壺")</f>
        <v>濾水壺</v>
      </c>
      <c r="O1424" s="25" t="str">
        <f ca="1">IFERROR(__xludf.DUMMYFUNCTION("""COMPUTED_VALUE"""),"藍")</f>
        <v>藍</v>
      </c>
      <c r="P1424" s="25" t="str">
        <f ca="1">IFERROR(__xludf.DUMMYFUNCTION("""COMPUTED_VALUE"""),"產品名稱：Marella馬利拉型濾水壺XL
產品材質：壺身/漏斗:SMMA樹脂
壺蓋:ASA樹脂(白色)、ABS樹脂(其他色)
濾芯:抑菌活性碳、無鈉離子交換樹脂、PP樹脂
總容量/濾水量/淨重：3.5公升;1公斤
耐熱溫度範圍：50°C
使用方法：請參閱產品使用手冊
製造商資訊：名稱:BRITAGmbH
地址:Heinrich-Hertz-Straße4,D-65232Taunusstein,Germany
電話:+49(0)6128-7460
進口商資訊：名稱:台灣碧然德有限公司
")</f>
        <v xml:space="preserve">產品名稱：Marella馬利拉型濾水壺XL
產品材質：壺身/漏斗:SMMA樹脂
壺蓋:ASA樹脂(白色)、ABS樹脂(其他色)
濾芯:抑菌活性碳、無鈉離子交換樹脂、PP樹脂
總容量/濾水量/淨重：3.5公升;1公斤
耐熱溫度範圍：50°C
使用方法：請參閱產品使用手冊
製造商資訊：名稱:BRITAGmbH
地址:Heinrich-Hertz-Straße4,D-65232Taunusstein,Germany
電話:+49(0)6128-7460
進口商資訊：名稱:台灣碧然德有限公司
</v>
      </c>
      <c r="Q1424" s="25" t="str">
        <f ca="1">IFERROR(__xludf.DUMMYFUNCTION("""COMPUTED_VALUE"""),"H275xW265xD155mm")</f>
        <v>H275xW265xD155mm</v>
      </c>
      <c r="R1424" s="25" t="str">
        <f ca="1">IFERROR(__xludf.DUMMYFUNCTION("""COMPUTED_VALUE"""),"中國")</f>
        <v>中國</v>
      </c>
      <c r="S1424" s="25"/>
      <c r="T1424" s="25"/>
      <c r="U1424" s="25" t="str">
        <f ca="1">IFERROR(__xludf.DUMMYFUNCTION("""COMPUTED_VALUE"""),"2年")</f>
        <v>2年</v>
      </c>
      <c r="V1424" s="25"/>
      <c r="W1424" s="25"/>
      <c r="X1424" s="25" t="str">
        <f ca="1">IFERROR(__xludf.DUMMYFUNCTION("""COMPUTED_VALUE"""),"隨貨送濾芯-全效型 P3-S(三入) (806402)")</f>
        <v>隨貨送濾芯-全效型 P3-S(三入) (806402)</v>
      </c>
      <c r="Y1424" s="25"/>
      <c r="Z1424" s="27"/>
      <c r="AA1424" s="28" t="str">
        <f ca="1">IFERROR(__xludf.DUMMYFUNCTION("""COMPUTED_VALUE"""),"Marella:*電子式濾芯更換顯示器(memo)每四週會提醒更換濾芯*免開蓋注水設計:指壓式注水口*現代及年輕感的設計*可放入洗碗機清洗(壺蓋除外)
MXPRO濾芯:*濾芯配方全新升級，超微精濾科技:使用超細活性碳微粒子過濾，並維持150公升都相同的最佳濾效*離子交換微粒子:有效減少水中金屬(鉛、銅等)，延長家電壽命*活性碳由天然椰子殼製成*濾芯蓋和容器採用50%生物基塑膠，最永續的BRITA濾芯")</f>
        <v>Marella:*電子式濾芯更換顯示器(memo)每四週會提醒更換濾芯*免開蓋注水設計:指壓式注水口*現代及年輕感的設計*可放入洗碗機清洗(壺蓋除外)
MXPRO濾芯:*濾芯配方全新升級，超微精濾科技:使用超細活性碳微粒子過濾，並維持150公升都相同的最佳濾效*離子交換微粒子:有效減少水中金屬(鉛、銅等)，延長家電壽命*活性碳由天然椰子殼製成*濾芯蓋和容器採用50%生物基塑膠，最永續的BRITA濾芯</v>
      </c>
    </row>
    <row r="1425" spans="1:27" ht="12.75">
      <c r="A1425" s="25" t="str">
        <f ca="1">IFERROR(__xludf.DUMMYFUNCTION("""COMPUTED_VALUE"""),"居家生活用品")</f>
        <v>居家生活用品</v>
      </c>
      <c r="B1425" s="25" t="str">
        <f ca="1">IFERROR(__xludf.DUMMYFUNCTION("""COMPUTED_VALUE"""),"順發")</f>
        <v>順發</v>
      </c>
      <c r="C1425" s="25" t="str">
        <f ca="1">IFERROR(__xludf.DUMMYFUNCTION("""COMPUTED_VALUE"""),"Brita")</f>
        <v>Brita</v>
      </c>
      <c r="D1425" s="25" t="str">
        <f ca="1">IFERROR(__xludf.DUMMYFUNCTION("""COMPUTED_VALUE"""),"BRITA 馬利拉濾水壺3.5L(白)_797153_MXpro XL")</f>
        <v>BRITA 馬利拉濾水壺3.5L(白)_797153_MXpro XL</v>
      </c>
      <c r="E1425" s="25" t="str">
        <f ca="1">IFERROR(__xludf.DUMMYFUNCTION("""COMPUTED_VALUE"""),"MARELLA-XL-MXPRO-WE")</f>
        <v>MARELLA-XL-MXPRO-WE</v>
      </c>
      <c r="F1425" s="25">
        <f ca="1">IFERROR(__xludf.DUMMYFUNCTION("""COMPUTED_VALUE"""),51095783)</f>
        <v>51095783</v>
      </c>
      <c r="G1425" s="25" t="str">
        <f ca="1">IFERROR(__xludf.DUMMYFUNCTION("""COMPUTED_VALUE"""),"IGEM1002")</f>
        <v>IGEM1002</v>
      </c>
      <c r="H1425" s="26">
        <f ca="1">IFERROR(__xludf.DUMMYFUNCTION("""COMPUTED_VALUE"""),2349)</f>
        <v>2349</v>
      </c>
      <c r="I1425" s="27">
        <f ca="1">IFERROR(__xludf.DUMMYFUNCTION("""COMPUTED_VALUE"""),1745)</f>
        <v>1745</v>
      </c>
      <c r="J1425" s="29">
        <f ca="1">IFERROR(__xludf.DUMMYFUNCTION("""COMPUTED_VALUE"""),45390)</f>
        <v>45390</v>
      </c>
      <c r="K1425" s="25" t="str">
        <f ca="1">IFERROR(__xludf.DUMMYFUNCTION("""COMPUTED_VALUE"""),"新機上架")</f>
        <v>新機上架</v>
      </c>
      <c r="L1425" s="26" t="str">
        <f ca="1">IFERROR(__xludf.DUMMYFUNCTION("""COMPUTED_VALUE"""),"上架中")</f>
        <v>上架中</v>
      </c>
      <c r="M1425" s="25" t="str">
        <f ca="1">IFERROR(__xludf.DUMMYFUNCTION("""COMPUTED_VALUE"""),"2024/4/8新機上架")</f>
        <v>2024/4/8新機上架</v>
      </c>
      <c r="N1425" s="25" t="str">
        <f ca="1">IFERROR(__xludf.DUMMYFUNCTION("""COMPUTED_VALUE"""),"濾水壺")</f>
        <v>濾水壺</v>
      </c>
      <c r="O1425" s="25" t="str">
        <f ca="1">IFERROR(__xludf.DUMMYFUNCTION("""COMPUTED_VALUE"""),"白")</f>
        <v>白</v>
      </c>
      <c r="P1425" s="25" t="str">
        <f ca="1">IFERROR(__xludf.DUMMYFUNCTION("""COMPUTED_VALUE"""),"產品名稱：Marella馬利拉型濾水壺XL
產品材質：壺身/漏斗:SMMA樹脂
壺蓋:ASA樹脂(白色)、ABS樹脂(其他色)
濾芯:抑菌活性碳、無鈉離子交換樹脂、PP樹脂
總容量/濾水量/淨重：3.5公升;1公斤
耐熱溫度範圍：50°C
使用方法：請參閱產品使用手冊
製造商資訊：名稱:BRITAGmbH
地址:Heinrich-Hertz-Straße4,D-65232Taunusstein,Germany
電話:+49(0)6128-7460
進口商資訊：名稱:台灣碧然德有限公司
")</f>
        <v xml:space="preserve">產品名稱：Marella馬利拉型濾水壺XL
產品材質：壺身/漏斗:SMMA樹脂
壺蓋:ASA樹脂(白色)、ABS樹脂(其他色)
濾芯:抑菌活性碳、無鈉離子交換樹脂、PP樹脂
總容量/濾水量/淨重：3.5公升;1公斤
耐熱溫度範圍：50°C
使用方法：請參閱產品使用手冊
製造商資訊：名稱:BRITAGmbH
地址:Heinrich-Hertz-Straße4,D-65232Taunusstein,Germany
電話:+49(0)6128-7460
進口商資訊：名稱:台灣碧然德有限公司
</v>
      </c>
      <c r="Q1425" s="25" t="str">
        <f ca="1">IFERROR(__xludf.DUMMYFUNCTION("""COMPUTED_VALUE"""),"H275xW265xD155mm")</f>
        <v>H275xW265xD155mm</v>
      </c>
      <c r="R1425" s="25" t="str">
        <f ca="1">IFERROR(__xludf.DUMMYFUNCTION("""COMPUTED_VALUE"""),"中國")</f>
        <v>中國</v>
      </c>
      <c r="S1425" s="25"/>
      <c r="T1425" s="25"/>
      <c r="U1425" s="25" t="str">
        <f ca="1">IFERROR(__xludf.DUMMYFUNCTION("""COMPUTED_VALUE"""),"2年")</f>
        <v>2年</v>
      </c>
      <c r="V1425" s="25"/>
      <c r="W1425" s="25"/>
      <c r="X1425" s="25" t="str">
        <f ca="1">IFERROR(__xludf.DUMMYFUNCTION("""COMPUTED_VALUE"""),"隨貨送濾芯-全效型 P3-S(三入) (806402)")</f>
        <v>隨貨送濾芯-全效型 P3-S(三入) (806402)</v>
      </c>
      <c r="Y1425" s="25"/>
      <c r="Z1425" s="27"/>
      <c r="AA1425" s="28" t="str">
        <f ca="1">IFERROR(__xludf.DUMMYFUNCTION("""COMPUTED_VALUE"""),"Marella:*電子式濾芯更換顯示器(memo)每四週會提醒更換濾芯*免開蓋注水設計:指壓式注水口*現代及年輕感的設計*可放入洗碗機清洗(壺蓋除外)
MXPRO濾芯:*濾芯配方全新升級，超微精濾科技:使用超細活性碳微粒子過濾，並維持150公升都相同的最佳濾效*離子交換微粒子:有效減少水中金屬(鉛、銅等)，延長家電壽命*活性碳由天然椰子殼製成*濾芯蓋和容器採用50%生物基塑膠，最永續的BRITA濾芯")</f>
        <v>Marella:*電子式濾芯更換顯示器(memo)每四週會提醒更換濾芯*免開蓋注水設計:指壓式注水口*現代及年輕感的設計*可放入洗碗機清洗(壺蓋除外)
MXPRO濾芯:*濾芯配方全新升級，超微精濾科技:使用超細活性碳微粒子過濾，並維持150公升都相同的最佳濾效*離子交換微粒子:有效減少水中金屬(鉛、銅等)，延長家電壽命*活性碳由天然椰子殼製成*濾芯蓋和容器採用50%生物基塑膠，最永續的BRITA濾芯</v>
      </c>
    </row>
    <row r="1426" spans="1:27" ht="12.75">
      <c r="A1426" s="25" t="str">
        <f ca="1">IFERROR(__xludf.DUMMYFUNCTION("""COMPUTED_VALUE"""),"健康保養商品")</f>
        <v>健康保養商品</v>
      </c>
      <c r="B1426" s="25" t="str">
        <f ca="1">IFERROR(__xludf.DUMMYFUNCTION("""COMPUTED_VALUE"""),"神腦")</f>
        <v>神腦</v>
      </c>
      <c r="C1426" s="25" t="str">
        <f ca="1">IFERROR(__xludf.DUMMYFUNCTION("""COMPUTED_VALUE"""),"sakuyo")</f>
        <v>sakuyo</v>
      </c>
      <c r="D1426" s="25" t="str">
        <f ca="1">IFERROR(__xludf.DUMMYFUNCTION("""COMPUTED_VALUE"""),"健康_【sakuyo】芝麻元氣軟膠囊(60粒/瓶)_宅配限台灣本島")</f>
        <v>健康_【sakuyo】芝麻元氣軟膠囊(60粒/瓶)_宅配限台灣本島</v>
      </c>
      <c r="E1426" s="25" t="str">
        <f ca="1">IFERROR(__xludf.DUMMYFUNCTION("""COMPUTED_VALUE"""),"HS-0023")</f>
        <v>HS-0023</v>
      </c>
      <c r="F1426" s="25">
        <f ca="1">IFERROR(__xludf.DUMMYFUNCTION("""COMPUTED_VALUE"""),51016362)</f>
        <v>51016362</v>
      </c>
      <c r="G1426" s="25" t="str">
        <f ca="1">IFERROR(__xludf.DUMMYFUNCTION("""COMPUTED_VALUE"""),"IGEM0914")</f>
        <v>IGEM0914</v>
      </c>
      <c r="H1426" s="26">
        <f ca="1">IFERROR(__xludf.DUMMYFUNCTION("""COMPUTED_VALUE"""),1500)</f>
        <v>1500</v>
      </c>
      <c r="I1426" s="30">
        <f ca="1">IFERROR(__xludf.DUMMYFUNCTION("""COMPUTED_VALUE"""),1275)</f>
        <v>1275</v>
      </c>
      <c r="J1426" s="29">
        <f ca="1">IFERROR(__xludf.DUMMYFUNCTION("""COMPUTED_VALUE"""),45224)</f>
        <v>45224</v>
      </c>
      <c r="K1426" s="25" t="str">
        <f ca="1">IFERROR(__xludf.DUMMYFUNCTION("""COMPUTED_VALUE"""),"新機上架")</f>
        <v>新機上架</v>
      </c>
      <c r="L1426" s="25" t="str">
        <f ca="1">IFERROR(__xludf.DUMMYFUNCTION("""COMPUTED_VALUE"""),"上架中")</f>
        <v>上架中</v>
      </c>
      <c r="M1426" s="25" t="str">
        <f ca="1">IFERROR(__xludf.DUMMYFUNCTION("""COMPUTED_VALUE"""),"21P13A2301")</f>
        <v>21P13A2301</v>
      </c>
      <c r="N1426" s="25" t="str">
        <f ca="1">IFERROR(__xludf.DUMMYFUNCTION("""COMPUTED_VALUE"""),"機能保健")</f>
        <v>機能保健</v>
      </c>
      <c r="O1426" s="25"/>
      <c r="P1426" s="25"/>
      <c r="Q1426" s="25"/>
      <c r="R1426" s="25" t="str">
        <f ca="1">IFERROR(__xludf.DUMMYFUNCTION("""COMPUTED_VALUE"""),"日本")</f>
        <v>日本</v>
      </c>
      <c r="S1426" s="25"/>
      <c r="T1426" s="25"/>
      <c r="U1426" s="25"/>
      <c r="V1426" s="25"/>
      <c r="W1426" s="25"/>
      <c r="X1426" s="25"/>
      <c r="Y1426" s="25"/>
      <c r="Z1426" s="27"/>
      <c r="AA1426" s="28" t="str">
        <f ca="1">IFERROR(__xludf.DUMMYFUNCTION("""COMPUTED_VALUE"""),"*一天兩粒 好眠多元氣*頂規15毫克芝麻素*好眠多酚CELABIO®-F專利活性因子*超級食物-螺旋藻x奇亞籽*三效合一 好眠x美麗x元氣*全素可食")</f>
        <v>*一天兩粒 好眠多元氣*頂規15毫克芝麻素*好眠多酚CELABIO®-F專利活性因子*超級食物-螺旋藻x奇亞籽*三效合一 好眠x美麗x元氣*全素可食</v>
      </c>
    </row>
    <row r="1427" spans="1:27" ht="12.75">
      <c r="A1427" s="25" t="str">
        <f ca="1">IFERROR(__xludf.DUMMYFUNCTION("""COMPUTED_VALUE"""),"健康保養商品")</f>
        <v>健康保養商品</v>
      </c>
      <c r="B1427" s="25" t="str">
        <f ca="1">IFERROR(__xludf.DUMMYFUNCTION("""COMPUTED_VALUE"""),"神腦")</f>
        <v>神腦</v>
      </c>
      <c r="C1427" s="25" t="str">
        <f ca="1">IFERROR(__xludf.DUMMYFUNCTION("""COMPUTED_VALUE"""),"sakuyo")</f>
        <v>sakuyo</v>
      </c>
      <c r="D1427" s="25" t="str">
        <f ca="1">IFERROR(__xludf.DUMMYFUNCTION("""COMPUTED_VALUE"""),"健康_【sakuyo】芝麻元氣軟膠囊(60粒/瓶))兩入組_宅配限台灣本島")</f>
        <v>健康_【sakuyo】芝麻元氣軟膠囊(60粒/瓶))兩入組_宅配限台灣本島</v>
      </c>
      <c r="E1427" s="25" t="str">
        <f ca="1">IFERROR(__xludf.DUMMYFUNCTION("""COMPUTED_VALUE"""),"HS-0024")</f>
        <v>HS-0024</v>
      </c>
      <c r="F1427" s="25">
        <f ca="1">IFERROR(__xludf.DUMMYFUNCTION("""COMPUTED_VALUE"""),51016363)</f>
        <v>51016363</v>
      </c>
      <c r="G1427" s="25" t="str">
        <f ca="1">IFERROR(__xludf.DUMMYFUNCTION("""COMPUTED_VALUE"""),"IGEM0915")</f>
        <v>IGEM0915</v>
      </c>
      <c r="H1427" s="26">
        <f ca="1">IFERROR(__xludf.DUMMYFUNCTION("""COMPUTED_VALUE"""),3000)</f>
        <v>3000</v>
      </c>
      <c r="I1427" s="30">
        <f ca="1">IFERROR(__xludf.DUMMYFUNCTION("""COMPUTED_VALUE"""),2250)</f>
        <v>2250</v>
      </c>
      <c r="J1427" s="29">
        <f ca="1">IFERROR(__xludf.DUMMYFUNCTION("""COMPUTED_VALUE"""),45224)</f>
        <v>45224</v>
      </c>
      <c r="K1427" s="25" t="str">
        <f ca="1">IFERROR(__xludf.DUMMYFUNCTION("""COMPUTED_VALUE"""),"新機上架")</f>
        <v>新機上架</v>
      </c>
      <c r="L1427" s="25" t="str">
        <f ca="1">IFERROR(__xludf.DUMMYFUNCTION("""COMPUTED_VALUE"""),"上架中")</f>
        <v>上架中</v>
      </c>
      <c r="M1427" s="25"/>
      <c r="N1427" s="25" t="str">
        <f ca="1">IFERROR(__xludf.DUMMYFUNCTION("""COMPUTED_VALUE"""),"機能保健")</f>
        <v>機能保健</v>
      </c>
      <c r="O1427" s="25"/>
      <c r="P1427" s="25"/>
      <c r="Q1427" s="25"/>
      <c r="R1427" s="25" t="str">
        <f ca="1">IFERROR(__xludf.DUMMYFUNCTION("""COMPUTED_VALUE"""),"日本")</f>
        <v>日本</v>
      </c>
      <c r="S1427" s="25"/>
      <c r="T1427" s="25"/>
      <c r="U1427" s="25"/>
      <c r="V1427" s="25"/>
      <c r="W1427" s="25"/>
      <c r="X1427" s="25"/>
      <c r="Y1427" s="25"/>
      <c r="Z1427" s="27"/>
      <c r="AA1427" s="28" t="str">
        <f ca="1">IFERROR(__xludf.DUMMYFUNCTION("""COMPUTED_VALUE"""),"*2入85折優惠*一天兩粒 好眠多元氣*頂規15毫克芝麻素*好眠多酚CELABIO®-F專利活性因子*超級食物-螺旋藻x奇亞籽*三效合一 好眠x美麗x元氣*全素可食")</f>
        <v>*2入85折優惠*一天兩粒 好眠多元氣*頂規15毫克芝麻素*好眠多酚CELABIO®-F專利活性因子*超級食物-螺旋藻x奇亞籽*三效合一 好眠x美麗x元氣*全素可食</v>
      </c>
    </row>
    <row r="1428" spans="1:27" ht="12.75">
      <c r="A1428" s="25" t="str">
        <f ca="1">IFERROR(__xludf.DUMMYFUNCTION("""COMPUTED_VALUE"""),"健康保養商品")</f>
        <v>健康保養商品</v>
      </c>
      <c r="B1428" s="25" t="str">
        <f ca="1">IFERROR(__xludf.DUMMYFUNCTION("""COMPUTED_VALUE"""),"神腦")</f>
        <v>神腦</v>
      </c>
      <c r="C1428" s="25" t="str">
        <f ca="1">IFERROR(__xludf.DUMMYFUNCTION("""COMPUTED_VALUE"""),"sakuyo")</f>
        <v>sakuyo</v>
      </c>
      <c r="D1428" s="25" t="str">
        <f ca="1">IFERROR(__xludf.DUMMYFUNCTION("""COMPUTED_VALUE"""),"健康_【sakuyo】每日青汁三日份(3條)體驗包x5包_宅配限台灣本島")</f>
        <v>健康_【sakuyo】每日青汁三日份(3條)體驗包x5包_宅配限台灣本島</v>
      </c>
      <c r="E1428" s="25" t="str">
        <f ca="1">IFERROR(__xludf.DUMMYFUNCTION("""COMPUTED_VALUE"""),"HS-0033")</f>
        <v>HS-0033</v>
      </c>
      <c r="F1428" s="25">
        <f ca="1">IFERROR(__xludf.DUMMYFUNCTION("""COMPUTED_VALUE"""),51016484)</f>
        <v>51016484</v>
      </c>
      <c r="G1428" s="25" t="str">
        <f ca="1">IFERROR(__xludf.DUMMYFUNCTION("""COMPUTED_VALUE"""),"IGEM107M")</f>
        <v>IGEM107M</v>
      </c>
      <c r="H1428" s="26">
        <f ca="1">IFERROR(__xludf.DUMMYFUNCTION("""COMPUTED_VALUE"""),500)</f>
        <v>500</v>
      </c>
      <c r="I1428" s="27">
        <f ca="1">IFERROR(__xludf.DUMMYFUNCTION("""COMPUTED_VALUE"""),388)</f>
        <v>388</v>
      </c>
      <c r="J1428" s="25"/>
      <c r="K1428" s="25"/>
      <c r="L1428" s="25" t="str">
        <f ca="1">IFERROR(__xludf.DUMMYFUNCTION("""COMPUTED_VALUE"""),"上架中")</f>
        <v>上架中</v>
      </c>
      <c r="M1428" s="25"/>
      <c r="N1428" s="25" t="str">
        <f ca="1">IFERROR(__xludf.DUMMYFUNCTION("""COMPUTED_VALUE"""),"青汁")</f>
        <v>青汁</v>
      </c>
      <c r="O1428" s="25"/>
      <c r="P1428" s="25"/>
      <c r="Q1428" s="25"/>
      <c r="R1428" s="25" t="str">
        <f ca="1">IFERROR(__xludf.DUMMYFUNCTION("""COMPUTED_VALUE"""),"日本")</f>
        <v>日本</v>
      </c>
      <c r="S1428" s="25"/>
      <c r="T1428" s="25"/>
      <c r="U1428" s="25"/>
      <c r="V1428" s="25"/>
      <c r="W1428" s="25"/>
      <c r="X1428" s="25"/>
      <c r="Y1428" s="25"/>
      <c r="Z1428" s="27"/>
      <c r="AA1428" s="28" t="str">
        <f ca="1">IFERROR(__xludf.DUMMYFUNCTION("""COMPUTED_VALUE"""),"*2週體驗優惠*1.補充超級蔬菜營養與膳食纖維*2.促進新陳代謝*3.控制血糖血脂")</f>
        <v>*2週體驗優惠*1.補充超級蔬菜營養與膳食纖維*2.促進新陳代謝*3.控制血糖血脂</v>
      </c>
    </row>
    <row r="1429" spans="1:27" ht="12.75">
      <c r="A1429" s="25" t="str">
        <f ca="1">IFERROR(__xludf.DUMMYFUNCTION("""COMPUTED_VALUE"""),"健康保養商品")</f>
        <v>健康保養商品</v>
      </c>
      <c r="B1429" s="25" t="str">
        <f ca="1">IFERROR(__xludf.DUMMYFUNCTION("""COMPUTED_VALUE"""),"神腦")</f>
        <v>神腦</v>
      </c>
      <c r="C1429" s="25" t="str">
        <f ca="1">IFERROR(__xludf.DUMMYFUNCTION("""COMPUTED_VALUE"""),"sakuyo")</f>
        <v>sakuyo</v>
      </c>
      <c r="D1429" s="25" t="str">
        <f ca="1">IFERROR(__xludf.DUMMYFUNCTION("""COMPUTED_VALUE"""),"健康_【sakuyo】膠原蛋白胜肽三日份(3條)體驗包x5包_宅配限台灣本島")</f>
        <v>健康_【sakuyo】膠原蛋白胜肽三日份(3條)體驗包x5包_宅配限台灣本島</v>
      </c>
      <c r="E1429" s="25" t="str">
        <f ca="1">IFERROR(__xludf.DUMMYFUNCTION("""COMPUTED_VALUE"""),"HS-0034")</f>
        <v>HS-0034</v>
      </c>
      <c r="F1429" s="25">
        <f ca="1">IFERROR(__xludf.DUMMYFUNCTION("""COMPUTED_VALUE"""),51016485)</f>
        <v>51016485</v>
      </c>
      <c r="G1429" s="25" t="str">
        <f ca="1">IFERROR(__xludf.DUMMYFUNCTION("""COMPUTED_VALUE"""),"IGEM107N")</f>
        <v>IGEM107N</v>
      </c>
      <c r="H1429" s="26">
        <f ca="1">IFERROR(__xludf.DUMMYFUNCTION("""COMPUTED_VALUE"""),750)</f>
        <v>750</v>
      </c>
      <c r="I1429" s="27">
        <f ca="1">IFERROR(__xludf.DUMMYFUNCTION("""COMPUTED_VALUE"""),588)</f>
        <v>588</v>
      </c>
      <c r="J1429" s="25"/>
      <c r="K1429" s="25"/>
      <c r="L1429" s="25" t="str">
        <f ca="1">IFERROR(__xludf.DUMMYFUNCTION("""COMPUTED_VALUE"""),"上架中")</f>
        <v>上架中</v>
      </c>
      <c r="M1429" s="25"/>
      <c r="N1429" s="25" t="str">
        <f ca="1">IFERROR(__xludf.DUMMYFUNCTION("""COMPUTED_VALUE"""),"膠原蛋白")</f>
        <v>膠原蛋白</v>
      </c>
      <c r="O1429" s="25"/>
      <c r="P1429" s="25"/>
      <c r="Q1429" s="25"/>
      <c r="R1429" s="25" t="str">
        <f ca="1">IFERROR(__xludf.DUMMYFUNCTION("""COMPUTED_VALUE"""),"日本")</f>
        <v>日本</v>
      </c>
      <c r="S1429" s="25"/>
      <c r="T1429" s="25"/>
      <c r="U1429" s="25"/>
      <c r="V1429" s="25"/>
      <c r="W1429" s="25"/>
      <c r="X1429" s="25"/>
      <c r="Y1429" s="25"/>
      <c r="Z1429" s="27"/>
      <c r="AA1429" s="28" t="str">
        <f ca="1">IFERROR(__xludf.DUMMYFUNCTION("""COMPUTED_VALUE"""),"*2週體驗優惠*1.養顏美容- Q彈緊緻*2.保濕鎖水*3.美白提亮膚色")</f>
        <v>*2週體驗優惠*1.養顏美容- Q彈緊緻*2.保濕鎖水*3.美白提亮膚色</v>
      </c>
    </row>
    <row r="1430" spans="1:27" ht="12.75">
      <c r="A1430" s="25" t="str">
        <f ca="1">IFERROR(__xludf.DUMMYFUNCTION("""COMPUTED_VALUE"""),"健康保養商品")</f>
        <v>健康保養商品</v>
      </c>
      <c r="B1430" s="25" t="str">
        <f ca="1">IFERROR(__xludf.DUMMYFUNCTION("""COMPUTED_VALUE"""),"神腦")</f>
        <v>神腦</v>
      </c>
      <c r="C1430" s="25" t="str">
        <f ca="1">IFERROR(__xludf.DUMMYFUNCTION("""COMPUTED_VALUE"""),"sakuyo")</f>
        <v>sakuyo</v>
      </c>
      <c r="D1430" s="25" t="str">
        <f ca="1">IFERROR(__xludf.DUMMYFUNCTION("""COMPUTED_VALUE"""),"健康_【sakuyo】芝麻元氣軟膠囊三日份(6粒入)體驗包x5包_宅配限台灣本島")</f>
        <v>健康_【sakuyo】芝麻元氣軟膠囊三日份(6粒入)體驗包x5包_宅配限台灣本島</v>
      </c>
      <c r="E1430" s="25" t="str">
        <f ca="1">IFERROR(__xludf.DUMMYFUNCTION("""COMPUTED_VALUE"""),"HS-0035")</f>
        <v>HS-0035</v>
      </c>
      <c r="F1430" s="25">
        <f ca="1">IFERROR(__xludf.DUMMYFUNCTION("""COMPUTED_VALUE"""),51016486)</f>
        <v>51016486</v>
      </c>
      <c r="G1430" s="25" t="str">
        <f ca="1">IFERROR(__xludf.DUMMYFUNCTION("""COMPUTED_VALUE"""),"IGEM107O")</f>
        <v>IGEM107O</v>
      </c>
      <c r="H1430" s="26">
        <f ca="1">IFERROR(__xludf.DUMMYFUNCTION("""COMPUTED_VALUE"""),750)</f>
        <v>750</v>
      </c>
      <c r="I1430" s="27">
        <f ca="1">IFERROR(__xludf.DUMMYFUNCTION("""COMPUTED_VALUE"""),588)</f>
        <v>588</v>
      </c>
      <c r="J1430" s="25"/>
      <c r="K1430" s="25"/>
      <c r="L1430" s="25" t="str">
        <f ca="1">IFERROR(__xludf.DUMMYFUNCTION("""COMPUTED_VALUE"""),"上架中")</f>
        <v>上架中</v>
      </c>
      <c r="M1430" s="25"/>
      <c r="N1430" s="25" t="str">
        <f ca="1">IFERROR(__xludf.DUMMYFUNCTION("""COMPUTED_VALUE"""),"機能保健")</f>
        <v>機能保健</v>
      </c>
      <c r="O1430" s="25"/>
      <c r="P1430" s="25"/>
      <c r="Q1430" s="25"/>
      <c r="R1430" s="25" t="str">
        <f ca="1">IFERROR(__xludf.DUMMYFUNCTION("""COMPUTED_VALUE"""),"日本")</f>
        <v>日本</v>
      </c>
      <c r="S1430" s="25"/>
      <c r="T1430" s="25"/>
      <c r="U1430" s="25"/>
      <c r="V1430" s="25"/>
      <c r="W1430" s="25"/>
      <c r="X1430" s="25"/>
      <c r="Y1430" s="25"/>
      <c r="Z1430" s="27"/>
      <c r="AA1430" s="28" t="str">
        <f ca="1">IFERROR(__xludf.DUMMYFUNCTION("""COMPUTED_VALUE"""),"*2週體驗優惠*好眠多酚 元氣滿分*1.獨家日本好眠配方，幫助入睡，恢復元氣*2.專利好眠多酚 CELABIO®-F (含助眠活性因子)*3.高純度芝麻頂規 15 毫克*4.超級食物奇亞籽*5.高營養價值螺旋藻")</f>
        <v>*2週體驗優惠*好眠多酚 元氣滿分*1.獨家日本好眠配方，幫助入睡，恢復元氣*2.專利好眠多酚 CELABIO®-F (含助眠活性因子)*3.高純度芝麻頂規 15 毫克*4.超級食物奇亞籽*5.高營養價值螺旋藻</v>
      </c>
    </row>
    <row r="1431" spans="1:27" ht="12.75">
      <c r="A1431" s="25" t="str">
        <f ca="1">IFERROR(__xludf.DUMMYFUNCTION("""COMPUTED_VALUE"""),"健康保養商品")</f>
        <v>健康保養商品</v>
      </c>
      <c r="B1431" s="25" t="str">
        <f ca="1">IFERROR(__xludf.DUMMYFUNCTION("""COMPUTED_VALUE"""),"神腦")</f>
        <v>神腦</v>
      </c>
      <c r="C1431" s="25" t="str">
        <f ca="1">IFERROR(__xludf.DUMMYFUNCTION("""COMPUTED_VALUE"""),"sakuyo")</f>
        <v>sakuyo</v>
      </c>
      <c r="D1431" s="25" t="str">
        <f ca="1">IFERROR(__xludf.DUMMYFUNCTION("""COMPUTED_VALUE"""),"健康_【sakuyo】比菲德氏菌+乳寡醣(30條入)_宅配限台灣本島")</f>
        <v>健康_【sakuyo】比菲德氏菌+乳寡醣(30條入)_宅配限台灣本島</v>
      </c>
      <c r="E1431" s="25" t="str">
        <f ca="1">IFERROR(__xludf.DUMMYFUNCTION("""COMPUTED_VALUE"""),"HS-0001")</f>
        <v>HS-0001</v>
      </c>
      <c r="F1431" s="25">
        <f ca="1">IFERROR(__xludf.DUMMYFUNCTION("""COMPUTED_VALUE"""),51016170)</f>
        <v>51016170</v>
      </c>
      <c r="G1431" s="25" t="str">
        <f ca="1">IFERROR(__xludf.DUMMYFUNCTION("""COMPUTED_VALUE"""),"IGEM052Z")</f>
        <v>IGEM052Z</v>
      </c>
      <c r="H1431" s="25">
        <f ca="1">IFERROR(__xludf.DUMMYFUNCTION("""COMPUTED_VALUE"""),1400)</f>
        <v>1400</v>
      </c>
      <c r="I1431" s="27">
        <f ca="1">IFERROR(__xludf.DUMMYFUNCTION("""COMPUTED_VALUE"""),1190)</f>
        <v>1190</v>
      </c>
      <c r="J1431" s="25"/>
      <c r="K1431" s="25"/>
      <c r="L1431" s="25" t="str">
        <f ca="1">IFERROR(__xludf.DUMMYFUNCTION("""COMPUTED_VALUE"""),"上架中")</f>
        <v>上架中</v>
      </c>
      <c r="M1431" s="25" t="str">
        <f ca="1">IFERROR(__xludf.DUMMYFUNCTION("""COMPUTED_VALUE"""),"2021/12/30新機上架")</f>
        <v>2021/12/30新機上架</v>
      </c>
      <c r="N1431" s="25" t="str">
        <f ca="1">IFERROR(__xludf.DUMMYFUNCTION("""COMPUTED_VALUE"""),"益生菌")</f>
        <v>益生菌</v>
      </c>
      <c r="O1431" s="25"/>
      <c r="P1431" s="25"/>
      <c r="Q1431" s="25"/>
      <c r="R1431" s="25" t="str">
        <f ca="1">IFERROR(__xludf.DUMMYFUNCTION("""COMPUTED_VALUE"""),"日本")</f>
        <v>日本</v>
      </c>
      <c r="S1431" s="25"/>
      <c r="T1431" s="25"/>
      <c r="U1431" s="25"/>
      <c r="V1431" s="25"/>
      <c r="W1431" s="25"/>
      <c r="X1431" s="25"/>
      <c r="Y1431" s="25"/>
      <c r="Z1431" s="27"/>
      <c r="AA1431" s="28" t="str">
        <f ca="1">IFERROR(__xludf.DUMMYFUNCTION("""COMPUTED_VALUE"""),"*專利龍根菌BB536*調整腸胃道健康*增加免疫力*全家人日常保健的常備品*保存期限:2年")</f>
        <v>*專利龍根菌BB536*調整腸胃道健康*增加免疫力*全家人日常保健的常備品*保存期限:2年</v>
      </c>
    </row>
    <row r="1432" spans="1:27" ht="12.75">
      <c r="A1432" s="25" t="str">
        <f ca="1">IFERROR(__xludf.DUMMYFUNCTION("""COMPUTED_VALUE"""),"健康保養商品")</f>
        <v>健康保養商品</v>
      </c>
      <c r="B1432" s="25" t="str">
        <f ca="1">IFERROR(__xludf.DUMMYFUNCTION("""COMPUTED_VALUE"""),"神腦")</f>
        <v>神腦</v>
      </c>
      <c r="C1432" s="25" t="str">
        <f ca="1">IFERROR(__xludf.DUMMYFUNCTION("""COMPUTED_VALUE"""),"sakuyo")</f>
        <v>sakuyo</v>
      </c>
      <c r="D1432" s="25" t="str">
        <f ca="1">IFERROR(__xludf.DUMMYFUNCTION("""COMPUTED_VALUE"""),"健康_【sakuyo】每日青汁(30條入)_宅配限台灣本島")</f>
        <v>健康_【sakuyo】每日青汁(30條入)_宅配限台灣本島</v>
      </c>
      <c r="E1432" s="25" t="str">
        <f ca="1">IFERROR(__xludf.DUMMYFUNCTION("""COMPUTED_VALUE"""),"HS-0002")</f>
        <v>HS-0002</v>
      </c>
      <c r="F1432" s="25">
        <f ca="1">IFERROR(__xludf.DUMMYFUNCTION("""COMPUTED_VALUE"""),51016171)</f>
        <v>51016171</v>
      </c>
      <c r="G1432" s="25" t="str">
        <f ca="1">IFERROR(__xludf.DUMMYFUNCTION("""COMPUTED_VALUE"""),"IGEM0530")</f>
        <v>IGEM0530</v>
      </c>
      <c r="H1432" s="25">
        <f ca="1">IFERROR(__xludf.DUMMYFUNCTION("""COMPUTED_VALUE"""),990)</f>
        <v>990</v>
      </c>
      <c r="I1432" s="27">
        <f ca="1">IFERROR(__xludf.DUMMYFUNCTION("""COMPUTED_VALUE"""),840)</f>
        <v>840</v>
      </c>
      <c r="J1432" s="25"/>
      <c r="K1432" s="25"/>
      <c r="L1432" s="25" t="str">
        <f ca="1">IFERROR(__xludf.DUMMYFUNCTION("""COMPUTED_VALUE"""),"上架中")</f>
        <v>上架中</v>
      </c>
      <c r="M1432" s="25" t="str">
        <f ca="1">IFERROR(__xludf.DUMMYFUNCTION("""COMPUTED_VALUE"""),"2021/12/30新機上架")</f>
        <v>2021/12/30新機上架</v>
      </c>
      <c r="N1432" s="25" t="str">
        <f ca="1">IFERROR(__xludf.DUMMYFUNCTION("""COMPUTED_VALUE"""),"青汁")</f>
        <v>青汁</v>
      </c>
      <c r="O1432" s="25"/>
      <c r="P1432" s="25"/>
      <c r="Q1432" s="25"/>
      <c r="R1432" s="25" t="str">
        <f ca="1">IFERROR(__xludf.DUMMYFUNCTION("""COMPUTED_VALUE"""),"日本")</f>
        <v>日本</v>
      </c>
      <c r="S1432" s="25"/>
      <c r="T1432" s="25"/>
      <c r="U1432" s="25"/>
      <c r="V1432" s="25"/>
      <c r="W1432" s="25"/>
      <c r="X1432" s="25"/>
      <c r="Y1432" s="25"/>
      <c r="Z1432" s="27"/>
      <c r="AA1432" s="28" t="str">
        <f ca="1">IFERROR(__xludf.DUMMYFUNCTION("""COMPUTED_VALUE"""),"*富含膳食纖維*搭配有機羽衣甘藍/桑葉*無色素無香料無額外添加糖*難消化性麥芽糊精水溶性纖維*保存期限:3年")</f>
        <v>*富含膳食纖維*搭配有機羽衣甘藍/桑葉*無色素無香料無額外添加糖*難消化性麥芽糊精水溶性纖維*保存期限:3年</v>
      </c>
    </row>
    <row r="1433" spans="1:27" ht="12.75">
      <c r="A1433" s="25" t="str">
        <f ca="1">IFERROR(__xludf.DUMMYFUNCTION("""COMPUTED_VALUE"""),"健康保養商品")</f>
        <v>健康保養商品</v>
      </c>
      <c r="B1433" s="25" t="str">
        <f ca="1">IFERROR(__xludf.DUMMYFUNCTION("""COMPUTED_VALUE"""),"神腦")</f>
        <v>神腦</v>
      </c>
      <c r="C1433" s="25" t="str">
        <f ca="1">IFERROR(__xludf.DUMMYFUNCTION("""COMPUTED_VALUE"""),"sakuyo")</f>
        <v>sakuyo</v>
      </c>
      <c r="D1433" s="25" t="str">
        <f ca="1">IFERROR(__xludf.DUMMYFUNCTION("""COMPUTED_VALUE"""),"健康_【sakuyo】金盞花萃取(含葉黃素)軟膠囊(30顆入)_宅配限台灣本島")</f>
        <v>健康_【sakuyo】金盞花萃取(含葉黃素)軟膠囊(30顆入)_宅配限台灣本島</v>
      </c>
      <c r="E1433" s="25" t="str">
        <f ca="1">IFERROR(__xludf.DUMMYFUNCTION("""COMPUTED_VALUE"""),"HS-0003")</f>
        <v>HS-0003</v>
      </c>
      <c r="F1433" s="25">
        <f ca="1">IFERROR(__xludf.DUMMYFUNCTION("""COMPUTED_VALUE"""),51016172)</f>
        <v>51016172</v>
      </c>
      <c r="G1433" s="25" t="str">
        <f ca="1">IFERROR(__xludf.DUMMYFUNCTION("""COMPUTED_VALUE"""),"IGEM0531")</f>
        <v>IGEM0531</v>
      </c>
      <c r="H1433" s="25">
        <f ca="1">IFERROR(__xludf.DUMMYFUNCTION("""COMPUTED_VALUE"""),1330)</f>
        <v>1330</v>
      </c>
      <c r="I1433" s="27">
        <f ca="1">IFERROR(__xludf.DUMMYFUNCTION("""COMPUTED_VALUE"""),1130)</f>
        <v>1130</v>
      </c>
      <c r="J1433" s="25"/>
      <c r="K1433" s="25"/>
      <c r="L1433" s="25" t="str">
        <f ca="1">IFERROR(__xludf.DUMMYFUNCTION("""COMPUTED_VALUE"""),"上架中")</f>
        <v>上架中</v>
      </c>
      <c r="M1433" s="25" t="str">
        <f ca="1">IFERROR(__xludf.DUMMYFUNCTION("""COMPUTED_VALUE"""),"2021/12/30新機上架")</f>
        <v>2021/12/30新機上架</v>
      </c>
      <c r="N1433" s="25" t="str">
        <f ca="1">IFERROR(__xludf.DUMMYFUNCTION("""COMPUTED_VALUE"""),"葉黃素")</f>
        <v>葉黃素</v>
      </c>
      <c r="O1433" s="25"/>
      <c r="P1433" s="25"/>
      <c r="Q1433" s="25"/>
      <c r="R1433" s="25" t="str">
        <f ca="1">IFERROR(__xludf.DUMMYFUNCTION("""COMPUTED_VALUE"""),"日本")</f>
        <v>日本</v>
      </c>
      <c r="S1433" s="25"/>
      <c r="T1433" s="25"/>
      <c r="U1433" s="25"/>
      <c r="V1433" s="25"/>
      <c r="W1433" s="25"/>
      <c r="X1433" s="25"/>
      <c r="Y1433" s="25"/>
      <c r="Z1433" s="27"/>
      <c r="AA1433" s="28" t="str">
        <f ca="1">IFERROR(__xludf.DUMMYFUNCTION("""COMPUTED_VALUE"""),"*游離型好吸收*嚴選北歐山桑子萃取物*顆粒小好吞食*有感舒緩眼部痠痛乾澀疲勞*保存期限:2年")</f>
        <v>*游離型好吸收*嚴選北歐山桑子萃取物*顆粒小好吞食*有感舒緩眼部痠痛乾澀疲勞*保存期限:2年</v>
      </c>
    </row>
    <row r="1434" spans="1:27" ht="12.75">
      <c r="A1434" s="25" t="str">
        <f ca="1">IFERROR(__xludf.DUMMYFUNCTION("""COMPUTED_VALUE"""),"健康保養商品")</f>
        <v>健康保養商品</v>
      </c>
      <c r="B1434" s="25" t="str">
        <f ca="1">IFERROR(__xludf.DUMMYFUNCTION("""COMPUTED_VALUE"""),"神腦")</f>
        <v>神腦</v>
      </c>
      <c r="C1434" s="25" t="str">
        <f ca="1">IFERROR(__xludf.DUMMYFUNCTION("""COMPUTED_VALUE"""),"sakuyo")</f>
        <v>sakuyo</v>
      </c>
      <c r="D1434" s="25" t="str">
        <f ca="1">IFERROR(__xludf.DUMMYFUNCTION("""COMPUTED_VALUE"""),"健康_【sakuyo】魚油軟膠囊(160顆入)_宅配限台灣本島")</f>
        <v>健康_【sakuyo】魚油軟膠囊(160顆入)_宅配限台灣本島</v>
      </c>
      <c r="E1434" s="25" t="str">
        <f ca="1">IFERROR(__xludf.DUMMYFUNCTION("""COMPUTED_VALUE"""),"HS-0004")</f>
        <v>HS-0004</v>
      </c>
      <c r="F1434" s="25">
        <f ca="1">IFERROR(__xludf.DUMMYFUNCTION("""COMPUTED_VALUE"""),51016173)</f>
        <v>51016173</v>
      </c>
      <c r="G1434" s="25" t="str">
        <f ca="1">IFERROR(__xludf.DUMMYFUNCTION("""COMPUTED_VALUE"""),"IGEM0532")</f>
        <v>IGEM0532</v>
      </c>
      <c r="H1434" s="25">
        <f ca="1">IFERROR(__xludf.DUMMYFUNCTION("""COMPUTED_VALUE"""),1500)</f>
        <v>1500</v>
      </c>
      <c r="I1434" s="27">
        <f ca="1">IFERROR(__xludf.DUMMYFUNCTION("""COMPUTED_VALUE"""),1275)</f>
        <v>1275</v>
      </c>
      <c r="J1434" s="25"/>
      <c r="K1434" s="25"/>
      <c r="L1434" s="25" t="str">
        <f ca="1">IFERROR(__xludf.DUMMYFUNCTION("""COMPUTED_VALUE"""),"上架中")</f>
        <v>上架中</v>
      </c>
      <c r="M1434" s="25" t="str">
        <f ca="1">IFERROR(__xludf.DUMMYFUNCTION("""COMPUTED_VALUE"""),"2021/12/30新機上架")</f>
        <v>2021/12/30新機上架</v>
      </c>
      <c r="N1434" s="25" t="str">
        <f ca="1">IFERROR(__xludf.DUMMYFUNCTION("""COMPUTED_VALUE"""),"魚油")</f>
        <v>魚油</v>
      </c>
      <c r="O1434" s="25"/>
      <c r="P1434" s="25"/>
      <c r="Q1434" s="25"/>
      <c r="R1434" s="25" t="str">
        <f ca="1">IFERROR(__xludf.DUMMYFUNCTION("""COMPUTED_VALUE"""),"日本")</f>
        <v>日本</v>
      </c>
      <c r="S1434" s="25"/>
      <c r="T1434" s="25"/>
      <c r="U1434" s="25"/>
      <c r="V1434" s="25"/>
      <c r="W1434" s="25"/>
      <c r="X1434" s="25"/>
      <c r="Y1434" s="25"/>
      <c r="Z1434" s="27"/>
      <c r="AA1434" s="28" t="str">
        <f ca="1">IFERROR(__xludf.DUMMYFUNCTION("""COMPUTED_VALUE"""),"*Omega3*純淨藻來源蝦紅素+維生素E*顆粒小好吞食4.DHA使思緒靈活，保持專注，增加學習效能*保存期限:2年")</f>
        <v>*Omega3*純淨藻來源蝦紅素+維生素E*顆粒小好吞食4.DHA使思緒靈活，保持專注，增加學習效能*保存期限:2年</v>
      </c>
    </row>
    <row r="1435" spans="1:27" ht="12.75">
      <c r="A1435" s="25" t="str">
        <f ca="1">IFERROR(__xludf.DUMMYFUNCTION("""COMPUTED_VALUE"""),"健康保養商品")</f>
        <v>健康保養商品</v>
      </c>
      <c r="B1435" s="25" t="str">
        <f ca="1">IFERROR(__xludf.DUMMYFUNCTION("""COMPUTED_VALUE"""),"神腦")</f>
        <v>神腦</v>
      </c>
      <c r="C1435" s="25" t="str">
        <f ca="1">IFERROR(__xludf.DUMMYFUNCTION("""COMPUTED_VALUE"""),"sakuyo")</f>
        <v>sakuyo</v>
      </c>
      <c r="D1435" s="25" t="str">
        <f ca="1">IFERROR(__xludf.DUMMYFUNCTION("""COMPUTED_VALUE"""),"健康_【sakuyo】纖美B3益生菌(30條入)_宅配限台灣本島")</f>
        <v>健康_【sakuyo】纖美B3益生菌(30條入)_宅配限台灣本島</v>
      </c>
      <c r="E1435" s="25" t="str">
        <f ca="1">IFERROR(__xludf.DUMMYFUNCTION("""COMPUTED_VALUE"""),"HS-0006")</f>
        <v>HS-0006</v>
      </c>
      <c r="F1435" s="25">
        <f ca="1">IFERROR(__xludf.DUMMYFUNCTION("""COMPUTED_VALUE"""),51016175)</f>
        <v>51016175</v>
      </c>
      <c r="G1435" s="25" t="str">
        <f ca="1">IFERROR(__xludf.DUMMYFUNCTION("""COMPUTED_VALUE"""),"IGEM0534")</f>
        <v>IGEM0534</v>
      </c>
      <c r="H1435" s="25">
        <f ca="1">IFERROR(__xludf.DUMMYFUNCTION("""COMPUTED_VALUE"""),2000)</f>
        <v>2000</v>
      </c>
      <c r="I1435" s="27">
        <f ca="1">IFERROR(__xludf.DUMMYFUNCTION("""COMPUTED_VALUE"""),1700)</f>
        <v>1700</v>
      </c>
      <c r="J1435" s="25"/>
      <c r="K1435" s="25"/>
      <c r="L1435" s="25" t="str">
        <f ca="1">IFERROR(__xludf.DUMMYFUNCTION("""COMPUTED_VALUE"""),"上架中")</f>
        <v>上架中</v>
      </c>
      <c r="M1435" s="25" t="str">
        <f ca="1">IFERROR(__xludf.DUMMYFUNCTION("""COMPUTED_VALUE"""),"2021/12/30新機上架")</f>
        <v>2021/12/30新機上架</v>
      </c>
      <c r="N1435" s="25" t="str">
        <f ca="1">IFERROR(__xludf.DUMMYFUNCTION("""COMPUTED_VALUE"""),"益生菌")</f>
        <v>益生菌</v>
      </c>
      <c r="O1435" s="25"/>
      <c r="P1435" s="25"/>
      <c r="Q1435" s="25"/>
      <c r="R1435" s="25" t="str">
        <f ca="1">IFERROR(__xludf.DUMMYFUNCTION("""COMPUTED_VALUE"""),"日本")</f>
        <v>日本</v>
      </c>
      <c r="S1435" s="25"/>
      <c r="T1435" s="25"/>
      <c r="U1435" s="25"/>
      <c r="V1435" s="25"/>
      <c r="W1435" s="25"/>
      <c r="X1435" s="25"/>
      <c r="Y1435" s="25"/>
      <c r="Z1435" s="27"/>
      <c r="AA1435" s="28" t="str">
        <f ca="1">IFERROR(__xludf.DUMMYFUNCTION("""COMPUTED_VALUE"""),"*19國功效專利益生菌*含專利水溶性纖維促進新陳代謝*100e比菲德氏短雙岐桿菌B-3*乳糖 [0.5克]促進腸道好菌生長*保存期限:2年")</f>
        <v>*19國功效專利益生菌*含專利水溶性纖維促進新陳代謝*100e比菲德氏短雙岐桿菌B-3*乳糖 [0.5克]促進腸道好菌生長*保存期限:2年</v>
      </c>
    </row>
    <row r="1436" spans="1:27" ht="12.75">
      <c r="A1436" s="25" t="str">
        <f ca="1">IFERROR(__xludf.DUMMYFUNCTION("""COMPUTED_VALUE"""),"健康保養商品")</f>
        <v>健康保養商品</v>
      </c>
      <c r="B1436" s="25" t="str">
        <f ca="1">IFERROR(__xludf.DUMMYFUNCTION("""COMPUTED_VALUE"""),"神腦")</f>
        <v>神腦</v>
      </c>
      <c r="C1436" s="25" t="str">
        <f ca="1">IFERROR(__xludf.DUMMYFUNCTION("""COMPUTED_VALUE"""),"sakuyo")</f>
        <v>sakuyo</v>
      </c>
      <c r="D1436" s="25" t="str">
        <f ca="1">IFERROR(__xludf.DUMMYFUNCTION("""COMPUTED_VALUE"""),"健康_【sakuyo】膠原蛋白胜肽(20條入)_宅配限台灣本島")</f>
        <v>健康_【sakuyo】膠原蛋白胜肽(20條入)_宅配限台灣本島</v>
      </c>
      <c r="E1436" s="25" t="str">
        <f ca="1">IFERROR(__xludf.DUMMYFUNCTION("""COMPUTED_VALUE"""),"HS-0007")</f>
        <v>HS-0007</v>
      </c>
      <c r="F1436" s="25">
        <f ca="1">IFERROR(__xludf.DUMMYFUNCTION("""COMPUTED_VALUE"""),51016176)</f>
        <v>51016176</v>
      </c>
      <c r="G1436" s="25" t="str">
        <f ca="1">IFERROR(__xludf.DUMMYFUNCTION("""COMPUTED_VALUE"""),"IGEM0535")</f>
        <v>IGEM0535</v>
      </c>
      <c r="H1436" s="25">
        <f ca="1">IFERROR(__xludf.DUMMYFUNCTION("""COMPUTED_VALUE"""),1300)</f>
        <v>1300</v>
      </c>
      <c r="I1436" s="27">
        <f ca="1">IFERROR(__xludf.DUMMYFUNCTION("""COMPUTED_VALUE"""),1105)</f>
        <v>1105</v>
      </c>
      <c r="J1436" s="25"/>
      <c r="K1436" s="25"/>
      <c r="L1436" s="25" t="str">
        <f ca="1">IFERROR(__xludf.DUMMYFUNCTION("""COMPUTED_VALUE"""),"上架中")</f>
        <v>上架中</v>
      </c>
      <c r="M1436" s="25" t="str">
        <f ca="1">IFERROR(__xludf.DUMMYFUNCTION("""COMPUTED_VALUE"""),"2021/12/30新機上架")</f>
        <v>2021/12/30新機上架</v>
      </c>
      <c r="N1436" s="25" t="str">
        <f ca="1">IFERROR(__xludf.DUMMYFUNCTION("""COMPUTED_VALUE"""),"膠原蛋白")</f>
        <v>膠原蛋白</v>
      </c>
      <c r="O1436" s="25"/>
      <c r="P1436" s="25"/>
      <c r="Q1436" s="25"/>
      <c r="R1436" s="25" t="str">
        <f ca="1">IFERROR(__xludf.DUMMYFUNCTION("""COMPUTED_VALUE"""),"日本")</f>
        <v>日本</v>
      </c>
      <c r="S1436" s="25"/>
      <c r="T1436" s="25"/>
      <c r="U1436" s="25"/>
      <c r="V1436" s="25"/>
      <c r="W1436" s="25"/>
      <c r="X1436" s="25"/>
      <c r="Y1436" s="25"/>
      <c r="Z1436" s="27"/>
      <c r="AA1436" s="28" t="str">
        <f ca="1">IFERROR(__xludf.DUMMYFUNCTION("""COMPUTED_VALUE"""),"*西印度櫻桃萃取維生素C*日本玄米萃取(賽洛美)*6000mg小分子好吸收*鮭魚鼻軟骨低溫萃取保有非變性二型膠原蛋白及蛋白聚醣*保存期限:2年")</f>
        <v>*西印度櫻桃萃取維生素C*日本玄米萃取(賽洛美)*6000mg小分子好吸收*鮭魚鼻軟骨低溫萃取保有非變性二型膠原蛋白及蛋白聚醣*保存期限:2年</v>
      </c>
    </row>
    <row r="1437" spans="1:27" ht="12.75">
      <c r="A1437" s="25" t="str">
        <f ca="1">IFERROR(__xludf.DUMMYFUNCTION("""COMPUTED_VALUE"""),"健康保養商品")</f>
        <v>健康保養商品</v>
      </c>
      <c r="B1437" s="25" t="str">
        <f ca="1">IFERROR(__xludf.DUMMYFUNCTION("""COMPUTED_VALUE"""),"神腦")</f>
        <v>神腦</v>
      </c>
      <c r="C1437" s="25" t="str">
        <f ca="1">IFERROR(__xludf.DUMMYFUNCTION("""COMPUTED_VALUE"""),"sakuyo")</f>
        <v>sakuyo</v>
      </c>
      <c r="D1437" s="25" t="str">
        <f ca="1">IFERROR(__xludf.DUMMYFUNCTION("""COMPUTED_VALUE"""),"健康_【sakuyo】比菲德氏菌+乳寡醣(30條入)兩入組_宅配限台灣本島")</f>
        <v>健康_【sakuyo】比菲德氏菌+乳寡醣(30條入)兩入組_宅配限台灣本島</v>
      </c>
      <c r="E1437" s="25" t="str">
        <f ca="1">IFERROR(__xludf.DUMMYFUNCTION("""COMPUTED_VALUE"""),"HS-0011")</f>
        <v>HS-0011</v>
      </c>
      <c r="F1437" s="25">
        <f ca="1">IFERROR(__xludf.DUMMYFUNCTION("""COMPUTED_VALUE"""),51057180)</f>
        <v>51057180</v>
      </c>
      <c r="G1437" s="25" t="str">
        <f ca="1">IFERROR(__xludf.DUMMYFUNCTION("""COMPUTED_VALUE"""),"IGEM0685")</f>
        <v>IGEM0685</v>
      </c>
      <c r="H1437" s="25">
        <f ca="1">IFERROR(__xludf.DUMMYFUNCTION("""COMPUTED_VALUE"""),2800)</f>
        <v>2800</v>
      </c>
      <c r="I1437" s="30">
        <f ca="1">IFERROR(__xludf.DUMMYFUNCTION("""COMPUTED_VALUE"""),2100)</f>
        <v>2100</v>
      </c>
      <c r="J1437" s="25"/>
      <c r="K1437" s="25"/>
      <c r="L1437" s="25" t="str">
        <f ca="1">IFERROR(__xludf.DUMMYFUNCTION("""COMPUTED_VALUE"""),"上架中")</f>
        <v>上架中</v>
      </c>
      <c r="M1437" s="25" t="str">
        <f ca="1">IFERROR(__xludf.DUMMYFUNCTION("""COMPUTED_VALUE"""),"2022/9/6新品")</f>
        <v>2022/9/6新品</v>
      </c>
      <c r="N1437" s="25" t="str">
        <f ca="1">IFERROR(__xludf.DUMMYFUNCTION("""COMPUTED_VALUE"""),"益生菌")</f>
        <v>益生菌</v>
      </c>
      <c r="O1437" s="25"/>
      <c r="P1437" s="25"/>
      <c r="Q1437" s="25"/>
      <c r="R1437" s="25" t="str">
        <f ca="1">IFERROR(__xludf.DUMMYFUNCTION("""COMPUTED_VALUE"""),"日本")</f>
        <v>日本</v>
      </c>
      <c r="S1437" s="25"/>
      <c r="T1437" s="25"/>
      <c r="U1437" s="25"/>
      <c r="V1437" s="25"/>
      <c r="W1437" s="25"/>
      <c r="X1437" s="25"/>
      <c r="Y1437" s="25"/>
      <c r="Z1437" s="27"/>
      <c r="AA1437" s="28" t="str">
        <f ca="1">IFERROR(__xludf.DUMMYFUNCTION("""COMPUTED_VALUE"""),"*2入85折優惠*專利龍根菌BB536*調整腸胃道健康*增加免疫力*全家人日常保健的常備品*保存期限:2年")</f>
        <v>*2入85折優惠*專利龍根菌BB536*調整腸胃道健康*增加免疫力*全家人日常保健的常備品*保存期限:2年</v>
      </c>
    </row>
    <row r="1438" spans="1:27" ht="12.75">
      <c r="A1438" s="25" t="str">
        <f ca="1">IFERROR(__xludf.DUMMYFUNCTION("""COMPUTED_VALUE"""),"健康保養商品")</f>
        <v>健康保養商品</v>
      </c>
      <c r="B1438" s="25" t="str">
        <f ca="1">IFERROR(__xludf.DUMMYFUNCTION("""COMPUTED_VALUE"""),"神腦")</f>
        <v>神腦</v>
      </c>
      <c r="C1438" s="25" t="str">
        <f ca="1">IFERROR(__xludf.DUMMYFUNCTION("""COMPUTED_VALUE"""),"sakuyo")</f>
        <v>sakuyo</v>
      </c>
      <c r="D1438" s="25" t="str">
        <f ca="1">IFERROR(__xludf.DUMMYFUNCTION("""COMPUTED_VALUE"""),"健康_【sakuyo】每日青汁(30條入)兩入組_宅配限台灣本島")</f>
        <v>健康_【sakuyo】每日青汁(30條入)兩入組_宅配限台灣本島</v>
      </c>
      <c r="E1438" s="25" t="str">
        <f ca="1">IFERROR(__xludf.DUMMYFUNCTION("""COMPUTED_VALUE"""),"HS-0012")</f>
        <v>HS-0012</v>
      </c>
      <c r="F1438" s="25">
        <f ca="1">IFERROR(__xludf.DUMMYFUNCTION("""COMPUTED_VALUE"""),51057181)</f>
        <v>51057181</v>
      </c>
      <c r="G1438" s="25" t="str">
        <f ca="1">IFERROR(__xludf.DUMMYFUNCTION("""COMPUTED_VALUE"""),"IGEM0686")</f>
        <v>IGEM0686</v>
      </c>
      <c r="H1438" s="25">
        <f ca="1">IFERROR(__xludf.DUMMYFUNCTION("""COMPUTED_VALUE"""),1980)</f>
        <v>1980</v>
      </c>
      <c r="I1438" s="30">
        <f ca="1">IFERROR(__xludf.DUMMYFUNCTION("""COMPUTED_VALUE"""),1485)</f>
        <v>1485</v>
      </c>
      <c r="J1438" s="25"/>
      <c r="K1438" s="25"/>
      <c r="L1438" s="25" t="str">
        <f ca="1">IFERROR(__xludf.DUMMYFUNCTION("""COMPUTED_VALUE"""),"上架中")</f>
        <v>上架中</v>
      </c>
      <c r="M1438" s="25" t="str">
        <f ca="1">IFERROR(__xludf.DUMMYFUNCTION("""COMPUTED_VALUE"""),"2022/9/6新品")</f>
        <v>2022/9/6新品</v>
      </c>
      <c r="N1438" s="25" t="str">
        <f ca="1">IFERROR(__xludf.DUMMYFUNCTION("""COMPUTED_VALUE"""),"青汁")</f>
        <v>青汁</v>
      </c>
      <c r="O1438" s="25"/>
      <c r="P1438" s="25"/>
      <c r="Q1438" s="25"/>
      <c r="R1438" s="25" t="str">
        <f ca="1">IFERROR(__xludf.DUMMYFUNCTION("""COMPUTED_VALUE"""),"日本")</f>
        <v>日本</v>
      </c>
      <c r="S1438" s="25"/>
      <c r="T1438" s="25"/>
      <c r="U1438" s="25"/>
      <c r="V1438" s="25"/>
      <c r="W1438" s="25"/>
      <c r="X1438" s="25"/>
      <c r="Y1438" s="25"/>
      <c r="Z1438" s="27"/>
      <c r="AA1438" s="28" t="str">
        <f ca="1">IFERROR(__xludf.DUMMYFUNCTION("""COMPUTED_VALUE"""),"*2入85折優惠*富含膳食纖維*搭配有機羽衣甘藍/桑葉*無色素無香料無額外添加糖*難消化性麥芽糊精水溶性纖維")</f>
        <v>*2入85折優惠*富含膳食纖維*搭配有機羽衣甘藍/桑葉*無色素無香料無額外添加糖*難消化性麥芽糊精水溶性纖維</v>
      </c>
    </row>
    <row r="1439" spans="1:27" ht="12.75">
      <c r="A1439" s="25" t="str">
        <f ca="1">IFERROR(__xludf.DUMMYFUNCTION("""COMPUTED_VALUE"""),"健康保養商品")</f>
        <v>健康保養商品</v>
      </c>
      <c r="B1439" s="25" t="str">
        <f ca="1">IFERROR(__xludf.DUMMYFUNCTION("""COMPUTED_VALUE"""),"神腦")</f>
        <v>神腦</v>
      </c>
      <c r="C1439" s="25" t="str">
        <f ca="1">IFERROR(__xludf.DUMMYFUNCTION("""COMPUTED_VALUE"""),"sakuyo")</f>
        <v>sakuyo</v>
      </c>
      <c r="D1439" s="25" t="str">
        <f ca="1">IFERROR(__xludf.DUMMYFUNCTION("""COMPUTED_VALUE"""),"健康_【sakuyo】金盞花萃取(含葉黃素)軟膠囊(30顆入)兩入組_宅配限台灣本島")</f>
        <v>健康_【sakuyo】金盞花萃取(含葉黃素)軟膠囊(30顆入)兩入組_宅配限台灣本島</v>
      </c>
      <c r="E1439" s="25" t="str">
        <f ca="1">IFERROR(__xludf.DUMMYFUNCTION("""COMPUTED_VALUE"""),"HS-0013")</f>
        <v>HS-0013</v>
      </c>
      <c r="F1439" s="25">
        <f ca="1">IFERROR(__xludf.DUMMYFUNCTION("""COMPUTED_VALUE"""),51057182)</f>
        <v>51057182</v>
      </c>
      <c r="G1439" s="25" t="str">
        <f ca="1">IFERROR(__xludf.DUMMYFUNCTION("""COMPUTED_VALUE"""),"IGEM0687")</f>
        <v>IGEM0687</v>
      </c>
      <c r="H1439" s="25">
        <f ca="1">IFERROR(__xludf.DUMMYFUNCTION("""COMPUTED_VALUE"""),2660)</f>
        <v>2660</v>
      </c>
      <c r="I1439" s="30">
        <f ca="1">IFERROR(__xludf.DUMMYFUNCTION("""COMPUTED_VALUE"""),1995)</f>
        <v>1995</v>
      </c>
      <c r="J1439" s="25"/>
      <c r="K1439" s="25"/>
      <c r="L1439" s="25" t="str">
        <f ca="1">IFERROR(__xludf.DUMMYFUNCTION("""COMPUTED_VALUE"""),"上架中")</f>
        <v>上架中</v>
      </c>
      <c r="M1439" s="25" t="str">
        <f ca="1">IFERROR(__xludf.DUMMYFUNCTION("""COMPUTED_VALUE"""),"2022/9/6新品")</f>
        <v>2022/9/6新品</v>
      </c>
      <c r="N1439" s="25" t="str">
        <f ca="1">IFERROR(__xludf.DUMMYFUNCTION("""COMPUTED_VALUE"""),"葉黃素")</f>
        <v>葉黃素</v>
      </c>
      <c r="O1439" s="25"/>
      <c r="P1439" s="25"/>
      <c r="Q1439" s="25"/>
      <c r="R1439" s="25" t="str">
        <f ca="1">IFERROR(__xludf.DUMMYFUNCTION("""COMPUTED_VALUE"""),"日本")</f>
        <v>日本</v>
      </c>
      <c r="S1439" s="25"/>
      <c r="T1439" s="25"/>
      <c r="U1439" s="25"/>
      <c r="V1439" s="25"/>
      <c r="W1439" s="25"/>
      <c r="X1439" s="25"/>
      <c r="Y1439" s="25"/>
      <c r="Z1439" s="27"/>
      <c r="AA1439" s="28" t="str">
        <f ca="1">IFERROR(__xludf.DUMMYFUNCTION("""COMPUTED_VALUE"""),"*2入85折優惠*游離型好吸收*嚴選北歐山桑子萃取物*顆粒小好吞食*有感舒緩眼部痠痛乾澀疲勞*保存期限:3年")</f>
        <v>*2入85折優惠*游離型好吸收*嚴選北歐山桑子萃取物*顆粒小好吞食*有感舒緩眼部痠痛乾澀疲勞*保存期限:3年</v>
      </c>
    </row>
    <row r="1440" spans="1:27" ht="12.75">
      <c r="A1440" s="25" t="str">
        <f ca="1">IFERROR(__xludf.DUMMYFUNCTION("""COMPUTED_VALUE"""),"健康保養商品")</f>
        <v>健康保養商品</v>
      </c>
      <c r="B1440" s="25" t="str">
        <f ca="1">IFERROR(__xludf.DUMMYFUNCTION("""COMPUTED_VALUE"""),"神腦")</f>
        <v>神腦</v>
      </c>
      <c r="C1440" s="25" t="str">
        <f ca="1">IFERROR(__xludf.DUMMYFUNCTION("""COMPUTED_VALUE"""),"sakuyo")</f>
        <v>sakuyo</v>
      </c>
      <c r="D1440" s="25" t="str">
        <f ca="1">IFERROR(__xludf.DUMMYFUNCTION("""COMPUTED_VALUE"""),"健康_【sakuyo】魚油軟膠囊(160顆入)兩入組_宅配限台灣本島")</f>
        <v>健康_【sakuyo】魚油軟膠囊(160顆入)兩入組_宅配限台灣本島</v>
      </c>
      <c r="E1440" s="25" t="str">
        <f ca="1">IFERROR(__xludf.DUMMYFUNCTION("""COMPUTED_VALUE"""),"HS-0014")</f>
        <v>HS-0014</v>
      </c>
      <c r="F1440" s="25">
        <f ca="1">IFERROR(__xludf.DUMMYFUNCTION("""COMPUTED_VALUE"""),51057183)</f>
        <v>51057183</v>
      </c>
      <c r="G1440" s="25" t="str">
        <f ca="1">IFERROR(__xludf.DUMMYFUNCTION("""COMPUTED_VALUE"""),"IGEM0688")</f>
        <v>IGEM0688</v>
      </c>
      <c r="H1440" s="25">
        <f ca="1">IFERROR(__xludf.DUMMYFUNCTION("""COMPUTED_VALUE"""),3000)</f>
        <v>3000</v>
      </c>
      <c r="I1440" s="27">
        <f ca="1">IFERROR(__xludf.DUMMYFUNCTION("""COMPUTED_VALUE"""),2250)</f>
        <v>2250</v>
      </c>
      <c r="J1440" s="25"/>
      <c r="K1440" s="25"/>
      <c r="L1440" s="25" t="str">
        <f ca="1">IFERROR(__xludf.DUMMYFUNCTION("""COMPUTED_VALUE"""),"上架中")</f>
        <v>上架中</v>
      </c>
      <c r="M1440" s="25" t="str">
        <f ca="1">IFERROR(__xludf.DUMMYFUNCTION("""COMPUTED_VALUE"""),"2022/9/6新品")</f>
        <v>2022/9/6新品</v>
      </c>
      <c r="N1440" s="25" t="str">
        <f ca="1">IFERROR(__xludf.DUMMYFUNCTION("""COMPUTED_VALUE"""),"魚油")</f>
        <v>魚油</v>
      </c>
      <c r="O1440" s="25"/>
      <c r="P1440" s="25"/>
      <c r="Q1440" s="25"/>
      <c r="R1440" s="25" t="str">
        <f ca="1">IFERROR(__xludf.DUMMYFUNCTION("""COMPUTED_VALUE"""),"日本")</f>
        <v>日本</v>
      </c>
      <c r="S1440" s="25"/>
      <c r="T1440" s="25"/>
      <c r="U1440" s="25"/>
      <c r="V1440" s="25"/>
      <c r="W1440" s="25"/>
      <c r="X1440" s="25"/>
      <c r="Y1440" s="25"/>
      <c r="Z1440" s="27"/>
      <c r="AA1440" s="28" t="str">
        <f ca="1">IFERROR(__xludf.DUMMYFUNCTION("""COMPUTED_VALUE"""),"*2入85折優惠*Omega3*純淨藻來源蝦紅素+維生素E*顆粒小好吞食4.DHA使思緒靈活，保持專注，增加學習效能*保存期限:2年")</f>
        <v>*2入85折優惠*Omega3*純淨藻來源蝦紅素+維生素E*顆粒小好吞食4.DHA使思緒靈活，保持專注，增加學習效能*保存期限:2年</v>
      </c>
    </row>
    <row r="1441" spans="1:27" ht="12.75">
      <c r="A1441" s="25" t="str">
        <f ca="1">IFERROR(__xludf.DUMMYFUNCTION("""COMPUTED_VALUE"""),"健康保養商品")</f>
        <v>健康保養商品</v>
      </c>
      <c r="B1441" s="25" t="str">
        <f ca="1">IFERROR(__xludf.DUMMYFUNCTION("""COMPUTED_VALUE"""),"神腦")</f>
        <v>神腦</v>
      </c>
      <c r="C1441" s="25" t="str">
        <f ca="1">IFERROR(__xludf.DUMMYFUNCTION("""COMPUTED_VALUE"""),"sakuyo")</f>
        <v>sakuyo</v>
      </c>
      <c r="D1441" s="25" t="str">
        <f ca="1">IFERROR(__xludf.DUMMYFUNCTION("""COMPUTED_VALUE"""),"健康_【sakuyo】纖美B3益生菌(30條入)兩入組_宅配限台灣本島")</f>
        <v>健康_【sakuyo】纖美B3益生菌(30條入)兩入組_宅配限台灣本島</v>
      </c>
      <c r="E1441" s="25" t="str">
        <f ca="1">IFERROR(__xludf.DUMMYFUNCTION("""COMPUTED_VALUE"""),"HS-0016")</f>
        <v>HS-0016</v>
      </c>
      <c r="F1441" s="25">
        <f ca="1">IFERROR(__xludf.DUMMYFUNCTION("""COMPUTED_VALUE"""),51057185)</f>
        <v>51057185</v>
      </c>
      <c r="G1441" s="25" t="str">
        <f ca="1">IFERROR(__xludf.DUMMYFUNCTION("""COMPUTED_VALUE"""),"IGEM068A")</f>
        <v>IGEM068A</v>
      </c>
      <c r="H1441" s="25">
        <f ca="1">IFERROR(__xludf.DUMMYFUNCTION("""COMPUTED_VALUE"""),4000)</f>
        <v>4000</v>
      </c>
      <c r="I1441" s="27">
        <f ca="1">IFERROR(__xludf.DUMMYFUNCTION("""COMPUTED_VALUE"""),3000)</f>
        <v>3000</v>
      </c>
      <c r="J1441" s="25"/>
      <c r="K1441" s="25"/>
      <c r="L1441" s="25" t="str">
        <f ca="1">IFERROR(__xludf.DUMMYFUNCTION("""COMPUTED_VALUE"""),"上架中")</f>
        <v>上架中</v>
      </c>
      <c r="M1441" s="25" t="str">
        <f ca="1">IFERROR(__xludf.DUMMYFUNCTION("""COMPUTED_VALUE"""),"2022/9/6新品")</f>
        <v>2022/9/6新品</v>
      </c>
      <c r="N1441" s="25" t="str">
        <f ca="1">IFERROR(__xludf.DUMMYFUNCTION("""COMPUTED_VALUE"""),"益生菌")</f>
        <v>益生菌</v>
      </c>
      <c r="O1441" s="25"/>
      <c r="P1441" s="25"/>
      <c r="Q1441" s="25"/>
      <c r="R1441" s="25" t="str">
        <f ca="1">IFERROR(__xludf.DUMMYFUNCTION("""COMPUTED_VALUE"""),"日本")</f>
        <v>日本</v>
      </c>
      <c r="S1441" s="25"/>
      <c r="T1441" s="25"/>
      <c r="U1441" s="25"/>
      <c r="V1441" s="25"/>
      <c r="W1441" s="25"/>
      <c r="X1441" s="25"/>
      <c r="Y1441" s="25"/>
      <c r="Z1441" s="27"/>
      <c r="AA1441" s="28" t="str">
        <f ca="1">IFERROR(__xludf.DUMMYFUNCTION("""COMPUTED_VALUE"""),"*2入85折優惠*19國功效專利益生菌*含專利水溶性纖維促進新陳代謝*100e比菲德氏短雙岐桿菌B-3*乳糖 [0.5克]促進腸道好菌生長")</f>
        <v>*2入85折優惠*19國功效專利益生菌*含專利水溶性纖維促進新陳代謝*100e比菲德氏短雙岐桿菌B-3*乳糖 [0.5克]促進腸道好菌生長</v>
      </c>
    </row>
    <row r="1442" spans="1:27" ht="12.75">
      <c r="A1442" s="25" t="str">
        <f ca="1">IFERROR(__xludf.DUMMYFUNCTION("""COMPUTED_VALUE"""),"健康保養商品")</f>
        <v>健康保養商品</v>
      </c>
      <c r="B1442" s="25" t="str">
        <f ca="1">IFERROR(__xludf.DUMMYFUNCTION("""COMPUTED_VALUE"""),"神腦")</f>
        <v>神腦</v>
      </c>
      <c r="C1442" s="25" t="str">
        <f ca="1">IFERROR(__xludf.DUMMYFUNCTION("""COMPUTED_VALUE"""),"sakuyo")</f>
        <v>sakuyo</v>
      </c>
      <c r="D1442" s="25" t="str">
        <f ca="1">IFERROR(__xludf.DUMMYFUNCTION("""COMPUTED_VALUE"""),"健康_【sakuyo】膠原蛋白胜肽(20條入)兩入組_宅配限台灣本島")</f>
        <v>健康_【sakuyo】膠原蛋白胜肽(20條入)兩入組_宅配限台灣本島</v>
      </c>
      <c r="E1442" s="25" t="str">
        <f ca="1">IFERROR(__xludf.DUMMYFUNCTION("""COMPUTED_VALUE"""),"HS-0017")</f>
        <v>HS-0017</v>
      </c>
      <c r="F1442" s="25">
        <f ca="1">IFERROR(__xludf.DUMMYFUNCTION("""COMPUTED_VALUE"""),51057186)</f>
        <v>51057186</v>
      </c>
      <c r="G1442" s="25" t="str">
        <f ca="1">IFERROR(__xludf.DUMMYFUNCTION("""COMPUTED_VALUE"""),"IGEM068B")</f>
        <v>IGEM068B</v>
      </c>
      <c r="H1442" s="25">
        <f ca="1">IFERROR(__xludf.DUMMYFUNCTION("""COMPUTED_VALUE"""),2600)</f>
        <v>2600</v>
      </c>
      <c r="I1442" s="27">
        <f ca="1">IFERROR(__xludf.DUMMYFUNCTION("""COMPUTED_VALUE"""),1950)</f>
        <v>1950</v>
      </c>
      <c r="J1442" s="25"/>
      <c r="K1442" s="25"/>
      <c r="L1442" s="25" t="str">
        <f ca="1">IFERROR(__xludf.DUMMYFUNCTION("""COMPUTED_VALUE"""),"上架中")</f>
        <v>上架中</v>
      </c>
      <c r="M1442" s="25" t="str">
        <f ca="1">IFERROR(__xludf.DUMMYFUNCTION("""COMPUTED_VALUE"""),"2022/9/6新品")</f>
        <v>2022/9/6新品</v>
      </c>
      <c r="N1442" s="25" t="str">
        <f ca="1">IFERROR(__xludf.DUMMYFUNCTION("""COMPUTED_VALUE"""),"膠原蛋白")</f>
        <v>膠原蛋白</v>
      </c>
      <c r="O1442" s="25"/>
      <c r="P1442" s="25"/>
      <c r="Q1442" s="25"/>
      <c r="R1442" s="25" t="str">
        <f ca="1">IFERROR(__xludf.DUMMYFUNCTION("""COMPUTED_VALUE"""),"日本")</f>
        <v>日本</v>
      </c>
      <c r="S1442" s="25"/>
      <c r="T1442" s="25"/>
      <c r="U1442" s="25"/>
      <c r="V1442" s="25"/>
      <c r="W1442" s="25"/>
      <c r="X1442" s="25"/>
      <c r="Y1442" s="25"/>
      <c r="Z1442" s="27"/>
      <c r="AA1442" s="28" t="str">
        <f ca="1">IFERROR(__xludf.DUMMYFUNCTION("""COMPUTED_VALUE"""),"*2入85折優惠*西印度櫻桃萃取維生素C*日本玄米萃取(賽洛美)*6000mg小分子好吸收*鮭魚鼻軟骨低溫萃取保有非變性二型膠原蛋白及蛋白聚醣*保存期限:2年")</f>
        <v>*2入85折優惠*西印度櫻桃萃取維生素C*日本玄米萃取(賽洛美)*6000mg小分子好吸收*鮭魚鼻軟骨低溫萃取保有非變性二型膠原蛋白及蛋白聚醣*保存期限:2年</v>
      </c>
    </row>
    <row r="1443" spans="1:27" ht="12.75">
      <c r="A1443" s="25" t="str">
        <f ca="1">IFERROR(__xludf.DUMMYFUNCTION("""COMPUTED_VALUE"""),"健康保養商品")</f>
        <v>健康保養商品</v>
      </c>
      <c r="B1443" s="25" t="str">
        <f ca="1">IFERROR(__xludf.DUMMYFUNCTION("""COMPUTED_VALUE"""),"神腦")</f>
        <v>神腦</v>
      </c>
      <c r="C1443" s="25" t="str">
        <f ca="1">IFERROR(__xludf.DUMMYFUNCTION("""COMPUTED_VALUE"""),"sakuyo")</f>
        <v>sakuyo</v>
      </c>
      <c r="D1443" s="25" t="str">
        <f ca="1">IFERROR(__xludf.DUMMYFUNCTION("""COMPUTED_VALUE"""),"健康_【sakuyo】經典順順組(益生菌+青汁)_宅配限台灣本島")</f>
        <v>健康_【sakuyo】經典順順組(益生菌+青汁)_宅配限台灣本島</v>
      </c>
      <c r="E1443" s="25" t="str">
        <f ca="1">IFERROR(__xludf.DUMMYFUNCTION("""COMPUTED_VALUE"""),"HS-0025")</f>
        <v>HS-0025</v>
      </c>
      <c r="F1443" s="25">
        <f ca="1">IFERROR(__xludf.DUMMYFUNCTION("""COMPUTED_VALUE"""),51040025)</f>
        <v>51040025</v>
      </c>
      <c r="G1443" s="25" t="str">
        <f ca="1">IFERROR(__xludf.DUMMYFUNCTION("""COMPUTED_VALUE"""),"IGEM096U")</f>
        <v>IGEM096U</v>
      </c>
      <c r="H1443" s="26">
        <f ca="1">IFERROR(__xludf.DUMMYFUNCTION("""COMPUTED_VALUE"""),2390)</f>
        <v>2390</v>
      </c>
      <c r="I1443" s="30">
        <f ca="1">IFERROR(__xludf.DUMMYFUNCTION("""COMPUTED_VALUE"""),1588)</f>
        <v>1588</v>
      </c>
      <c r="J1443" s="29">
        <f ca="1">IFERROR(__xludf.DUMMYFUNCTION("""COMPUTED_VALUE"""),45348)</f>
        <v>45348</v>
      </c>
      <c r="K1443" s="25" t="str">
        <f ca="1">IFERROR(__xludf.DUMMYFUNCTION("""COMPUTED_VALUE"""),"新機上架")</f>
        <v>新機上架</v>
      </c>
      <c r="L1443" s="25" t="str">
        <f ca="1">IFERROR(__xludf.DUMMYFUNCTION("""COMPUTED_VALUE"""),"上架中")</f>
        <v>上架中</v>
      </c>
      <c r="M1443" s="25" t="str">
        <f ca="1">IFERROR(__xludf.DUMMYFUNCTION("""COMPUTED_VALUE"""),"2024/02/26上架")</f>
        <v>2024/02/26上架</v>
      </c>
      <c r="N1443" s="25" t="str">
        <f ca="1">IFERROR(__xludf.DUMMYFUNCTION("""COMPUTED_VALUE"""),"益生菌")</f>
        <v>益生菌</v>
      </c>
      <c r="O1443" s="25"/>
      <c r="P1443" s="25"/>
      <c r="Q1443" s="25"/>
      <c r="R1443" s="25" t="str">
        <f ca="1">IFERROR(__xludf.DUMMYFUNCTION("""COMPUTED_VALUE"""),"日本")</f>
        <v>日本</v>
      </c>
      <c r="S1443" s="25"/>
      <c r="T1443" s="25"/>
      <c r="U1443" s="25"/>
      <c r="V1443" s="25"/>
      <c r="W1443" s="25"/>
      <c r="X1443" s="25"/>
      <c r="Y1443" s="25"/>
      <c r="Z1443" s="27"/>
      <c r="AA1443" s="28" t="str">
        <f ca="1">IFERROR(__xludf.DUMMYFUNCTION("""COMPUTED_VALUE"""),"*組合66折優惠*腸胃保健(調整腸菌叢生態、排便順暢)*調整(過敏)體質*增強免疫力*補充超級蔬菜營養與膳食纖維*促進新陳代謝*控制血糖血脂")</f>
        <v>*組合66折優惠*腸胃保健(調整腸菌叢生態、排便順暢)*調整(過敏)體質*增強免疫力*補充超級蔬菜營養與膳食纖維*促進新陳代謝*控制血糖血脂</v>
      </c>
    </row>
    <row r="1444" spans="1:27" ht="12.75">
      <c r="A1444" s="25" t="str">
        <f ca="1">IFERROR(__xludf.DUMMYFUNCTION("""COMPUTED_VALUE"""),"健康保養商品")</f>
        <v>健康保養商品</v>
      </c>
      <c r="B1444" s="25" t="str">
        <f ca="1">IFERROR(__xludf.DUMMYFUNCTION("""COMPUTED_VALUE"""),"神腦")</f>
        <v>神腦</v>
      </c>
      <c r="C1444" s="25" t="str">
        <f ca="1">IFERROR(__xludf.DUMMYFUNCTION("""COMPUTED_VALUE"""),"sakuyo")</f>
        <v>sakuyo</v>
      </c>
      <c r="D1444" s="25" t="str">
        <f ca="1">IFERROR(__xludf.DUMMYFUNCTION("""COMPUTED_VALUE"""),"健康_【sakuyo】晶亮順暢組(青汁+葉黃素)_宅配限台灣本島")</f>
        <v>健康_【sakuyo】晶亮順暢組(青汁+葉黃素)_宅配限台灣本島</v>
      </c>
      <c r="E1444" s="25" t="str">
        <f ca="1">IFERROR(__xludf.DUMMYFUNCTION("""COMPUTED_VALUE"""),"HS-0026")</f>
        <v>HS-0026</v>
      </c>
      <c r="F1444" s="25">
        <f ca="1">IFERROR(__xludf.DUMMYFUNCTION("""COMPUTED_VALUE"""),51040026)</f>
        <v>51040026</v>
      </c>
      <c r="G1444" s="25" t="str">
        <f ca="1">IFERROR(__xludf.DUMMYFUNCTION("""COMPUTED_VALUE"""),"IGEM096V")</f>
        <v>IGEM096V</v>
      </c>
      <c r="H1444" s="26">
        <f ca="1">IFERROR(__xludf.DUMMYFUNCTION("""COMPUTED_VALUE"""),2320)</f>
        <v>2320</v>
      </c>
      <c r="I1444" s="30">
        <f ca="1">IFERROR(__xludf.DUMMYFUNCTION("""COMPUTED_VALUE"""),1588)</f>
        <v>1588</v>
      </c>
      <c r="J1444" s="29">
        <f ca="1">IFERROR(__xludf.DUMMYFUNCTION("""COMPUTED_VALUE"""),45348)</f>
        <v>45348</v>
      </c>
      <c r="K1444" s="25" t="str">
        <f ca="1">IFERROR(__xludf.DUMMYFUNCTION("""COMPUTED_VALUE"""),"新機上架")</f>
        <v>新機上架</v>
      </c>
      <c r="L1444" s="25" t="str">
        <f ca="1">IFERROR(__xludf.DUMMYFUNCTION("""COMPUTED_VALUE"""),"上架中")</f>
        <v>上架中</v>
      </c>
      <c r="M1444" s="25" t="str">
        <f ca="1">IFERROR(__xludf.DUMMYFUNCTION("""COMPUTED_VALUE"""),"2024/02/26上架")</f>
        <v>2024/02/26上架</v>
      </c>
      <c r="N1444" s="25" t="str">
        <f ca="1">IFERROR(__xludf.DUMMYFUNCTION("""COMPUTED_VALUE"""),"養生禮盒")</f>
        <v>養生禮盒</v>
      </c>
      <c r="O1444" s="25"/>
      <c r="P1444" s="25"/>
      <c r="Q1444" s="25"/>
      <c r="R1444" s="25" t="str">
        <f ca="1">IFERROR(__xludf.DUMMYFUNCTION("""COMPUTED_VALUE"""),"日本")</f>
        <v>日本</v>
      </c>
      <c r="S1444" s="25"/>
      <c r="T1444" s="25"/>
      <c r="U1444" s="25"/>
      <c r="V1444" s="25"/>
      <c r="W1444" s="25"/>
      <c r="X1444" s="25"/>
      <c r="Y1444" s="25"/>
      <c r="Z1444" s="27"/>
      <c r="AA1444" s="28" t="str">
        <f ca="1">IFERROR(__xludf.DUMMYFUNCTION("""COMPUTED_VALUE"""),"*組合68折優惠*補充超級蔬菜營養與膳食纖維*促進新陳代謝*控制血糖血脂*視力保健，預防黃斑部病變*促進眼周血流循環，消除眼睛疲勞")</f>
        <v>*組合68折優惠*補充超級蔬菜營養與膳食纖維*促進新陳代謝*控制血糖血脂*視力保健，預防黃斑部病變*促進眼周血流循環，消除眼睛疲勞</v>
      </c>
    </row>
    <row r="1445" spans="1:27" ht="12.75">
      <c r="A1445" s="25" t="str">
        <f ca="1">IFERROR(__xludf.DUMMYFUNCTION("""COMPUTED_VALUE"""),"健康保養商品")</f>
        <v>健康保養商品</v>
      </c>
      <c r="B1445" s="25" t="str">
        <f ca="1">IFERROR(__xludf.DUMMYFUNCTION("""COMPUTED_VALUE"""),"神腦")</f>
        <v>神腦</v>
      </c>
      <c r="C1445" s="25" t="str">
        <f ca="1">IFERROR(__xludf.DUMMYFUNCTION("""COMPUTED_VALUE"""),"sakuyo")</f>
        <v>sakuyo</v>
      </c>
      <c r="D1445" s="25" t="str">
        <f ca="1">IFERROR(__xludf.DUMMYFUNCTION("""COMPUTED_VALUE"""),"健康_【sakuyo】青春紅顏組(青汁+膠原蛋白)_宅配限台灣本島")</f>
        <v>健康_【sakuyo】青春紅顏組(青汁+膠原蛋白)_宅配限台灣本島</v>
      </c>
      <c r="E1445" s="25" t="str">
        <f ca="1">IFERROR(__xludf.DUMMYFUNCTION("""COMPUTED_VALUE"""),"HS-0027")</f>
        <v>HS-0027</v>
      </c>
      <c r="F1445" s="25">
        <f ca="1">IFERROR(__xludf.DUMMYFUNCTION("""COMPUTED_VALUE"""),51040027)</f>
        <v>51040027</v>
      </c>
      <c r="G1445" s="25" t="str">
        <f ca="1">IFERROR(__xludf.DUMMYFUNCTION("""COMPUTED_VALUE"""),"IGEM096W")</f>
        <v>IGEM096W</v>
      </c>
      <c r="H1445" s="26">
        <f ca="1">IFERROR(__xludf.DUMMYFUNCTION("""COMPUTED_VALUE"""),2290)</f>
        <v>2290</v>
      </c>
      <c r="I1445" s="30">
        <f ca="1">IFERROR(__xludf.DUMMYFUNCTION("""COMPUTED_VALUE"""),1588)</f>
        <v>1588</v>
      </c>
      <c r="J1445" s="29">
        <f ca="1">IFERROR(__xludf.DUMMYFUNCTION("""COMPUTED_VALUE"""),45348)</f>
        <v>45348</v>
      </c>
      <c r="K1445" s="25" t="str">
        <f ca="1">IFERROR(__xludf.DUMMYFUNCTION("""COMPUTED_VALUE"""),"新機上架")</f>
        <v>新機上架</v>
      </c>
      <c r="L1445" s="25" t="str">
        <f ca="1">IFERROR(__xludf.DUMMYFUNCTION("""COMPUTED_VALUE"""),"上架中")</f>
        <v>上架中</v>
      </c>
      <c r="M1445" s="25" t="str">
        <f ca="1">IFERROR(__xludf.DUMMYFUNCTION("""COMPUTED_VALUE"""),"2024/02/26上架")</f>
        <v>2024/02/26上架</v>
      </c>
      <c r="N1445" s="25" t="str">
        <f ca="1">IFERROR(__xludf.DUMMYFUNCTION("""COMPUTED_VALUE"""),"養生禮盒")</f>
        <v>養生禮盒</v>
      </c>
      <c r="O1445" s="25"/>
      <c r="P1445" s="25"/>
      <c r="Q1445" s="25"/>
      <c r="R1445" s="25" t="str">
        <f ca="1">IFERROR(__xludf.DUMMYFUNCTION("""COMPUTED_VALUE"""),"日本")</f>
        <v>日本</v>
      </c>
      <c r="S1445" s="25"/>
      <c r="T1445" s="25"/>
      <c r="U1445" s="25"/>
      <c r="V1445" s="25"/>
      <c r="W1445" s="25"/>
      <c r="X1445" s="25"/>
      <c r="Y1445" s="25"/>
      <c r="Z1445" s="27"/>
      <c r="AA1445" s="28" t="str">
        <f ca="1">IFERROR(__xludf.DUMMYFUNCTION("""COMPUTED_VALUE"""),"*組合66折優惠*補充超級蔬菜營養與膳食纖維*促進新陳代謝*控制血糖血脂*養顏美容- Q彈緊緻*保濕鎖水*美白提亮膚色")</f>
        <v>*組合66折優惠*補充超級蔬菜營養與膳食纖維*促進新陳代謝*控制血糖血脂*養顏美容- Q彈緊緻*保濕鎖水*美白提亮膚色</v>
      </c>
    </row>
    <row r="1446" spans="1:27" ht="12.75">
      <c r="A1446" s="25" t="str">
        <f ca="1">IFERROR(__xludf.DUMMYFUNCTION("""COMPUTED_VALUE"""),"健康保養商品")</f>
        <v>健康保養商品</v>
      </c>
      <c r="B1446" s="25" t="str">
        <f ca="1">IFERROR(__xludf.DUMMYFUNCTION("""COMPUTED_VALUE"""),"神腦")</f>
        <v>神腦</v>
      </c>
      <c r="C1446" s="25" t="str">
        <f ca="1">IFERROR(__xludf.DUMMYFUNCTION("""COMPUTED_VALUE"""),"sakuyo")</f>
        <v>sakuyo</v>
      </c>
      <c r="D1446" s="25" t="str">
        <f ca="1">IFERROR(__xludf.DUMMYFUNCTION("""COMPUTED_VALUE"""),"健康_【sakuyo】晶亮健康組(益生菌+葉黃素)_宅配限台灣本島")</f>
        <v>健康_【sakuyo】晶亮健康組(益生菌+葉黃素)_宅配限台灣本島</v>
      </c>
      <c r="E1446" s="25" t="str">
        <f ca="1">IFERROR(__xludf.DUMMYFUNCTION("""COMPUTED_VALUE"""),"HS-0028")</f>
        <v>HS-0028</v>
      </c>
      <c r="F1446" s="25">
        <f ca="1">IFERROR(__xludf.DUMMYFUNCTION("""COMPUTED_VALUE"""),51040028)</f>
        <v>51040028</v>
      </c>
      <c r="G1446" s="25" t="str">
        <f ca="1">IFERROR(__xludf.DUMMYFUNCTION("""COMPUTED_VALUE"""),"IGEM096X")</f>
        <v>IGEM096X</v>
      </c>
      <c r="H1446" s="26">
        <f ca="1">IFERROR(__xludf.DUMMYFUNCTION("""COMPUTED_VALUE"""),2730)</f>
        <v>2730</v>
      </c>
      <c r="I1446" s="30">
        <f ca="1">IFERROR(__xludf.DUMMYFUNCTION("""COMPUTED_VALUE"""),1888)</f>
        <v>1888</v>
      </c>
      <c r="J1446" s="29">
        <f ca="1">IFERROR(__xludf.DUMMYFUNCTION("""COMPUTED_VALUE"""),45348)</f>
        <v>45348</v>
      </c>
      <c r="K1446" s="25" t="str">
        <f ca="1">IFERROR(__xludf.DUMMYFUNCTION("""COMPUTED_VALUE"""),"新機上架")</f>
        <v>新機上架</v>
      </c>
      <c r="L1446" s="25" t="str">
        <f ca="1">IFERROR(__xludf.DUMMYFUNCTION("""COMPUTED_VALUE"""),"上架中")</f>
        <v>上架中</v>
      </c>
      <c r="M1446" s="25" t="str">
        <f ca="1">IFERROR(__xludf.DUMMYFUNCTION("""COMPUTED_VALUE"""),"2024/02/26上架")</f>
        <v>2024/02/26上架</v>
      </c>
      <c r="N1446" s="25" t="str">
        <f ca="1">IFERROR(__xludf.DUMMYFUNCTION("""COMPUTED_VALUE"""),"益生菌")</f>
        <v>益生菌</v>
      </c>
      <c r="O1446" s="25"/>
      <c r="P1446" s="25"/>
      <c r="Q1446" s="25"/>
      <c r="R1446" s="25" t="str">
        <f ca="1">IFERROR(__xludf.DUMMYFUNCTION("""COMPUTED_VALUE"""),"日本")</f>
        <v>日本</v>
      </c>
      <c r="S1446" s="25"/>
      <c r="T1446" s="25"/>
      <c r="U1446" s="25"/>
      <c r="V1446" s="25"/>
      <c r="W1446" s="25"/>
      <c r="X1446" s="25"/>
      <c r="Y1446" s="25"/>
      <c r="Z1446" s="27"/>
      <c r="AA1446" s="28" t="str">
        <f ca="1">IFERROR(__xludf.DUMMYFUNCTION("""COMPUTED_VALUE"""),"*組合69折優惠*腸胃保健(調整腸菌叢生態、排便順暢)*調整(過敏)體質*增強免疫力*視力保健，預防黃斑部病變*促進眼周血流循環，消除眼睛疲勞")</f>
        <v>*組合69折優惠*腸胃保健(調整腸菌叢生態、排便順暢)*調整(過敏)體質*增強免疫力*視力保健，預防黃斑部病變*促進眼周血流循環，消除眼睛疲勞</v>
      </c>
    </row>
    <row r="1447" spans="1:27" ht="12.75">
      <c r="A1447" s="25" t="str">
        <f ca="1">IFERROR(__xludf.DUMMYFUNCTION("""COMPUTED_VALUE"""),"健康保養商品")</f>
        <v>健康保養商品</v>
      </c>
      <c r="B1447" s="25" t="str">
        <f ca="1">IFERROR(__xludf.DUMMYFUNCTION("""COMPUTED_VALUE"""),"神腦")</f>
        <v>神腦</v>
      </c>
      <c r="C1447" s="25" t="str">
        <f ca="1">IFERROR(__xludf.DUMMYFUNCTION("""COMPUTED_VALUE"""),"sakuyo")</f>
        <v>sakuyo</v>
      </c>
      <c r="D1447" s="25" t="str">
        <f ca="1">IFERROR(__xludf.DUMMYFUNCTION("""COMPUTED_VALUE"""),"健康_【sakuyo】健康活力組(益生菌+魚油)_宅配限台灣本島")</f>
        <v>健康_【sakuyo】健康活力組(益生菌+魚油)_宅配限台灣本島</v>
      </c>
      <c r="E1447" s="25" t="str">
        <f ca="1">IFERROR(__xludf.DUMMYFUNCTION("""COMPUTED_VALUE"""),"HS-0029")</f>
        <v>HS-0029</v>
      </c>
      <c r="F1447" s="25">
        <f ca="1">IFERROR(__xludf.DUMMYFUNCTION("""COMPUTED_VALUE"""),51040029)</f>
        <v>51040029</v>
      </c>
      <c r="G1447" s="25" t="str">
        <f ca="1">IFERROR(__xludf.DUMMYFUNCTION("""COMPUTED_VALUE"""),"IGEM096Y")</f>
        <v>IGEM096Y</v>
      </c>
      <c r="H1447" s="26">
        <f ca="1">IFERROR(__xludf.DUMMYFUNCTION("""COMPUTED_VALUE"""),2900)</f>
        <v>2900</v>
      </c>
      <c r="I1447" s="30">
        <f ca="1">IFERROR(__xludf.DUMMYFUNCTION("""COMPUTED_VALUE"""),1988)</f>
        <v>1988</v>
      </c>
      <c r="J1447" s="29">
        <f ca="1">IFERROR(__xludf.DUMMYFUNCTION("""COMPUTED_VALUE"""),45348)</f>
        <v>45348</v>
      </c>
      <c r="K1447" s="25" t="str">
        <f ca="1">IFERROR(__xludf.DUMMYFUNCTION("""COMPUTED_VALUE"""),"新機上架")</f>
        <v>新機上架</v>
      </c>
      <c r="L1447" s="25" t="str">
        <f ca="1">IFERROR(__xludf.DUMMYFUNCTION("""COMPUTED_VALUE"""),"上架中")</f>
        <v>上架中</v>
      </c>
      <c r="M1447" s="25" t="str">
        <f ca="1">IFERROR(__xludf.DUMMYFUNCTION("""COMPUTED_VALUE"""),"2024/02/26上架")</f>
        <v>2024/02/26上架</v>
      </c>
      <c r="N1447" s="25" t="str">
        <f ca="1">IFERROR(__xludf.DUMMYFUNCTION("""COMPUTED_VALUE"""),"益生菌")</f>
        <v>益生菌</v>
      </c>
      <c r="O1447" s="25"/>
      <c r="P1447" s="25"/>
      <c r="Q1447" s="25"/>
      <c r="R1447" s="25" t="str">
        <f ca="1">IFERROR(__xludf.DUMMYFUNCTION("""COMPUTED_VALUE"""),"日本")</f>
        <v>日本</v>
      </c>
      <c r="S1447" s="25"/>
      <c r="T1447" s="25"/>
      <c r="U1447" s="25"/>
      <c r="V1447" s="25"/>
      <c r="W1447" s="25"/>
      <c r="X1447" s="25"/>
      <c r="Y1447" s="25"/>
      <c r="Z1447" s="27"/>
      <c r="AA1447" s="28" t="str">
        <f ca="1">IFERROR(__xludf.DUMMYFUNCTION("""COMPUTED_VALUE"""),"*組合69折優惠*腸胃保健(調整腸菌叢生態、排便順暢)*調整(過敏)體質*增強免疫力*血液循環順暢(預防血管阻塞)*思緒靈活(預防失智)*改善乾眼症狀")</f>
        <v>*組合69折優惠*腸胃保健(調整腸菌叢生態、排便順暢)*調整(過敏)體質*增強免疫力*血液循環順暢(預防血管阻塞)*思緒靈活(預防失智)*改善乾眼症狀</v>
      </c>
    </row>
    <row r="1448" spans="1:27" ht="12.75">
      <c r="A1448" s="25" t="str">
        <f ca="1">IFERROR(__xludf.DUMMYFUNCTION("""COMPUTED_VALUE"""),"健康保養商品")</f>
        <v>健康保養商品</v>
      </c>
      <c r="B1448" s="25" t="str">
        <f ca="1">IFERROR(__xludf.DUMMYFUNCTION("""COMPUTED_VALUE"""),"神腦")</f>
        <v>神腦</v>
      </c>
      <c r="C1448" s="25" t="str">
        <f ca="1">IFERROR(__xludf.DUMMYFUNCTION("""COMPUTED_VALUE"""),"sakuyo")</f>
        <v>sakuyo</v>
      </c>
      <c r="D1448" s="25" t="str">
        <f ca="1">IFERROR(__xludf.DUMMYFUNCTION("""COMPUTED_VALUE"""),"健康_【sakuyo】比菲德氏菌+乳寡醣三日份(3條)體驗包x5包_宅配限台灣本島")</f>
        <v>健康_【sakuyo】比菲德氏菌+乳寡醣三日份(3條)體驗包x5包_宅配限台灣本島</v>
      </c>
      <c r="E1448" s="25" t="str">
        <f ca="1">IFERROR(__xludf.DUMMYFUNCTION("""COMPUTED_VALUE"""),"HS-0030")</f>
        <v>HS-0030</v>
      </c>
      <c r="F1448" s="25">
        <f ca="1">IFERROR(__xludf.DUMMYFUNCTION("""COMPUTED_VALUE"""),51040030)</f>
        <v>51040030</v>
      </c>
      <c r="G1448" s="25" t="str">
        <f ca="1">IFERROR(__xludf.DUMMYFUNCTION("""COMPUTED_VALUE"""),"IGEM096Z")</f>
        <v>IGEM096Z</v>
      </c>
      <c r="H1448" s="26">
        <f ca="1">IFERROR(__xludf.DUMMYFUNCTION("""COMPUTED_VALUE"""),700)</f>
        <v>700</v>
      </c>
      <c r="I1448" s="30">
        <f ca="1">IFERROR(__xludf.DUMMYFUNCTION("""COMPUTED_VALUE"""),588)</f>
        <v>588</v>
      </c>
      <c r="J1448" s="29">
        <f ca="1">IFERROR(__xludf.DUMMYFUNCTION("""COMPUTED_VALUE"""),45348)</f>
        <v>45348</v>
      </c>
      <c r="K1448" s="25" t="str">
        <f ca="1">IFERROR(__xludf.DUMMYFUNCTION("""COMPUTED_VALUE"""),"新機上架")</f>
        <v>新機上架</v>
      </c>
      <c r="L1448" s="25" t="str">
        <f ca="1">IFERROR(__xludf.DUMMYFUNCTION("""COMPUTED_VALUE"""),"上架中")</f>
        <v>上架中</v>
      </c>
      <c r="M1448" s="25" t="str">
        <f ca="1">IFERROR(__xludf.DUMMYFUNCTION("""COMPUTED_VALUE"""),"2024/02/26上架")</f>
        <v>2024/02/26上架</v>
      </c>
      <c r="N1448" s="25" t="str">
        <f ca="1">IFERROR(__xludf.DUMMYFUNCTION("""COMPUTED_VALUE"""),"益生菌")</f>
        <v>益生菌</v>
      </c>
      <c r="O1448" s="25"/>
      <c r="P1448" s="25"/>
      <c r="Q1448" s="25"/>
      <c r="R1448" s="25" t="str">
        <f ca="1">IFERROR(__xludf.DUMMYFUNCTION("""COMPUTED_VALUE"""),"日本")</f>
        <v>日本</v>
      </c>
      <c r="S1448" s="25"/>
      <c r="T1448" s="25"/>
      <c r="U1448" s="25"/>
      <c r="V1448" s="25"/>
      <c r="W1448" s="25"/>
      <c r="X1448" s="25"/>
      <c r="Y1448" s="25"/>
      <c r="Z1448" s="27"/>
      <c r="AA1448" s="28" t="str">
        <f ca="1">IFERROR(__xludf.DUMMYFUNCTION("""COMPUTED_VALUE"""),"*2週體驗優惠*腸胃保健(調整腸菌叢生態、排便順暢)*調整(過敏)體質*增強免疫力")</f>
        <v>*2週體驗優惠*腸胃保健(調整腸菌叢生態、排便順暢)*調整(過敏)體質*增強免疫力</v>
      </c>
    </row>
    <row r="1449" spans="1:27" ht="12.75">
      <c r="A1449" s="25" t="str">
        <f ca="1">IFERROR(__xludf.DUMMYFUNCTION("""COMPUTED_VALUE"""),"健康保養商品")</f>
        <v>健康保養商品</v>
      </c>
      <c r="B1449" s="25" t="str">
        <f ca="1">IFERROR(__xludf.DUMMYFUNCTION("""COMPUTED_VALUE"""),"神腦")</f>
        <v>神腦</v>
      </c>
      <c r="C1449" s="25" t="str">
        <f ca="1">IFERROR(__xludf.DUMMYFUNCTION("""COMPUTED_VALUE"""),"sakuyo")</f>
        <v>sakuyo</v>
      </c>
      <c r="D1449" s="25" t="str">
        <f ca="1">IFERROR(__xludf.DUMMYFUNCTION("""COMPUTED_VALUE"""),"健康_【sakuyo】青春膠原濃縮飲50ml(10入/箱)")</f>
        <v>健康_【sakuyo】青春膠原濃縮飲50ml(10入/箱)</v>
      </c>
      <c r="E1449" s="25" t="str">
        <f ca="1">IFERROR(__xludf.DUMMYFUNCTION("""COMPUTED_VALUE"""),"HS-0043")</f>
        <v>HS-0043</v>
      </c>
      <c r="F1449" s="25">
        <f ca="1">IFERROR(__xludf.DUMMYFUNCTION("""COMPUTED_VALUE"""),51016631)</f>
        <v>51016631</v>
      </c>
      <c r="G1449" s="25" t="str">
        <f ca="1">IFERROR(__xludf.DUMMYFUNCTION("""COMPUTED_VALUE"""),"IGEM119J")</f>
        <v>IGEM119J</v>
      </c>
      <c r="H1449" s="26">
        <f ca="1">IFERROR(__xludf.DUMMYFUNCTION("""COMPUTED_VALUE"""),1680)</f>
        <v>1680</v>
      </c>
      <c r="I1449" s="30">
        <f ca="1">IFERROR(__xludf.DUMMYFUNCTION("""COMPUTED_VALUE"""),1300)</f>
        <v>1300</v>
      </c>
      <c r="J1449" s="25"/>
      <c r="K1449" s="25"/>
      <c r="L1449" s="25" t="str">
        <f ca="1">IFERROR(__xludf.DUMMYFUNCTION("""COMPUTED_VALUE"""),"上架中")</f>
        <v>上架中</v>
      </c>
      <c r="M1449" s="25"/>
      <c r="N1449" s="25" t="str">
        <f ca="1">IFERROR(__xludf.DUMMYFUNCTION("""COMPUTED_VALUE"""),"膠原蛋白")</f>
        <v>膠原蛋白</v>
      </c>
      <c r="O1449" s="25"/>
      <c r="P1449" s="25"/>
      <c r="Q1449" s="25"/>
      <c r="R1449" s="25" t="str">
        <f ca="1">IFERROR(__xludf.DUMMYFUNCTION("""COMPUTED_VALUE"""),"日本")</f>
        <v>日本</v>
      </c>
      <c r="S1449" s="25"/>
      <c r="T1449" s="25"/>
      <c r="U1449" s="25"/>
      <c r="V1449" s="25"/>
      <c r="W1449" s="25"/>
      <c r="X1449" s="25"/>
      <c r="Y1449" s="25"/>
      <c r="Z1449" s="27"/>
      <c r="AA1449" s="28" t="str">
        <f ca="1">IFERROR(__xludf.DUMMYFUNCTION("""COMPUTED_VALUE"""),"*液體快速吸收  橘子養樂多口味*增量維生素C*添加維生素B群，增進皮膚、黏膜的健康*一天一瓶方便飲用")</f>
        <v>*液體快速吸收  橘子養樂多口味*增量維生素C*添加維生素B群，增進皮膚、黏膜的健康*一天一瓶方便飲用</v>
      </c>
    </row>
    <row r="1450" spans="1:27" ht="12.75">
      <c r="A1450" s="25" t="str">
        <f ca="1">IFERROR(__xludf.DUMMYFUNCTION("""COMPUTED_VALUE"""),"健康保養商品")</f>
        <v>健康保養商品</v>
      </c>
      <c r="B1450" s="25" t="str">
        <f ca="1">IFERROR(__xludf.DUMMYFUNCTION("""COMPUTED_VALUE"""),"桂冠")</f>
        <v>桂冠</v>
      </c>
      <c r="C1450" s="25" t="str">
        <f ca="1">IFERROR(__xludf.DUMMYFUNCTION("""COMPUTED_VALUE"""),"桂冠")</f>
        <v>桂冠</v>
      </c>
      <c r="D1450" s="25" t="str">
        <f ca="1">IFERROR(__xludf.DUMMYFUNCTION("""COMPUTED_VALUE"""),"【桂冠營養研究室】靈芝多醣雞精萃60ml(常溫)20包")</f>
        <v>【桂冠營養研究室】靈芝多醣雞精萃60ml(常溫)20包</v>
      </c>
      <c r="E1450" s="25" t="str">
        <f ca="1">IFERROR(__xludf.DUMMYFUNCTION("""COMPUTED_VALUE"""),"Laruelnutrilab_005")</f>
        <v>Laruelnutrilab_005</v>
      </c>
      <c r="F1450" s="25">
        <f ca="1">IFERROR(__xludf.DUMMYFUNCTION("""COMPUTED_VALUE"""),51085146)</f>
        <v>51085146</v>
      </c>
      <c r="G1450" s="25" t="str">
        <f ca="1">IFERROR(__xludf.DUMMYFUNCTION("""COMPUTED_VALUE"""),"IGEM110K")</f>
        <v>IGEM110K</v>
      </c>
      <c r="H1450" s="26">
        <f ca="1">IFERROR(__xludf.DUMMYFUNCTION("""COMPUTED_VALUE"""),3000)</f>
        <v>3000</v>
      </c>
      <c r="I1450" s="27">
        <f ca="1">IFERROR(__xludf.DUMMYFUNCTION("""COMPUTED_VALUE"""),1700)</f>
        <v>1700</v>
      </c>
      <c r="J1450" s="25"/>
      <c r="K1450" s="25" t="str">
        <f ca="1">IFERROR(__xludf.DUMMYFUNCTION("""COMPUTED_VALUE"""),"新機上架")</f>
        <v>新機上架</v>
      </c>
      <c r="L1450" s="25" t="str">
        <f ca="1">IFERROR(__xludf.DUMMYFUNCTION("""COMPUTED_VALUE"""),"上架中")</f>
        <v>上架中</v>
      </c>
      <c r="M1450" s="25"/>
      <c r="N1450" s="25" t="str">
        <f ca="1">IFERROR(__xludf.DUMMYFUNCTION("""COMPUTED_VALUE"""),"冷凍食品")</f>
        <v>冷凍食品</v>
      </c>
      <c r="O1450" s="25" t="str">
        <f ca="1">IFERROR(__xludf.DUMMYFUNCTION("""COMPUTED_VALUE"""),"依實際商品為主")</f>
        <v>依實際商品為主</v>
      </c>
      <c r="P1450" s="25" t="str">
        <f ca="1">IFERROR(__xludf.DUMMYFUNCTION("""COMPUTED_VALUE"""),"60ml/包，20包")</f>
        <v>60ml/包，20包</v>
      </c>
      <c r="Q1450" s="25"/>
      <c r="R1450" s="25" t="str">
        <f ca="1">IFERROR(__xludf.DUMMYFUNCTION("""COMPUTED_VALUE"""),"台灣")</f>
        <v>台灣</v>
      </c>
      <c r="S1450" s="25"/>
      <c r="T1450" s="25"/>
      <c r="U1450" s="25"/>
      <c r="V1450" s="25"/>
      <c r="W1450" s="25"/>
      <c r="X1450" s="25"/>
      <c r="Y1450" s="25"/>
      <c r="Z1450" s="27"/>
      <c r="AA1450" s="28" t="str">
        <f ca="1">IFERROR(__xludf.DUMMYFUNCTION("""COMPUTED_VALUE"""),"*科學定量設計：營養師精算配方/雞精精華：含大量胜肽基底，多重提神成分，更加有感/長期調養/靈芝多醣：提升保護力，身體強健，精神自然好")</f>
        <v>*科學定量設計：營養師精算配方/雞精精華：含大量胜肽基底，多重提神成分，更加有感/長期調養/靈芝多醣：提升保護力，身體強健，精神自然好</v>
      </c>
    </row>
    <row r="1451" spans="1:27" ht="12.75">
      <c r="A1451" s="25" t="str">
        <f ca="1">IFERROR(__xludf.DUMMYFUNCTION("""COMPUTED_VALUE"""),"健康保養商品")</f>
        <v>健康保養商品</v>
      </c>
      <c r="B1451" s="25" t="str">
        <f ca="1">IFERROR(__xludf.DUMMYFUNCTION("""COMPUTED_VALUE"""),"桂冠")</f>
        <v>桂冠</v>
      </c>
      <c r="C1451" s="25" t="str">
        <f ca="1">IFERROR(__xludf.DUMMYFUNCTION("""COMPUTED_VALUE"""),"桂冠")</f>
        <v>桂冠</v>
      </c>
      <c r="D1451" s="25" t="str">
        <f ca="1">IFERROR(__xludf.DUMMYFUNCTION("""COMPUTED_VALUE"""),"【桂冠營養研究室】靈芝多醣雞精萃100ml(冷凍)20包(含保冷袋)")</f>
        <v>【桂冠營養研究室】靈芝多醣雞精萃100ml(冷凍)20包(含保冷袋)</v>
      </c>
      <c r="E1451" s="25" t="str">
        <f ca="1">IFERROR(__xludf.DUMMYFUNCTION("""COMPUTED_VALUE"""),"Laruelnutrilab_002")</f>
        <v>Laruelnutrilab_002</v>
      </c>
      <c r="F1451" s="25">
        <f ca="1">IFERROR(__xludf.DUMMYFUNCTION("""COMPUTED_VALUE"""),51085139)</f>
        <v>51085139</v>
      </c>
      <c r="G1451" s="25" t="str">
        <f ca="1">IFERROR(__xludf.DUMMYFUNCTION("""COMPUTED_VALUE"""),"IGEM107S")</f>
        <v>IGEM107S</v>
      </c>
      <c r="H1451" s="26">
        <f ca="1">IFERROR(__xludf.DUMMYFUNCTION("""COMPUTED_VALUE"""),3390)</f>
        <v>3390</v>
      </c>
      <c r="I1451" s="30">
        <f ca="1">IFERROR(__xludf.DUMMYFUNCTION("""COMPUTED_VALUE"""),2300)</f>
        <v>2300</v>
      </c>
      <c r="J1451" s="25"/>
      <c r="K1451" s="25"/>
      <c r="L1451" s="25" t="str">
        <f ca="1">IFERROR(__xludf.DUMMYFUNCTION("""COMPUTED_VALUE"""),"上架中")</f>
        <v>上架中</v>
      </c>
      <c r="M1451" s="25"/>
      <c r="N1451" s="25" t="str">
        <f ca="1">IFERROR(__xludf.DUMMYFUNCTION("""COMPUTED_VALUE"""),"養生禮盒")</f>
        <v>養生禮盒</v>
      </c>
      <c r="O1451" s="25" t="str">
        <f ca="1">IFERROR(__xludf.DUMMYFUNCTION("""COMPUTED_VALUE"""),"依實際商品為主")</f>
        <v>依實際商品為主</v>
      </c>
      <c r="P1451" s="25" t="str">
        <f ca="1">IFERROR(__xludf.DUMMYFUNCTION("""COMPUTED_VALUE"""),"100ml/包，20包")</f>
        <v>100ml/包，20包</v>
      </c>
      <c r="Q1451" s="25"/>
      <c r="R1451" s="25" t="str">
        <f ca="1">IFERROR(__xludf.DUMMYFUNCTION("""COMPUTED_VALUE"""),"台灣")</f>
        <v>台灣</v>
      </c>
      <c r="S1451" s="25"/>
      <c r="T1451" s="25"/>
      <c r="U1451" s="25"/>
      <c r="V1451" s="25"/>
      <c r="W1451" s="25"/>
      <c r="X1451" s="25"/>
      <c r="Y1451" s="25"/>
      <c r="Z1451" s="27"/>
      <c r="AA1451" s="28" t="str">
        <f ca="1">IFERROR(__xludf.DUMMYFUNCTION("""COMPUTED_VALUE"""),"*科學式雞精，含10.9g蛋白質、8.3g膳食纖維，容量增加效果更有感，一天一包好健康*多重小分子胜肽，提振精神，增強體力*多元營養食材，調整體質，滋補強身*添加小分子Liver-Hi、靈芝多醣，關鍵時刻快速補充")</f>
        <v>*科學式雞精，含10.9g蛋白質、8.3g膳食纖維，容量增加效果更有感，一天一包好健康*多重小分子胜肽，提振精神，增強體力*多元營養食材，調整體質，滋補強身*添加小分子Liver-Hi、靈芝多醣，關鍵時刻快速補充</v>
      </c>
    </row>
    <row r="1452" spans="1:27" ht="12.75">
      <c r="A1452" s="25" t="str">
        <f ca="1">IFERROR(__xludf.DUMMYFUNCTION("""COMPUTED_VALUE"""),"空氣清淨機")</f>
        <v>空氣清淨機</v>
      </c>
      <c r="B1452" s="25" t="str">
        <f ca="1">IFERROR(__xludf.DUMMYFUNCTION("""COMPUTED_VALUE"""),"神腦")</f>
        <v>神腦</v>
      </c>
      <c r="C1452" s="25" t="str">
        <f ca="1">IFERROR(__xludf.DUMMYFUNCTION("""COMPUTED_VALUE"""),"Sharp")</f>
        <v>Sharp</v>
      </c>
      <c r="D1452" s="25" t="str">
        <f ca="1">IFERROR(__xludf.DUMMYFUNCTION("""COMPUTED_VALUE"""),"SHARP 9坪迷你方Purefit雙向速淨空氣清淨機 FU-S40T-T(小茶棕)")</f>
        <v>SHARP 9坪迷你方Purefit雙向速淨空氣清淨機 FU-S40T-T(小茶棕)</v>
      </c>
      <c r="E1452" s="25" t="str">
        <f ca="1">IFERROR(__xludf.DUMMYFUNCTION("""COMPUTED_VALUE"""),"FU-S40T-T")</f>
        <v>FU-S40T-T</v>
      </c>
      <c r="F1452" s="25">
        <f ca="1">IFERROR(__xludf.DUMMYFUNCTION("""COMPUTED_VALUE"""),51016633)</f>
        <v>51016633</v>
      </c>
      <c r="G1452" s="25" t="str">
        <f ca="1">IFERROR(__xludf.DUMMYFUNCTION("""COMPUTED_VALUE"""),"IGEM119L")</f>
        <v>IGEM119L</v>
      </c>
      <c r="H1452" s="26">
        <f ca="1">IFERROR(__xludf.DUMMYFUNCTION("""COMPUTED_VALUE"""),10900)</f>
        <v>10900</v>
      </c>
      <c r="I1452" s="27">
        <f ca="1">IFERROR(__xludf.DUMMYFUNCTION("""COMPUTED_VALUE"""),9900)</f>
        <v>9900</v>
      </c>
      <c r="J1452" s="29">
        <f ca="1">IFERROR(__xludf.DUMMYFUNCTION("""COMPUTED_VALUE"""),45692)</f>
        <v>45692</v>
      </c>
      <c r="K1452" s="25" t="str">
        <f ca="1">IFERROR(__xludf.DUMMYFUNCTION("""COMPUTED_VALUE"""),"新機上架")</f>
        <v>新機上架</v>
      </c>
      <c r="L1452" s="25" t="str">
        <f ca="1">IFERROR(__xludf.DUMMYFUNCTION("""COMPUTED_VALUE"""),"上架中")</f>
        <v>上架中</v>
      </c>
      <c r="M1452" s="25" t="str">
        <f ca="1">IFERROR(__xludf.DUMMYFUNCTION("""COMPUTED_VALUE"""),"2025/2/4新機上架")</f>
        <v>2025/2/4新機上架</v>
      </c>
      <c r="N1452" s="25" t="str">
        <f ca="1">IFERROR(__xludf.DUMMYFUNCTION("""COMPUTED_VALUE"""),"空氣清淨機")</f>
        <v>空氣清淨機</v>
      </c>
      <c r="O1452" s="25" t="str">
        <f ca="1">IFERROR(__xludf.DUMMYFUNCTION("""COMPUTED_VALUE"""),"小茶棕")</f>
        <v>小茶棕</v>
      </c>
      <c r="P1452" s="25" t="str">
        <f ca="1">IFERROR(__xludf.DUMMYFUNCTION("""COMPUTED_VALUE"""),"9坪")</f>
        <v>9坪</v>
      </c>
      <c r="Q1452" s="25" t="str">
        <f ca="1">IFERROR(__xludf.DUMMYFUNCTION("""COMPUTED_VALUE"""),"235 x 235 x 372（mm）")</f>
        <v>235 x 235 x 372（mm）</v>
      </c>
      <c r="R1452" s="25" t="str">
        <f ca="1">IFERROR(__xludf.DUMMYFUNCTION("""COMPUTED_VALUE"""),"泰國")</f>
        <v>泰國</v>
      </c>
      <c r="S1452" s="25"/>
      <c r="T1452" s="25">
        <f ca="1">IFERROR(__xludf.DUMMYFUNCTION("""COMPUTED_VALUE"""),1)</f>
        <v>1</v>
      </c>
      <c r="U1452" s="25" t="str">
        <f ca="1">IFERROR(__xludf.DUMMYFUNCTION("""COMPUTED_VALUE"""),"1年")</f>
        <v>1年</v>
      </c>
      <c r="V1452" s="25"/>
      <c r="W1452" s="25"/>
      <c r="X1452" s="25"/>
      <c r="Y1452" s="25"/>
      <c r="Z1452" s="27"/>
      <c r="AA1452" s="28" t="str">
        <f ca="1">IFERROR(__xludf.DUMMYFUNCTION("""COMPUTED_VALUE"""),"*能源效率1級*自動除菌離子7000空氣清淨除菌行程*Purefit純淨美學設計*體積規模縮至67%，淨化力提升近2倍功效*CASR值:3.95 m3/min(可清淨空間約9坪)*雙向吸入吸入設計2+2濾網清淨加倍*風量6段(自動,花粉,舒眠,強,中,靜音模式)*SGS認證細菌、PM2.5、TVOC 、甲醛濾除率達99.9%*集塵HEPA・活性碳二合一過濾網(壽命2年)*榮獲英國過敏協會認證")</f>
        <v>*能源效率1級*自動除菌離子7000空氣清淨除菌行程*Purefit純淨美學設計*體積規模縮至67%，淨化力提升近2倍功效*CASR值:3.95 m3/min(可清淨空間約9坪)*雙向吸入吸入設計2+2濾網清淨加倍*風量6段(自動,花粉,舒眠,強,中,靜音模式)*SGS認證細菌、PM2.5、TVOC 、甲醛濾除率達99.9%*集塵HEPA・活性碳二合一過濾網(壽命2年)*榮獲英國過敏協會認證</v>
      </c>
    </row>
    <row r="1453" spans="1:27" ht="12.75">
      <c r="A1453" s="25" t="str">
        <f ca="1">IFERROR(__xludf.DUMMYFUNCTION("""COMPUTED_VALUE"""),"空氣清淨機")</f>
        <v>空氣清淨機</v>
      </c>
      <c r="B1453" s="25" t="str">
        <f ca="1">IFERROR(__xludf.DUMMYFUNCTION("""COMPUTED_VALUE"""),"神腦")</f>
        <v>神腦</v>
      </c>
      <c r="C1453" s="25" t="str">
        <f ca="1">IFERROR(__xludf.DUMMYFUNCTION("""COMPUTED_VALUE"""),"Sharp")</f>
        <v>Sharp</v>
      </c>
      <c r="D1453" s="25" t="str">
        <f ca="1">IFERROR(__xludf.DUMMYFUNCTION("""COMPUTED_VALUE"""),"SHARP 9坪迷你方Purefit雙向速淨空氣清淨機 FU-S40T-W(小麥白)")</f>
        <v>SHARP 9坪迷你方Purefit雙向速淨空氣清淨機 FU-S40T-W(小麥白)</v>
      </c>
      <c r="E1453" s="25" t="str">
        <f ca="1">IFERROR(__xludf.DUMMYFUNCTION("""COMPUTED_VALUE"""),"FU-S40T-W")</f>
        <v>FU-S40T-W</v>
      </c>
      <c r="F1453" s="25">
        <f ca="1">IFERROR(__xludf.DUMMYFUNCTION("""COMPUTED_VALUE"""),51016634)</f>
        <v>51016634</v>
      </c>
      <c r="G1453" s="25" t="str">
        <f ca="1">IFERROR(__xludf.DUMMYFUNCTION("""COMPUTED_VALUE"""),"IGEM119M")</f>
        <v>IGEM119M</v>
      </c>
      <c r="H1453" s="26">
        <f ca="1">IFERROR(__xludf.DUMMYFUNCTION("""COMPUTED_VALUE"""),10900)</f>
        <v>10900</v>
      </c>
      <c r="I1453" s="27">
        <f ca="1">IFERROR(__xludf.DUMMYFUNCTION("""COMPUTED_VALUE"""),9900)</f>
        <v>9900</v>
      </c>
      <c r="J1453" s="29">
        <f ca="1">IFERROR(__xludf.DUMMYFUNCTION("""COMPUTED_VALUE"""),45692)</f>
        <v>45692</v>
      </c>
      <c r="K1453" s="25" t="str">
        <f ca="1">IFERROR(__xludf.DUMMYFUNCTION("""COMPUTED_VALUE"""),"新機上架")</f>
        <v>新機上架</v>
      </c>
      <c r="L1453" s="25" t="str">
        <f ca="1">IFERROR(__xludf.DUMMYFUNCTION("""COMPUTED_VALUE"""),"上架中")</f>
        <v>上架中</v>
      </c>
      <c r="M1453" s="25" t="str">
        <f ca="1">IFERROR(__xludf.DUMMYFUNCTION("""COMPUTED_VALUE"""),"2025/2/4新機上架")</f>
        <v>2025/2/4新機上架</v>
      </c>
      <c r="N1453" s="25" t="str">
        <f ca="1">IFERROR(__xludf.DUMMYFUNCTION("""COMPUTED_VALUE"""),"空氣清淨機")</f>
        <v>空氣清淨機</v>
      </c>
      <c r="O1453" s="25" t="str">
        <f ca="1">IFERROR(__xludf.DUMMYFUNCTION("""COMPUTED_VALUE"""),"小麥白")</f>
        <v>小麥白</v>
      </c>
      <c r="P1453" s="25" t="str">
        <f ca="1">IFERROR(__xludf.DUMMYFUNCTION("""COMPUTED_VALUE"""),"9坪")</f>
        <v>9坪</v>
      </c>
      <c r="Q1453" s="25" t="str">
        <f ca="1">IFERROR(__xludf.DUMMYFUNCTION("""COMPUTED_VALUE"""),"235 x 235 x 372（mm）")</f>
        <v>235 x 235 x 372（mm）</v>
      </c>
      <c r="R1453" s="25" t="str">
        <f ca="1">IFERROR(__xludf.DUMMYFUNCTION("""COMPUTED_VALUE"""),"泰國")</f>
        <v>泰國</v>
      </c>
      <c r="S1453" s="25"/>
      <c r="T1453" s="25">
        <f ca="1">IFERROR(__xludf.DUMMYFUNCTION("""COMPUTED_VALUE"""),1)</f>
        <v>1</v>
      </c>
      <c r="U1453" s="25" t="str">
        <f ca="1">IFERROR(__xludf.DUMMYFUNCTION("""COMPUTED_VALUE"""),"1年")</f>
        <v>1年</v>
      </c>
      <c r="V1453" s="25"/>
      <c r="W1453" s="25"/>
      <c r="X1453" s="25"/>
      <c r="Y1453" s="25"/>
      <c r="Z1453" s="27"/>
      <c r="AA1453" s="28" t="str">
        <f ca="1">IFERROR(__xludf.DUMMYFUNCTION("""COMPUTED_VALUE"""),"*能源效率1級*自動除菌離子7000空氣清淨除菌行程*Purefit純淨美學設計*體積規模縮至67%，淨化力提升近2倍功效*CASR值:3.95 m3/min(可清淨空間約9坪)*雙向吸入吸入設計2+2濾網清淨加倍*風量6段(自動,花粉,舒眠,強,中,靜音模式)*SGS認證細菌、PM2.5、TVOC 、甲醛濾除率達99.9%*集塵HEPA・活性碳二合一過濾網(壽命2年)*榮獲英國過敏協會認證")</f>
        <v>*能源效率1級*自動除菌離子7000空氣清淨除菌行程*Purefit純淨美學設計*體積規模縮至67%，淨化力提升近2倍功效*CASR值:3.95 m3/min(可清淨空間約9坪)*雙向吸入吸入設計2+2濾網清淨加倍*風量6段(自動,花粉,舒眠,強,中,靜音模式)*SGS認證細菌、PM2.5、TVOC 、甲醛濾除率達99.9%*集塵HEPA・活性碳二合一過濾網(壽命2年)*榮獲英國過敏協會認證</v>
      </c>
    </row>
    <row r="1454" spans="1:27" ht="12.75">
      <c r="A1454" s="25" t="str">
        <f ca="1">IFERROR(__xludf.DUMMYFUNCTION("""COMPUTED_VALUE"""),"生活家電")</f>
        <v>生活家電</v>
      </c>
      <c r="B1454" s="25" t="str">
        <f ca="1">IFERROR(__xludf.DUMMYFUNCTION("""COMPUTED_VALUE"""),"神腦")</f>
        <v>神腦</v>
      </c>
      <c r="C1454" s="25" t="str">
        <f ca="1">IFERROR(__xludf.DUMMYFUNCTION("""COMPUTED_VALUE"""),"Sharp")</f>
        <v>Sharp</v>
      </c>
      <c r="D1454" s="25" t="str">
        <f ca="1">IFERROR(__xludf.DUMMYFUNCTION("""COMPUTED_VALUE"""),"SHARP 四氣流水潤溫控吹風機 IB-WX901T-W (月光白)")</f>
        <v>SHARP 四氣流水潤溫控吹風機 IB-WX901T-W (月光白)</v>
      </c>
      <c r="E1454" s="25" t="str">
        <f ca="1">IFERROR(__xludf.DUMMYFUNCTION("""COMPUTED_VALUE"""),"IB-WX901T-W")</f>
        <v>IB-WX901T-W</v>
      </c>
      <c r="F1454" s="25">
        <f ca="1">IFERROR(__xludf.DUMMYFUNCTION("""COMPUTED_VALUE"""),51016635)</f>
        <v>51016635</v>
      </c>
      <c r="G1454" s="25" t="str">
        <f ca="1">IFERROR(__xludf.DUMMYFUNCTION("""COMPUTED_VALUE"""),"IGEM119N")</f>
        <v>IGEM119N</v>
      </c>
      <c r="H1454" s="26">
        <f ca="1">IFERROR(__xludf.DUMMYFUNCTION("""COMPUTED_VALUE"""),8990)</f>
        <v>8990</v>
      </c>
      <c r="I1454" s="27">
        <f ca="1">IFERROR(__xludf.DUMMYFUNCTION("""COMPUTED_VALUE"""),7990)</f>
        <v>7990</v>
      </c>
      <c r="J1454" s="29">
        <f ca="1">IFERROR(__xludf.DUMMYFUNCTION("""COMPUTED_VALUE"""),45692)</f>
        <v>45692</v>
      </c>
      <c r="K1454" s="25" t="str">
        <f ca="1">IFERROR(__xludf.DUMMYFUNCTION("""COMPUTED_VALUE"""),"新機上架")</f>
        <v>新機上架</v>
      </c>
      <c r="L1454" s="25" t="str">
        <f ca="1">IFERROR(__xludf.DUMMYFUNCTION("""COMPUTED_VALUE"""),"上架中")</f>
        <v>上架中</v>
      </c>
      <c r="M1454" s="25" t="str">
        <f ca="1">IFERROR(__xludf.DUMMYFUNCTION("""COMPUTED_VALUE"""),"2025/2/4新機上架")</f>
        <v>2025/2/4新機上架</v>
      </c>
      <c r="N1454" s="25" t="str">
        <f ca="1">IFERROR(__xludf.DUMMYFUNCTION("""COMPUTED_VALUE"""),"吹風機")</f>
        <v>吹風機</v>
      </c>
      <c r="O1454" s="25" t="str">
        <f ca="1">IFERROR(__xludf.DUMMYFUNCTION("""COMPUTED_VALUE"""),"月光白")</f>
        <v>月光白</v>
      </c>
      <c r="P1454" s="25" t="str">
        <f ca="1">IFERROR(__xludf.DUMMYFUNCTION("""COMPUTED_VALUE"""),"110V~60Hz")</f>
        <v>110V~60Hz</v>
      </c>
      <c r="Q1454" s="25" t="str">
        <f ca="1">IFERROR(__xludf.DUMMYFUNCTION("""COMPUTED_VALUE"""),"高250x寬80x深63（mm）")</f>
        <v>高250x寬80x深63（mm）</v>
      </c>
      <c r="R1454" s="25" t="str">
        <f ca="1">IFERROR(__xludf.DUMMYFUNCTION("""COMPUTED_VALUE"""),"中國")</f>
        <v>中國</v>
      </c>
      <c r="S1454" s="25"/>
      <c r="T1454" s="25"/>
      <c r="U1454" s="25" t="str">
        <f ca="1">IFERROR(__xludf.DUMMYFUNCTION("""COMPUTED_VALUE"""),"1年")</f>
        <v>1年</v>
      </c>
      <c r="V1454" s="25"/>
      <c r="W1454" s="25"/>
      <c r="X1454" s="25"/>
      <c r="Y1454" s="25"/>
      <c r="Z1454" s="27"/>
      <c r="AA1454" s="28" t="str">
        <f ca="1">IFERROR(__xludf.DUMMYFUNCTION("""COMPUTED_VALUE"""),"*高速大風量：簾狀四氣流設計，4個出風口風量達7.4 m³/分鐘，日常擁有沙龍級的吹髮品質*速乾省時: 大風量廣域面積乾燥髮絲與上一代機種比較提升30%乾髮時間*獨家自動除菌離子:1立方公分擁有370萬離子，從頭頂到髮尾都完整呵護。有助於保持頭髮水潤，減少靜電、抗毛躁、染髮護色、抑制異味*六大美容行程：SCALP頭皮護理 、BEAUTY水潤光澤、Gentle輕柔護理 、SENSING距離感測、HOT快速乾燥 、COLD冷風*智慧溫控：業界初! SENSING模式透過距離偵測，距離3公分到30公分，皆保持在"&amp;"恆溫55°C，提供避免吹髮過熱對頭髮造成損傷*輕巧設計：機身深度約7cm與重量540g輕盈手感便利設計，方便攜帶和使用，符合人體工學手感舒適可減輕71%手腕負擔")</f>
        <v>*高速大風量：簾狀四氣流設計，4個出風口風量達7.4 m³/分鐘，日常擁有沙龍級的吹髮品質*速乾省時: 大風量廣域面積乾燥髮絲與上一代機種比較提升30%乾髮時間*獨家自動除菌離子:1立方公分擁有370萬離子，從頭頂到髮尾都完整呵護。有助於保持頭髮水潤，減少靜電、抗毛躁、染髮護色、抑制異味*六大美容行程：SCALP頭皮護理 、BEAUTY水潤光澤、Gentle輕柔護理 、SENSING距離感測、HOT快速乾燥 、COLD冷風*智慧溫控：業界初! SENSING模式透過距離偵測，距離3公分到30公分，皆保持在恆溫55°C，提供避免吹髮過熱對頭髮造成損傷*輕巧設計：機身深度約7cm與重量540g輕盈手感便利設計，方便攜帶和使用，符合人體工學手感舒適可減輕71%手腕負擔</v>
      </c>
    </row>
    <row r="1455" spans="1:27" ht="12.75">
      <c r="A1455" s="25" t="str">
        <f ca="1">IFERROR(__xludf.DUMMYFUNCTION("""COMPUTED_VALUE"""),"生活家電")</f>
        <v>生活家電</v>
      </c>
      <c r="B1455" s="25" t="str">
        <f ca="1">IFERROR(__xludf.DUMMYFUNCTION("""COMPUTED_VALUE"""),"神腦")</f>
        <v>神腦</v>
      </c>
      <c r="C1455" s="25" t="str">
        <f ca="1">IFERROR(__xludf.DUMMYFUNCTION("""COMPUTED_VALUE"""),"Sharp")</f>
        <v>Sharp</v>
      </c>
      <c r="D1455" s="25" t="str">
        <f ca="1">IFERROR(__xludf.DUMMYFUNCTION("""COMPUTED_VALUE"""),"SHARP 四氣流水潤溫控吹風機 IB-WX901T-B (午夜黑)")</f>
        <v>SHARP 四氣流水潤溫控吹風機 IB-WX901T-B (午夜黑)</v>
      </c>
      <c r="E1455" s="25" t="str">
        <f ca="1">IFERROR(__xludf.DUMMYFUNCTION("""COMPUTED_VALUE"""),"IB-WX901T-B")</f>
        <v>IB-WX901T-B</v>
      </c>
      <c r="F1455" s="25">
        <f ca="1">IFERROR(__xludf.DUMMYFUNCTION("""COMPUTED_VALUE"""),51016636)</f>
        <v>51016636</v>
      </c>
      <c r="G1455" s="25" t="str">
        <f ca="1">IFERROR(__xludf.DUMMYFUNCTION("""COMPUTED_VALUE"""),"IGEM119O")</f>
        <v>IGEM119O</v>
      </c>
      <c r="H1455" s="26">
        <f ca="1">IFERROR(__xludf.DUMMYFUNCTION("""COMPUTED_VALUE"""),8990)</f>
        <v>8990</v>
      </c>
      <c r="I1455" s="27">
        <f ca="1">IFERROR(__xludf.DUMMYFUNCTION("""COMPUTED_VALUE"""),7990)</f>
        <v>7990</v>
      </c>
      <c r="J1455" s="29">
        <f ca="1">IFERROR(__xludf.DUMMYFUNCTION("""COMPUTED_VALUE"""),45692)</f>
        <v>45692</v>
      </c>
      <c r="K1455" s="25" t="str">
        <f ca="1">IFERROR(__xludf.DUMMYFUNCTION("""COMPUTED_VALUE"""),"新機上架")</f>
        <v>新機上架</v>
      </c>
      <c r="L1455" s="25" t="str">
        <f ca="1">IFERROR(__xludf.DUMMYFUNCTION("""COMPUTED_VALUE"""),"上架中")</f>
        <v>上架中</v>
      </c>
      <c r="M1455" s="25" t="str">
        <f ca="1">IFERROR(__xludf.DUMMYFUNCTION("""COMPUTED_VALUE"""),"2025/2/4新機上架")</f>
        <v>2025/2/4新機上架</v>
      </c>
      <c r="N1455" s="25" t="str">
        <f ca="1">IFERROR(__xludf.DUMMYFUNCTION("""COMPUTED_VALUE"""),"吹風機")</f>
        <v>吹風機</v>
      </c>
      <c r="O1455" s="25" t="str">
        <f ca="1">IFERROR(__xludf.DUMMYFUNCTION("""COMPUTED_VALUE"""),"午夜黑")</f>
        <v>午夜黑</v>
      </c>
      <c r="P1455" s="25" t="str">
        <f ca="1">IFERROR(__xludf.DUMMYFUNCTION("""COMPUTED_VALUE"""),"110V~60Hz")</f>
        <v>110V~60Hz</v>
      </c>
      <c r="Q1455" s="25" t="str">
        <f ca="1">IFERROR(__xludf.DUMMYFUNCTION("""COMPUTED_VALUE"""),"高250x寬80x深63（mm）")</f>
        <v>高250x寬80x深63（mm）</v>
      </c>
      <c r="R1455" s="25" t="str">
        <f ca="1">IFERROR(__xludf.DUMMYFUNCTION("""COMPUTED_VALUE"""),"中國")</f>
        <v>中國</v>
      </c>
      <c r="S1455" s="25"/>
      <c r="T1455" s="25"/>
      <c r="U1455" s="25" t="str">
        <f ca="1">IFERROR(__xludf.DUMMYFUNCTION("""COMPUTED_VALUE"""),"1年")</f>
        <v>1年</v>
      </c>
      <c r="V1455" s="25"/>
      <c r="W1455" s="25"/>
      <c r="X1455" s="25"/>
      <c r="Y1455" s="25"/>
      <c r="Z1455" s="27"/>
      <c r="AA1455" s="28" t="str">
        <f ca="1">IFERROR(__xludf.DUMMYFUNCTION("""COMPUTED_VALUE"""),"*高速大風量：簾狀四氣流設計，4個出風口風量達7.4 m³/分鐘，日常擁有沙龍級的吹髮品質*速乾省時: 大風量廣域面積乾燥髮絲與上一代機種比較提升30%乾髮時間*獨家自動除菌離子:1立方公分擁有370萬離子，從頭頂到髮尾都完整呵護。有助於保持頭髮水潤，減少靜電、抗毛躁、染髮護色、抑制異味*六大美容行程：SCALP頭皮護理 、BEAUTY水潤光澤、Gentle輕柔護理 、SENSING距離感測、HOT快速乾燥 、COLD冷風*智慧溫控：業界初! SENSING模式透過距離偵測，距離3公分到30公分，皆保持在"&amp;"恆溫55°C，提供避免吹髮過熱對頭髮造成損傷*輕巧設計：機身深度約7cm與重量540g輕盈手感便利設計，方便攜帶和使用，符合人體工學手感舒適可減輕71%手腕負擔")</f>
        <v>*高速大風量：簾狀四氣流設計，4個出風口風量達7.4 m³/分鐘，日常擁有沙龍級的吹髮品質*速乾省時: 大風量廣域面積乾燥髮絲與上一代機種比較提升30%乾髮時間*獨家自動除菌離子:1立方公分擁有370萬離子，從頭頂到髮尾都完整呵護。有助於保持頭髮水潤，減少靜電、抗毛躁、染髮護色、抑制異味*六大美容行程：SCALP頭皮護理 、BEAUTY水潤光澤、Gentle輕柔護理 、SENSING距離感測、HOT快速乾燥 、COLD冷風*智慧溫控：業界初! SENSING模式透過距離偵測，距離3公分到30公分，皆保持在恆溫55°C，提供避免吹髮過熱對頭髮造成損傷*輕巧設計：機身深度約7cm與重量540g輕盈手感便利設計，方便攜帶和使用，符合人體工學手感舒適可減輕71%手腕負擔</v>
      </c>
    </row>
    <row r="1456" spans="1:27" ht="12.75">
      <c r="A1456" s="25" t="str">
        <f ca="1">IFERROR(__xludf.DUMMYFUNCTION("""COMPUTED_VALUE"""),"電話機")</f>
        <v>電話機</v>
      </c>
      <c r="B1456" s="25" t="str">
        <f ca="1">IFERROR(__xludf.DUMMYFUNCTION("""COMPUTED_VALUE"""),"堡華工業")</f>
        <v>堡華工業</v>
      </c>
      <c r="C1456" s="25" t="str">
        <f ca="1">IFERROR(__xludf.DUMMYFUNCTION("""COMPUTED_VALUE"""),"堡華工業")</f>
        <v>堡華工業</v>
      </c>
      <c r="D1456" s="25" t="str">
        <f ca="1">IFERROR(__xludf.DUMMYFUNCTION("""COMPUTED_VALUE"""),"堡華電話門禁對講機【BH-168】(附感應Code5入)-宅配限本島")</f>
        <v>堡華電話門禁對講機【BH-168】(附感應Code5入)-宅配限本島</v>
      </c>
      <c r="E1456" s="25" t="str">
        <f ca="1">IFERROR(__xludf.DUMMYFUNCTION("""COMPUTED_VALUE"""),"BH-168")</f>
        <v>BH-168</v>
      </c>
      <c r="F1456" s="25">
        <f ca="1">IFERROR(__xludf.DUMMYFUNCTION("""COMPUTED_VALUE"""),51057027)</f>
        <v>51057027</v>
      </c>
      <c r="G1456" s="25" t="str">
        <f ca="1">IFERROR(__xludf.DUMMYFUNCTION("""COMPUTED_VALUE"""),"EHOM0001")</f>
        <v>EHOM0001</v>
      </c>
      <c r="H1456" s="25"/>
      <c r="I1456" s="27">
        <f ca="1">IFERROR(__xludf.DUMMYFUNCTION("""COMPUTED_VALUE"""),8800)</f>
        <v>8800</v>
      </c>
      <c r="J1456" s="25"/>
      <c r="K1456" s="25" t="str">
        <f ca="1">IFERROR(__xludf.DUMMYFUNCTION("""COMPUTED_VALUE"""),"新機上架")</f>
        <v>新機上架</v>
      </c>
      <c r="L1456" s="26" t="str">
        <f ca="1">IFERROR(__xludf.DUMMYFUNCTION("""COMPUTED_VALUE"""),"上架中")</f>
        <v>上架中</v>
      </c>
      <c r="M1456" s="25"/>
      <c r="N1456" s="25" t="str">
        <f ca="1">IFERROR(__xludf.DUMMYFUNCTION("""COMPUTED_VALUE"""),"電話機")</f>
        <v>電話機</v>
      </c>
      <c r="O1456" s="25" t="str">
        <f ca="1">IFERROR(__xludf.DUMMYFUNCTION("""COMPUTED_VALUE"""),"銀色")</f>
        <v>銀色</v>
      </c>
      <c r="P1456" s="25" t="str">
        <f ca="1">IFERROR(__xludf.DUMMYFUNCTION("""COMPUTED_VALUE"""),"輸入電壓: 110-120VAC 60Hz 0.5A;         輸出電壓: 9VAC 250mA")</f>
        <v>輸入電壓: 110-120VAC 60Hz 0.5A;         輸出電壓: 9VAC 250mA</v>
      </c>
      <c r="Q1456" s="25" t="str">
        <f ca="1">IFERROR(__xludf.DUMMYFUNCTION("""COMPUTED_VALUE"""),"(含框):230x190x60 mm")</f>
        <v>(含框):230x190x60 mm</v>
      </c>
      <c r="R1456" s="25" t="str">
        <f ca="1">IFERROR(__xludf.DUMMYFUNCTION("""COMPUTED_VALUE"""),"台灣")</f>
        <v>台灣</v>
      </c>
      <c r="S1456" s="25"/>
      <c r="T1456" s="25"/>
      <c r="U1456" s="25" t="str">
        <f ca="1">IFERROR(__xludf.DUMMYFUNCTION("""COMPUTED_VALUE"""),"1年")</f>
        <v>1年</v>
      </c>
      <c r="V1456" s="25"/>
      <c r="W1456" s="25"/>
      <c r="X1456" s="25"/>
      <c r="Y1456" s="25"/>
      <c r="Z1456" s="27"/>
      <c r="AA1456" s="28" t="str">
        <f ca="1">IFERROR(__xludf.DUMMYFUNCTION("""COMPUTED_VALUE"""),"*電話機對講功能*密碼輸入開門 *悠遊卡開門*感應code 開門*市話開門*警衛開門")</f>
        <v>*電話機對講功能*密碼輸入開門 *悠遊卡開門*感應code 開門*市話開門*警衛開門</v>
      </c>
    </row>
    <row r="1457" spans="1:27" ht="12.75">
      <c r="A1457" s="25" t="str">
        <f ca="1">IFERROR(__xludf.DUMMYFUNCTION("""COMPUTED_VALUE"""),"電話機")</f>
        <v>電話機</v>
      </c>
      <c r="B1457" s="25" t="str">
        <f ca="1">IFERROR(__xludf.DUMMYFUNCTION("""COMPUTED_VALUE"""),"堡華工業")</f>
        <v>堡華工業</v>
      </c>
      <c r="C1457" s="25" t="str">
        <f ca="1">IFERROR(__xludf.DUMMYFUNCTION("""COMPUTED_VALUE"""),"堡華工業")</f>
        <v>堡華工業</v>
      </c>
      <c r="D1457" s="25" t="str">
        <f ca="1">IFERROR(__xludf.DUMMYFUNCTION("""COMPUTED_VALUE"""),"堡華鳥牌正電鎖【900-ST】-宅配限本島")</f>
        <v>堡華鳥牌正電鎖【900-ST】-宅配限本島</v>
      </c>
      <c r="E1457" s="25" t="str">
        <f ca="1">IFERROR(__xludf.DUMMYFUNCTION("""COMPUTED_VALUE"""),"900-ST")</f>
        <v>900-ST</v>
      </c>
      <c r="F1457" s="25">
        <f ca="1">IFERROR(__xludf.DUMMYFUNCTION("""COMPUTED_VALUE"""),51057028)</f>
        <v>51057028</v>
      </c>
      <c r="G1457" s="25" t="str">
        <f ca="1">IFERROR(__xludf.DUMMYFUNCTION("""COMPUTED_VALUE"""),"EHOM0002")</f>
        <v>EHOM0002</v>
      </c>
      <c r="H1457" s="25"/>
      <c r="I1457" s="27">
        <f ca="1">IFERROR(__xludf.DUMMYFUNCTION("""COMPUTED_VALUE"""),2250)</f>
        <v>2250</v>
      </c>
      <c r="J1457" s="25"/>
      <c r="K1457" s="25" t="str">
        <f ca="1">IFERROR(__xludf.DUMMYFUNCTION("""COMPUTED_VALUE"""),"新機上架")</f>
        <v>新機上架</v>
      </c>
      <c r="L1457" s="26" t="str">
        <f ca="1">IFERROR(__xludf.DUMMYFUNCTION("""COMPUTED_VALUE"""),"上架中")</f>
        <v>上架中</v>
      </c>
      <c r="M1457" s="25"/>
      <c r="N1457" s="25" t="str">
        <f ca="1">IFERROR(__xludf.DUMMYFUNCTION("""COMPUTED_VALUE"""),"電話機")</f>
        <v>電話機</v>
      </c>
      <c r="O1457" s="25" t="str">
        <f ca="1">IFERROR(__xludf.DUMMYFUNCTION("""COMPUTED_VALUE"""),"銀色")</f>
        <v>銀色</v>
      </c>
      <c r="P1457" s="25" t="str">
        <f ca="1">IFERROR(__xludf.DUMMYFUNCTION("""COMPUTED_VALUE"""),"適用DC12V/AC24V,不鏽鋼")</f>
        <v>適用DC12V/AC24V,不鏽鋼</v>
      </c>
      <c r="Q1457" s="25"/>
      <c r="R1457" s="25" t="str">
        <f ca="1">IFERROR(__xludf.DUMMYFUNCTION("""COMPUTED_VALUE"""),"台灣")</f>
        <v>台灣</v>
      </c>
      <c r="S1457" s="25"/>
      <c r="T1457" s="25"/>
      <c r="U1457" s="25" t="str">
        <f ca="1">IFERROR(__xludf.DUMMYFUNCTION("""COMPUTED_VALUE"""),"1年")</f>
        <v>1年</v>
      </c>
      <c r="V1457" s="25"/>
      <c r="W1457" s="25"/>
      <c r="X1457" s="25"/>
      <c r="Y1457" s="25"/>
      <c r="Z1457" s="27"/>
      <c r="AA1457" s="28" t="str">
        <f ca="1">IFERROR(__xludf.DUMMYFUNCTION("""COMPUTED_VALUE"""),"*電控開門*不鏽鋼*堅固耐用")</f>
        <v>*電控開門*不鏽鋼*堅固耐用</v>
      </c>
    </row>
    <row r="1458" spans="1:27" ht="12.75">
      <c r="A1458" s="25" t="str">
        <f ca="1">IFERROR(__xludf.DUMMYFUNCTION("""COMPUTED_VALUE"""),"電話機")</f>
        <v>電話機</v>
      </c>
      <c r="B1458" s="25" t="str">
        <f ca="1">IFERROR(__xludf.DUMMYFUNCTION("""COMPUTED_VALUE"""),"堡華工業")</f>
        <v>堡華工業</v>
      </c>
      <c r="C1458" s="25" t="str">
        <f ca="1">IFERROR(__xludf.DUMMYFUNCTION("""COMPUTED_VALUE"""),"堡華工業")</f>
        <v>堡華工業</v>
      </c>
      <c r="D1458" s="25" t="str">
        <f ca="1">IFERROR(__xludf.DUMMYFUNCTION("""COMPUTED_VALUE"""),"堡華感應Code(10入)【BH-D-CODE】-宅配限本島")</f>
        <v>堡華感應Code(10入)【BH-D-CODE】-宅配限本島</v>
      </c>
      <c r="E1458" s="25" t="str">
        <f ca="1">IFERROR(__xludf.DUMMYFUNCTION("""COMPUTED_VALUE"""),"BH-D-CODE")</f>
        <v>BH-D-CODE</v>
      </c>
      <c r="F1458" s="25">
        <f ca="1">IFERROR(__xludf.DUMMYFUNCTION("""COMPUTED_VALUE"""),51057029)</f>
        <v>51057029</v>
      </c>
      <c r="G1458" s="25" t="str">
        <f ca="1">IFERROR(__xludf.DUMMYFUNCTION("""COMPUTED_VALUE"""),"EHOM0003")</f>
        <v>EHOM0003</v>
      </c>
      <c r="H1458" s="25"/>
      <c r="I1458" s="27">
        <f ca="1">IFERROR(__xludf.DUMMYFUNCTION("""COMPUTED_VALUE"""),1500)</f>
        <v>1500</v>
      </c>
      <c r="J1458" s="25"/>
      <c r="K1458" s="25" t="str">
        <f ca="1">IFERROR(__xludf.DUMMYFUNCTION("""COMPUTED_VALUE"""),"新機上架")</f>
        <v>新機上架</v>
      </c>
      <c r="L1458" s="26" t="str">
        <f ca="1">IFERROR(__xludf.DUMMYFUNCTION("""COMPUTED_VALUE"""),"上架中")</f>
        <v>上架中</v>
      </c>
      <c r="M1458" s="25"/>
      <c r="N1458" s="25" t="str">
        <f ca="1">IFERROR(__xludf.DUMMYFUNCTION("""COMPUTED_VALUE"""),"電話機")</f>
        <v>電話機</v>
      </c>
      <c r="O1458" s="25" t="str">
        <f ca="1">IFERROR(__xludf.DUMMYFUNCTION("""COMPUTED_VALUE"""),"紅,綠,藍")</f>
        <v>紅,綠,藍</v>
      </c>
      <c r="P1458" s="25" t="str">
        <f ca="1">IFERROR(__xludf.DUMMYFUNCTION("""COMPUTED_VALUE"""),"圓形感應磁CODE")</f>
        <v>圓形感應磁CODE</v>
      </c>
      <c r="Q1458" s="25" t="str">
        <f ca="1">IFERROR(__xludf.DUMMYFUNCTION("""COMPUTED_VALUE"""),"30x40mm")</f>
        <v>30x40mm</v>
      </c>
      <c r="R1458" s="25" t="str">
        <f ca="1">IFERROR(__xludf.DUMMYFUNCTION("""COMPUTED_VALUE"""),"台灣")</f>
        <v>台灣</v>
      </c>
      <c r="S1458" s="25"/>
      <c r="T1458" s="25"/>
      <c r="U1458" s="25" t="str">
        <f ca="1">IFERROR(__xludf.DUMMYFUNCTION("""COMPUTED_VALUE"""),"1年")</f>
        <v>1年</v>
      </c>
      <c r="V1458" s="25"/>
      <c r="W1458" s="25"/>
      <c r="X1458" s="25"/>
      <c r="Y1458" s="25"/>
      <c r="Z1458" s="27"/>
      <c r="AA1458" s="28"/>
    </row>
    <row r="1459" spans="1:27" ht="12.75">
      <c r="A1459" s="25" t="str">
        <f ca="1">IFERROR(__xludf.DUMMYFUNCTION("""COMPUTED_VALUE"""),"居家生活用品")</f>
        <v>居家生活用品</v>
      </c>
      <c r="B1459" s="25" t="str">
        <f ca="1">IFERROR(__xludf.DUMMYFUNCTION("""COMPUTED_VALUE"""),"橋杭")</f>
        <v>橋杭</v>
      </c>
      <c r="C1459" s="25" t="str">
        <f ca="1">IFERROR(__xludf.DUMMYFUNCTION("""COMPUTED_VALUE"""),"SiMPNiC")</f>
        <v>SiMPNiC</v>
      </c>
      <c r="D1459" s="25" t="str">
        <f ca="1">IFERROR(__xludf.DUMMYFUNCTION("""COMPUTED_VALUE"""),"SiMPNiC智慧攝影機IPC-01-SW")</f>
        <v>SiMPNiC智慧攝影機IPC-01-SW</v>
      </c>
      <c r="E1459" s="25" t="str">
        <f ca="1">IFERROR(__xludf.DUMMYFUNCTION("""COMPUTED_VALUE"""),"IPC-01-SW")</f>
        <v>IPC-01-SW</v>
      </c>
      <c r="F1459" s="25">
        <f ca="1">IFERROR(__xludf.DUMMYFUNCTION("""COMPUTED_VALUE"""),51057171)</f>
        <v>51057171</v>
      </c>
      <c r="G1459" s="25" t="str">
        <f ca="1">IFERROR(__xludf.DUMMYFUNCTION("""COMPUTED_VALUE"""),"IGEM067R")</f>
        <v>IGEM067R</v>
      </c>
      <c r="H1459" s="26">
        <f ca="1">IFERROR(__xludf.DUMMYFUNCTION("""COMPUTED_VALUE"""),1380)</f>
        <v>1380</v>
      </c>
      <c r="I1459" s="27">
        <f ca="1">IFERROR(__xludf.DUMMYFUNCTION("""COMPUTED_VALUE"""),999)</f>
        <v>999</v>
      </c>
      <c r="J1459" s="29">
        <f ca="1">IFERROR(__xludf.DUMMYFUNCTION("""COMPUTED_VALUE"""),45658)</f>
        <v>45658</v>
      </c>
      <c r="K1459" s="25" t="str">
        <f ca="1">IFERROR(__xludf.DUMMYFUNCTION("""COMPUTED_VALUE"""),"停售")</f>
        <v>停售</v>
      </c>
      <c r="L1459" s="26" t="str">
        <f ca="1">IFERROR(__xludf.DUMMYFUNCTION("""COMPUTED_VALUE"""),"缺貨")</f>
        <v>缺貨</v>
      </c>
      <c r="M1459" s="25" t="str">
        <f ca="1">IFERROR(__xludf.DUMMYFUNCTION("""COMPUTED_VALUE"""),"2022/8/8新品上架")</f>
        <v>2022/8/8新品上架</v>
      </c>
      <c r="N1459" s="25" t="str">
        <f ca="1">IFERROR(__xludf.DUMMYFUNCTION("""COMPUTED_VALUE"""),"智慧家庭週邊")</f>
        <v>智慧家庭週邊</v>
      </c>
      <c r="O1459" s="25" t="str">
        <f ca="1">IFERROR(__xludf.DUMMYFUNCTION("""COMPUTED_VALUE"""),"白")</f>
        <v>白</v>
      </c>
      <c r="P1459" s="25" t="str">
        <f ca="1">IFERROR(__xludf.DUMMYFUNCTION("""COMPUTED_VALUE"""),"視角: 近乎360°
 雙向語音
 錄影空間: 支援128GB
 影像: 自動白天/夜視切換
 通訊: Wi-Fi: 2.4GHz")</f>
        <v>視角: 近乎360°
 雙向語音
 錄影空間: 支援128GB
 影像: 自動白天/夜視切換
 通訊: Wi-Fi: 2.4GHz</v>
      </c>
      <c r="Q1459" s="25" t="str">
        <f ca="1">IFERROR(__xludf.DUMMYFUNCTION("""COMPUTED_VALUE"""),"Ø80*117mm")</f>
        <v>Ø80*117mm</v>
      </c>
      <c r="R1459" s="25" t="str">
        <f ca="1">IFERROR(__xludf.DUMMYFUNCTION("""COMPUTED_VALUE"""),"中國")</f>
        <v>中國</v>
      </c>
      <c r="S1459" s="25"/>
      <c r="T1459" s="25"/>
      <c r="U1459" s="25" t="str">
        <f ca="1">IFERROR(__xludf.DUMMYFUNCTION("""COMPUTED_VALUE"""),"1年")</f>
        <v>1年</v>
      </c>
      <c r="V1459" s="25"/>
      <c r="W1459" s="25"/>
      <c r="X1459" s="25"/>
      <c r="Y1459" s="25"/>
      <c r="Z1459" s="27"/>
      <c r="AA1459" s="28" t="str">
        <f ca="1">IFERROR(__xludf.DUMMYFUNCTION("""COMPUTED_VALUE"""),"樸實精巧*簡易安裝耐用*近乎360°廣角視野*支援128G大空間錄影容量*FHD清晰的日夜畫面*敏銳的聲音")</f>
        <v>樸實精巧*簡易安裝耐用*近乎360°廣角視野*支援128G大空間錄影容量*FHD清晰的日夜畫面*敏銳的聲音</v>
      </c>
    </row>
    <row r="1460" spans="1:27" ht="12.75">
      <c r="A1460" s="25" t="str">
        <f ca="1">IFERROR(__xludf.DUMMYFUNCTION("""COMPUTED_VALUE"""),"居家生活用品")</f>
        <v>居家生活用品</v>
      </c>
      <c r="B1460" s="25" t="str">
        <f ca="1">IFERROR(__xludf.DUMMYFUNCTION("""COMPUTED_VALUE"""),"嘉亨科技")</f>
        <v>嘉亨科技</v>
      </c>
      <c r="C1460" s="25" t="str">
        <f ca="1">IFERROR(__xludf.DUMMYFUNCTION("""COMPUTED_VALUE"""),"聯合利華Pureit")</f>
        <v>聯合利華Pureit</v>
      </c>
      <c r="D1460" s="25" t="str">
        <f ca="1">IFERROR(__xludf.DUMMYFUNCTION("""COMPUTED_VALUE"""),"居家_【聯合利華Pureit】PX3070即淨濾水壺3.5L(內含濾芯1入)")</f>
        <v>居家_【聯合利華Pureit】PX3070即淨濾水壺3.5L(內含濾芯1入)</v>
      </c>
      <c r="E1460" s="25" t="str">
        <f ca="1">IFERROR(__xludf.DUMMYFUNCTION("""COMPUTED_VALUE"""),"7PU62724271")</f>
        <v>7PU62724271</v>
      </c>
      <c r="F1460" s="25">
        <f ca="1">IFERROR(__xludf.DUMMYFUNCTION("""COMPUTED_VALUE"""),51020011)</f>
        <v>51020011</v>
      </c>
      <c r="G1460" s="25" t="str">
        <f ca="1">IFERROR(__xludf.DUMMYFUNCTION("""COMPUTED_VALUE"""),"IGEM1031")</f>
        <v>IGEM1031</v>
      </c>
      <c r="H1460" s="26">
        <f ca="1">IFERROR(__xludf.DUMMYFUNCTION("""COMPUTED_VALUE"""),1990)</f>
        <v>1990</v>
      </c>
      <c r="I1460" s="30">
        <f ca="1">IFERROR(__xludf.DUMMYFUNCTION("""COMPUTED_VALUE"""),990)</f>
        <v>990</v>
      </c>
      <c r="J1460" s="29">
        <f ca="1">IFERROR(__xludf.DUMMYFUNCTION("""COMPUTED_VALUE"""),45475)</f>
        <v>45475</v>
      </c>
      <c r="K1460" s="25" t="str">
        <f ca="1">IFERROR(__xludf.DUMMYFUNCTION("""COMPUTED_VALUE"""),"新機上架")</f>
        <v>新機上架</v>
      </c>
      <c r="L1460" s="26" t="str">
        <f ca="1">IFERROR(__xludf.DUMMYFUNCTION("""COMPUTED_VALUE"""),"上架中")</f>
        <v>上架中</v>
      </c>
      <c r="M1460" s="25"/>
      <c r="N1460" s="25" t="str">
        <f ca="1">IFERROR(__xludf.DUMMYFUNCTION("""COMPUTED_VALUE"""),"濾水壺")</f>
        <v>濾水壺</v>
      </c>
      <c r="O1460" s="25"/>
      <c r="P1460" s="25" t="str">
        <f ca="1">IFERROR(__xludf.DUMMYFUNCTION("""COMPUTED_VALUE"""),"3.5L")</f>
        <v>3.5L</v>
      </c>
      <c r="Q1460" s="25"/>
      <c r="R1460" s="25" t="str">
        <f ca="1">IFERROR(__xludf.DUMMYFUNCTION("""COMPUTED_VALUE"""),"中國")</f>
        <v>中國</v>
      </c>
      <c r="S1460" s="25"/>
      <c r="T1460" s="25"/>
      <c r="U1460" s="25"/>
      <c r="V1460" s="25"/>
      <c r="W1460" s="25"/>
      <c r="X1460" s="25"/>
      <c r="Y1460" s="25"/>
      <c r="Z1460" s="27"/>
      <c r="AA1460" s="28" t="str">
        <f ca="1">IFERROR(__xludf.DUMMYFUNCTION("""COMPUTED_VALUE"""),"超越業界4倍軟水功能，除氯、除鉛、減少水垢")</f>
        <v>超越業界4倍軟水功能，除氯、除鉛、減少水垢</v>
      </c>
    </row>
    <row r="1461" spans="1:27" ht="12.75">
      <c r="A1461" s="25" t="str">
        <f ca="1">IFERROR(__xludf.DUMMYFUNCTION("""COMPUTED_VALUE"""),"居家生活用品")</f>
        <v>居家生活用品</v>
      </c>
      <c r="B1461" s="25" t="str">
        <f ca="1">IFERROR(__xludf.DUMMYFUNCTION("""COMPUTED_VALUE"""),"嘉亨科技")</f>
        <v>嘉亨科技</v>
      </c>
      <c r="C1461" s="25" t="str">
        <f ca="1">IFERROR(__xludf.DUMMYFUNCTION("""COMPUTED_VALUE"""),"聯合利華Pureit")</f>
        <v>聯合利華Pureit</v>
      </c>
      <c r="D1461" s="25" t="str">
        <f ca="1">IFERROR(__xludf.DUMMYFUNCTION("""COMPUTED_VALUE"""),"居家_【聯合利華Pureit】PX3070/CC3010濾芯3入組(FCX30CG)")</f>
        <v>居家_【聯合利華Pureit】PX3070/CC3010濾芯3入組(FCX30CG)</v>
      </c>
      <c r="E1461" s="25" t="str">
        <f ca="1">IFERROR(__xludf.DUMMYFUNCTION("""COMPUTED_VALUE"""),"7PU69763936")</f>
        <v>7PU69763936</v>
      </c>
      <c r="F1461" s="25">
        <f ca="1">IFERROR(__xludf.DUMMYFUNCTION("""COMPUTED_VALUE"""),51020013)</f>
        <v>51020013</v>
      </c>
      <c r="G1461" s="25" t="str">
        <f ca="1">IFERROR(__xludf.DUMMYFUNCTION("""COMPUTED_VALUE"""),"IGEM1033")</f>
        <v>IGEM1033</v>
      </c>
      <c r="H1461" s="26">
        <f ca="1">IFERROR(__xludf.DUMMYFUNCTION("""COMPUTED_VALUE"""),1990)</f>
        <v>1990</v>
      </c>
      <c r="I1461" s="30">
        <f ca="1">IFERROR(__xludf.DUMMYFUNCTION("""COMPUTED_VALUE"""),790)</f>
        <v>790</v>
      </c>
      <c r="J1461" s="29">
        <f ca="1">IFERROR(__xludf.DUMMYFUNCTION("""COMPUTED_VALUE"""),45475)</f>
        <v>45475</v>
      </c>
      <c r="K1461" s="25" t="str">
        <f ca="1">IFERROR(__xludf.DUMMYFUNCTION("""COMPUTED_VALUE"""),"新機上架")</f>
        <v>新機上架</v>
      </c>
      <c r="L1461" s="26" t="str">
        <f ca="1">IFERROR(__xludf.DUMMYFUNCTION("""COMPUTED_VALUE"""),"上架中")</f>
        <v>上架中</v>
      </c>
      <c r="M1461" s="25"/>
      <c r="N1461" s="25" t="str">
        <f ca="1">IFERROR(__xludf.DUMMYFUNCTION("""COMPUTED_VALUE"""),"濾水濾心")</f>
        <v>濾水濾心</v>
      </c>
      <c r="O1461" s="25"/>
      <c r="P1461" s="25" t="str">
        <f ca="1">IFERROR(__xludf.DUMMYFUNCTION("""COMPUTED_VALUE"""),"3入組")</f>
        <v>3入組</v>
      </c>
      <c r="Q1461" s="25"/>
      <c r="R1461" s="25" t="str">
        <f ca="1">IFERROR(__xludf.DUMMYFUNCTION("""COMPUTED_VALUE"""),"中國")</f>
        <v>中國</v>
      </c>
      <c r="S1461" s="25"/>
      <c r="T1461" s="25"/>
      <c r="U1461" s="25"/>
      <c r="V1461" s="25"/>
      <c r="W1461" s="25"/>
      <c r="X1461" s="25"/>
      <c r="Y1461" s="25"/>
      <c r="Z1461" s="27"/>
      <c r="AA1461" s="28" t="str">
        <f ca="1">IFERROR(__xludf.DUMMYFUNCTION("""COMPUTED_VALUE"""),"超越業界4倍軟水功能，除氯、除鉛、減少水垢")</f>
        <v>超越業界4倍軟水功能，除氯、除鉛、減少水垢</v>
      </c>
    </row>
    <row r="1462" spans="1:27" ht="12.75">
      <c r="A1462" s="25" t="str">
        <f ca="1">IFERROR(__xludf.DUMMYFUNCTION("""COMPUTED_VALUE"""),"居家生活用品")</f>
        <v>居家生活用品</v>
      </c>
      <c r="B1462" s="25" t="str">
        <f ca="1">IFERROR(__xludf.DUMMYFUNCTION("""COMPUTED_VALUE"""),"嘉亨科技")</f>
        <v>嘉亨科技</v>
      </c>
      <c r="C1462" s="25" t="str">
        <f ca="1">IFERROR(__xludf.DUMMYFUNCTION("""COMPUTED_VALUE"""),"聯合利華Pureit")</f>
        <v>聯合利華Pureit</v>
      </c>
      <c r="D1462" s="25" t="str">
        <f ca="1">IFERROR(__xludf.DUMMYFUNCTION("""COMPUTED_VALUE"""),"居家_【聯合利華Pureit】PX3070即淨濾水壺3.5L+濾芯3入組(共1壺4芯)")</f>
        <v>居家_【聯合利華Pureit】PX3070即淨濾水壺3.5L+濾芯3入組(共1壺4芯)</v>
      </c>
      <c r="E1462" s="25" t="str">
        <f ca="1">IFERROR(__xludf.DUMMYFUNCTION("""COMPUTED_VALUE"""),"7PU6976393671")</f>
        <v>7PU6976393671</v>
      </c>
      <c r="F1462" s="25">
        <f ca="1">IFERROR(__xludf.DUMMYFUNCTION("""COMPUTED_VALUE"""),51020014)</f>
        <v>51020014</v>
      </c>
      <c r="G1462" s="25" t="str">
        <f ca="1">IFERROR(__xludf.DUMMYFUNCTION("""COMPUTED_VALUE"""),"IGEM1034")</f>
        <v>IGEM1034</v>
      </c>
      <c r="H1462" s="26">
        <f ca="1">IFERROR(__xludf.DUMMYFUNCTION("""COMPUTED_VALUE"""),3980)</f>
        <v>3980</v>
      </c>
      <c r="I1462" s="30">
        <f ca="1">IFERROR(__xludf.DUMMYFUNCTION("""COMPUTED_VALUE"""),1490)</f>
        <v>1490</v>
      </c>
      <c r="J1462" s="29">
        <f ca="1">IFERROR(__xludf.DUMMYFUNCTION("""COMPUTED_VALUE"""),45475)</f>
        <v>45475</v>
      </c>
      <c r="K1462" s="25" t="str">
        <f ca="1">IFERROR(__xludf.DUMMYFUNCTION("""COMPUTED_VALUE"""),"新機上架")</f>
        <v>新機上架</v>
      </c>
      <c r="L1462" s="26" t="str">
        <f ca="1">IFERROR(__xludf.DUMMYFUNCTION("""COMPUTED_VALUE"""),"上架中")</f>
        <v>上架中</v>
      </c>
      <c r="M1462" s="25"/>
      <c r="N1462" s="25" t="str">
        <f ca="1">IFERROR(__xludf.DUMMYFUNCTION("""COMPUTED_VALUE"""),"濾水壺")</f>
        <v>濾水壺</v>
      </c>
      <c r="O1462" s="25"/>
      <c r="P1462" s="25"/>
      <c r="Q1462" s="25"/>
      <c r="R1462" s="25" t="str">
        <f ca="1">IFERROR(__xludf.DUMMYFUNCTION("""COMPUTED_VALUE"""),"中國")</f>
        <v>中國</v>
      </c>
      <c r="S1462" s="25"/>
      <c r="T1462" s="25"/>
      <c r="U1462" s="25"/>
      <c r="V1462" s="25"/>
      <c r="W1462" s="25"/>
      <c r="X1462" s="25"/>
      <c r="Y1462" s="25"/>
      <c r="Z1462" s="27"/>
      <c r="AA1462" s="28" t="str">
        <f ca="1">IFERROR(__xludf.DUMMYFUNCTION("""COMPUTED_VALUE"""),"超越業界4倍軟水功能，除氯、除鉛、減少水垢")</f>
        <v>超越業界4倍軟水功能，除氯、除鉛、減少水垢</v>
      </c>
    </row>
    <row r="1463" spans="1:27" ht="12.75">
      <c r="A1463" s="25" t="str">
        <f ca="1">IFERROR(__xludf.DUMMYFUNCTION("""COMPUTED_VALUE"""),"居家生活用品")</f>
        <v>居家生活用品</v>
      </c>
      <c r="B1463" s="25" t="str">
        <f ca="1">IFERROR(__xludf.DUMMYFUNCTION("""COMPUTED_VALUE"""),"嘉亨科技")</f>
        <v>嘉亨科技</v>
      </c>
      <c r="C1463" s="25" t="str">
        <f ca="1">IFERROR(__xludf.DUMMYFUNCTION("""COMPUTED_VALUE"""),"Timotei 蒂沐蝶")</f>
        <v>Timotei 蒂沐蝶</v>
      </c>
      <c r="D1463" s="25" t="str">
        <f ca="1">IFERROR(__xludf.DUMMYFUNCTION("""COMPUTED_VALUE"""),"居家_【Timotei 蒂沐蝶】植萃洗髮精500g 洗護組-玫瑰保濕")</f>
        <v>居家_【Timotei 蒂沐蝶】植萃洗髮精500g 洗護組-玫瑰保濕</v>
      </c>
      <c r="E1463" s="25" t="str">
        <f ca="1">IFERROR(__xludf.DUMMYFUNCTION("""COMPUTED_VALUE"""),"MTMB048482369")</f>
        <v>MTMB048482369</v>
      </c>
      <c r="F1463" s="25">
        <f ca="1">IFERROR(__xludf.DUMMYFUNCTION("""COMPUTED_VALUE"""),51020015)</f>
        <v>51020015</v>
      </c>
      <c r="G1463" s="25" t="str">
        <f ca="1">IFERROR(__xludf.DUMMYFUNCTION("""COMPUTED_VALUE"""),"IGEM1035")</f>
        <v>IGEM1035</v>
      </c>
      <c r="H1463" s="26">
        <f ca="1">IFERROR(__xludf.DUMMYFUNCTION("""COMPUTED_VALUE"""),798)</f>
        <v>798</v>
      </c>
      <c r="I1463" s="30">
        <f ca="1">IFERROR(__xludf.DUMMYFUNCTION("""COMPUTED_VALUE"""),430)</f>
        <v>430</v>
      </c>
      <c r="J1463" s="29">
        <f ca="1">IFERROR(__xludf.DUMMYFUNCTION("""COMPUTED_VALUE"""),45475)</f>
        <v>45475</v>
      </c>
      <c r="K1463" s="25" t="str">
        <f ca="1">IFERROR(__xludf.DUMMYFUNCTION("""COMPUTED_VALUE"""),"新機上架")</f>
        <v>新機上架</v>
      </c>
      <c r="L1463" s="26" t="str">
        <f ca="1">IFERROR(__xludf.DUMMYFUNCTION("""COMPUTED_VALUE"""),"上架中")</f>
        <v>上架中</v>
      </c>
      <c r="M1463" s="25"/>
      <c r="N1463" s="25" t="str">
        <f ca="1">IFERROR(__xludf.DUMMYFUNCTION("""COMPUTED_VALUE"""),"洗髮護髮")</f>
        <v>洗髮護髮</v>
      </c>
      <c r="O1463" s="25"/>
      <c r="P1463" s="25" t="str">
        <f ca="1">IFERROR(__xludf.DUMMYFUNCTION("""COMPUTED_VALUE"""),"500g*2")</f>
        <v>500g*2</v>
      </c>
      <c r="Q1463" s="25"/>
      <c r="R1463" s="25" t="str">
        <f ca="1">IFERROR(__xludf.DUMMYFUNCTION("""COMPUTED_VALUE"""),"日本")</f>
        <v>日本</v>
      </c>
      <c r="S1463" s="25"/>
      <c r="T1463" s="25"/>
      <c r="U1463" s="25"/>
      <c r="V1463" s="25"/>
      <c r="W1463" s="25"/>
      <c r="X1463" s="25"/>
      <c r="Y1463" s="25"/>
      <c r="Z1463" s="27"/>
      <c r="AA1463"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64" spans="1:27" ht="12.75">
      <c r="A1464" s="25" t="str">
        <f ca="1">IFERROR(__xludf.DUMMYFUNCTION("""COMPUTED_VALUE"""),"居家生活用品")</f>
        <v>居家生活用品</v>
      </c>
      <c r="B1464" s="25" t="str">
        <f ca="1">IFERROR(__xludf.DUMMYFUNCTION("""COMPUTED_VALUE"""),"嘉亨科技")</f>
        <v>嘉亨科技</v>
      </c>
      <c r="C1464" s="25" t="str">
        <f ca="1">IFERROR(__xludf.DUMMYFUNCTION("""COMPUTED_VALUE"""),"Timotei 蒂沐蝶")</f>
        <v>Timotei 蒂沐蝶</v>
      </c>
      <c r="D1464" s="25" t="str">
        <f ca="1">IFERROR(__xludf.DUMMYFUNCTION("""COMPUTED_VALUE"""),"居家_【Timotei 蒂沐蝶】植萃洗髮精500g 洗護組-茶樹清爽")</f>
        <v>居家_【Timotei 蒂沐蝶】植萃洗髮精500g 洗護組-茶樹清爽</v>
      </c>
      <c r="E1464" s="25" t="str">
        <f ca="1">IFERROR(__xludf.DUMMYFUNCTION("""COMPUTED_VALUE"""),"MTMB048482367")</f>
        <v>MTMB048482367</v>
      </c>
      <c r="F1464" s="25">
        <f ca="1">IFERROR(__xludf.DUMMYFUNCTION("""COMPUTED_VALUE"""),51020016)</f>
        <v>51020016</v>
      </c>
      <c r="G1464" s="25" t="str">
        <f ca="1">IFERROR(__xludf.DUMMYFUNCTION("""COMPUTED_VALUE"""),"IGEM1036")</f>
        <v>IGEM1036</v>
      </c>
      <c r="H1464" s="26">
        <f ca="1">IFERROR(__xludf.DUMMYFUNCTION("""COMPUTED_VALUE"""),798)</f>
        <v>798</v>
      </c>
      <c r="I1464" s="30">
        <f ca="1">IFERROR(__xludf.DUMMYFUNCTION("""COMPUTED_VALUE"""),430)</f>
        <v>430</v>
      </c>
      <c r="J1464" s="29">
        <f ca="1">IFERROR(__xludf.DUMMYFUNCTION("""COMPUTED_VALUE"""),45475)</f>
        <v>45475</v>
      </c>
      <c r="K1464" s="25" t="str">
        <f ca="1">IFERROR(__xludf.DUMMYFUNCTION("""COMPUTED_VALUE"""),"新機上架")</f>
        <v>新機上架</v>
      </c>
      <c r="L1464" s="26" t="str">
        <f ca="1">IFERROR(__xludf.DUMMYFUNCTION("""COMPUTED_VALUE"""),"上架中")</f>
        <v>上架中</v>
      </c>
      <c r="M1464" s="25"/>
      <c r="N1464" s="25" t="str">
        <f ca="1">IFERROR(__xludf.DUMMYFUNCTION("""COMPUTED_VALUE"""),"洗髮護髮")</f>
        <v>洗髮護髮</v>
      </c>
      <c r="O1464" s="25"/>
      <c r="P1464" s="25" t="str">
        <f ca="1">IFERROR(__xludf.DUMMYFUNCTION("""COMPUTED_VALUE"""),"500g*2")</f>
        <v>500g*2</v>
      </c>
      <c r="Q1464" s="25"/>
      <c r="R1464" s="25" t="str">
        <f ca="1">IFERROR(__xludf.DUMMYFUNCTION("""COMPUTED_VALUE"""),"日本")</f>
        <v>日本</v>
      </c>
      <c r="S1464" s="25"/>
      <c r="T1464" s="25"/>
      <c r="U1464" s="25"/>
      <c r="V1464" s="25"/>
      <c r="W1464" s="25"/>
      <c r="X1464" s="25"/>
      <c r="Y1464" s="25"/>
      <c r="Z1464" s="27"/>
      <c r="AA1464"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65" spans="1:27" ht="12.75">
      <c r="A1465" s="25" t="str">
        <f ca="1">IFERROR(__xludf.DUMMYFUNCTION("""COMPUTED_VALUE"""),"居家生活用品")</f>
        <v>居家生活用品</v>
      </c>
      <c r="B1465" s="25" t="str">
        <f ca="1">IFERROR(__xludf.DUMMYFUNCTION("""COMPUTED_VALUE"""),"嘉亨科技")</f>
        <v>嘉亨科技</v>
      </c>
      <c r="C1465" s="25" t="str">
        <f ca="1">IFERROR(__xludf.DUMMYFUNCTION("""COMPUTED_VALUE"""),"Timotei 蒂沐蝶")</f>
        <v>Timotei 蒂沐蝶</v>
      </c>
      <c r="D1465" s="25" t="str">
        <f ca="1">IFERROR(__xludf.DUMMYFUNCTION("""COMPUTED_VALUE"""),"居家_【Timotei 蒂沐蝶】植萃洗髮精500g 洗護組-金盞花修護")</f>
        <v>居家_【Timotei 蒂沐蝶】植萃洗髮精500g 洗護組-金盞花修護</v>
      </c>
      <c r="E1465" s="25" t="str">
        <f ca="1">IFERROR(__xludf.DUMMYFUNCTION("""COMPUTED_VALUE"""),"MTMB048481270")</f>
        <v>MTMB048481270</v>
      </c>
      <c r="F1465" s="25">
        <f ca="1">IFERROR(__xludf.DUMMYFUNCTION("""COMPUTED_VALUE"""),51020063)</f>
        <v>51020063</v>
      </c>
      <c r="G1465" s="25" t="str">
        <f ca="1">IFERROR(__xludf.DUMMYFUNCTION("""COMPUTED_VALUE"""),"IGEM105Z")</f>
        <v>IGEM105Z</v>
      </c>
      <c r="H1465" s="25">
        <f ca="1">IFERROR(__xludf.DUMMYFUNCTION("""COMPUTED_VALUE"""),798)</f>
        <v>798</v>
      </c>
      <c r="I1465" s="27">
        <f ca="1">IFERROR(__xludf.DUMMYFUNCTION("""COMPUTED_VALUE"""),430)</f>
        <v>430</v>
      </c>
      <c r="J1465" s="25"/>
      <c r="K1465" s="25" t="str">
        <f ca="1">IFERROR(__xludf.DUMMYFUNCTION("""COMPUTED_VALUE"""),"新機上架")</f>
        <v>新機上架</v>
      </c>
      <c r="L1465" s="26" t="str">
        <f ca="1">IFERROR(__xludf.DUMMYFUNCTION("""COMPUTED_VALUE"""),"上架中")</f>
        <v>上架中</v>
      </c>
      <c r="M1465" s="25"/>
      <c r="N1465" s="25" t="str">
        <f ca="1">IFERROR(__xludf.DUMMYFUNCTION("""COMPUTED_VALUE"""),"洗髮護髮")</f>
        <v>洗髮護髮</v>
      </c>
      <c r="O1465" s="25"/>
      <c r="P1465" s="25" t="str">
        <f ca="1">IFERROR(__xludf.DUMMYFUNCTION("""COMPUTED_VALUE"""),"500g*2")</f>
        <v>500g*2</v>
      </c>
      <c r="Q1465" s="25"/>
      <c r="R1465" s="25" t="str">
        <f ca="1">IFERROR(__xludf.DUMMYFUNCTION("""COMPUTED_VALUE"""),"日本")</f>
        <v>日本</v>
      </c>
      <c r="S1465" s="25"/>
      <c r="T1465" s="25"/>
      <c r="U1465" s="25"/>
      <c r="V1465" s="25"/>
      <c r="W1465" s="25"/>
      <c r="X1465" s="25"/>
      <c r="Y1465" s="25"/>
      <c r="Z1465" s="27"/>
      <c r="AA1465"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66" spans="1:27" ht="12.75">
      <c r="A1466" s="25" t="str">
        <f ca="1">IFERROR(__xludf.DUMMYFUNCTION("""COMPUTED_VALUE"""),"居家生活用品")</f>
        <v>居家生活用品</v>
      </c>
      <c r="B1466" s="25" t="str">
        <f ca="1">IFERROR(__xludf.DUMMYFUNCTION("""COMPUTED_VALUE"""),"嘉亨科技")</f>
        <v>嘉亨科技</v>
      </c>
      <c r="C1466" s="25" t="str">
        <f ca="1">IFERROR(__xludf.DUMMYFUNCTION("""COMPUTED_VALUE"""),"Timotei 蒂沐蝶")</f>
        <v>Timotei 蒂沐蝶</v>
      </c>
      <c r="D1466" s="25" t="str">
        <f ca="1">IFERROR(__xludf.DUMMYFUNCTION("""COMPUTED_VALUE"""),"居家_【Timotei 蒂沐蝶】植萃洗髮精500g 洗護組-薰衣草豐盈")</f>
        <v>居家_【Timotei 蒂沐蝶】植萃洗髮精500g 洗護組-薰衣草豐盈</v>
      </c>
      <c r="E1466" s="25" t="str">
        <f ca="1">IFERROR(__xludf.DUMMYFUNCTION("""COMPUTED_VALUE"""),"MTMB048481272")</f>
        <v>MTMB048481272</v>
      </c>
      <c r="F1466" s="25">
        <f ca="1">IFERROR(__xludf.DUMMYFUNCTION("""COMPUTED_VALUE"""),51020064)</f>
        <v>51020064</v>
      </c>
      <c r="G1466" s="25" t="str">
        <f ca="1">IFERROR(__xludf.DUMMYFUNCTION("""COMPUTED_VALUE"""),"IGEM1061")</f>
        <v>IGEM1061</v>
      </c>
      <c r="H1466" s="25">
        <f ca="1">IFERROR(__xludf.DUMMYFUNCTION("""COMPUTED_VALUE"""),798)</f>
        <v>798</v>
      </c>
      <c r="I1466" s="27">
        <f ca="1">IFERROR(__xludf.DUMMYFUNCTION("""COMPUTED_VALUE"""),430)</f>
        <v>430</v>
      </c>
      <c r="J1466" s="25"/>
      <c r="K1466" s="25" t="str">
        <f ca="1">IFERROR(__xludf.DUMMYFUNCTION("""COMPUTED_VALUE"""),"新機上架")</f>
        <v>新機上架</v>
      </c>
      <c r="L1466" s="26" t="str">
        <f ca="1">IFERROR(__xludf.DUMMYFUNCTION("""COMPUTED_VALUE"""),"上架中")</f>
        <v>上架中</v>
      </c>
      <c r="M1466" s="25"/>
      <c r="N1466" s="25" t="str">
        <f ca="1">IFERROR(__xludf.DUMMYFUNCTION("""COMPUTED_VALUE"""),"洗髮護髮")</f>
        <v>洗髮護髮</v>
      </c>
      <c r="O1466" s="25"/>
      <c r="P1466" s="25" t="str">
        <f ca="1">IFERROR(__xludf.DUMMYFUNCTION("""COMPUTED_VALUE"""),"500g*2")</f>
        <v>500g*2</v>
      </c>
      <c r="Q1466" s="25"/>
      <c r="R1466" s="25" t="str">
        <f ca="1">IFERROR(__xludf.DUMMYFUNCTION("""COMPUTED_VALUE"""),"日本")</f>
        <v>日本</v>
      </c>
      <c r="S1466" s="25"/>
      <c r="T1466" s="25"/>
      <c r="U1466" s="25"/>
      <c r="V1466" s="25"/>
      <c r="W1466" s="25"/>
      <c r="X1466" s="25"/>
      <c r="Y1466" s="25"/>
      <c r="Z1466" s="27"/>
      <c r="AA1466"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67" spans="1:27" ht="12.75">
      <c r="A1467" s="25" t="str">
        <f ca="1">IFERROR(__xludf.DUMMYFUNCTION("""COMPUTED_VALUE"""),"居家生活用品")</f>
        <v>居家生活用品</v>
      </c>
      <c r="B1467" s="25" t="str">
        <f ca="1">IFERROR(__xludf.DUMMYFUNCTION("""COMPUTED_VALUE"""),"嘉亨科技")</f>
        <v>嘉亨科技</v>
      </c>
      <c r="C1467" s="25" t="str">
        <f ca="1">IFERROR(__xludf.DUMMYFUNCTION("""COMPUTED_VALUE"""),"Timotei 蒂沐蝶")</f>
        <v>Timotei 蒂沐蝶</v>
      </c>
      <c r="D1467" s="25" t="str">
        <f ca="1">IFERROR(__xludf.DUMMYFUNCTION("""COMPUTED_VALUE"""),"居家_【Timotei 蒂沐蝶】植萃洗髮精500g 洗護組-深層純淨")</f>
        <v>居家_【Timotei 蒂沐蝶】植萃洗髮精500g 洗護組-深層純淨</v>
      </c>
      <c r="E1467" s="25" t="str">
        <f ca="1">IFERROR(__xludf.DUMMYFUNCTION("""COMPUTED_VALUE"""),"MTMB048481271")</f>
        <v>MTMB048481271</v>
      </c>
      <c r="F1467" s="25">
        <f ca="1">IFERROR(__xludf.DUMMYFUNCTION("""COMPUTED_VALUE"""),51020065)</f>
        <v>51020065</v>
      </c>
      <c r="G1467" s="25" t="str">
        <f ca="1">IFERROR(__xludf.DUMMYFUNCTION("""COMPUTED_VALUE"""),"IGEM1062")</f>
        <v>IGEM1062</v>
      </c>
      <c r="H1467" s="25">
        <f ca="1">IFERROR(__xludf.DUMMYFUNCTION("""COMPUTED_VALUE"""),798)</f>
        <v>798</v>
      </c>
      <c r="I1467" s="27">
        <f ca="1">IFERROR(__xludf.DUMMYFUNCTION("""COMPUTED_VALUE"""),430)</f>
        <v>430</v>
      </c>
      <c r="J1467" s="25"/>
      <c r="K1467" s="25" t="str">
        <f ca="1">IFERROR(__xludf.DUMMYFUNCTION("""COMPUTED_VALUE"""),"新機上架")</f>
        <v>新機上架</v>
      </c>
      <c r="L1467" s="26" t="str">
        <f ca="1">IFERROR(__xludf.DUMMYFUNCTION("""COMPUTED_VALUE"""),"上架中")</f>
        <v>上架中</v>
      </c>
      <c r="M1467" s="25"/>
      <c r="N1467" s="25" t="str">
        <f ca="1">IFERROR(__xludf.DUMMYFUNCTION("""COMPUTED_VALUE"""),"洗髮護髮")</f>
        <v>洗髮護髮</v>
      </c>
      <c r="O1467" s="25"/>
      <c r="P1467" s="25" t="str">
        <f ca="1">IFERROR(__xludf.DUMMYFUNCTION("""COMPUTED_VALUE"""),"500g*2")</f>
        <v>500g*2</v>
      </c>
      <c r="Q1467" s="25"/>
      <c r="R1467" s="25" t="str">
        <f ca="1">IFERROR(__xludf.DUMMYFUNCTION("""COMPUTED_VALUE"""),"日本")</f>
        <v>日本</v>
      </c>
      <c r="S1467" s="25"/>
      <c r="T1467" s="25"/>
      <c r="U1467" s="25"/>
      <c r="V1467" s="25"/>
      <c r="W1467" s="25"/>
      <c r="X1467" s="25"/>
      <c r="Y1467" s="25"/>
      <c r="Z1467" s="27"/>
      <c r="AA1467"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68" spans="1:27" ht="12.75">
      <c r="A1468" s="25" t="str">
        <f ca="1">IFERROR(__xludf.DUMMYFUNCTION("""COMPUTED_VALUE"""),"居家生活用品")</f>
        <v>居家生活用品</v>
      </c>
      <c r="B1468" s="25" t="str">
        <f ca="1">IFERROR(__xludf.DUMMYFUNCTION("""COMPUTED_VALUE"""),"嘉亨科技")</f>
        <v>嘉亨科技</v>
      </c>
      <c r="C1468" s="25" t="str">
        <f ca="1">IFERROR(__xludf.DUMMYFUNCTION("""COMPUTED_VALUE"""),"Timotei 蒂沐蝶")</f>
        <v>Timotei 蒂沐蝶</v>
      </c>
      <c r="D1468" s="25" t="str">
        <f ca="1">IFERROR(__xludf.DUMMYFUNCTION("""COMPUTED_VALUE"""),"居家_【Timotei 蒂沐蝶】植萃洗髮精500g 2入組-玫瑰保濕")</f>
        <v>居家_【Timotei 蒂沐蝶】植萃洗髮精500g 2入組-玫瑰保濕</v>
      </c>
      <c r="E1468" s="25" t="str">
        <f ca="1">IFERROR(__xludf.DUMMYFUNCTION("""COMPUTED_VALUE"""),"MTMB048485000")</f>
        <v>MTMB048485000</v>
      </c>
      <c r="F1468" s="25">
        <f ca="1">IFERROR(__xludf.DUMMYFUNCTION("""COMPUTED_VALUE"""),51020095)</f>
        <v>51020095</v>
      </c>
      <c r="G1468" s="25" t="str">
        <f ca="1">IFERROR(__xludf.DUMMYFUNCTION("""COMPUTED_VALUE"""),"IGEM1128")</f>
        <v>IGEM1128</v>
      </c>
      <c r="H1468" s="26">
        <f ca="1">IFERROR(__xludf.DUMMYFUNCTION("""COMPUTED_VALUE"""),798)</f>
        <v>798</v>
      </c>
      <c r="I1468" s="30">
        <f ca="1">IFERROR(__xludf.DUMMYFUNCTION("""COMPUTED_VALUE"""),430)</f>
        <v>430</v>
      </c>
      <c r="J1468" s="25"/>
      <c r="K1468" s="25"/>
      <c r="L1468" s="26" t="str">
        <f ca="1">IFERROR(__xludf.DUMMYFUNCTION("""COMPUTED_VALUE"""),"上架中")</f>
        <v>上架中</v>
      </c>
      <c r="M1468" s="25"/>
      <c r="N1468" s="25" t="str">
        <f ca="1">IFERROR(__xludf.DUMMYFUNCTION("""COMPUTED_VALUE"""),"洗髮護髮
")</f>
        <v xml:space="preserve">洗髮護髮
</v>
      </c>
      <c r="O1468" s="25"/>
      <c r="P1468" s="25" t="str">
        <f ca="1">IFERROR(__xludf.DUMMYFUNCTION("""COMPUTED_VALUE"""),"500g*2")</f>
        <v>500g*2</v>
      </c>
      <c r="Q1468" s="25"/>
      <c r="R1468" s="25" t="str">
        <f ca="1">IFERROR(__xludf.DUMMYFUNCTION("""COMPUTED_VALUE"""),"日本")</f>
        <v>日本</v>
      </c>
      <c r="S1468" s="25" t="str">
        <f ca="1">IFERROR(__xludf.DUMMYFUNCTION("""COMPUTED_VALUE"""),"歐洲有機認證成分
")</f>
        <v xml:space="preserve">歐洲有機認證成分
</v>
      </c>
      <c r="T1468" s="25"/>
      <c r="U1468" s="25"/>
      <c r="V1468" s="25"/>
      <c r="W1468" s="25"/>
      <c r="X1468" s="25"/>
      <c r="Y1468" s="25"/>
      <c r="Z1468" s="27"/>
      <c r="AA1468"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69" spans="1:27" ht="12.75">
      <c r="A1469" s="25" t="str">
        <f ca="1">IFERROR(__xludf.DUMMYFUNCTION("""COMPUTED_VALUE"""),"居家生活用品")</f>
        <v>居家生活用品</v>
      </c>
      <c r="B1469" s="25" t="str">
        <f ca="1">IFERROR(__xludf.DUMMYFUNCTION("""COMPUTED_VALUE"""),"嘉亨科技")</f>
        <v>嘉亨科技</v>
      </c>
      <c r="C1469" s="25" t="str">
        <f ca="1">IFERROR(__xludf.DUMMYFUNCTION("""COMPUTED_VALUE"""),"Timotei 蒂沐蝶")</f>
        <v>Timotei 蒂沐蝶</v>
      </c>
      <c r="D1469" s="25" t="str">
        <f ca="1">IFERROR(__xludf.DUMMYFUNCTION("""COMPUTED_VALUE"""),"居家_【Timotei 蒂沐蝶】植萃洗髮精500g 2入組-茶樹清爽")</f>
        <v>居家_【Timotei 蒂沐蝶】植萃洗髮精500g 2入組-茶樹清爽</v>
      </c>
      <c r="E1469" s="25" t="str">
        <f ca="1">IFERROR(__xludf.DUMMYFUNCTION("""COMPUTED_VALUE"""),"MTMB048485001")</f>
        <v>MTMB048485001</v>
      </c>
      <c r="F1469" s="25">
        <f ca="1">IFERROR(__xludf.DUMMYFUNCTION("""COMPUTED_VALUE"""),51020096)</f>
        <v>51020096</v>
      </c>
      <c r="G1469" s="25" t="str">
        <f ca="1">IFERROR(__xludf.DUMMYFUNCTION("""COMPUTED_VALUE"""),"IGEM1129")</f>
        <v>IGEM1129</v>
      </c>
      <c r="H1469" s="26">
        <f ca="1">IFERROR(__xludf.DUMMYFUNCTION("""COMPUTED_VALUE"""),798)</f>
        <v>798</v>
      </c>
      <c r="I1469" s="30">
        <f ca="1">IFERROR(__xludf.DUMMYFUNCTION("""COMPUTED_VALUE"""),430)</f>
        <v>430</v>
      </c>
      <c r="J1469" s="25"/>
      <c r="K1469" s="25"/>
      <c r="L1469" s="26" t="str">
        <f ca="1">IFERROR(__xludf.DUMMYFUNCTION("""COMPUTED_VALUE"""),"上架中")</f>
        <v>上架中</v>
      </c>
      <c r="M1469" s="25"/>
      <c r="N1469" s="25" t="str">
        <f ca="1">IFERROR(__xludf.DUMMYFUNCTION("""COMPUTED_VALUE"""),"洗髮護髮
")</f>
        <v xml:space="preserve">洗髮護髮
</v>
      </c>
      <c r="O1469" s="25"/>
      <c r="P1469" s="25" t="str">
        <f ca="1">IFERROR(__xludf.DUMMYFUNCTION("""COMPUTED_VALUE"""),"500g*2")</f>
        <v>500g*2</v>
      </c>
      <c r="Q1469" s="25"/>
      <c r="R1469" s="25" t="str">
        <f ca="1">IFERROR(__xludf.DUMMYFUNCTION("""COMPUTED_VALUE"""),"日本")</f>
        <v>日本</v>
      </c>
      <c r="S1469" s="25" t="str">
        <f ca="1">IFERROR(__xludf.DUMMYFUNCTION("""COMPUTED_VALUE"""),"歐洲有機認證成分
")</f>
        <v xml:space="preserve">歐洲有機認證成分
</v>
      </c>
      <c r="T1469" s="25"/>
      <c r="U1469" s="25"/>
      <c r="V1469" s="25"/>
      <c r="W1469" s="25"/>
      <c r="X1469" s="25"/>
      <c r="Y1469" s="25"/>
      <c r="Z1469" s="27"/>
      <c r="AA1469"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70" spans="1:27" ht="12.75">
      <c r="A1470" s="25" t="str">
        <f ca="1">IFERROR(__xludf.DUMMYFUNCTION("""COMPUTED_VALUE"""),"居家生活用品")</f>
        <v>居家生活用品</v>
      </c>
      <c r="B1470" s="25" t="str">
        <f ca="1">IFERROR(__xludf.DUMMYFUNCTION("""COMPUTED_VALUE"""),"嘉亨科技")</f>
        <v>嘉亨科技</v>
      </c>
      <c r="C1470" s="25" t="str">
        <f ca="1">IFERROR(__xludf.DUMMYFUNCTION("""COMPUTED_VALUE"""),"Timotei 蒂沐蝶")</f>
        <v>Timotei 蒂沐蝶</v>
      </c>
      <c r="D1470" s="25" t="str">
        <f ca="1">IFERROR(__xludf.DUMMYFUNCTION("""COMPUTED_VALUE"""),"居家_【Timotei 蒂沐蝶】植萃洗髮精500g 2入組-金盞花修護")</f>
        <v>居家_【Timotei 蒂沐蝶】植萃洗髮精500g 2入組-金盞花修護</v>
      </c>
      <c r="E1470" s="25" t="str">
        <f ca="1">IFERROR(__xludf.DUMMYFUNCTION("""COMPUTED_VALUE"""),"MTMB048485002")</f>
        <v>MTMB048485002</v>
      </c>
      <c r="F1470" s="25">
        <f ca="1">IFERROR(__xludf.DUMMYFUNCTION("""COMPUTED_VALUE"""),51020097)</f>
        <v>51020097</v>
      </c>
      <c r="G1470" s="25" t="str">
        <f ca="1">IFERROR(__xludf.DUMMYFUNCTION("""COMPUTED_VALUE"""),"IGEM112A")</f>
        <v>IGEM112A</v>
      </c>
      <c r="H1470" s="26">
        <f ca="1">IFERROR(__xludf.DUMMYFUNCTION("""COMPUTED_VALUE"""),798)</f>
        <v>798</v>
      </c>
      <c r="I1470" s="30">
        <f ca="1">IFERROR(__xludf.DUMMYFUNCTION("""COMPUTED_VALUE"""),430)</f>
        <v>430</v>
      </c>
      <c r="J1470" s="25"/>
      <c r="K1470" s="25"/>
      <c r="L1470" s="26" t="str">
        <f ca="1">IFERROR(__xludf.DUMMYFUNCTION("""COMPUTED_VALUE"""),"上架中")</f>
        <v>上架中</v>
      </c>
      <c r="M1470" s="25"/>
      <c r="N1470" s="25" t="str">
        <f ca="1">IFERROR(__xludf.DUMMYFUNCTION("""COMPUTED_VALUE"""),"洗髮護髮
")</f>
        <v xml:space="preserve">洗髮護髮
</v>
      </c>
      <c r="O1470" s="25"/>
      <c r="P1470" s="25" t="str">
        <f ca="1">IFERROR(__xludf.DUMMYFUNCTION("""COMPUTED_VALUE"""),"500g*2")</f>
        <v>500g*2</v>
      </c>
      <c r="Q1470" s="25"/>
      <c r="R1470" s="25" t="str">
        <f ca="1">IFERROR(__xludf.DUMMYFUNCTION("""COMPUTED_VALUE"""),"日本")</f>
        <v>日本</v>
      </c>
      <c r="S1470" s="25" t="str">
        <f ca="1">IFERROR(__xludf.DUMMYFUNCTION("""COMPUTED_VALUE"""),"歐洲有機認證成分
")</f>
        <v xml:space="preserve">歐洲有機認證成分
</v>
      </c>
      <c r="T1470" s="25"/>
      <c r="U1470" s="25"/>
      <c r="V1470" s="25"/>
      <c r="W1470" s="25"/>
      <c r="X1470" s="25"/>
      <c r="Y1470" s="25"/>
      <c r="Z1470" s="27"/>
      <c r="AA1470"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71" spans="1:27" ht="12.75">
      <c r="A1471" s="25" t="str">
        <f ca="1">IFERROR(__xludf.DUMMYFUNCTION("""COMPUTED_VALUE"""),"居家生活用品")</f>
        <v>居家生活用品</v>
      </c>
      <c r="B1471" s="25" t="str">
        <f ca="1">IFERROR(__xludf.DUMMYFUNCTION("""COMPUTED_VALUE"""),"嘉亨科技")</f>
        <v>嘉亨科技</v>
      </c>
      <c r="C1471" s="25" t="str">
        <f ca="1">IFERROR(__xludf.DUMMYFUNCTION("""COMPUTED_VALUE"""),"Timotei 蒂沐蝶")</f>
        <v>Timotei 蒂沐蝶</v>
      </c>
      <c r="D1471" s="25" t="str">
        <f ca="1">IFERROR(__xludf.DUMMYFUNCTION("""COMPUTED_VALUE"""),"居家_【Timotei 蒂沐蝶】植萃洗髮精500g 2入組-薰衣草豐盈")</f>
        <v>居家_【Timotei 蒂沐蝶】植萃洗髮精500g 2入組-薰衣草豐盈</v>
      </c>
      <c r="E1471" s="25" t="str">
        <f ca="1">IFERROR(__xludf.DUMMYFUNCTION("""COMPUTED_VALUE"""),"MTMB048485003")</f>
        <v>MTMB048485003</v>
      </c>
      <c r="F1471" s="25">
        <f ca="1">IFERROR(__xludf.DUMMYFUNCTION("""COMPUTED_VALUE"""),51020098)</f>
        <v>51020098</v>
      </c>
      <c r="G1471" s="25" t="str">
        <f ca="1">IFERROR(__xludf.DUMMYFUNCTION("""COMPUTED_VALUE"""),"IGEM112B")</f>
        <v>IGEM112B</v>
      </c>
      <c r="H1471" s="26">
        <f ca="1">IFERROR(__xludf.DUMMYFUNCTION("""COMPUTED_VALUE"""),798)</f>
        <v>798</v>
      </c>
      <c r="I1471" s="30">
        <f ca="1">IFERROR(__xludf.DUMMYFUNCTION("""COMPUTED_VALUE"""),430)</f>
        <v>430</v>
      </c>
      <c r="J1471" s="25"/>
      <c r="K1471" s="25"/>
      <c r="L1471" s="26" t="str">
        <f ca="1">IFERROR(__xludf.DUMMYFUNCTION("""COMPUTED_VALUE"""),"上架中")</f>
        <v>上架中</v>
      </c>
      <c r="M1471" s="25"/>
      <c r="N1471" s="25" t="str">
        <f ca="1">IFERROR(__xludf.DUMMYFUNCTION("""COMPUTED_VALUE"""),"洗髮護髮
")</f>
        <v xml:space="preserve">洗髮護髮
</v>
      </c>
      <c r="O1471" s="25"/>
      <c r="P1471" s="25" t="str">
        <f ca="1">IFERROR(__xludf.DUMMYFUNCTION("""COMPUTED_VALUE"""),"500g*2")</f>
        <v>500g*2</v>
      </c>
      <c r="Q1471" s="25"/>
      <c r="R1471" s="25" t="str">
        <f ca="1">IFERROR(__xludf.DUMMYFUNCTION("""COMPUTED_VALUE"""),"日本")</f>
        <v>日本</v>
      </c>
      <c r="S1471" s="25" t="str">
        <f ca="1">IFERROR(__xludf.DUMMYFUNCTION("""COMPUTED_VALUE"""),"歐洲有機認證成分
")</f>
        <v xml:space="preserve">歐洲有機認證成分
</v>
      </c>
      <c r="T1471" s="25"/>
      <c r="U1471" s="25"/>
      <c r="V1471" s="25"/>
      <c r="W1471" s="25"/>
      <c r="X1471" s="25"/>
      <c r="Y1471" s="25"/>
      <c r="Z1471" s="27"/>
      <c r="AA1471"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72" spans="1:27" ht="12.75">
      <c r="A1472" s="25" t="str">
        <f ca="1">IFERROR(__xludf.DUMMYFUNCTION("""COMPUTED_VALUE"""),"居家生活用品")</f>
        <v>居家生活用品</v>
      </c>
      <c r="B1472" s="25" t="str">
        <f ca="1">IFERROR(__xludf.DUMMYFUNCTION("""COMPUTED_VALUE"""),"嘉亨科技")</f>
        <v>嘉亨科技</v>
      </c>
      <c r="C1472" s="25" t="str">
        <f ca="1">IFERROR(__xludf.DUMMYFUNCTION("""COMPUTED_VALUE"""),"Timotei 蒂沐蝶")</f>
        <v>Timotei 蒂沐蝶</v>
      </c>
      <c r="D1472" s="25" t="str">
        <f ca="1">IFERROR(__xludf.DUMMYFUNCTION("""COMPUTED_VALUE"""),"居家_【Timotei 蒂沐蝶】植萃洗髮精500g 2入組-深層純淨")</f>
        <v>居家_【Timotei 蒂沐蝶】植萃洗髮精500g 2入組-深層純淨</v>
      </c>
      <c r="E1472" s="25" t="str">
        <f ca="1">IFERROR(__xludf.DUMMYFUNCTION("""COMPUTED_VALUE"""),"MTMB048485004")</f>
        <v>MTMB048485004</v>
      </c>
      <c r="F1472" s="25">
        <f ca="1">IFERROR(__xludf.DUMMYFUNCTION("""COMPUTED_VALUE"""),51020099)</f>
        <v>51020099</v>
      </c>
      <c r="G1472" s="25" t="str">
        <f ca="1">IFERROR(__xludf.DUMMYFUNCTION("""COMPUTED_VALUE"""),"IGEM112C")</f>
        <v>IGEM112C</v>
      </c>
      <c r="H1472" s="26">
        <f ca="1">IFERROR(__xludf.DUMMYFUNCTION("""COMPUTED_VALUE"""),798)</f>
        <v>798</v>
      </c>
      <c r="I1472" s="30">
        <f ca="1">IFERROR(__xludf.DUMMYFUNCTION("""COMPUTED_VALUE"""),430)</f>
        <v>430</v>
      </c>
      <c r="J1472" s="25"/>
      <c r="K1472" s="25"/>
      <c r="L1472" s="26" t="str">
        <f ca="1">IFERROR(__xludf.DUMMYFUNCTION("""COMPUTED_VALUE"""),"上架中")</f>
        <v>上架中</v>
      </c>
      <c r="M1472" s="25"/>
      <c r="N1472" s="25" t="str">
        <f ca="1">IFERROR(__xludf.DUMMYFUNCTION("""COMPUTED_VALUE"""),"洗髮護髮
")</f>
        <v xml:space="preserve">洗髮護髮
</v>
      </c>
      <c r="O1472" s="25"/>
      <c r="P1472" s="25" t="str">
        <f ca="1">IFERROR(__xludf.DUMMYFUNCTION("""COMPUTED_VALUE"""),"500g*2")</f>
        <v>500g*2</v>
      </c>
      <c r="Q1472" s="25"/>
      <c r="R1472" s="25" t="str">
        <f ca="1">IFERROR(__xludf.DUMMYFUNCTION("""COMPUTED_VALUE"""),"日本")</f>
        <v>日本</v>
      </c>
      <c r="S1472" s="25" t="str">
        <f ca="1">IFERROR(__xludf.DUMMYFUNCTION("""COMPUTED_VALUE"""),"歐洲有機認證成分
")</f>
        <v xml:space="preserve">歐洲有機認證成分
</v>
      </c>
      <c r="T1472" s="25"/>
      <c r="U1472" s="25"/>
      <c r="V1472" s="25"/>
      <c r="W1472" s="25"/>
      <c r="X1472" s="25"/>
      <c r="Y1472" s="25"/>
      <c r="Z1472" s="27"/>
      <c r="AA1472"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73" spans="1:27" ht="12.75">
      <c r="A1473" s="25" t="str">
        <f ca="1">IFERROR(__xludf.DUMMYFUNCTION("""COMPUTED_VALUE"""),"居家生活用品")</f>
        <v>居家生活用品</v>
      </c>
      <c r="B1473" s="25" t="str">
        <f ca="1">IFERROR(__xludf.DUMMYFUNCTION("""COMPUTED_VALUE"""),"嘉亨科技")</f>
        <v>嘉亨科技</v>
      </c>
      <c r="C1473" s="25" t="str">
        <f ca="1">IFERROR(__xludf.DUMMYFUNCTION("""COMPUTED_VALUE"""),"Timotei 蒂沐蝶")</f>
        <v>Timotei 蒂沐蝶</v>
      </c>
      <c r="D1473" s="25" t="str">
        <f ca="1">IFERROR(__xludf.DUMMYFUNCTION("""COMPUTED_VALUE"""),"居家_【Timotei 蒂沐蝶】植萃洗髮精補充包385g 2入組-深層純淨")</f>
        <v>居家_【Timotei 蒂沐蝶】植萃洗髮精補充包385g 2入組-深層純淨</v>
      </c>
      <c r="E1473" s="25" t="str">
        <f ca="1">IFERROR(__xludf.DUMMYFUNCTION("""COMPUTED_VALUE"""),"MTMB048485005")</f>
        <v>MTMB048485005</v>
      </c>
      <c r="F1473" s="25">
        <f ca="1">IFERROR(__xludf.DUMMYFUNCTION("""COMPUTED_VALUE"""),51020100)</f>
        <v>51020100</v>
      </c>
      <c r="G1473" s="25" t="str">
        <f ca="1">IFERROR(__xludf.DUMMYFUNCTION("""COMPUTED_VALUE"""),"IGEM112D")</f>
        <v>IGEM112D</v>
      </c>
      <c r="H1473" s="26">
        <f ca="1">IFERROR(__xludf.DUMMYFUNCTION("""COMPUTED_VALUE"""),598)</f>
        <v>598</v>
      </c>
      <c r="I1473" s="30">
        <f ca="1">IFERROR(__xludf.DUMMYFUNCTION("""COMPUTED_VALUE"""),289)</f>
        <v>289</v>
      </c>
      <c r="J1473" s="25"/>
      <c r="K1473" s="25"/>
      <c r="L1473" s="26" t="str">
        <f ca="1">IFERROR(__xludf.DUMMYFUNCTION("""COMPUTED_VALUE"""),"上架中")</f>
        <v>上架中</v>
      </c>
      <c r="M1473" s="25"/>
      <c r="N1473" s="25" t="str">
        <f ca="1">IFERROR(__xludf.DUMMYFUNCTION("""COMPUTED_VALUE"""),"洗髮護髮
")</f>
        <v xml:space="preserve">洗髮護髮
</v>
      </c>
      <c r="O1473" s="25"/>
      <c r="P1473" s="25" t="str">
        <f ca="1">IFERROR(__xludf.DUMMYFUNCTION("""COMPUTED_VALUE"""),"385g*2")</f>
        <v>385g*2</v>
      </c>
      <c r="Q1473" s="25"/>
      <c r="R1473" s="25" t="str">
        <f ca="1">IFERROR(__xludf.DUMMYFUNCTION("""COMPUTED_VALUE"""),"日本")</f>
        <v>日本</v>
      </c>
      <c r="S1473" s="25" t="str">
        <f ca="1">IFERROR(__xludf.DUMMYFUNCTION("""COMPUTED_VALUE"""),"歐洲有機認證成分
")</f>
        <v xml:space="preserve">歐洲有機認證成分
</v>
      </c>
      <c r="T1473" s="25"/>
      <c r="U1473" s="25"/>
      <c r="V1473" s="25"/>
      <c r="W1473" s="25"/>
      <c r="X1473" s="25"/>
      <c r="Y1473" s="25"/>
      <c r="Z1473" s="27"/>
      <c r="AA1473" s="28" t="str">
        <f ca="1">IFERROR(__xludf.DUMMYFUNCTION("""COMPUTED_VALUE"""),"日本原裝進口，不添加矽靈及合成著色劑，含有機認證成分配方，無添加parabens防腐劑")</f>
        <v>日本原裝進口，不添加矽靈及合成著色劑，含有機認證成分配方，無添加parabens防腐劑</v>
      </c>
    </row>
    <row r="1474" spans="1:27" ht="12.75">
      <c r="A1474" s="25" t="str">
        <f ca="1">IFERROR(__xludf.DUMMYFUNCTION("""COMPUTED_VALUE"""),"居家生活用品")</f>
        <v>居家生活用品</v>
      </c>
      <c r="B1474" s="25" t="str">
        <f ca="1">IFERROR(__xludf.DUMMYFUNCTION("""COMPUTED_VALUE"""),"嘉亨科技")</f>
        <v>嘉亨科技</v>
      </c>
      <c r="C1474" s="25" t="str">
        <f ca="1">IFERROR(__xludf.DUMMYFUNCTION("""COMPUTED_VALUE"""),"MEDIMIX")</f>
        <v>MEDIMIX</v>
      </c>
      <c r="D1474" s="25" t="str">
        <f ca="1">IFERROR(__xludf.DUMMYFUNCTION("""COMPUTED_VALUE"""),"居家_【印度 MEDIMIX】皇室藥草浴美肌皂200g增量版4入組-檀香")</f>
        <v>居家_【印度 MEDIMIX】皇室藥草浴美肌皂200g增量版4入組-檀香</v>
      </c>
      <c r="E1474" s="25" t="str">
        <f ca="1">IFERROR(__xludf.DUMMYFUNCTION("""COMPUTED_VALUE"""),"MMDB01HS141")</f>
        <v>MMDB01HS141</v>
      </c>
      <c r="F1474" s="25">
        <f ca="1">IFERROR(__xludf.DUMMYFUNCTION("""COMPUTED_VALUE"""),51020017)</f>
        <v>51020017</v>
      </c>
      <c r="G1474" s="25" t="str">
        <f ca="1">IFERROR(__xludf.DUMMYFUNCTION("""COMPUTED_VALUE"""),"IGEM1037")</f>
        <v>IGEM1037</v>
      </c>
      <c r="H1474" s="26">
        <f ca="1">IFERROR(__xludf.DUMMYFUNCTION("""COMPUTED_VALUE"""),590)</f>
        <v>590</v>
      </c>
      <c r="I1474" s="30">
        <f ca="1">IFERROR(__xludf.DUMMYFUNCTION("""COMPUTED_VALUE"""),235)</f>
        <v>235</v>
      </c>
      <c r="J1474" s="29">
        <f ca="1">IFERROR(__xludf.DUMMYFUNCTION("""COMPUTED_VALUE"""),45475)</f>
        <v>45475</v>
      </c>
      <c r="K1474" s="25" t="str">
        <f ca="1">IFERROR(__xludf.DUMMYFUNCTION("""COMPUTED_VALUE"""),"新機上架")</f>
        <v>新機上架</v>
      </c>
      <c r="L1474" s="26" t="str">
        <f ca="1">IFERROR(__xludf.DUMMYFUNCTION("""COMPUTED_VALUE"""),"上架中")</f>
        <v>上架中</v>
      </c>
      <c r="M1474" s="25"/>
      <c r="N1474" s="25" t="str">
        <f ca="1">IFERROR(__xludf.DUMMYFUNCTION("""COMPUTED_VALUE"""),"身體清潔")</f>
        <v>身體清潔</v>
      </c>
      <c r="O1474" s="25"/>
      <c r="P1474" s="25" t="str">
        <f ca="1">IFERROR(__xludf.DUMMYFUNCTION("""COMPUTED_VALUE"""),"200g*4")</f>
        <v>200g*4</v>
      </c>
      <c r="Q1474" s="25"/>
      <c r="R1474" s="25" t="str">
        <f ca="1">IFERROR(__xludf.DUMMYFUNCTION("""COMPUTED_VALUE"""),"印度")</f>
        <v>印度</v>
      </c>
      <c r="S1474" s="25"/>
      <c r="T1474" s="25"/>
      <c r="U1474" s="25"/>
      <c r="V1474" s="25"/>
      <c r="W1474" s="25"/>
      <c r="X1474" s="25"/>
      <c r="Y1474" s="25"/>
      <c r="Z1474" s="27"/>
      <c r="AA1474" s="28" t="str">
        <f ca="1">IFERROR(__xludf.DUMMYFUNCTION("""COMPUTED_VALUE"""),"超人氣熱銷團購囤貨商品，溫和洗淨不刺激，遵循阿育吠陀古法草本精萃，大顆優惠包裝組")</f>
        <v>超人氣熱銷團購囤貨商品，溫和洗淨不刺激，遵循阿育吠陀古法草本精萃，大顆優惠包裝組</v>
      </c>
    </row>
    <row r="1475" spans="1:27" ht="12.75">
      <c r="A1475" s="25" t="str">
        <f ca="1">IFERROR(__xludf.DUMMYFUNCTION("""COMPUTED_VALUE"""),"居家生活用品")</f>
        <v>居家生活用品</v>
      </c>
      <c r="B1475" s="25" t="str">
        <f ca="1">IFERROR(__xludf.DUMMYFUNCTION("""COMPUTED_VALUE"""),"嘉亨科技")</f>
        <v>嘉亨科技</v>
      </c>
      <c r="C1475" s="25" t="str">
        <f ca="1">IFERROR(__xludf.DUMMYFUNCTION("""COMPUTED_VALUE"""),"MEDIMIX")</f>
        <v>MEDIMIX</v>
      </c>
      <c r="D1475" s="25" t="str">
        <f ca="1">IFERROR(__xludf.DUMMYFUNCTION("""COMPUTED_VALUE"""),"居家_【印度 MEDIMIX】皇室藥草浴美肌皂200g增量版4入組-草本")</f>
        <v>居家_【印度 MEDIMIX】皇室藥草浴美肌皂200g增量版4入組-草本</v>
      </c>
      <c r="E1475" s="25" t="str">
        <f ca="1">IFERROR(__xludf.DUMMYFUNCTION("""COMPUTED_VALUE"""),"MMDB01HS142")</f>
        <v>MMDB01HS142</v>
      </c>
      <c r="F1475" s="25">
        <f ca="1">IFERROR(__xludf.DUMMYFUNCTION("""COMPUTED_VALUE"""),51020018)</f>
        <v>51020018</v>
      </c>
      <c r="G1475" s="25" t="str">
        <f ca="1">IFERROR(__xludf.DUMMYFUNCTION("""COMPUTED_VALUE"""),"IGEM1038")</f>
        <v>IGEM1038</v>
      </c>
      <c r="H1475" s="26">
        <f ca="1">IFERROR(__xludf.DUMMYFUNCTION("""COMPUTED_VALUE"""),590)</f>
        <v>590</v>
      </c>
      <c r="I1475" s="30">
        <f ca="1">IFERROR(__xludf.DUMMYFUNCTION("""COMPUTED_VALUE"""),235)</f>
        <v>235</v>
      </c>
      <c r="J1475" s="29">
        <f ca="1">IFERROR(__xludf.DUMMYFUNCTION("""COMPUTED_VALUE"""),45475)</f>
        <v>45475</v>
      </c>
      <c r="K1475" s="25" t="str">
        <f ca="1">IFERROR(__xludf.DUMMYFUNCTION("""COMPUTED_VALUE"""),"新機上架")</f>
        <v>新機上架</v>
      </c>
      <c r="L1475" s="26" t="str">
        <f ca="1">IFERROR(__xludf.DUMMYFUNCTION("""COMPUTED_VALUE"""),"上架中")</f>
        <v>上架中</v>
      </c>
      <c r="M1475" s="25"/>
      <c r="N1475" s="25" t="str">
        <f ca="1">IFERROR(__xludf.DUMMYFUNCTION("""COMPUTED_VALUE"""),"身體清潔")</f>
        <v>身體清潔</v>
      </c>
      <c r="O1475" s="25"/>
      <c r="P1475" s="25" t="str">
        <f ca="1">IFERROR(__xludf.DUMMYFUNCTION("""COMPUTED_VALUE"""),"200g*4")</f>
        <v>200g*4</v>
      </c>
      <c r="Q1475" s="25"/>
      <c r="R1475" s="25" t="str">
        <f ca="1">IFERROR(__xludf.DUMMYFUNCTION("""COMPUTED_VALUE"""),"印度")</f>
        <v>印度</v>
      </c>
      <c r="S1475" s="25"/>
      <c r="T1475" s="25"/>
      <c r="U1475" s="25"/>
      <c r="V1475" s="25"/>
      <c r="W1475" s="25"/>
      <c r="X1475" s="25"/>
      <c r="Y1475" s="25"/>
      <c r="Z1475" s="27"/>
      <c r="AA1475" s="28" t="str">
        <f ca="1">IFERROR(__xludf.DUMMYFUNCTION("""COMPUTED_VALUE"""),"超人氣熱銷團購囤貨商品，溫和洗淨不刺激，遵循阿育吠陀古法草本精萃，大顆優惠包裝組")</f>
        <v>超人氣熱銷團購囤貨商品，溫和洗淨不刺激，遵循阿育吠陀古法草本精萃，大顆優惠包裝組</v>
      </c>
    </row>
    <row r="1476" spans="1:27" ht="12.75">
      <c r="A1476" s="25" t="str">
        <f ca="1">IFERROR(__xludf.DUMMYFUNCTION("""COMPUTED_VALUE"""),"居家生活用品")</f>
        <v>居家生活用品</v>
      </c>
      <c r="B1476" s="25" t="str">
        <f ca="1">IFERROR(__xludf.DUMMYFUNCTION("""COMPUTED_VALUE"""),"嘉亨科技")</f>
        <v>嘉亨科技</v>
      </c>
      <c r="C1476" s="25" t="str">
        <f ca="1">IFERROR(__xludf.DUMMYFUNCTION("""COMPUTED_VALUE"""),"MEDIMIX")</f>
        <v>MEDIMIX</v>
      </c>
      <c r="D1476" s="25" t="str">
        <f ca="1">IFERROR(__xludf.DUMMYFUNCTION("""COMPUTED_VALUE"""),"居家_【印度 MEDIMIX】皇室藥草浴美肌皂200g增量版4入組-寶貝")</f>
        <v>居家_【印度 MEDIMIX】皇室藥草浴美肌皂200g增量版4入組-寶貝</v>
      </c>
      <c r="E1476" s="25" t="str">
        <f ca="1">IFERROR(__xludf.DUMMYFUNCTION("""COMPUTED_VALUE"""),"MMDB01HS143")</f>
        <v>MMDB01HS143</v>
      </c>
      <c r="F1476" s="25">
        <f ca="1">IFERROR(__xludf.DUMMYFUNCTION("""COMPUTED_VALUE"""),51020019)</f>
        <v>51020019</v>
      </c>
      <c r="G1476" s="25" t="str">
        <f ca="1">IFERROR(__xludf.DUMMYFUNCTION("""COMPUTED_VALUE"""),"IGEM1039")</f>
        <v>IGEM1039</v>
      </c>
      <c r="H1476" s="26">
        <f ca="1">IFERROR(__xludf.DUMMYFUNCTION("""COMPUTED_VALUE"""),590)</f>
        <v>590</v>
      </c>
      <c r="I1476" s="30">
        <f ca="1">IFERROR(__xludf.DUMMYFUNCTION("""COMPUTED_VALUE"""),235)</f>
        <v>235</v>
      </c>
      <c r="J1476" s="29">
        <f ca="1">IFERROR(__xludf.DUMMYFUNCTION("""COMPUTED_VALUE"""),45475)</f>
        <v>45475</v>
      </c>
      <c r="K1476" s="25" t="str">
        <f ca="1">IFERROR(__xludf.DUMMYFUNCTION("""COMPUTED_VALUE"""),"新機上架")</f>
        <v>新機上架</v>
      </c>
      <c r="L1476" s="26" t="str">
        <f ca="1">IFERROR(__xludf.DUMMYFUNCTION("""COMPUTED_VALUE"""),"上架中")</f>
        <v>上架中</v>
      </c>
      <c r="M1476" s="25"/>
      <c r="N1476" s="25" t="str">
        <f ca="1">IFERROR(__xludf.DUMMYFUNCTION("""COMPUTED_VALUE"""),"身體清潔")</f>
        <v>身體清潔</v>
      </c>
      <c r="O1476" s="25"/>
      <c r="P1476" s="25" t="str">
        <f ca="1">IFERROR(__xludf.DUMMYFUNCTION("""COMPUTED_VALUE"""),"200g*4")</f>
        <v>200g*4</v>
      </c>
      <c r="Q1476" s="25"/>
      <c r="R1476" s="25" t="str">
        <f ca="1">IFERROR(__xludf.DUMMYFUNCTION("""COMPUTED_VALUE"""),"印度")</f>
        <v>印度</v>
      </c>
      <c r="S1476" s="25"/>
      <c r="T1476" s="25"/>
      <c r="U1476" s="25"/>
      <c r="V1476" s="25"/>
      <c r="W1476" s="25"/>
      <c r="X1476" s="25"/>
      <c r="Y1476" s="25"/>
      <c r="Z1476" s="27"/>
      <c r="AA1476" s="28" t="str">
        <f ca="1">IFERROR(__xludf.DUMMYFUNCTION("""COMPUTED_VALUE"""),"超人氣熱銷團購囤貨商品，溫和洗淨不刺激，遵循阿育吠陀古法草本精萃，大顆優惠包裝組")</f>
        <v>超人氣熱銷團購囤貨商品，溫和洗淨不刺激，遵循阿育吠陀古法草本精萃，大顆優惠包裝組</v>
      </c>
    </row>
    <row r="1477" spans="1:27" ht="12.75">
      <c r="A1477" s="25" t="str">
        <f ca="1">IFERROR(__xludf.DUMMYFUNCTION("""COMPUTED_VALUE"""),"居家生活用品")</f>
        <v>居家生活用品</v>
      </c>
      <c r="B1477" s="25" t="str">
        <f ca="1">IFERROR(__xludf.DUMMYFUNCTION("""COMPUTED_VALUE"""),"嘉亨科技")</f>
        <v>嘉亨科技</v>
      </c>
      <c r="C1477" s="25" t="str">
        <f ca="1">IFERROR(__xludf.DUMMYFUNCTION("""COMPUTED_VALUE"""),"Frosch小綠蛙")</f>
        <v>Frosch小綠蛙</v>
      </c>
      <c r="D1477" s="25" t="str">
        <f ca="1">IFERROR(__xludf.DUMMYFUNCTION("""COMPUTED_VALUE"""),"居家_【德國Frosch小綠蛙】中性洗碗精500ml 3入-青檸")</f>
        <v>居家_【德國Frosch小綠蛙】中性洗碗精500ml 3入-青檸</v>
      </c>
      <c r="E1477" s="25" t="str">
        <f ca="1">IFERROR(__xludf.DUMMYFUNCTION("""COMPUTED_VALUE"""),"RFRH041111499")</f>
        <v>RFRH041111499</v>
      </c>
      <c r="F1477" s="25">
        <f ca="1">IFERROR(__xludf.DUMMYFUNCTION("""COMPUTED_VALUE"""),51020020)</f>
        <v>51020020</v>
      </c>
      <c r="G1477" s="25" t="str">
        <f ca="1">IFERROR(__xludf.DUMMYFUNCTION("""COMPUTED_VALUE"""),"IGEM103A")</f>
        <v>IGEM103A</v>
      </c>
      <c r="H1477" s="26">
        <f ca="1">IFERROR(__xludf.DUMMYFUNCTION("""COMPUTED_VALUE"""),717)</f>
        <v>717</v>
      </c>
      <c r="I1477" s="30">
        <f ca="1">IFERROR(__xludf.DUMMYFUNCTION("""COMPUTED_VALUE"""),359)</f>
        <v>359</v>
      </c>
      <c r="J1477" s="29">
        <f ca="1">IFERROR(__xludf.DUMMYFUNCTION("""COMPUTED_VALUE"""),45475)</f>
        <v>45475</v>
      </c>
      <c r="K1477" s="25" t="str">
        <f ca="1">IFERROR(__xludf.DUMMYFUNCTION("""COMPUTED_VALUE"""),"新機上架")</f>
        <v>新機上架</v>
      </c>
      <c r="L1477" s="26" t="str">
        <f ca="1">IFERROR(__xludf.DUMMYFUNCTION("""COMPUTED_VALUE"""),"缺貨")</f>
        <v>缺貨</v>
      </c>
      <c r="M1477" s="25"/>
      <c r="N1477" s="25" t="str">
        <f ca="1">IFERROR(__xludf.DUMMYFUNCTION("""COMPUTED_VALUE"""),"廚房清潔")</f>
        <v>廚房清潔</v>
      </c>
      <c r="O1477" s="25"/>
      <c r="P1477" s="25" t="str">
        <f ca="1">IFERROR(__xludf.DUMMYFUNCTION("""COMPUTED_VALUE"""),"500ml*3")</f>
        <v>500ml*3</v>
      </c>
      <c r="Q1477" s="25"/>
      <c r="R1477" s="25" t="str">
        <f ca="1">IFERROR(__xludf.DUMMYFUNCTION("""COMPUTED_VALUE"""),"德國")</f>
        <v>德國</v>
      </c>
      <c r="S1477" s="25"/>
      <c r="T1477" s="25"/>
      <c r="U1477" s="25"/>
      <c r="V1477" s="25"/>
      <c r="W1477" s="25"/>
      <c r="X1477" s="25"/>
      <c r="Y1477" s="25"/>
      <c r="Z1477" s="27"/>
      <c r="AA1477"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78" spans="1:27" ht="12.75">
      <c r="A1478" s="25" t="str">
        <f ca="1">IFERROR(__xludf.DUMMYFUNCTION("""COMPUTED_VALUE"""),"居家生活用品")</f>
        <v>居家生活用品</v>
      </c>
      <c r="B1478" s="25" t="str">
        <f ca="1">IFERROR(__xludf.DUMMYFUNCTION("""COMPUTED_VALUE"""),"嘉亨科技")</f>
        <v>嘉亨科技</v>
      </c>
      <c r="C1478" s="25" t="str">
        <f ca="1">IFERROR(__xludf.DUMMYFUNCTION("""COMPUTED_VALUE"""),"Frosch小綠蛙")</f>
        <v>Frosch小綠蛙</v>
      </c>
      <c r="D1478" s="25" t="str">
        <f ca="1">IFERROR(__xludf.DUMMYFUNCTION("""COMPUTED_VALUE"""),"居家_【德國Frosch小綠蛙】廚房重油汙清潔噴霧 500ml 3入-小蘇打")</f>
        <v>居家_【德國Frosch小綠蛙】廚房重油汙清潔噴霧 500ml 3入-小蘇打</v>
      </c>
      <c r="E1478" s="25" t="str">
        <f ca="1">IFERROR(__xludf.DUMMYFUNCTION("""COMPUTED_VALUE"""),"RFRH050716215")</f>
        <v>RFRH050716215</v>
      </c>
      <c r="F1478" s="25">
        <f ca="1">IFERROR(__xludf.DUMMYFUNCTION("""COMPUTED_VALUE"""),51020021)</f>
        <v>51020021</v>
      </c>
      <c r="G1478" s="25" t="str">
        <f ca="1">IFERROR(__xludf.DUMMYFUNCTION("""COMPUTED_VALUE"""),"IGEM103B")</f>
        <v>IGEM103B</v>
      </c>
      <c r="H1478" s="26">
        <f ca="1">IFERROR(__xludf.DUMMYFUNCTION("""COMPUTED_VALUE"""),807)</f>
        <v>807</v>
      </c>
      <c r="I1478" s="30">
        <f ca="1">IFERROR(__xludf.DUMMYFUNCTION("""COMPUTED_VALUE"""),359)</f>
        <v>359</v>
      </c>
      <c r="J1478" s="29">
        <f ca="1">IFERROR(__xludf.DUMMYFUNCTION("""COMPUTED_VALUE"""),45475)</f>
        <v>45475</v>
      </c>
      <c r="K1478" s="25" t="str">
        <f ca="1">IFERROR(__xludf.DUMMYFUNCTION("""COMPUTED_VALUE"""),"新機上架")</f>
        <v>新機上架</v>
      </c>
      <c r="L1478" s="26" t="str">
        <f ca="1">IFERROR(__xludf.DUMMYFUNCTION("""COMPUTED_VALUE"""),"上架中")</f>
        <v>上架中</v>
      </c>
      <c r="M1478" s="25"/>
      <c r="N1478" s="25" t="str">
        <f ca="1">IFERROR(__xludf.DUMMYFUNCTION("""COMPUTED_VALUE"""),"廚房清潔")</f>
        <v>廚房清潔</v>
      </c>
      <c r="O1478" s="25"/>
      <c r="P1478" s="25" t="str">
        <f ca="1">IFERROR(__xludf.DUMMYFUNCTION("""COMPUTED_VALUE"""),"500ml*3")</f>
        <v>500ml*3</v>
      </c>
      <c r="Q1478" s="25"/>
      <c r="R1478" s="25" t="str">
        <f ca="1">IFERROR(__xludf.DUMMYFUNCTION("""COMPUTED_VALUE"""),"德國")</f>
        <v>德國</v>
      </c>
      <c r="S1478" s="25"/>
      <c r="T1478" s="25"/>
      <c r="U1478" s="25"/>
      <c r="V1478" s="25"/>
      <c r="W1478" s="25"/>
      <c r="X1478" s="25"/>
      <c r="Y1478" s="25"/>
      <c r="Z1478" s="27"/>
      <c r="AA1478"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79" spans="1:27" ht="12.75">
      <c r="A1479" s="25" t="str">
        <f ca="1">IFERROR(__xludf.DUMMYFUNCTION("""COMPUTED_VALUE"""),"居家生活用品")</f>
        <v>居家生活用品</v>
      </c>
      <c r="B1479" s="25" t="str">
        <f ca="1">IFERROR(__xludf.DUMMYFUNCTION("""COMPUTED_VALUE"""),"嘉亨科技")</f>
        <v>嘉亨科技</v>
      </c>
      <c r="C1479" s="25" t="str">
        <f ca="1">IFERROR(__xludf.DUMMYFUNCTION("""COMPUTED_VALUE"""),"Frosch小綠蛙")</f>
        <v>Frosch小綠蛙</v>
      </c>
      <c r="D1479" s="25" t="str">
        <f ca="1">IFERROR(__xludf.DUMMYFUNCTION("""COMPUTED_VALUE"""),"居家_【德國Frosch小綠蛙】中性洗碗精500ml 3入-維他命B5")</f>
        <v>居家_【德國Frosch小綠蛙】中性洗碗精500ml 3入-維他命B5</v>
      </c>
      <c r="E1479" s="25" t="str">
        <f ca="1">IFERROR(__xludf.DUMMYFUNCTION("""COMPUTED_VALUE"""),"RFRH040716340")</f>
        <v>RFRH040716340</v>
      </c>
      <c r="F1479" s="25">
        <f ca="1">IFERROR(__xludf.DUMMYFUNCTION("""COMPUTED_VALUE"""),51020066)</f>
        <v>51020066</v>
      </c>
      <c r="G1479" s="25" t="str">
        <f ca="1">IFERROR(__xludf.DUMMYFUNCTION("""COMPUTED_VALUE"""),"IGEM1063")</f>
        <v>IGEM1063</v>
      </c>
      <c r="H1479" s="25">
        <f ca="1">IFERROR(__xludf.DUMMYFUNCTION("""COMPUTED_VALUE"""),717)</f>
        <v>717</v>
      </c>
      <c r="I1479" s="27">
        <f ca="1">IFERROR(__xludf.DUMMYFUNCTION("""COMPUTED_VALUE"""),359)</f>
        <v>359</v>
      </c>
      <c r="J1479" s="25"/>
      <c r="K1479" s="25" t="str">
        <f ca="1">IFERROR(__xludf.DUMMYFUNCTION("""COMPUTED_VALUE"""),"新機上架")</f>
        <v>新機上架</v>
      </c>
      <c r="L1479" s="26" t="str">
        <f ca="1">IFERROR(__xludf.DUMMYFUNCTION("""COMPUTED_VALUE"""),"缺貨")</f>
        <v>缺貨</v>
      </c>
      <c r="M1479" s="25"/>
      <c r="N1479" s="25" t="str">
        <f ca="1">IFERROR(__xludf.DUMMYFUNCTION("""COMPUTED_VALUE"""),"廚房清潔")</f>
        <v>廚房清潔</v>
      </c>
      <c r="O1479" s="25"/>
      <c r="P1479" s="25" t="str">
        <f ca="1">IFERROR(__xludf.DUMMYFUNCTION("""COMPUTED_VALUE"""),"500ml*3")</f>
        <v>500ml*3</v>
      </c>
      <c r="Q1479" s="25"/>
      <c r="R1479" s="25" t="str">
        <f ca="1">IFERROR(__xludf.DUMMYFUNCTION("""COMPUTED_VALUE"""),"德國")</f>
        <v>德國</v>
      </c>
      <c r="S1479" s="25"/>
      <c r="T1479" s="25"/>
      <c r="U1479" s="25"/>
      <c r="V1479" s="25"/>
      <c r="W1479" s="25"/>
      <c r="X1479" s="25"/>
      <c r="Y1479" s="25"/>
      <c r="Z1479" s="27"/>
      <c r="AA1479"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80" spans="1:27" ht="12.75">
      <c r="A1480" s="25" t="str">
        <f ca="1">IFERROR(__xludf.DUMMYFUNCTION("""COMPUTED_VALUE"""),"居家生活用品")</f>
        <v>居家生活用品</v>
      </c>
      <c r="B1480" s="25" t="str">
        <f ca="1">IFERROR(__xludf.DUMMYFUNCTION("""COMPUTED_VALUE"""),"嘉亨科技")</f>
        <v>嘉亨科技</v>
      </c>
      <c r="C1480" s="25" t="str">
        <f ca="1">IFERROR(__xludf.DUMMYFUNCTION("""COMPUTED_VALUE"""),"Frosch小綠蛙")</f>
        <v>Frosch小綠蛙</v>
      </c>
      <c r="D1480" s="25" t="str">
        <f ca="1">IFERROR(__xludf.DUMMYFUNCTION("""COMPUTED_VALUE"""),"居家_【德國Frosch小綠蛙】中性洗碗精500ml 3入-覆盆子醋")</f>
        <v>居家_【德國Frosch小綠蛙】中性洗碗精500ml 3入-覆盆子醋</v>
      </c>
      <c r="E1480" s="25" t="str">
        <f ca="1">IFERROR(__xludf.DUMMYFUNCTION("""COMPUTED_VALUE"""),"RFRH040716353")</f>
        <v>RFRH040716353</v>
      </c>
      <c r="F1480" s="25">
        <f ca="1">IFERROR(__xludf.DUMMYFUNCTION("""COMPUTED_VALUE"""),51020067)</f>
        <v>51020067</v>
      </c>
      <c r="G1480" s="25" t="str">
        <f ca="1">IFERROR(__xludf.DUMMYFUNCTION("""COMPUTED_VALUE"""),"IGEM1064")</f>
        <v>IGEM1064</v>
      </c>
      <c r="H1480" s="25">
        <f ca="1">IFERROR(__xludf.DUMMYFUNCTION("""COMPUTED_VALUE"""),717)</f>
        <v>717</v>
      </c>
      <c r="I1480" s="27">
        <f ca="1">IFERROR(__xludf.DUMMYFUNCTION("""COMPUTED_VALUE"""),359)</f>
        <v>359</v>
      </c>
      <c r="J1480" s="25"/>
      <c r="K1480" s="25" t="str">
        <f ca="1">IFERROR(__xludf.DUMMYFUNCTION("""COMPUTED_VALUE"""),"新機上架")</f>
        <v>新機上架</v>
      </c>
      <c r="L1480" s="26" t="str">
        <f ca="1">IFERROR(__xludf.DUMMYFUNCTION("""COMPUTED_VALUE"""),"上架中")</f>
        <v>上架中</v>
      </c>
      <c r="M1480" s="25"/>
      <c r="N1480" s="25" t="str">
        <f ca="1">IFERROR(__xludf.DUMMYFUNCTION("""COMPUTED_VALUE"""),"廚房清潔")</f>
        <v>廚房清潔</v>
      </c>
      <c r="O1480" s="25"/>
      <c r="P1480" s="25" t="str">
        <f ca="1">IFERROR(__xludf.DUMMYFUNCTION("""COMPUTED_VALUE"""),"500ml*3")</f>
        <v>500ml*3</v>
      </c>
      <c r="Q1480" s="25"/>
      <c r="R1480" s="25" t="str">
        <f ca="1">IFERROR(__xludf.DUMMYFUNCTION("""COMPUTED_VALUE"""),"德國")</f>
        <v>德國</v>
      </c>
      <c r="S1480" s="25"/>
      <c r="T1480" s="25"/>
      <c r="U1480" s="25"/>
      <c r="V1480" s="25"/>
      <c r="W1480" s="25"/>
      <c r="X1480" s="25"/>
      <c r="Y1480" s="25"/>
      <c r="Z1480" s="27"/>
      <c r="AA1480"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81" spans="1:27" ht="12.75">
      <c r="A1481" s="25" t="str">
        <f ca="1">IFERROR(__xludf.DUMMYFUNCTION("""COMPUTED_VALUE"""),"居家生活用品")</f>
        <v>居家生活用品</v>
      </c>
      <c r="B1481" s="25" t="str">
        <f ca="1">IFERROR(__xludf.DUMMYFUNCTION("""COMPUTED_VALUE"""),"嘉亨科技")</f>
        <v>嘉亨科技</v>
      </c>
      <c r="C1481" s="25" t="str">
        <f ca="1">IFERROR(__xludf.DUMMYFUNCTION("""COMPUTED_VALUE"""),"Frosch小綠蛙")</f>
        <v>Frosch小綠蛙</v>
      </c>
      <c r="D1481" s="25" t="str">
        <f ca="1">IFERROR(__xludf.DUMMYFUNCTION("""COMPUTED_VALUE"""),"居家_【德國Frosch小綠蛙】中性洗碗精500ml 3入-蘆薈")</f>
        <v>居家_【德國Frosch小綠蛙】中性洗碗精500ml 3入-蘆薈</v>
      </c>
      <c r="E1481" s="25" t="str">
        <f ca="1">IFERROR(__xludf.DUMMYFUNCTION("""COMPUTED_VALUE"""),"RFRH041212659")</f>
        <v>RFRH041212659</v>
      </c>
      <c r="F1481" s="25">
        <f ca="1">IFERROR(__xludf.DUMMYFUNCTION("""COMPUTED_VALUE"""),51020068)</f>
        <v>51020068</v>
      </c>
      <c r="G1481" s="25" t="str">
        <f ca="1">IFERROR(__xludf.DUMMYFUNCTION("""COMPUTED_VALUE"""),"IGEM1065")</f>
        <v>IGEM1065</v>
      </c>
      <c r="H1481" s="25">
        <f ca="1">IFERROR(__xludf.DUMMYFUNCTION("""COMPUTED_VALUE"""),717)</f>
        <v>717</v>
      </c>
      <c r="I1481" s="27">
        <f ca="1">IFERROR(__xludf.DUMMYFUNCTION("""COMPUTED_VALUE"""),359)</f>
        <v>359</v>
      </c>
      <c r="J1481" s="25"/>
      <c r="K1481" s="25" t="str">
        <f ca="1">IFERROR(__xludf.DUMMYFUNCTION("""COMPUTED_VALUE"""),"新機上架")</f>
        <v>新機上架</v>
      </c>
      <c r="L1481" s="26" t="str">
        <f ca="1">IFERROR(__xludf.DUMMYFUNCTION("""COMPUTED_VALUE"""),"上架中")</f>
        <v>上架中</v>
      </c>
      <c r="M1481" s="25"/>
      <c r="N1481" s="25" t="str">
        <f ca="1">IFERROR(__xludf.DUMMYFUNCTION("""COMPUTED_VALUE"""),"廚房清潔")</f>
        <v>廚房清潔</v>
      </c>
      <c r="O1481" s="25"/>
      <c r="P1481" s="25" t="str">
        <f ca="1">IFERROR(__xludf.DUMMYFUNCTION("""COMPUTED_VALUE"""),"500ml*3")</f>
        <v>500ml*3</v>
      </c>
      <c r="Q1481" s="25"/>
      <c r="R1481" s="25" t="str">
        <f ca="1">IFERROR(__xludf.DUMMYFUNCTION("""COMPUTED_VALUE"""),"德國")</f>
        <v>德國</v>
      </c>
      <c r="S1481" s="25"/>
      <c r="T1481" s="25"/>
      <c r="U1481" s="25"/>
      <c r="V1481" s="25"/>
      <c r="W1481" s="25"/>
      <c r="X1481" s="25"/>
      <c r="Y1481" s="25"/>
      <c r="Z1481" s="27"/>
      <c r="AA1481"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82" spans="1:27" ht="12.75">
      <c r="A1482" s="25" t="str">
        <f ca="1">IFERROR(__xludf.DUMMYFUNCTION("""COMPUTED_VALUE"""),"居家生活用品")</f>
        <v>居家生活用品</v>
      </c>
      <c r="B1482" s="25" t="str">
        <f ca="1">IFERROR(__xludf.DUMMYFUNCTION("""COMPUTED_VALUE"""),"嘉亨科技")</f>
        <v>嘉亨科技</v>
      </c>
      <c r="C1482" s="25" t="str">
        <f ca="1">IFERROR(__xludf.DUMMYFUNCTION("""COMPUTED_VALUE"""),"Frosch小綠蛙")</f>
        <v>Frosch小綠蛙</v>
      </c>
      <c r="D1482" s="25" t="str">
        <f ca="1">IFERROR(__xludf.DUMMYFUNCTION("""COMPUTED_VALUE"""),"居家_【德國Frosch小綠蛙】中性洗碗精500ml 3入-小蘇打")</f>
        <v>居家_【德國Frosch小綠蛙】中性洗碗精500ml 3入-小蘇打</v>
      </c>
      <c r="E1482" s="25" t="str">
        <f ca="1">IFERROR(__xludf.DUMMYFUNCTION("""COMPUTED_VALUE"""),"RFRH041402678")</f>
        <v>RFRH041402678</v>
      </c>
      <c r="F1482" s="25">
        <f ca="1">IFERROR(__xludf.DUMMYFUNCTION("""COMPUTED_VALUE"""),51020069)</f>
        <v>51020069</v>
      </c>
      <c r="G1482" s="25" t="str">
        <f ca="1">IFERROR(__xludf.DUMMYFUNCTION("""COMPUTED_VALUE"""),"IGEM1066")</f>
        <v>IGEM1066</v>
      </c>
      <c r="H1482" s="25">
        <f ca="1">IFERROR(__xludf.DUMMYFUNCTION("""COMPUTED_VALUE"""),717)</f>
        <v>717</v>
      </c>
      <c r="I1482" s="27">
        <f ca="1">IFERROR(__xludf.DUMMYFUNCTION("""COMPUTED_VALUE"""),359)</f>
        <v>359</v>
      </c>
      <c r="J1482" s="25"/>
      <c r="K1482" s="25" t="str">
        <f ca="1">IFERROR(__xludf.DUMMYFUNCTION("""COMPUTED_VALUE"""),"新機上架")</f>
        <v>新機上架</v>
      </c>
      <c r="L1482" s="26" t="str">
        <f ca="1">IFERROR(__xludf.DUMMYFUNCTION("""COMPUTED_VALUE"""),"上架中")</f>
        <v>上架中</v>
      </c>
      <c r="M1482" s="25"/>
      <c r="N1482" s="25" t="str">
        <f ca="1">IFERROR(__xludf.DUMMYFUNCTION("""COMPUTED_VALUE"""),"廚房清潔")</f>
        <v>廚房清潔</v>
      </c>
      <c r="O1482" s="25"/>
      <c r="P1482" s="25" t="str">
        <f ca="1">IFERROR(__xludf.DUMMYFUNCTION("""COMPUTED_VALUE"""),"500ml*3")</f>
        <v>500ml*3</v>
      </c>
      <c r="Q1482" s="25"/>
      <c r="R1482" s="25" t="str">
        <f ca="1">IFERROR(__xludf.DUMMYFUNCTION("""COMPUTED_VALUE"""),"德國")</f>
        <v>德國</v>
      </c>
      <c r="S1482" s="25"/>
      <c r="T1482" s="25"/>
      <c r="U1482" s="25"/>
      <c r="V1482" s="25"/>
      <c r="W1482" s="25"/>
      <c r="X1482" s="25"/>
      <c r="Y1482" s="25"/>
      <c r="Z1482" s="27"/>
      <c r="AA1482"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83" spans="1:27" ht="12.75">
      <c r="A1483" s="25" t="str">
        <f ca="1">IFERROR(__xludf.DUMMYFUNCTION("""COMPUTED_VALUE"""),"居家生活用品")</f>
        <v>居家生活用品</v>
      </c>
      <c r="B1483" s="25" t="str">
        <f ca="1">IFERROR(__xludf.DUMMYFUNCTION("""COMPUTED_VALUE"""),"嘉亨科技")</f>
        <v>嘉亨科技</v>
      </c>
      <c r="C1483" s="25" t="str">
        <f ca="1">IFERROR(__xludf.DUMMYFUNCTION("""COMPUTED_VALUE"""),"Frosch小綠蛙")</f>
        <v>Frosch小綠蛙</v>
      </c>
      <c r="D1483" s="25" t="str">
        <f ca="1">IFERROR(__xludf.DUMMYFUNCTION("""COMPUTED_VALUE"""),"居家_【德國Frosch小綠蛙】廚房重油汙清潔噴霧 500ml 3入-葡萄柚")</f>
        <v>居家_【德國Frosch小綠蛙】廚房重油汙清潔噴霧 500ml 3入-葡萄柚</v>
      </c>
      <c r="E1483" s="25" t="str">
        <f ca="1">IFERROR(__xludf.DUMMYFUNCTION("""COMPUTED_VALUE"""),"RFRH051612653")</f>
        <v>RFRH051612653</v>
      </c>
      <c r="F1483" s="25">
        <f ca="1">IFERROR(__xludf.DUMMYFUNCTION("""COMPUTED_VALUE"""),51020070)</f>
        <v>51020070</v>
      </c>
      <c r="G1483" s="25" t="str">
        <f ca="1">IFERROR(__xludf.DUMMYFUNCTION("""COMPUTED_VALUE"""),"IGEM1067")</f>
        <v>IGEM1067</v>
      </c>
      <c r="H1483" s="25">
        <f ca="1">IFERROR(__xludf.DUMMYFUNCTION("""COMPUTED_VALUE"""),807)</f>
        <v>807</v>
      </c>
      <c r="I1483" s="27">
        <f ca="1">IFERROR(__xludf.DUMMYFUNCTION("""COMPUTED_VALUE"""),359)</f>
        <v>359</v>
      </c>
      <c r="J1483" s="25"/>
      <c r="K1483" s="25" t="str">
        <f ca="1">IFERROR(__xludf.DUMMYFUNCTION("""COMPUTED_VALUE"""),"新機上架")</f>
        <v>新機上架</v>
      </c>
      <c r="L1483" s="26" t="str">
        <f ca="1">IFERROR(__xludf.DUMMYFUNCTION("""COMPUTED_VALUE"""),"缺貨")</f>
        <v>缺貨</v>
      </c>
      <c r="M1483" s="25"/>
      <c r="N1483" s="25" t="str">
        <f ca="1">IFERROR(__xludf.DUMMYFUNCTION("""COMPUTED_VALUE"""),"廚房清潔")</f>
        <v>廚房清潔</v>
      </c>
      <c r="O1483" s="25"/>
      <c r="P1483" s="25" t="str">
        <f ca="1">IFERROR(__xludf.DUMMYFUNCTION("""COMPUTED_VALUE"""),"500ml*3")</f>
        <v>500ml*3</v>
      </c>
      <c r="Q1483" s="25"/>
      <c r="R1483" s="25" t="str">
        <f ca="1">IFERROR(__xludf.DUMMYFUNCTION("""COMPUTED_VALUE"""),"德國")</f>
        <v>德國</v>
      </c>
      <c r="S1483" s="25"/>
      <c r="T1483" s="25"/>
      <c r="U1483" s="25"/>
      <c r="V1483" s="25"/>
      <c r="W1483" s="25"/>
      <c r="X1483" s="25"/>
      <c r="Y1483" s="25"/>
      <c r="Z1483" s="27"/>
      <c r="AA1483"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84" spans="1:27" ht="12.75">
      <c r="A1484" s="25" t="str">
        <f ca="1">IFERROR(__xludf.DUMMYFUNCTION("""COMPUTED_VALUE"""),"居家生活用品")</f>
        <v>居家生活用品</v>
      </c>
      <c r="B1484" s="25" t="str">
        <f ca="1">IFERROR(__xludf.DUMMYFUNCTION("""COMPUTED_VALUE"""),"嘉亨科技")</f>
        <v>嘉亨科技</v>
      </c>
      <c r="C1484" s="25" t="str">
        <f ca="1">IFERROR(__xludf.DUMMYFUNCTION("""COMPUTED_VALUE"""),"Frosch小綠蛙")</f>
        <v>Frosch小綠蛙</v>
      </c>
      <c r="D1484" s="25" t="str">
        <f ca="1">IFERROR(__xludf.DUMMYFUNCTION("""COMPUTED_VALUE"""),"居家_【德國Frosch小綠蛙】中性洗碗精500ml(蘆薈)+浴廁清潔500ml(檸檬)+廚房重油汙清潔500ml(小蘇打)")</f>
        <v>居家_【德國Frosch小綠蛙】中性洗碗精500ml(蘆薈)+浴廁清潔500ml(檸檬)+廚房重油汙清潔500ml(小蘇打)</v>
      </c>
      <c r="E1484" s="25" t="str">
        <f ca="1">IFERROR(__xludf.DUMMYFUNCTION("""COMPUTED_VALUE"""),"RFRH060000000")</f>
        <v>RFRH060000000</v>
      </c>
      <c r="F1484" s="25">
        <f ca="1">IFERROR(__xludf.DUMMYFUNCTION("""COMPUTED_VALUE"""),51020103)</f>
        <v>51020103</v>
      </c>
      <c r="G1484" s="25" t="str">
        <f ca="1">IFERROR(__xludf.DUMMYFUNCTION("""COMPUTED_VALUE"""),"IGEM112S")</f>
        <v>IGEM112S</v>
      </c>
      <c r="H1484" s="25">
        <f ca="1">IFERROR(__xludf.DUMMYFUNCTION("""COMPUTED_VALUE"""),1097)</f>
        <v>1097</v>
      </c>
      <c r="I1484" s="30">
        <f ca="1">IFERROR(__xludf.DUMMYFUNCTION("""COMPUTED_VALUE"""),359)</f>
        <v>359</v>
      </c>
      <c r="J1484" s="25"/>
      <c r="K1484" s="25" t="str">
        <f ca="1">IFERROR(__xludf.DUMMYFUNCTION("""COMPUTED_VALUE"""),"新機上架")</f>
        <v>新機上架</v>
      </c>
      <c r="L1484" s="26" t="str">
        <f ca="1">IFERROR(__xludf.DUMMYFUNCTION("""COMPUTED_VALUE"""),"上架中")</f>
        <v>上架中</v>
      </c>
      <c r="M1484" s="25"/>
      <c r="N1484" s="25" t="str">
        <f ca="1">IFERROR(__xludf.DUMMYFUNCTION("""COMPUTED_VALUE"""),"廚房清潔")</f>
        <v>廚房清潔</v>
      </c>
      <c r="O1484" s="25"/>
      <c r="P1484" s="25" t="str">
        <f ca="1">IFERROR(__xludf.DUMMYFUNCTION("""COMPUTED_VALUE"""),"500ml*3")</f>
        <v>500ml*3</v>
      </c>
      <c r="Q1484" s="25"/>
      <c r="R1484" s="25" t="str">
        <f ca="1">IFERROR(__xludf.DUMMYFUNCTION("""COMPUTED_VALUE"""),"德國")</f>
        <v>德國</v>
      </c>
      <c r="S1484" s="25"/>
      <c r="T1484" s="25"/>
      <c r="U1484" s="25"/>
      <c r="V1484" s="25"/>
      <c r="W1484" s="25"/>
      <c r="X1484" s="25"/>
      <c r="Y1484" s="25"/>
      <c r="Z1484" s="27"/>
      <c r="AA1484"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85" spans="1:27" ht="12.75">
      <c r="A1485" s="25" t="str">
        <f ca="1">IFERROR(__xludf.DUMMYFUNCTION("""COMPUTED_VALUE"""),"居家生活用品")</f>
        <v>居家生活用品</v>
      </c>
      <c r="B1485" s="25" t="str">
        <f ca="1">IFERROR(__xludf.DUMMYFUNCTION("""COMPUTED_VALUE"""),"嘉亨科技")</f>
        <v>嘉亨科技</v>
      </c>
      <c r="C1485" s="25" t="str">
        <f ca="1">IFERROR(__xludf.DUMMYFUNCTION("""COMPUTED_VALUE"""),"Frosch小綠蛙")</f>
        <v>Frosch小綠蛙</v>
      </c>
      <c r="D1485" s="25" t="str">
        <f ca="1">IFERROR(__xludf.DUMMYFUNCTION("""COMPUTED_VALUE"""),"居家_【德國Frosch小綠蛙】天然神奇檸檬浴廁清潔500ml-3入組")</f>
        <v>居家_【德國Frosch小綠蛙】天然神奇檸檬浴廁清潔500ml-3入組</v>
      </c>
      <c r="E1485" s="25" t="str">
        <f ca="1">IFERROR(__xludf.DUMMYFUNCTION("""COMPUTED_VALUE"""),"RFRH060000001")</f>
        <v>RFRH060000001</v>
      </c>
      <c r="F1485" s="25">
        <f ca="1">IFERROR(__xludf.DUMMYFUNCTION("""COMPUTED_VALUE"""),51020104)</f>
        <v>51020104</v>
      </c>
      <c r="G1485" s="25" t="str">
        <f ca="1">IFERROR(__xludf.DUMMYFUNCTION("""COMPUTED_VALUE"""),"IGEM112T")</f>
        <v>IGEM112T</v>
      </c>
      <c r="H1485" s="25">
        <f ca="1">IFERROR(__xludf.DUMMYFUNCTION("""COMPUTED_VALUE"""),807)</f>
        <v>807</v>
      </c>
      <c r="I1485" s="30">
        <f ca="1">IFERROR(__xludf.DUMMYFUNCTION("""COMPUTED_VALUE"""),359)</f>
        <v>359</v>
      </c>
      <c r="J1485" s="25"/>
      <c r="K1485" s="25" t="str">
        <f ca="1">IFERROR(__xludf.DUMMYFUNCTION("""COMPUTED_VALUE"""),"新機上架")</f>
        <v>新機上架</v>
      </c>
      <c r="L1485" s="26" t="str">
        <f ca="1">IFERROR(__xludf.DUMMYFUNCTION("""COMPUTED_VALUE"""),"上架中")</f>
        <v>上架中</v>
      </c>
      <c r="M1485" s="25"/>
      <c r="N1485" s="25" t="str">
        <f ca="1">IFERROR(__xludf.DUMMYFUNCTION("""COMPUTED_VALUE"""),"廚房清潔")</f>
        <v>廚房清潔</v>
      </c>
      <c r="O1485" s="25"/>
      <c r="P1485" s="25" t="str">
        <f ca="1">IFERROR(__xludf.DUMMYFUNCTION("""COMPUTED_VALUE"""),"500ml*3")</f>
        <v>500ml*3</v>
      </c>
      <c r="Q1485" s="25"/>
      <c r="R1485" s="25" t="str">
        <f ca="1">IFERROR(__xludf.DUMMYFUNCTION("""COMPUTED_VALUE"""),"德國")</f>
        <v>德國</v>
      </c>
      <c r="S1485" s="25"/>
      <c r="T1485" s="25"/>
      <c r="U1485" s="25"/>
      <c r="V1485" s="25"/>
      <c r="W1485" s="25"/>
      <c r="X1485" s="25"/>
      <c r="Y1485" s="25"/>
      <c r="Z1485" s="27"/>
      <c r="AA1485" s="28" t="str">
        <f ca="1">IFERROR(__xludf.DUMMYFUNCTION("""COMPUTED_VALUE"""),"德國原裝進口，成分香味天然植物配方不刺鼻低敏，包裝使用回收及可回收材質製造，環保綠色愛地球")</f>
        <v>德國原裝進口，成分香味天然植物配方不刺鼻低敏，包裝使用回收及可回收材質製造，環保綠色愛地球</v>
      </c>
    </row>
    <row r="1486" spans="1:27" ht="12.75">
      <c r="A1486" s="25" t="str">
        <f ca="1">IFERROR(__xludf.DUMMYFUNCTION("""COMPUTED_VALUE"""),"居家生活用品")</f>
        <v>居家生活用品</v>
      </c>
      <c r="B1486" s="25" t="str">
        <f ca="1">IFERROR(__xludf.DUMMYFUNCTION("""COMPUTED_VALUE"""),"嘉亨科技")</f>
        <v>嘉亨科技</v>
      </c>
      <c r="C1486" s="25" t="str">
        <f ca="1">IFERROR(__xludf.DUMMYFUNCTION("""COMPUTED_VALUE"""),"澳洲Tilley")</f>
        <v>澳洲Tilley</v>
      </c>
      <c r="D1486" s="25" t="str">
        <f ca="1">IFERROR(__xludf.DUMMYFUNCTION("""COMPUTED_VALUE"""),"居家_【澳洲Tilley】經典香氛泡澡球150g 盒購6入-Sex on the beach")</f>
        <v>居家_【澳洲Tilley】經典香氛泡澡球150g 盒購6入-Sex on the beach</v>
      </c>
      <c r="E1486" s="25" t="str">
        <f ca="1">IFERROR(__xludf.DUMMYFUNCTION("""COMPUTED_VALUE"""),"MTLB01FG5652")</f>
        <v>MTLB01FG5652</v>
      </c>
      <c r="F1486" s="25">
        <f ca="1">IFERROR(__xludf.DUMMYFUNCTION("""COMPUTED_VALUE"""),51020022)</f>
        <v>51020022</v>
      </c>
      <c r="G1486" s="25" t="str">
        <f ca="1">IFERROR(__xludf.DUMMYFUNCTION("""COMPUTED_VALUE"""),"IGEM103C")</f>
        <v>IGEM103C</v>
      </c>
      <c r="H1486" s="26">
        <f ca="1">IFERROR(__xludf.DUMMYFUNCTION("""COMPUTED_VALUE"""),2940)</f>
        <v>2940</v>
      </c>
      <c r="I1486" s="30">
        <f ca="1">IFERROR(__xludf.DUMMYFUNCTION("""COMPUTED_VALUE"""),1290)</f>
        <v>1290</v>
      </c>
      <c r="J1486" s="29">
        <f ca="1">IFERROR(__xludf.DUMMYFUNCTION("""COMPUTED_VALUE"""),45475)</f>
        <v>45475</v>
      </c>
      <c r="K1486" s="25" t="str">
        <f ca="1">IFERROR(__xludf.DUMMYFUNCTION("""COMPUTED_VALUE"""),"新機上架")</f>
        <v>新機上架</v>
      </c>
      <c r="L1486" s="26" t="str">
        <f ca="1">IFERROR(__xludf.DUMMYFUNCTION("""COMPUTED_VALUE"""),"上架中")</f>
        <v>上架中</v>
      </c>
      <c r="M1486" s="25"/>
      <c r="N1486" s="25" t="str">
        <f ca="1">IFERROR(__xludf.DUMMYFUNCTION("""COMPUTED_VALUE"""),"身體清潔")</f>
        <v>身體清潔</v>
      </c>
      <c r="O1486" s="25"/>
      <c r="P1486" s="25" t="str">
        <f ca="1">IFERROR(__xludf.DUMMYFUNCTION("""COMPUTED_VALUE"""),"150g*6")</f>
        <v>150g*6</v>
      </c>
      <c r="Q1486" s="25"/>
      <c r="R1486" s="25" t="str">
        <f ca="1">IFERROR(__xludf.DUMMYFUNCTION("""COMPUTED_VALUE"""),"澳洲")</f>
        <v>澳洲</v>
      </c>
      <c r="S1486" s="25"/>
      <c r="T1486" s="25"/>
      <c r="U1486" s="25"/>
      <c r="V1486" s="25"/>
      <c r="W1486" s="25"/>
      <c r="X1486" s="25"/>
      <c r="Y1486" s="25"/>
      <c r="Z1486" s="27"/>
      <c r="AA1486"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87" spans="1:27" ht="12.75">
      <c r="A1487" s="25" t="str">
        <f ca="1">IFERROR(__xludf.DUMMYFUNCTION("""COMPUTED_VALUE"""),"居家生活用品")</f>
        <v>居家生活用品</v>
      </c>
      <c r="B1487" s="25" t="str">
        <f ca="1">IFERROR(__xludf.DUMMYFUNCTION("""COMPUTED_VALUE"""),"嘉亨科技")</f>
        <v>嘉亨科技</v>
      </c>
      <c r="C1487" s="25" t="str">
        <f ca="1">IFERROR(__xludf.DUMMYFUNCTION("""COMPUTED_VALUE"""),"澳洲Tilley")</f>
        <v>澳洲Tilley</v>
      </c>
      <c r="D1487" s="25" t="str">
        <f ca="1">IFERROR(__xludf.DUMMYFUNCTION("""COMPUTED_VALUE"""),"居家_【澳洲Tilley】經典香氛泡澡球150g 盒購6入-小女孩的獨角獸")</f>
        <v>居家_【澳洲Tilley】經典香氛泡澡球150g 盒購6入-小女孩的獨角獸</v>
      </c>
      <c r="E1487" s="25" t="str">
        <f ca="1">IFERROR(__xludf.DUMMYFUNCTION("""COMPUTED_VALUE"""),"MTLB01FG5653")</f>
        <v>MTLB01FG5653</v>
      </c>
      <c r="F1487" s="25">
        <f ca="1">IFERROR(__xludf.DUMMYFUNCTION("""COMPUTED_VALUE"""),51020023)</f>
        <v>51020023</v>
      </c>
      <c r="G1487" s="25" t="str">
        <f ca="1">IFERROR(__xludf.DUMMYFUNCTION("""COMPUTED_VALUE"""),"IGEM103D")</f>
        <v>IGEM103D</v>
      </c>
      <c r="H1487" s="26">
        <f ca="1">IFERROR(__xludf.DUMMYFUNCTION("""COMPUTED_VALUE"""),2940)</f>
        <v>2940</v>
      </c>
      <c r="I1487" s="30">
        <f ca="1">IFERROR(__xludf.DUMMYFUNCTION("""COMPUTED_VALUE"""),1290)</f>
        <v>1290</v>
      </c>
      <c r="J1487" s="29">
        <f ca="1">IFERROR(__xludf.DUMMYFUNCTION("""COMPUTED_VALUE"""),45475)</f>
        <v>45475</v>
      </c>
      <c r="K1487" s="25" t="str">
        <f ca="1">IFERROR(__xludf.DUMMYFUNCTION("""COMPUTED_VALUE"""),"新機上架")</f>
        <v>新機上架</v>
      </c>
      <c r="L1487" s="26" t="str">
        <f ca="1">IFERROR(__xludf.DUMMYFUNCTION("""COMPUTED_VALUE"""),"缺貨")</f>
        <v>缺貨</v>
      </c>
      <c r="M1487" s="25"/>
      <c r="N1487" s="25" t="str">
        <f ca="1">IFERROR(__xludf.DUMMYFUNCTION("""COMPUTED_VALUE"""),"身體清潔")</f>
        <v>身體清潔</v>
      </c>
      <c r="O1487" s="25"/>
      <c r="P1487" s="25" t="str">
        <f ca="1">IFERROR(__xludf.DUMMYFUNCTION("""COMPUTED_VALUE"""),"150g*6")</f>
        <v>150g*6</v>
      </c>
      <c r="Q1487" s="25"/>
      <c r="R1487" s="25" t="str">
        <f ca="1">IFERROR(__xludf.DUMMYFUNCTION("""COMPUTED_VALUE"""),"澳洲")</f>
        <v>澳洲</v>
      </c>
      <c r="S1487" s="25"/>
      <c r="T1487" s="25"/>
      <c r="U1487" s="25"/>
      <c r="V1487" s="25"/>
      <c r="W1487" s="25"/>
      <c r="X1487" s="25"/>
      <c r="Y1487" s="25"/>
      <c r="Z1487" s="27"/>
      <c r="AA1487"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88" spans="1:27" ht="12.75">
      <c r="A1488" s="25" t="str">
        <f ca="1">IFERROR(__xludf.DUMMYFUNCTION("""COMPUTED_VALUE"""),"居家生活用品")</f>
        <v>居家生活用品</v>
      </c>
      <c r="B1488" s="25" t="str">
        <f ca="1">IFERROR(__xludf.DUMMYFUNCTION("""COMPUTED_VALUE"""),"嘉亨科技")</f>
        <v>嘉亨科技</v>
      </c>
      <c r="C1488" s="25" t="str">
        <f ca="1">IFERROR(__xludf.DUMMYFUNCTION("""COMPUTED_VALUE"""),"澳洲Tilley")</f>
        <v>澳洲Tilley</v>
      </c>
      <c r="D1488" s="25" t="str">
        <f ca="1">IFERROR(__xludf.DUMMYFUNCTION("""COMPUTED_VALUE"""),"居家_【澳洲Tilley】微醺大豆香氛蠟燭240g-薰衣草")</f>
        <v>居家_【澳洲Tilley】微醺大豆香氛蠟燭240g-薰衣草</v>
      </c>
      <c r="E1488" s="25" t="str">
        <f ca="1">IFERROR(__xludf.DUMMYFUNCTION("""COMPUTED_VALUE"""),"MTLH02FG0701")</f>
        <v>MTLH02FG0701</v>
      </c>
      <c r="F1488" s="25">
        <f ca="1">IFERROR(__xludf.DUMMYFUNCTION("""COMPUTED_VALUE"""),51020024)</f>
        <v>51020024</v>
      </c>
      <c r="G1488" s="25" t="str">
        <f ca="1">IFERROR(__xludf.DUMMYFUNCTION("""COMPUTED_VALUE"""),"IGEM103E")</f>
        <v>IGEM103E</v>
      </c>
      <c r="H1488" s="26">
        <f ca="1">IFERROR(__xludf.DUMMYFUNCTION("""COMPUTED_VALUE"""),1580)</f>
        <v>1580</v>
      </c>
      <c r="I1488" s="30">
        <f ca="1">IFERROR(__xludf.DUMMYFUNCTION("""COMPUTED_VALUE"""),690)</f>
        <v>690</v>
      </c>
      <c r="J1488" s="29">
        <f ca="1">IFERROR(__xludf.DUMMYFUNCTION("""COMPUTED_VALUE"""),45475)</f>
        <v>45475</v>
      </c>
      <c r="K1488" s="25" t="str">
        <f ca="1">IFERROR(__xludf.DUMMYFUNCTION("""COMPUTED_VALUE"""),"新機上架")</f>
        <v>新機上架</v>
      </c>
      <c r="L1488" s="26" t="str">
        <f ca="1">IFERROR(__xludf.DUMMYFUNCTION("""COMPUTED_VALUE"""),"上架中")</f>
        <v>上架中</v>
      </c>
      <c r="M1488" s="25"/>
      <c r="N1488" s="25" t="str">
        <f ca="1">IFERROR(__xludf.DUMMYFUNCTION("""COMPUTED_VALUE"""),"香氛精油")</f>
        <v>香氛精油</v>
      </c>
      <c r="O1488" s="25"/>
      <c r="P1488" s="25" t="str">
        <f ca="1">IFERROR(__xludf.DUMMYFUNCTION("""COMPUTED_VALUE"""),"240g")</f>
        <v>240g</v>
      </c>
      <c r="Q1488" s="25"/>
      <c r="R1488" s="25" t="str">
        <f ca="1">IFERROR(__xludf.DUMMYFUNCTION("""COMPUTED_VALUE"""),"澳洲")</f>
        <v>澳洲</v>
      </c>
      <c r="S1488" s="25"/>
      <c r="T1488" s="25"/>
      <c r="U1488" s="25"/>
      <c r="V1488" s="25"/>
      <c r="W1488" s="25"/>
      <c r="X1488" s="25"/>
      <c r="Y1488" s="25"/>
      <c r="Z1488" s="27"/>
      <c r="AA1488" s="28" t="str">
        <f ca="1">IFERROR(__xludf.DUMMYFUNCTION("""COMPUTED_VALUE"""),"經過調香師精心調製，最適合拿來舒緩放鬆身心，蠟油香氛氣味比乳液更持久")</f>
        <v>經過調香師精心調製，最適合拿來舒緩放鬆身心，蠟油香氛氣味比乳液更持久</v>
      </c>
    </row>
    <row r="1489" spans="1:27" ht="12.75">
      <c r="A1489" s="25" t="str">
        <f ca="1">IFERROR(__xludf.DUMMYFUNCTION("""COMPUTED_VALUE"""),"居家生活用品")</f>
        <v>居家生活用品</v>
      </c>
      <c r="B1489" s="25" t="str">
        <f ca="1">IFERROR(__xludf.DUMMYFUNCTION("""COMPUTED_VALUE"""),"嘉亨科技")</f>
        <v>嘉亨科技</v>
      </c>
      <c r="C1489" s="25" t="str">
        <f ca="1">IFERROR(__xludf.DUMMYFUNCTION("""COMPUTED_VALUE"""),"澳洲Tilley")</f>
        <v>澳洲Tilley</v>
      </c>
      <c r="D1489" s="25" t="str">
        <f ca="1">IFERROR(__xludf.DUMMYFUNCTION("""COMPUTED_VALUE"""),"居家_【澳洲Tilley】經典擴香150ml-檀香與佛手柑")</f>
        <v>居家_【澳洲Tilley】經典擴香150ml-檀香與佛手柑</v>
      </c>
      <c r="E1489" s="25" t="str">
        <f ca="1">IFERROR(__xludf.DUMMYFUNCTION("""COMPUTED_VALUE"""),"MTLB05FG0761")</f>
        <v>MTLB05FG0761</v>
      </c>
      <c r="F1489" s="25">
        <f ca="1">IFERROR(__xludf.DUMMYFUNCTION("""COMPUTED_VALUE"""),51020025)</f>
        <v>51020025</v>
      </c>
      <c r="G1489" s="25" t="str">
        <f ca="1">IFERROR(__xludf.DUMMYFUNCTION("""COMPUTED_VALUE"""),"IGEM103F")</f>
        <v>IGEM103F</v>
      </c>
      <c r="H1489" s="26">
        <f ca="1">IFERROR(__xludf.DUMMYFUNCTION("""COMPUTED_VALUE"""),1090)</f>
        <v>1090</v>
      </c>
      <c r="I1489" s="30">
        <f ca="1">IFERROR(__xludf.DUMMYFUNCTION("""COMPUTED_VALUE"""),550)</f>
        <v>550</v>
      </c>
      <c r="J1489" s="29">
        <f ca="1">IFERROR(__xludf.DUMMYFUNCTION("""COMPUTED_VALUE"""),45475)</f>
        <v>45475</v>
      </c>
      <c r="K1489" s="25" t="str">
        <f ca="1">IFERROR(__xludf.DUMMYFUNCTION("""COMPUTED_VALUE"""),"新機上架")</f>
        <v>新機上架</v>
      </c>
      <c r="L1489" s="26" t="str">
        <f ca="1">IFERROR(__xludf.DUMMYFUNCTION("""COMPUTED_VALUE"""),"上架中")</f>
        <v>上架中</v>
      </c>
      <c r="M1489" s="25"/>
      <c r="N1489" s="25" t="str">
        <f ca="1">IFERROR(__xludf.DUMMYFUNCTION("""COMPUTED_VALUE"""),"香氛精油")</f>
        <v>香氛精油</v>
      </c>
      <c r="O1489" s="25"/>
      <c r="P1489" s="25" t="str">
        <f ca="1">IFERROR(__xludf.DUMMYFUNCTION("""COMPUTED_VALUE"""),"150ml")</f>
        <v>150ml</v>
      </c>
      <c r="Q1489" s="25"/>
      <c r="R1489" s="25" t="str">
        <f ca="1">IFERROR(__xludf.DUMMYFUNCTION("""COMPUTED_VALUE"""),"澳洲")</f>
        <v>澳洲</v>
      </c>
      <c r="S1489" s="25"/>
      <c r="T1489" s="25"/>
      <c r="U1489" s="25"/>
      <c r="V1489" s="25"/>
      <c r="W1489" s="25"/>
      <c r="X1489" s="25"/>
      <c r="Y1489" s="25"/>
      <c r="Z1489" s="27"/>
      <c r="AA1489" s="28" t="str">
        <f ca="1">IFERROR(__xludf.DUMMYFUNCTION("""COMPUTED_VALUE"""),"構成美好空間的儀式感，空氣散發清新香氣，甜而不膩")</f>
        <v>構成美好空間的儀式感，空氣散發清新香氣，甜而不膩</v>
      </c>
    </row>
    <row r="1490" spans="1:27" ht="12.75">
      <c r="A1490" s="25" t="str">
        <f ca="1">IFERROR(__xludf.DUMMYFUNCTION("""COMPUTED_VALUE"""),"居家生活用品")</f>
        <v>居家生活用品</v>
      </c>
      <c r="B1490" s="25" t="str">
        <f ca="1">IFERROR(__xludf.DUMMYFUNCTION("""COMPUTED_VALUE"""),"嘉亨科技")</f>
        <v>嘉亨科技</v>
      </c>
      <c r="C1490" s="25" t="str">
        <f ca="1">IFERROR(__xludf.DUMMYFUNCTION("""COMPUTED_VALUE"""),"澳洲Tilley")</f>
        <v>澳洲Tilley</v>
      </c>
      <c r="D1490" s="25" t="str">
        <f ca="1">IFERROR(__xludf.DUMMYFUNCTION("""COMPUTED_VALUE"""),"居家_【澳洲Tilley】經典香氛泡澡球150g 盒購6入-藍色夏威夷")</f>
        <v>居家_【澳洲Tilley】經典香氛泡澡球150g 盒購6入-藍色夏威夷</v>
      </c>
      <c r="E1490" s="25" t="str">
        <f ca="1">IFERROR(__xludf.DUMMYFUNCTION("""COMPUTED_VALUE"""),"MTLB01FG5651")</f>
        <v>MTLB01FG5651</v>
      </c>
      <c r="F1490" s="25">
        <f ca="1">IFERROR(__xludf.DUMMYFUNCTION("""COMPUTED_VALUE"""),51020071)</f>
        <v>51020071</v>
      </c>
      <c r="G1490" s="25" t="str">
        <f ca="1">IFERROR(__xludf.DUMMYFUNCTION("""COMPUTED_VALUE"""),"IGEM1068")</f>
        <v>IGEM1068</v>
      </c>
      <c r="H1490" s="25">
        <f ca="1">IFERROR(__xludf.DUMMYFUNCTION("""COMPUTED_VALUE"""),2940)</f>
        <v>2940</v>
      </c>
      <c r="I1490" s="27">
        <f ca="1">IFERROR(__xludf.DUMMYFUNCTION("""COMPUTED_VALUE"""),1290)</f>
        <v>1290</v>
      </c>
      <c r="J1490" s="25"/>
      <c r="K1490" s="25" t="str">
        <f ca="1">IFERROR(__xludf.DUMMYFUNCTION("""COMPUTED_VALUE"""),"新機上架")</f>
        <v>新機上架</v>
      </c>
      <c r="L1490" s="26" t="str">
        <f ca="1">IFERROR(__xludf.DUMMYFUNCTION("""COMPUTED_VALUE"""),"上架中")</f>
        <v>上架中</v>
      </c>
      <c r="M1490" s="25"/>
      <c r="N1490" s="25" t="str">
        <f ca="1">IFERROR(__xludf.DUMMYFUNCTION("""COMPUTED_VALUE"""),"身體清潔")</f>
        <v>身體清潔</v>
      </c>
      <c r="O1490" s="25"/>
      <c r="P1490" s="25" t="str">
        <f ca="1">IFERROR(__xludf.DUMMYFUNCTION("""COMPUTED_VALUE"""),"150g*6")</f>
        <v>150g*6</v>
      </c>
      <c r="Q1490" s="25"/>
      <c r="R1490" s="25" t="str">
        <f ca="1">IFERROR(__xludf.DUMMYFUNCTION("""COMPUTED_VALUE"""),"澳洲")</f>
        <v>澳洲</v>
      </c>
      <c r="S1490" s="25"/>
      <c r="T1490" s="25"/>
      <c r="U1490" s="25"/>
      <c r="V1490" s="25"/>
      <c r="W1490" s="25"/>
      <c r="X1490" s="25"/>
      <c r="Y1490" s="25"/>
      <c r="Z1490" s="27"/>
      <c r="AA1490"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91" spans="1:27" ht="12.75">
      <c r="A1491" s="25" t="str">
        <f ca="1">IFERROR(__xludf.DUMMYFUNCTION("""COMPUTED_VALUE"""),"居家生活用品")</f>
        <v>居家生活用品</v>
      </c>
      <c r="B1491" s="25" t="str">
        <f ca="1">IFERROR(__xludf.DUMMYFUNCTION("""COMPUTED_VALUE"""),"嘉亨科技")</f>
        <v>嘉亨科技</v>
      </c>
      <c r="C1491" s="25" t="str">
        <f ca="1">IFERROR(__xludf.DUMMYFUNCTION("""COMPUTED_VALUE"""),"澳洲Tilley")</f>
        <v>澳洲Tilley</v>
      </c>
      <c r="D1491" s="25" t="str">
        <f ca="1">IFERROR(__xludf.DUMMYFUNCTION("""COMPUTED_VALUE"""),"居家_【澳洲Tilley】經典香氛泡澡球150g 盒購6入-火星的日落")</f>
        <v>居家_【澳洲Tilley】經典香氛泡澡球150g 盒購6入-火星的日落</v>
      </c>
      <c r="E1491" s="25" t="str">
        <f ca="1">IFERROR(__xludf.DUMMYFUNCTION("""COMPUTED_VALUE"""),"MTLB01FG5654")</f>
        <v>MTLB01FG5654</v>
      </c>
      <c r="F1491" s="25">
        <f ca="1">IFERROR(__xludf.DUMMYFUNCTION("""COMPUTED_VALUE"""),51020072)</f>
        <v>51020072</v>
      </c>
      <c r="G1491" s="25" t="str">
        <f ca="1">IFERROR(__xludf.DUMMYFUNCTION("""COMPUTED_VALUE"""),"IGEM1069")</f>
        <v>IGEM1069</v>
      </c>
      <c r="H1491" s="25">
        <f ca="1">IFERROR(__xludf.DUMMYFUNCTION("""COMPUTED_VALUE"""),2940)</f>
        <v>2940</v>
      </c>
      <c r="I1491" s="27">
        <f ca="1">IFERROR(__xludf.DUMMYFUNCTION("""COMPUTED_VALUE"""),1290)</f>
        <v>1290</v>
      </c>
      <c r="J1491" s="25"/>
      <c r="K1491" s="25" t="str">
        <f ca="1">IFERROR(__xludf.DUMMYFUNCTION("""COMPUTED_VALUE"""),"新機上架")</f>
        <v>新機上架</v>
      </c>
      <c r="L1491" s="26" t="str">
        <f ca="1">IFERROR(__xludf.DUMMYFUNCTION("""COMPUTED_VALUE"""),"上架中")</f>
        <v>上架中</v>
      </c>
      <c r="M1491" s="25"/>
      <c r="N1491" s="25" t="str">
        <f ca="1">IFERROR(__xludf.DUMMYFUNCTION("""COMPUTED_VALUE"""),"身體清潔")</f>
        <v>身體清潔</v>
      </c>
      <c r="O1491" s="25"/>
      <c r="P1491" s="25" t="str">
        <f ca="1">IFERROR(__xludf.DUMMYFUNCTION("""COMPUTED_VALUE"""),"150g*6")</f>
        <v>150g*6</v>
      </c>
      <c r="Q1491" s="25"/>
      <c r="R1491" s="25" t="str">
        <f ca="1">IFERROR(__xludf.DUMMYFUNCTION("""COMPUTED_VALUE"""),"澳洲")</f>
        <v>澳洲</v>
      </c>
      <c r="S1491" s="25"/>
      <c r="T1491" s="25"/>
      <c r="U1491" s="25"/>
      <c r="V1491" s="25"/>
      <c r="W1491" s="25"/>
      <c r="X1491" s="25"/>
      <c r="Y1491" s="25"/>
      <c r="Z1491" s="27"/>
      <c r="AA1491"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92" spans="1:27" ht="12.75">
      <c r="A1492" s="25" t="str">
        <f ca="1">IFERROR(__xludf.DUMMYFUNCTION("""COMPUTED_VALUE"""),"居家生活用品")</f>
        <v>居家生活用品</v>
      </c>
      <c r="B1492" s="25" t="str">
        <f ca="1">IFERROR(__xludf.DUMMYFUNCTION("""COMPUTED_VALUE"""),"嘉亨科技")</f>
        <v>嘉亨科技</v>
      </c>
      <c r="C1492" s="25" t="str">
        <f ca="1">IFERROR(__xludf.DUMMYFUNCTION("""COMPUTED_VALUE"""),"澳洲Tilley")</f>
        <v>澳洲Tilley</v>
      </c>
      <c r="D1492" s="25" t="str">
        <f ca="1">IFERROR(__xludf.DUMMYFUNCTION("""COMPUTED_VALUE"""),"居家_【澳洲Tilley】經典香氛泡澡球150g 盒購6入-搖籃曲")</f>
        <v>居家_【澳洲Tilley】經典香氛泡澡球150g 盒購6入-搖籃曲</v>
      </c>
      <c r="E1492" s="25" t="str">
        <f ca="1">IFERROR(__xludf.DUMMYFUNCTION("""COMPUTED_VALUE"""),"MTLB01FG5656")</f>
        <v>MTLB01FG5656</v>
      </c>
      <c r="F1492" s="25">
        <f ca="1">IFERROR(__xludf.DUMMYFUNCTION("""COMPUTED_VALUE"""),51020073)</f>
        <v>51020073</v>
      </c>
      <c r="G1492" s="25" t="str">
        <f ca="1">IFERROR(__xludf.DUMMYFUNCTION("""COMPUTED_VALUE"""),"IGEM106A")</f>
        <v>IGEM106A</v>
      </c>
      <c r="H1492" s="25">
        <f ca="1">IFERROR(__xludf.DUMMYFUNCTION("""COMPUTED_VALUE"""),2940)</f>
        <v>2940</v>
      </c>
      <c r="I1492" s="27">
        <f ca="1">IFERROR(__xludf.DUMMYFUNCTION("""COMPUTED_VALUE"""),1290)</f>
        <v>1290</v>
      </c>
      <c r="J1492" s="25"/>
      <c r="K1492" s="25" t="str">
        <f ca="1">IFERROR(__xludf.DUMMYFUNCTION("""COMPUTED_VALUE"""),"新機上架")</f>
        <v>新機上架</v>
      </c>
      <c r="L1492" s="26" t="str">
        <f ca="1">IFERROR(__xludf.DUMMYFUNCTION("""COMPUTED_VALUE"""),"缺貨")</f>
        <v>缺貨</v>
      </c>
      <c r="M1492" s="25"/>
      <c r="N1492" s="25" t="str">
        <f ca="1">IFERROR(__xludf.DUMMYFUNCTION("""COMPUTED_VALUE"""),"身體清潔")</f>
        <v>身體清潔</v>
      </c>
      <c r="O1492" s="25"/>
      <c r="P1492" s="25" t="str">
        <f ca="1">IFERROR(__xludf.DUMMYFUNCTION("""COMPUTED_VALUE"""),"150g*6")</f>
        <v>150g*6</v>
      </c>
      <c r="Q1492" s="25"/>
      <c r="R1492" s="25" t="str">
        <f ca="1">IFERROR(__xludf.DUMMYFUNCTION("""COMPUTED_VALUE"""),"澳洲")</f>
        <v>澳洲</v>
      </c>
      <c r="S1492" s="25"/>
      <c r="T1492" s="25"/>
      <c r="U1492" s="25"/>
      <c r="V1492" s="25"/>
      <c r="W1492" s="25"/>
      <c r="X1492" s="25"/>
      <c r="Y1492" s="25"/>
      <c r="Z1492" s="27"/>
      <c r="AA1492"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93" spans="1:27" ht="12.75">
      <c r="A1493" s="25" t="str">
        <f ca="1">IFERROR(__xludf.DUMMYFUNCTION("""COMPUTED_VALUE"""),"居家生活用品")</f>
        <v>居家生活用品</v>
      </c>
      <c r="B1493" s="25" t="str">
        <f ca="1">IFERROR(__xludf.DUMMYFUNCTION("""COMPUTED_VALUE"""),"嘉亨科技")</f>
        <v>嘉亨科技</v>
      </c>
      <c r="C1493" s="25" t="str">
        <f ca="1">IFERROR(__xludf.DUMMYFUNCTION("""COMPUTED_VALUE"""),"澳洲Tilley")</f>
        <v>澳洲Tilley</v>
      </c>
      <c r="D1493" s="25" t="str">
        <f ca="1">IFERROR(__xludf.DUMMYFUNCTION("""COMPUTED_VALUE"""),"居家_【澳洲Tilley】經典香氛泡澡球150g 盒購6入-來個蹦蹦")</f>
        <v>居家_【澳洲Tilley】經典香氛泡澡球150g 盒購6入-來個蹦蹦</v>
      </c>
      <c r="E1493" s="25" t="str">
        <f ca="1">IFERROR(__xludf.DUMMYFUNCTION("""COMPUTED_VALUE"""),"MTLB01FG5657")</f>
        <v>MTLB01FG5657</v>
      </c>
      <c r="F1493" s="25">
        <f ca="1">IFERROR(__xludf.DUMMYFUNCTION("""COMPUTED_VALUE"""),51020074)</f>
        <v>51020074</v>
      </c>
      <c r="G1493" s="25" t="str">
        <f ca="1">IFERROR(__xludf.DUMMYFUNCTION("""COMPUTED_VALUE"""),"IGEM106B")</f>
        <v>IGEM106B</v>
      </c>
      <c r="H1493" s="25">
        <f ca="1">IFERROR(__xludf.DUMMYFUNCTION("""COMPUTED_VALUE"""),2940)</f>
        <v>2940</v>
      </c>
      <c r="I1493" s="27">
        <f ca="1">IFERROR(__xludf.DUMMYFUNCTION("""COMPUTED_VALUE"""),1290)</f>
        <v>1290</v>
      </c>
      <c r="J1493" s="25"/>
      <c r="K1493" s="25" t="str">
        <f ca="1">IFERROR(__xludf.DUMMYFUNCTION("""COMPUTED_VALUE"""),"新機上架")</f>
        <v>新機上架</v>
      </c>
      <c r="L1493" s="26" t="str">
        <f ca="1">IFERROR(__xludf.DUMMYFUNCTION("""COMPUTED_VALUE"""),"缺貨")</f>
        <v>缺貨</v>
      </c>
      <c r="M1493" s="25"/>
      <c r="N1493" s="25" t="str">
        <f ca="1">IFERROR(__xludf.DUMMYFUNCTION("""COMPUTED_VALUE"""),"身體清潔")</f>
        <v>身體清潔</v>
      </c>
      <c r="O1493" s="25"/>
      <c r="P1493" s="25" t="str">
        <f ca="1">IFERROR(__xludf.DUMMYFUNCTION("""COMPUTED_VALUE"""),"150g*6")</f>
        <v>150g*6</v>
      </c>
      <c r="Q1493" s="25"/>
      <c r="R1493" s="25" t="str">
        <f ca="1">IFERROR(__xludf.DUMMYFUNCTION("""COMPUTED_VALUE"""),"澳洲")</f>
        <v>澳洲</v>
      </c>
      <c r="S1493" s="25"/>
      <c r="T1493" s="25"/>
      <c r="U1493" s="25"/>
      <c r="V1493" s="25"/>
      <c r="W1493" s="25"/>
      <c r="X1493" s="25"/>
      <c r="Y1493" s="25"/>
      <c r="Z1493" s="27"/>
      <c r="AA1493"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94" spans="1:27" ht="12.75">
      <c r="A1494" s="25" t="str">
        <f ca="1">IFERROR(__xludf.DUMMYFUNCTION("""COMPUTED_VALUE"""),"居家生活用品")</f>
        <v>居家生活用品</v>
      </c>
      <c r="B1494" s="25" t="str">
        <f ca="1">IFERROR(__xludf.DUMMYFUNCTION("""COMPUTED_VALUE"""),"嘉亨科技")</f>
        <v>嘉亨科技</v>
      </c>
      <c r="C1494" s="25" t="str">
        <f ca="1">IFERROR(__xludf.DUMMYFUNCTION("""COMPUTED_VALUE"""),"澳洲Tilley")</f>
        <v>澳洲Tilley</v>
      </c>
      <c r="D1494" s="25" t="str">
        <f ca="1">IFERROR(__xludf.DUMMYFUNCTION("""COMPUTED_VALUE"""),"居家_【澳洲Tilley】經典香氛泡澡球150g 盒購6入-Let's Relax")</f>
        <v>居家_【澳洲Tilley】經典香氛泡澡球150g 盒購6入-Let's Relax</v>
      </c>
      <c r="E1494" s="25" t="str">
        <f ca="1">IFERROR(__xludf.DUMMYFUNCTION("""COMPUTED_VALUE"""),"MTLB01FG5659")</f>
        <v>MTLB01FG5659</v>
      </c>
      <c r="F1494" s="25">
        <f ca="1">IFERROR(__xludf.DUMMYFUNCTION("""COMPUTED_VALUE"""),51020075)</f>
        <v>51020075</v>
      </c>
      <c r="G1494" s="25" t="str">
        <f ca="1">IFERROR(__xludf.DUMMYFUNCTION("""COMPUTED_VALUE"""),"IGEM106C")</f>
        <v>IGEM106C</v>
      </c>
      <c r="H1494" s="25">
        <f ca="1">IFERROR(__xludf.DUMMYFUNCTION("""COMPUTED_VALUE"""),2940)</f>
        <v>2940</v>
      </c>
      <c r="I1494" s="27">
        <f ca="1">IFERROR(__xludf.DUMMYFUNCTION("""COMPUTED_VALUE"""),1290)</f>
        <v>1290</v>
      </c>
      <c r="J1494" s="25"/>
      <c r="K1494" s="25" t="str">
        <f ca="1">IFERROR(__xludf.DUMMYFUNCTION("""COMPUTED_VALUE"""),"新機上架")</f>
        <v>新機上架</v>
      </c>
      <c r="L1494" s="26" t="str">
        <f ca="1">IFERROR(__xludf.DUMMYFUNCTION("""COMPUTED_VALUE"""),"缺貨")</f>
        <v>缺貨</v>
      </c>
      <c r="M1494" s="25"/>
      <c r="N1494" s="25" t="str">
        <f ca="1">IFERROR(__xludf.DUMMYFUNCTION("""COMPUTED_VALUE"""),"身體清潔")</f>
        <v>身體清潔</v>
      </c>
      <c r="O1494" s="25"/>
      <c r="P1494" s="25" t="str">
        <f ca="1">IFERROR(__xludf.DUMMYFUNCTION("""COMPUTED_VALUE"""),"150g*6")</f>
        <v>150g*6</v>
      </c>
      <c r="Q1494" s="25"/>
      <c r="R1494" s="25" t="str">
        <f ca="1">IFERROR(__xludf.DUMMYFUNCTION("""COMPUTED_VALUE"""),"澳洲")</f>
        <v>澳洲</v>
      </c>
      <c r="S1494" s="25"/>
      <c r="T1494" s="25"/>
      <c r="U1494" s="25"/>
      <c r="V1494" s="25"/>
      <c r="W1494" s="25"/>
      <c r="X1494" s="25"/>
      <c r="Y1494" s="25"/>
      <c r="Z1494" s="27"/>
      <c r="AA1494"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95" spans="1:27" ht="12.75">
      <c r="A1495" s="25" t="str">
        <f ca="1">IFERROR(__xludf.DUMMYFUNCTION("""COMPUTED_VALUE"""),"居家生活用品")</f>
        <v>居家生活用品</v>
      </c>
      <c r="B1495" s="25" t="str">
        <f ca="1">IFERROR(__xludf.DUMMYFUNCTION("""COMPUTED_VALUE"""),"嘉亨科技")</f>
        <v>嘉亨科技</v>
      </c>
      <c r="C1495" s="25" t="str">
        <f ca="1">IFERROR(__xludf.DUMMYFUNCTION("""COMPUTED_VALUE"""),"澳洲Tilley")</f>
        <v>澳洲Tilley</v>
      </c>
      <c r="D1495" s="25" t="str">
        <f ca="1">IFERROR(__xludf.DUMMYFUNCTION("""COMPUTED_VALUE"""),"居家_【澳洲Tilley】經典香氛泡澡球150g 盒購6入-悠閒的粉紅沙灘")</f>
        <v>居家_【澳洲Tilley】經典香氛泡澡球150g 盒購6入-悠閒的粉紅沙灘</v>
      </c>
      <c r="E1495" s="25" t="str">
        <f ca="1">IFERROR(__xludf.DUMMYFUNCTION("""COMPUTED_VALUE"""),"MTLB01FG5661")</f>
        <v>MTLB01FG5661</v>
      </c>
      <c r="F1495" s="25">
        <f ca="1">IFERROR(__xludf.DUMMYFUNCTION("""COMPUTED_VALUE"""),51020076)</f>
        <v>51020076</v>
      </c>
      <c r="G1495" s="25" t="str">
        <f ca="1">IFERROR(__xludf.DUMMYFUNCTION("""COMPUTED_VALUE"""),"IGEM106D")</f>
        <v>IGEM106D</v>
      </c>
      <c r="H1495" s="25">
        <f ca="1">IFERROR(__xludf.DUMMYFUNCTION("""COMPUTED_VALUE"""),2940)</f>
        <v>2940</v>
      </c>
      <c r="I1495" s="27">
        <f ca="1">IFERROR(__xludf.DUMMYFUNCTION("""COMPUTED_VALUE"""),1290)</f>
        <v>1290</v>
      </c>
      <c r="J1495" s="25"/>
      <c r="K1495" s="25" t="str">
        <f ca="1">IFERROR(__xludf.DUMMYFUNCTION("""COMPUTED_VALUE"""),"新機上架")</f>
        <v>新機上架</v>
      </c>
      <c r="L1495" s="26" t="str">
        <f ca="1">IFERROR(__xludf.DUMMYFUNCTION("""COMPUTED_VALUE"""),"上架中")</f>
        <v>上架中</v>
      </c>
      <c r="M1495" s="25"/>
      <c r="N1495" s="25" t="str">
        <f ca="1">IFERROR(__xludf.DUMMYFUNCTION("""COMPUTED_VALUE"""),"身體清潔")</f>
        <v>身體清潔</v>
      </c>
      <c r="O1495" s="25"/>
      <c r="P1495" s="25" t="str">
        <f ca="1">IFERROR(__xludf.DUMMYFUNCTION("""COMPUTED_VALUE"""),"150g*6")</f>
        <v>150g*6</v>
      </c>
      <c r="Q1495" s="25"/>
      <c r="R1495" s="25" t="str">
        <f ca="1">IFERROR(__xludf.DUMMYFUNCTION("""COMPUTED_VALUE"""),"澳洲")</f>
        <v>澳洲</v>
      </c>
      <c r="S1495" s="25"/>
      <c r="T1495" s="25"/>
      <c r="U1495" s="25"/>
      <c r="V1495" s="25"/>
      <c r="W1495" s="25"/>
      <c r="X1495" s="25"/>
      <c r="Y1495" s="25"/>
      <c r="Z1495" s="27"/>
      <c r="AA1495"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96" spans="1:27" ht="12.75">
      <c r="A1496" s="25" t="str">
        <f ca="1">IFERROR(__xludf.DUMMYFUNCTION("""COMPUTED_VALUE"""),"居家生活用品")</f>
        <v>居家生活用品</v>
      </c>
      <c r="B1496" s="25" t="str">
        <f ca="1">IFERROR(__xludf.DUMMYFUNCTION("""COMPUTED_VALUE"""),"嘉亨科技")</f>
        <v>嘉亨科技</v>
      </c>
      <c r="C1496" s="25" t="str">
        <f ca="1">IFERROR(__xludf.DUMMYFUNCTION("""COMPUTED_VALUE"""),"澳洲Tilley")</f>
        <v>澳洲Tilley</v>
      </c>
      <c r="D1496" s="25" t="str">
        <f ca="1">IFERROR(__xludf.DUMMYFUNCTION("""COMPUTED_VALUE"""),"居家_【澳洲Tilley】經典香氛泡澡球150g 盒購6入-放空")</f>
        <v>居家_【澳洲Tilley】經典香氛泡澡球150g 盒購6入-放空</v>
      </c>
      <c r="E1496" s="25" t="str">
        <f ca="1">IFERROR(__xludf.DUMMYFUNCTION("""COMPUTED_VALUE"""),"MTLB01FG5662")</f>
        <v>MTLB01FG5662</v>
      </c>
      <c r="F1496" s="25">
        <f ca="1">IFERROR(__xludf.DUMMYFUNCTION("""COMPUTED_VALUE"""),51020077)</f>
        <v>51020077</v>
      </c>
      <c r="G1496" s="25" t="str">
        <f ca="1">IFERROR(__xludf.DUMMYFUNCTION("""COMPUTED_VALUE"""),"IGEM106E")</f>
        <v>IGEM106E</v>
      </c>
      <c r="H1496" s="25">
        <f ca="1">IFERROR(__xludf.DUMMYFUNCTION("""COMPUTED_VALUE"""),2940)</f>
        <v>2940</v>
      </c>
      <c r="I1496" s="27">
        <f ca="1">IFERROR(__xludf.DUMMYFUNCTION("""COMPUTED_VALUE"""),1290)</f>
        <v>1290</v>
      </c>
      <c r="J1496" s="25"/>
      <c r="K1496" s="25" t="str">
        <f ca="1">IFERROR(__xludf.DUMMYFUNCTION("""COMPUTED_VALUE"""),"新機上架")</f>
        <v>新機上架</v>
      </c>
      <c r="L1496" s="26" t="str">
        <f ca="1">IFERROR(__xludf.DUMMYFUNCTION("""COMPUTED_VALUE"""),"缺貨")</f>
        <v>缺貨</v>
      </c>
      <c r="M1496" s="25"/>
      <c r="N1496" s="25" t="str">
        <f ca="1">IFERROR(__xludf.DUMMYFUNCTION("""COMPUTED_VALUE"""),"身體清潔")</f>
        <v>身體清潔</v>
      </c>
      <c r="O1496" s="25"/>
      <c r="P1496" s="25" t="str">
        <f ca="1">IFERROR(__xludf.DUMMYFUNCTION("""COMPUTED_VALUE"""),"150g*6")</f>
        <v>150g*6</v>
      </c>
      <c r="Q1496" s="25"/>
      <c r="R1496" s="25" t="str">
        <f ca="1">IFERROR(__xludf.DUMMYFUNCTION("""COMPUTED_VALUE"""),"澳洲")</f>
        <v>澳洲</v>
      </c>
      <c r="S1496" s="25"/>
      <c r="T1496" s="25"/>
      <c r="U1496" s="25"/>
      <c r="V1496" s="25"/>
      <c r="W1496" s="25"/>
      <c r="X1496" s="25"/>
      <c r="Y1496" s="25"/>
      <c r="Z1496" s="27"/>
      <c r="AA1496" s="28" t="str">
        <f ca="1">IFERROR(__xludf.DUMMYFUNCTION("""COMPUTED_VALUE"""),"放鬆舒緩整天疲憊身心，促進肌膚新陳代謝,通暢毛孔，旅遊攜帶方便出門在外也能放鬆")</f>
        <v>放鬆舒緩整天疲憊身心，促進肌膚新陳代謝,通暢毛孔，旅遊攜帶方便出門在外也能放鬆</v>
      </c>
    </row>
    <row r="1497" spans="1:27" ht="12.75">
      <c r="A1497" s="25" t="str">
        <f ca="1">IFERROR(__xludf.DUMMYFUNCTION("""COMPUTED_VALUE"""),"居家生活用品")</f>
        <v>居家生活用品</v>
      </c>
      <c r="B1497" s="25" t="str">
        <f ca="1">IFERROR(__xludf.DUMMYFUNCTION("""COMPUTED_VALUE"""),"嘉亨科技")</f>
        <v>嘉亨科技</v>
      </c>
      <c r="C1497" s="25" t="str">
        <f ca="1">IFERROR(__xludf.DUMMYFUNCTION("""COMPUTED_VALUE"""),"澳洲Tilley")</f>
        <v>澳洲Tilley</v>
      </c>
      <c r="D1497" s="25" t="str">
        <f ca="1">IFERROR(__xludf.DUMMYFUNCTION("""COMPUTED_VALUE"""),"居家_【澳洲Tilley】微醺大豆香氛蠟燭240g-牡丹玫瑰")</f>
        <v>居家_【澳洲Tilley】微醺大豆香氛蠟燭240g-牡丹玫瑰</v>
      </c>
      <c r="E1497" s="25" t="str">
        <f ca="1">IFERROR(__xludf.DUMMYFUNCTION("""COMPUTED_VALUE"""),"MTLH02FG0702")</f>
        <v>MTLH02FG0702</v>
      </c>
      <c r="F1497" s="25">
        <f ca="1">IFERROR(__xludf.DUMMYFUNCTION("""COMPUTED_VALUE"""),51020078)</f>
        <v>51020078</v>
      </c>
      <c r="G1497" s="25" t="str">
        <f ca="1">IFERROR(__xludf.DUMMYFUNCTION("""COMPUTED_VALUE"""),"IGEM106F")</f>
        <v>IGEM106F</v>
      </c>
      <c r="H1497" s="25">
        <f ca="1">IFERROR(__xludf.DUMMYFUNCTION("""COMPUTED_VALUE"""),1580)</f>
        <v>1580</v>
      </c>
      <c r="I1497" s="27">
        <f ca="1">IFERROR(__xludf.DUMMYFUNCTION("""COMPUTED_VALUE"""),690)</f>
        <v>690</v>
      </c>
      <c r="J1497" s="25"/>
      <c r="K1497" s="25" t="str">
        <f ca="1">IFERROR(__xludf.DUMMYFUNCTION("""COMPUTED_VALUE"""),"新機上架")</f>
        <v>新機上架</v>
      </c>
      <c r="L1497" s="26" t="str">
        <f ca="1">IFERROR(__xludf.DUMMYFUNCTION("""COMPUTED_VALUE"""),"上架中")</f>
        <v>上架中</v>
      </c>
      <c r="M1497" s="25"/>
      <c r="N1497" s="25" t="str">
        <f ca="1">IFERROR(__xludf.DUMMYFUNCTION("""COMPUTED_VALUE"""),"香氛精油")</f>
        <v>香氛精油</v>
      </c>
      <c r="O1497" s="25"/>
      <c r="P1497" s="25" t="str">
        <f ca="1">IFERROR(__xludf.DUMMYFUNCTION("""COMPUTED_VALUE"""),"240g")</f>
        <v>240g</v>
      </c>
      <c r="Q1497" s="25"/>
      <c r="R1497" s="25" t="str">
        <f ca="1">IFERROR(__xludf.DUMMYFUNCTION("""COMPUTED_VALUE"""),"澳洲")</f>
        <v>澳洲</v>
      </c>
      <c r="S1497" s="25"/>
      <c r="T1497" s="25"/>
      <c r="U1497" s="25"/>
      <c r="V1497" s="25"/>
      <c r="W1497" s="25"/>
      <c r="X1497" s="25"/>
      <c r="Y1497" s="25"/>
      <c r="Z1497" s="27"/>
      <c r="AA1497" s="28" t="str">
        <f ca="1">IFERROR(__xludf.DUMMYFUNCTION("""COMPUTED_VALUE"""),"經過調香師精心調製，最適合拿來舒緩放鬆身心，蠟油香氛氣味比乳液更持久")</f>
        <v>經過調香師精心調製，最適合拿來舒緩放鬆身心，蠟油香氛氣味比乳液更持久</v>
      </c>
    </row>
    <row r="1498" spans="1:27" ht="12.75">
      <c r="A1498" s="25" t="str">
        <f ca="1">IFERROR(__xludf.DUMMYFUNCTION("""COMPUTED_VALUE"""),"居家生活用品")</f>
        <v>居家生活用品</v>
      </c>
      <c r="B1498" s="25" t="str">
        <f ca="1">IFERROR(__xludf.DUMMYFUNCTION("""COMPUTED_VALUE"""),"嘉亨科技")</f>
        <v>嘉亨科技</v>
      </c>
      <c r="C1498" s="25" t="str">
        <f ca="1">IFERROR(__xludf.DUMMYFUNCTION("""COMPUTED_VALUE"""),"澳洲Tilley")</f>
        <v>澳洲Tilley</v>
      </c>
      <c r="D1498" s="25" t="str">
        <f ca="1">IFERROR(__xludf.DUMMYFUNCTION("""COMPUTED_VALUE"""),"居家_【澳洲Tilley】微醺大豆香氛蠟燭240g-木蘭與綠茶")</f>
        <v>居家_【澳洲Tilley】微醺大豆香氛蠟燭240g-木蘭與綠茶</v>
      </c>
      <c r="E1498" s="25" t="str">
        <f ca="1">IFERROR(__xludf.DUMMYFUNCTION("""COMPUTED_VALUE"""),"MTLH02FG0704")</f>
        <v>MTLH02FG0704</v>
      </c>
      <c r="F1498" s="25">
        <f ca="1">IFERROR(__xludf.DUMMYFUNCTION("""COMPUTED_VALUE"""),51020079)</f>
        <v>51020079</v>
      </c>
      <c r="G1498" s="25" t="str">
        <f ca="1">IFERROR(__xludf.DUMMYFUNCTION("""COMPUTED_VALUE"""),"IGEM106G")</f>
        <v>IGEM106G</v>
      </c>
      <c r="H1498" s="25">
        <f ca="1">IFERROR(__xludf.DUMMYFUNCTION("""COMPUTED_VALUE"""),1580)</f>
        <v>1580</v>
      </c>
      <c r="I1498" s="27">
        <f ca="1">IFERROR(__xludf.DUMMYFUNCTION("""COMPUTED_VALUE"""),690)</f>
        <v>690</v>
      </c>
      <c r="J1498" s="25"/>
      <c r="K1498" s="25" t="str">
        <f ca="1">IFERROR(__xludf.DUMMYFUNCTION("""COMPUTED_VALUE"""),"新機上架")</f>
        <v>新機上架</v>
      </c>
      <c r="L1498" s="26" t="str">
        <f ca="1">IFERROR(__xludf.DUMMYFUNCTION("""COMPUTED_VALUE"""),"上架中")</f>
        <v>上架中</v>
      </c>
      <c r="M1498" s="25"/>
      <c r="N1498" s="25" t="str">
        <f ca="1">IFERROR(__xludf.DUMMYFUNCTION("""COMPUTED_VALUE"""),"香氛精油")</f>
        <v>香氛精油</v>
      </c>
      <c r="O1498" s="25"/>
      <c r="P1498" s="25" t="str">
        <f ca="1">IFERROR(__xludf.DUMMYFUNCTION("""COMPUTED_VALUE"""),"240g")</f>
        <v>240g</v>
      </c>
      <c r="Q1498" s="25"/>
      <c r="R1498" s="25" t="str">
        <f ca="1">IFERROR(__xludf.DUMMYFUNCTION("""COMPUTED_VALUE"""),"澳洲")</f>
        <v>澳洲</v>
      </c>
      <c r="S1498" s="25"/>
      <c r="T1498" s="25"/>
      <c r="U1498" s="25"/>
      <c r="V1498" s="25"/>
      <c r="W1498" s="25"/>
      <c r="X1498" s="25"/>
      <c r="Y1498" s="25"/>
      <c r="Z1498" s="27"/>
      <c r="AA1498" s="28" t="str">
        <f ca="1">IFERROR(__xludf.DUMMYFUNCTION("""COMPUTED_VALUE"""),"經過調香師精心調製，最適合拿來舒緩放鬆身心，蠟油香氛氣味比乳液更持久")</f>
        <v>經過調香師精心調製，最適合拿來舒緩放鬆身心，蠟油香氛氣味比乳液更持久</v>
      </c>
    </row>
    <row r="1499" spans="1:27" ht="12.75">
      <c r="A1499" s="25" t="str">
        <f ca="1">IFERROR(__xludf.DUMMYFUNCTION("""COMPUTED_VALUE"""),"居家生活用品")</f>
        <v>居家生活用品</v>
      </c>
      <c r="B1499" s="25" t="str">
        <f ca="1">IFERROR(__xludf.DUMMYFUNCTION("""COMPUTED_VALUE"""),"嘉亨科技")</f>
        <v>嘉亨科技</v>
      </c>
      <c r="C1499" s="25" t="str">
        <f ca="1">IFERROR(__xludf.DUMMYFUNCTION("""COMPUTED_VALUE"""),"澳洲Tilley")</f>
        <v>澳洲Tilley</v>
      </c>
      <c r="D1499" s="25" t="str">
        <f ca="1">IFERROR(__xludf.DUMMYFUNCTION("""COMPUTED_VALUE"""),"居家_【澳洲Tilley】微醺大豆香氛蠟燭240g-希臘盛夏無花果")</f>
        <v>居家_【澳洲Tilley】微醺大豆香氛蠟燭240g-希臘盛夏無花果</v>
      </c>
      <c r="E1499" s="25" t="str">
        <f ca="1">IFERROR(__xludf.DUMMYFUNCTION("""COMPUTED_VALUE"""),"MTLH02FG0708")</f>
        <v>MTLH02FG0708</v>
      </c>
      <c r="F1499" s="25">
        <f ca="1">IFERROR(__xludf.DUMMYFUNCTION("""COMPUTED_VALUE"""),51020080)</f>
        <v>51020080</v>
      </c>
      <c r="G1499" s="25" t="str">
        <f ca="1">IFERROR(__xludf.DUMMYFUNCTION("""COMPUTED_VALUE"""),"IGEM106H")</f>
        <v>IGEM106H</v>
      </c>
      <c r="H1499" s="25">
        <f ca="1">IFERROR(__xludf.DUMMYFUNCTION("""COMPUTED_VALUE"""),1580)</f>
        <v>1580</v>
      </c>
      <c r="I1499" s="27">
        <f ca="1">IFERROR(__xludf.DUMMYFUNCTION("""COMPUTED_VALUE"""),690)</f>
        <v>690</v>
      </c>
      <c r="J1499" s="25"/>
      <c r="K1499" s="25" t="str">
        <f ca="1">IFERROR(__xludf.DUMMYFUNCTION("""COMPUTED_VALUE"""),"新機上架")</f>
        <v>新機上架</v>
      </c>
      <c r="L1499" s="26" t="str">
        <f ca="1">IFERROR(__xludf.DUMMYFUNCTION("""COMPUTED_VALUE"""),"上架中")</f>
        <v>上架中</v>
      </c>
      <c r="M1499" s="25"/>
      <c r="N1499" s="25" t="str">
        <f ca="1">IFERROR(__xludf.DUMMYFUNCTION("""COMPUTED_VALUE"""),"香氛精油")</f>
        <v>香氛精油</v>
      </c>
      <c r="O1499" s="25"/>
      <c r="P1499" s="25" t="str">
        <f ca="1">IFERROR(__xludf.DUMMYFUNCTION("""COMPUTED_VALUE"""),"240g")</f>
        <v>240g</v>
      </c>
      <c r="Q1499" s="25"/>
      <c r="R1499" s="25" t="str">
        <f ca="1">IFERROR(__xludf.DUMMYFUNCTION("""COMPUTED_VALUE"""),"澳洲")</f>
        <v>澳洲</v>
      </c>
      <c r="S1499" s="25"/>
      <c r="T1499" s="25"/>
      <c r="U1499" s="25"/>
      <c r="V1499" s="25"/>
      <c r="W1499" s="25"/>
      <c r="X1499" s="25"/>
      <c r="Y1499" s="25"/>
      <c r="Z1499" s="27"/>
      <c r="AA1499" s="28" t="str">
        <f ca="1">IFERROR(__xludf.DUMMYFUNCTION("""COMPUTED_VALUE"""),"經過調香師精心調製，最適合拿來舒緩放鬆身心，蠟油香氛氣味比乳液更持久")</f>
        <v>經過調香師精心調製，最適合拿來舒緩放鬆身心，蠟油香氛氣味比乳液更持久</v>
      </c>
    </row>
    <row r="1500" spans="1:27" ht="12.75">
      <c r="A1500" s="25" t="str">
        <f ca="1">IFERROR(__xludf.DUMMYFUNCTION("""COMPUTED_VALUE"""),"居家生活用品")</f>
        <v>居家生活用品</v>
      </c>
      <c r="B1500" s="25" t="str">
        <f ca="1">IFERROR(__xludf.DUMMYFUNCTION("""COMPUTED_VALUE"""),"嘉亨科技")</f>
        <v>嘉亨科技</v>
      </c>
      <c r="C1500" s="25" t="str">
        <f ca="1">IFERROR(__xludf.DUMMYFUNCTION("""COMPUTED_VALUE"""),"澳洲Tilley")</f>
        <v>澳洲Tilley</v>
      </c>
      <c r="D1500" s="25" t="str">
        <f ca="1">IFERROR(__xludf.DUMMYFUNCTION("""COMPUTED_VALUE"""),"居家_【澳洲Tilley】微醺大豆香氛蠟燭240g-蘇美島微醺檸檬草")</f>
        <v>居家_【澳洲Tilley】微醺大豆香氛蠟燭240g-蘇美島微醺檸檬草</v>
      </c>
      <c r="E1500" s="25" t="str">
        <f ca="1">IFERROR(__xludf.DUMMYFUNCTION("""COMPUTED_VALUE"""),"MTLH02FG0710")</f>
        <v>MTLH02FG0710</v>
      </c>
      <c r="F1500" s="25">
        <f ca="1">IFERROR(__xludf.DUMMYFUNCTION("""COMPUTED_VALUE"""),51020081)</f>
        <v>51020081</v>
      </c>
      <c r="G1500" s="25" t="str">
        <f ca="1">IFERROR(__xludf.DUMMYFUNCTION("""COMPUTED_VALUE"""),"IGEM106I")</f>
        <v>IGEM106I</v>
      </c>
      <c r="H1500" s="25">
        <f ca="1">IFERROR(__xludf.DUMMYFUNCTION("""COMPUTED_VALUE"""),1580)</f>
        <v>1580</v>
      </c>
      <c r="I1500" s="27">
        <f ca="1">IFERROR(__xludf.DUMMYFUNCTION("""COMPUTED_VALUE"""),690)</f>
        <v>690</v>
      </c>
      <c r="J1500" s="25"/>
      <c r="K1500" s="25" t="str">
        <f ca="1">IFERROR(__xludf.DUMMYFUNCTION("""COMPUTED_VALUE"""),"新機上架")</f>
        <v>新機上架</v>
      </c>
      <c r="L1500" s="26" t="str">
        <f ca="1">IFERROR(__xludf.DUMMYFUNCTION("""COMPUTED_VALUE"""),"缺貨")</f>
        <v>缺貨</v>
      </c>
      <c r="M1500" s="25"/>
      <c r="N1500" s="25" t="str">
        <f ca="1">IFERROR(__xludf.DUMMYFUNCTION("""COMPUTED_VALUE"""),"香氛精油")</f>
        <v>香氛精油</v>
      </c>
      <c r="O1500" s="25"/>
      <c r="P1500" s="25" t="str">
        <f ca="1">IFERROR(__xludf.DUMMYFUNCTION("""COMPUTED_VALUE"""),"240g")</f>
        <v>240g</v>
      </c>
      <c r="Q1500" s="25"/>
      <c r="R1500" s="25" t="str">
        <f ca="1">IFERROR(__xludf.DUMMYFUNCTION("""COMPUTED_VALUE"""),"澳洲")</f>
        <v>澳洲</v>
      </c>
      <c r="S1500" s="25"/>
      <c r="T1500" s="25"/>
      <c r="U1500" s="25"/>
      <c r="V1500" s="25"/>
      <c r="W1500" s="25"/>
      <c r="X1500" s="25"/>
      <c r="Y1500" s="25"/>
      <c r="Z1500" s="27"/>
      <c r="AA1500" s="28" t="str">
        <f ca="1">IFERROR(__xludf.DUMMYFUNCTION("""COMPUTED_VALUE"""),"經過調香師精心調製，最適合拿來舒緩放鬆身心，蠟油香氛氣味比乳液更持久")</f>
        <v>經過調香師精心調製，最適合拿來舒緩放鬆身心，蠟油香氛氣味比乳液更持久</v>
      </c>
    </row>
    <row r="1501" spans="1:27" ht="12.75">
      <c r="A1501" s="25" t="str">
        <f ca="1">IFERROR(__xludf.DUMMYFUNCTION("""COMPUTED_VALUE"""),"居家生活用品")</f>
        <v>居家生活用品</v>
      </c>
      <c r="B1501" s="25" t="str">
        <f ca="1">IFERROR(__xludf.DUMMYFUNCTION("""COMPUTED_VALUE"""),"嘉亨科技")</f>
        <v>嘉亨科技</v>
      </c>
      <c r="C1501" s="25" t="str">
        <f ca="1">IFERROR(__xludf.DUMMYFUNCTION("""COMPUTED_VALUE"""),"澳洲Tilley")</f>
        <v>澳洲Tilley</v>
      </c>
      <c r="D1501" s="25" t="str">
        <f ca="1">IFERROR(__xludf.DUMMYFUNCTION("""COMPUTED_VALUE"""),"居家_【澳洲Tilley】微醺大豆香氛蠟燭240g-檀香與佛手柑")</f>
        <v>居家_【澳洲Tilley】微醺大豆香氛蠟燭240g-檀香與佛手柑</v>
      </c>
      <c r="E1501" s="25" t="str">
        <f ca="1">IFERROR(__xludf.DUMMYFUNCTION("""COMPUTED_VALUE"""),"MTLH02FG0711")</f>
        <v>MTLH02FG0711</v>
      </c>
      <c r="F1501" s="25">
        <f ca="1">IFERROR(__xludf.DUMMYFUNCTION("""COMPUTED_VALUE"""),51020082)</f>
        <v>51020082</v>
      </c>
      <c r="G1501" s="25" t="str">
        <f ca="1">IFERROR(__xludf.DUMMYFUNCTION("""COMPUTED_VALUE"""),"IGEM106J")</f>
        <v>IGEM106J</v>
      </c>
      <c r="H1501" s="25">
        <f ca="1">IFERROR(__xludf.DUMMYFUNCTION("""COMPUTED_VALUE"""),1580)</f>
        <v>1580</v>
      </c>
      <c r="I1501" s="27">
        <f ca="1">IFERROR(__xludf.DUMMYFUNCTION("""COMPUTED_VALUE"""),690)</f>
        <v>690</v>
      </c>
      <c r="J1501" s="25"/>
      <c r="K1501" s="25" t="str">
        <f ca="1">IFERROR(__xludf.DUMMYFUNCTION("""COMPUTED_VALUE"""),"新機上架")</f>
        <v>新機上架</v>
      </c>
      <c r="L1501" s="26" t="str">
        <f ca="1">IFERROR(__xludf.DUMMYFUNCTION("""COMPUTED_VALUE"""),"上架中")</f>
        <v>上架中</v>
      </c>
      <c r="M1501" s="25"/>
      <c r="N1501" s="25" t="str">
        <f ca="1">IFERROR(__xludf.DUMMYFUNCTION("""COMPUTED_VALUE"""),"香氛精油")</f>
        <v>香氛精油</v>
      </c>
      <c r="O1501" s="25"/>
      <c r="P1501" s="25" t="str">
        <f ca="1">IFERROR(__xludf.DUMMYFUNCTION("""COMPUTED_VALUE"""),"240g")</f>
        <v>240g</v>
      </c>
      <c r="Q1501" s="25"/>
      <c r="R1501" s="25" t="str">
        <f ca="1">IFERROR(__xludf.DUMMYFUNCTION("""COMPUTED_VALUE"""),"澳洲")</f>
        <v>澳洲</v>
      </c>
      <c r="S1501" s="25"/>
      <c r="T1501" s="25"/>
      <c r="U1501" s="25"/>
      <c r="V1501" s="25"/>
      <c r="W1501" s="25"/>
      <c r="X1501" s="25"/>
      <c r="Y1501" s="25"/>
      <c r="Z1501" s="27"/>
      <c r="AA1501" s="28" t="str">
        <f ca="1">IFERROR(__xludf.DUMMYFUNCTION("""COMPUTED_VALUE"""),"經過調香師精心調製，最適合拿來舒緩放鬆身心，蠟油香氛氣味比乳液更持久")</f>
        <v>經過調香師精心調製，最適合拿來舒緩放鬆身心，蠟油香氛氣味比乳液更持久</v>
      </c>
    </row>
    <row r="1502" spans="1:27" ht="12.75">
      <c r="A1502" s="25" t="str">
        <f ca="1">IFERROR(__xludf.DUMMYFUNCTION("""COMPUTED_VALUE"""),"居家生活用品")</f>
        <v>居家生活用品</v>
      </c>
      <c r="B1502" s="25" t="str">
        <f ca="1">IFERROR(__xludf.DUMMYFUNCTION("""COMPUTED_VALUE"""),"嘉亨科技")</f>
        <v>嘉亨科技</v>
      </c>
      <c r="C1502" s="25" t="str">
        <f ca="1">IFERROR(__xludf.DUMMYFUNCTION("""COMPUTED_VALUE"""),"澳洲Tilley")</f>
        <v>澳洲Tilley</v>
      </c>
      <c r="D1502" s="25" t="str">
        <f ca="1">IFERROR(__xludf.DUMMYFUNCTION("""COMPUTED_VALUE"""),"居家_【澳洲Tilley】微醺大豆香氛蠟燭240g-波拉波拉島天空")</f>
        <v>居家_【澳洲Tilley】微醺大豆香氛蠟燭240g-波拉波拉島天空</v>
      </c>
      <c r="E1502" s="25" t="str">
        <f ca="1">IFERROR(__xludf.DUMMYFUNCTION("""COMPUTED_VALUE"""),"MTLH02FG0712")</f>
        <v>MTLH02FG0712</v>
      </c>
      <c r="F1502" s="25">
        <f ca="1">IFERROR(__xludf.DUMMYFUNCTION("""COMPUTED_VALUE"""),51020083)</f>
        <v>51020083</v>
      </c>
      <c r="G1502" s="25" t="str">
        <f ca="1">IFERROR(__xludf.DUMMYFUNCTION("""COMPUTED_VALUE"""),"IGEM106K")</f>
        <v>IGEM106K</v>
      </c>
      <c r="H1502" s="25">
        <f ca="1">IFERROR(__xludf.DUMMYFUNCTION("""COMPUTED_VALUE"""),1580)</f>
        <v>1580</v>
      </c>
      <c r="I1502" s="27">
        <f ca="1">IFERROR(__xludf.DUMMYFUNCTION("""COMPUTED_VALUE"""),690)</f>
        <v>690</v>
      </c>
      <c r="J1502" s="25"/>
      <c r="K1502" s="25" t="str">
        <f ca="1">IFERROR(__xludf.DUMMYFUNCTION("""COMPUTED_VALUE"""),"新機上架")</f>
        <v>新機上架</v>
      </c>
      <c r="L1502" s="26" t="str">
        <f ca="1">IFERROR(__xludf.DUMMYFUNCTION("""COMPUTED_VALUE"""),"缺貨")</f>
        <v>缺貨</v>
      </c>
      <c r="M1502" s="25"/>
      <c r="N1502" s="25" t="str">
        <f ca="1">IFERROR(__xludf.DUMMYFUNCTION("""COMPUTED_VALUE"""),"香氛精油")</f>
        <v>香氛精油</v>
      </c>
      <c r="O1502" s="25"/>
      <c r="P1502" s="25" t="str">
        <f ca="1">IFERROR(__xludf.DUMMYFUNCTION("""COMPUTED_VALUE"""),"240g")</f>
        <v>240g</v>
      </c>
      <c r="Q1502" s="25"/>
      <c r="R1502" s="25" t="str">
        <f ca="1">IFERROR(__xludf.DUMMYFUNCTION("""COMPUTED_VALUE"""),"澳洲")</f>
        <v>澳洲</v>
      </c>
      <c r="S1502" s="25"/>
      <c r="T1502" s="25"/>
      <c r="U1502" s="25"/>
      <c r="V1502" s="25"/>
      <c r="W1502" s="25"/>
      <c r="X1502" s="25"/>
      <c r="Y1502" s="25"/>
      <c r="Z1502" s="27"/>
      <c r="AA1502" s="28" t="str">
        <f ca="1">IFERROR(__xludf.DUMMYFUNCTION("""COMPUTED_VALUE"""),"經過調香師精心調製，最適合拿來舒緩放鬆身心，蠟油香氛氣味比乳液更持久")</f>
        <v>經過調香師精心調製，最適合拿來舒緩放鬆身心，蠟油香氛氣味比乳液更持久</v>
      </c>
    </row>
    <row r="1503" spans="1:27" ht="12.75">
      <c r="A1503" s="25" t="str">
        <f ca="1">IFERROR(__xludf.DUMMYFUNCTION("""COMPUTED_VALUE"""),"居家生活用品")</f>
        <v>居家生活用品</v>
      </c>
      <c r="B1503" s="25" t="str">
        <f ca="1">IFERROR(__xludf.DUMMYFUNCTION("""COMPUTED_VALUE"""),"嘉亨科技")</f>
        <v>嘉亨科技</v>
      </c>
      <c r="C1503" s="25" t="str">
        <f ca="1">IFERROR(__xludf.DUMMYFUNCTION("""COMPUTED_VALUE"""),"澳洲Tilley")</f>
        <v>澳洲Tilley</v>
      </c>
      <c r="D1503" s="25" t="str">
        <f ca="1">IFERROR(__xludf.DUMMYFUNCTION("""COMPUTED_VALUE"""),"居家_【澳洲Tilley】微醺大豆香氛蠟燭240g-廣藿與麝香")</f>
        <v>居家_【澳洲Tilley】微醺大豆香氛蠟燭240g-廣藿與麝香</v>
      </c>
      <c r="E1503" s="25" t="str">
        <f ca="1">IFERROR(__xludf.DUMMYFUNCTION("""COMPUTED_VALUE"""),"MTLH02FG0715")</f>
        <v>MTLH02FG0715</v>
      </c>
      <c r="F1503" s="25">
        <f ca="1">IFERROR(__xludf.DUMMYFUNCTION("""COMPUTED_VALUE"""),51020084)</f>
        <v>51020084</v>
      </c>
      <c r="G1503" s="25" t="str">
        <f ca="1">IFERROR(__xludf.DUMMYFUNCTION("""COMPUTED_VALUE"""),"IGEM106L")</f>
        <v>IGEM106L</v>
      </c>
      <c r="H1503" s="25">
        <f ca="1">IFERROR(__xludf.DUMMYFUNCTION("""COMPUTED_VALUE"""),1580)</f>
        <v>1580</v>
      </c>
      <c r="I1503" s="27">
        <f ca="1">IFERROR(__xludf.DUMMYFUNCTION("""COMPUTED_VALUE"""),690)</f>
        <v>690</v>
      </c>
      <c r="J1503" s="25"/>
      <c r="K1503" s="25" t="str">
        <f ca="1">IFERROR(__xludf.DUMMYFUNCTION("""COMPUTED_VALUE"""),"新機上架")</f>
        <v>新機上架</v>
      </c>
      <c r="L1503" s="26" t="str">
        <f ca="1">IFERROR(__xludf.DUMMYFUNCTION("""COMPUTED_VALUE"""),"上架中")</f>
        <v>上架中</v>
      </c>
      <c r="M1503" s="25"/>
      <c r="N1503" s="25" t="str">
        <f ca="1">IFERROR(__xludf.DUMMYFUNCTION("""COMPUTED_VALUE"""),"香氛精油")</f>
        <v>香氛精油</v>
      </c>
      <c r="O1503" s="25"/>
      <c r="P1503" s="25" t="str">
        <f ca="1">IFERROR(__xludf.DUMMYFUNCTION("""COMPUTED_VALUE"""),"240g")</f>
        <v>240g</v>
      </c>
      <c r="Q1503" s="25"/>
      <c r="R1503" s="25" t="str">
        <f ca="1">IFERROR(__xludf.DUMMYFUNCTION("""COMPUTED_VALUE"""),"澳洲")</f>
        <v>澳洲</v>
      </c>
      <c r="S1503" s="25"/>
      <c r="T1503" s="25"/>
      <c r="U1503" s="25"/>
      <c r="V1503" s="25"/>
      <c r="W1503" s="25"/>
      <c r="X1503" s="25"/>
      <c r="Y1503" s="25"/>
      <c r="Z1503" s="27"/>
      <c r="AA1503" s="28" t="str">
        <f ca="1">IFERROR(__xludf.DUMMYFUNCTION("""COMPUTED_VALUE"""),"經過調香師精心調製，最適合拿來舒緩放鬆身心，蠟油香氛氣味比乳液更持久")</f>
        <v>經過調香師精心調製，最適合拿來舒緩放鬆身心，蠟油香氛氣味比乳液更持久</v>
      </c>
    </row>
    <row r="1504" spans="1:27" ht="12.75">
      <c r="A1504" s="25" t="str">
        <f ca="1">IFERROR(__xludf.DUMMYFUNCTION("""COMPUTED_VALUE"""),"居家生活用品")</f>
        <v>居家生活用品</v>
      </c>
      <c r="B1504" s="25" t="str">
        <f ca="1">IFERROR(__xludf.DUMMYFUNCTION("""COMPUTED_VALUE"""),"嘉亨科技")</f>
        <v>嘉亨科技</v>
      </c>
      <c r="C1504" s="25" t="str">
        <f ca="1">IFERROR(__xludf.DUMMYFUNCTION("""COMPUTED_VALUE"""),"澳洲Tilley")</f>
        <v>澳洲Tilley</v>
      </c>
      <c r="D1504" s="25" t="str">
        <f ca="1">IFERROR(__xludf.DUMMYFUNCTION("""COMPUTED_VALUE"""),"居家_【澳洲Tilley】經典擴香150ml-塔斯馬尼亞薰衣草")</f>
        <v>居家_【澳洲Tilley】經典擴香150ml-塔斯馬尼亞薰衣草</v>
      </c>
      <c r="E1504" s="25" t="str">
        <f ca="1">IFERROR(__xludf.DUMMYFUNCTION("""COMPUTED_VALUE"""),"MTLB05FG0751")</f>
        <v>MTLB05FG0751</v>
      </c>
      <c r="F1504" s="25">
        <f ca="1">IFERROR(__xludf.DUMMYFUNCTION("""COMPUTED_VALUE"""),51020085)</f>
        <v>51020085</v>
      </c>
      <c r="G1504" s="25" t="str">
        <f ca="1">IFERROR(__xludf.DUMMYFUNCTION("""COMPUTED_VALUE"""),"IGEM106M")</f>
        <v>IGEM106M</v>
      </c>
      <c r="H1504" s="25">
        <f ca="1">IFERROR(__xludf.DUMMYFUNCTION("""COMPUTED_VALUE"""),1090)</f>
        <v>1090</v>
      </c>
      <c r="I1504" s="27">
        <f ca="1">IFERROR(__xludf.DUMMYFUNCTION("""COMPUTED_VALUE"""),550)</f>
        <v>550</v>
      </c>
      <c r="J1504" s="25"/>
      <c r="K1504" s="25" t="str">
        <f ca="1">IFERROR(__xludf.DUMMYFUNCTION("""COMPUTED_VALUE"""),"新機上架")</f>
        <v>新機上架</v>
      </c>
      <c r="L1504" s="26" t="str">
        <f ca="1">IFERROR(__xludf.DUMMYFUNCTION("""COMPUTED_VALUE"""),"缺貨")</f>
        <v>缺貨</v>
      </c>
      <c r="M1504" s="25"/>
      <c r="N1504" s="25" t="str">
        <f ca="1">IFERROR(__xludf.DUMMYFUNCTION("""COMPUTED_VALUE"""),"香氛精油")</f>
        <v>香氛精油</v>
      </c>
      <c r="O1504" s="25"/>
      <c r="P1504" s="25" t="str">
        <f ca="1">IFERROR(__xludf.DUMMYFUNCTION("""COMPUTED_VALUE"""),"150ml")</f>
        <v>150ml</v>
      </c>
      <c r="Q1504" s="25"/>
      <c r="R1504" s="25" t="str">
        <f ca="1">IFERROR(__xludf.DUMMYFUNCTION("""COMPUTED_VALUE"""),"澳洲")</f>
        <v>澳洲</v>
      </c>
      <c r="S1504" s="25"/>
      <c r="T1504" s="25"/>
      <c r="U1504" s="25"/>
      <c r="V1504" s="25"/>
      <c r="W1504" s="25"/>
      <c r="X1504" s="25"/>
      <c r="Y1504" s="25"/>
      <c r="Z1504" s="27"/>
      <c r="AA1504" s="28" t="str">
        <f ca="1">IFERROR(__xludf.DUMMYFUNCTION("""COMPUTED_VALUE"""),"構成美好空間的儀式感，空氣散發清新香氣，甜而不膩")</f>
        <v>構成美好空間的儀式感，空氣散發清新香氣，甜而不膩</v>
      </c>
    </row>
    <row r="1505" spans="1:27" ht="12.75">
      <c r="A1505" s="25" t="str">
        <f ca="1">IFERROR(__xludf.DUMMYFUNCTION("""COMPUTED_VALUE"""),"居家生活用品")</f>
        <v>居家生活用品</v>
      </c>
      <c r="B1505" s="25" t="str">
        <f ca="1">IFERROR(__xludf.DUMMYFUNCTION("""COMPUTED_VALUE"""),"嘉亨科技")</f>
        <v>嘉亨科技</v>
      </c>
      <c r="C1505" s="25" t="str">
        <f ca="1">IFERROR(__xludf.DUMMYFUNCTION("""COMPUTED_VALUE"""),"澳洲Tilley")</f>
        <v>澳洲Tilley</v>
      </c>
      <c r="D1505" s="25" t="str">
        <f ca="1">IFERROR(__xludf.DUMMYFUNCTION("""COMPUTED_VALUE"""),"居家_【澳洲Tilley】經典擴香150ml-牡丹玫瑰")</f>
        <v>居家_【澳洲Tilley】經典擴香150ml-牡丹玫瑰</v>
      </c>
      <c r="E1505" s="25" t="str">
        <f ca="1">IFERROR(__xludf.DUMMYFUNCTION("""COMPUTED_VALUE"""),"MTLB05FG0752")</f>
        <v>MTLB05FG0752</v>
      </c>
      <c r="F1505" s="25">
        <f ca="1">IFERROR(__xludf.DUMMYFUNCTION("""COMPUTED_VALUE"""),51020086)</f>
        <v>51020086</v>
      </c>
      <c r="G1505" s="25" t="str">
        <f ca="1">IFERROR(__xludf.DUMMYFUNCTION("""COMPUTED_VALUE"""),"IGEM106N")</f>
        <v>IGEM106N</v>
      </c>
      <c r="H1505" s="25">
        <f ca="1">IFERROR(__xludf.DUMMYFUNCTION("""COMPUTED_VALUE"""),1090)</f>
        <v>1090</v>
      </c>
      <c r="I1505" s="27">
        <f ca="1">IFERROR(__xludf.DUMMYFUNCTION("""COMPUTED_VALUE"""),550)</f>
        <v>550</v>
      </c>
      <c r="J1505" s="25"/>
      <c r="K1505" s="25" t="str">
        <f ca="1">IFERROR(__xludf.DUMMYFUNCTION("""COMPUTED_VALUE"""),"新機上架")</f>
        <v>新機上架</v>
      </c>
      <c r="L1505" s="26" t="str">
        <f ca="1">IFERROR(__xludf.DUMMYFUNCTION("""COMPUTED_VALUE"""),"上架中")</f>
        <v>上架中</v>
      </c>
      <c r="M1505" s="25"/>
      <c r="N1505" s="25" t="str">
        <f ca="1">IFERROR(__xludf.DUMMYFUNCTION("""COMPUTED_VALUE"""),"香氛精油")</f>
        <v>香氛精油</v>
      </c>
      <c r="O1505" s="25"/>
      <c r="P1505" s="25" t="str">
        <f ca="1">IFERROR(__xludf.DUMMYFUNCTION("""COMPUTED_VALUE"""),"150ml")</f>
        <v>150ml</v>
      </c>
      <c r="Q1505" s="25"/>
      <c r="R1505" s="25" t="str">
        <f ca="1">IFERROR(__xludf.DUMMYFUNCTION("""COMPUTED_VALUE"""),"澳洲")</f>
        <v>澳洲</v>
      </c>
      <c r="S1505" s="25"/>
      <c r="T1505" s="25"/>
      <c r="U1505" s="25"/>
      <c r="V1505" s="25"/>
      <c r="W1505" s="25"/>
      <c r="X1505" s="25"/>
      <c r="Y1505" s="25"/>
      <c r="Z1505" s="27"/>
      <c r="AA1505" s="28" t="str">
        <f ca="1">IFERROR(__xludf.DUMMYFUNCTION("""COMPUTED_VALUE"""),"構成美好空間的儀式感，空氣散發清新香氣，甜而不膩")</f>
        <v>構成美好空間的儀式感，空氣散發清新香氣，甜而不膩</v>
      </c>
    </row>
    <row r="1506" spans="1:27" ht="12.75">
      <c r="A1506" s="25" t="str">
        <f ca="1">IFERROR(__xludf.DUMMYFUNCTION("""COMPUTED_VALUE"""),"居家生活用品")</f>
        <v>居家生活用品</v>
      </c>
      <c r="B1506" s="25" t="str">
        <f ca="1">IFERROR(__xludf.DUMMYFUNCTION("""COMPUTED_VALUE"""),"嘉亨科技")</f>
        <v>嘉亨科技</v>
      </c>
      <c r="C1506" s="25" t="str">
        <f ca="1">IFERROR(__xludf.DUMMYFUNCTION("""COMPUTED_VALUE"""),"澳洲Tilley")</f>
        <v>澳洲Tilley</v>
      </c>
      <c r="D1506" s="25" t="str">
        <f ca="1">IFERROR(__xludf.DUMMYFUNCTION("""COMPUTED_VALUE"""),"居家_【澳洲Tilley】經典擴香150ml-木蘭與綠茶")</f>
        <v>居家_【澳洲Tilley】經典擴香150ml-木蘭與綠茶</v>
      </c>
      <c r="E1506" s="25" t="str">
        <f ca="1">IFERROR(__xludf.DUMMYFUNCTION("""COMPUTED_VALUE"""),"MTLB05FG0754")</f>
        <v>MTLB05FG0754</v>
      </c>
      <c r="F1506" s="25">
        <f ca="1">IFERROR(__xludf.DUMMYFUNCTION("""COMPUTED_VALUE"""),51020087)</f>
        <v>51020087</v>
      </c>
      <c r="G1506" s="25" t="str">
        <f ca="1">IFERROR(__xludf.DUMMYFUNCTION("""COMPUTED_VALUE"""),"IGEM106O")</f>
        <v>IGEM106O</v>
      </c>
      <c r="H1506" s="25">
        <f ca="1">IFERROR(__xludf.DUMMYFUNCTION("""COMPUTED_VALUE"""),1090)</f>
        <v>1090</v>
      </c>
      <c r="I1506" s="27">
        <f ca="1">IFERROR(__xludf.DUMMYFUNCTION("""COMPUTED_VALUE"""),550)</f>
        <v>550</v>
      </c>
      <c r="J1506" s="25"/>
      <c r="K1506" s="25" t="str">
        <f ca="1">IFERROR(__xludf.DUMMYFUNCTION("""COMPUTED_VALUE"""),"新機上架")</f>
        <v>新機上架</v>
      </c>
      <c r="L1506" s="26" t="str">
        <f ca="1">IFERROR(__xludf.DUMMYFUNCTION("""COMPUTED_VALUE"""),"缺貨")</f>
        <v>缺貨</v>
      </c>
      <c r="M1506" s="25"/>
      <c r="N1506" s="25" t="str">
        <f ca="1">IFERROR(__xludf.DUMMYFUNCTION("""COMPUTED_VALUE"""),"香氛精油")</f>
        <v>香氛精油</v>
      </c>
      <c r="O1506" s="25"/>
      <c r="P1506" s="25" t="str">
        <f ca="1">IFERROR(__xludf.DUMMYFUNCTION("""COMPUTED_VALUE"""),"150ml")</f>
        <v>150ml</v>
      </c>
      <c r="Q1506" s="25"/>
      <c r="R1506" s="25" t="str">
        <f ca="1">IFERROR(__xludf.DUMMYFUNCTION("""COMPUTED_VALUE"""),"澳洲")</f>
        <v>澳洲</v>
      </c>
      <c r="S1506" s="25"/>
      <c r="T1506" s="25"/>
      <c r="U1506" s="25"/>
      <c r="V1506" s="25"/>
      <c r="W1506" s="25"/>
      <c r="X1506" s="25"/>
      <c r="Y1506" s="25"/>
      <c r="Z1506" s="27"/>
      <c r="AA1506" s="28" t="str">
        <f ca="1">IFERROR(__xludf.DUMMYFUNCTION("""COMPUTED_VALUE"""),"構成美好空間的儀式感，空氣散發清新香氣，甜而不膩")</f>
        <v>構成美好空間的儀式感，空氣散發清新香氣，甜而不膩</v>
      </c>
    </row>
    <row r="1507" spans="1:27" ht="12.75">
      <c r="A1507" s="25" t="str">
        <f ca="1">IFERROR(__xludf.DUMMYFUNCTION("""COMPUTED_VALUE"""),"居家生活用品")</f>
        <v>居家生活用品</v>
      </c>
      <c r="B1507" s="25" t="str">
        <f ca="1">IFERROR(__xludf.DUMMYFUNCTION("""COMPUTED_VALUE"""),"嘉亨科技")</f>
        <v>嘉亨科技</v>
      </c>
      <c r="C1507" s="25" t="str">
        <f ca="1">IFERROR(__xludf.DUMMYFUNCTION("""COMPUTED_VALUE"""),"澳洲Tilley")</f>
        <v>澳洲Tilley</v>
      </c>
      <c r="D1507" s="25" t="str">
        <f ca="1">IFERROR(__xludf.DUMMYFUNCTION("""COMPUTED_VALUE"""),"居家_【澳洲Tilley】經典擴香150ml-扶桑木槿")</f>
        <v>居家_【澳洲Tilley】經典擴香150ml-扶桑木槿</v>
      </c>
      <c r="E1507" s="25" t="str">
        <f ca="1">IFERROR(__xludf.DUMMYFUNCTION("""COMPUTED_VALUE"""),"MTLB05FG0762")</f>
        <v>MTLB05FG0762</v>
      </c>
      <c r="F1507" s="25">
        <f ca="1">IFERROR(__xludf.DUMMYFUNCTION("""COMPUTED_VALUE"""),51020088)</f>
        <v>51020088</v>
      </c>
      <c r="G1507" s="25" t="str">
        <f ca="1">IFERROR(__xludf.DUMMYFUNCTION("""COMPUTED_VALUE"""),"IGEM106P")</f>
        <v>IGEM106P</v>
      </c>
      <c r="H1507" s="25">
        <f ca="1">IFERROR(__xludf.DUMMYFUNCTION("""COMPUTED_VALUE"""),1090)</f>
        <v>1090</v>
      </c>
      <c r="I1507" s="27">
        <f ca="1">IFERROR(__xludf.DUMMYFUNCTION("""COMPUTED_VALUE"""),550)</f>
        <v>550</v>
      </c>
      <c r="J1507" s="25"/>
      <c r="K1507" s="25" t="str">
        <f ca="1">IFERROR(__xludf.DUMMYFUNCTION("""COMPUTED_VALUE"""),"新機上架")</f>
        <v>新機上架</v>
      </c>
      <c r="L1507" s="26" t="str">
        <f ca="1">IFERROR(__xludf.DUMMYFUNCTION("""COMPUTED_VALUE"""),"上架中")</f>
        <v>上架中</v>
      </c>
      <c r="M1507" s="25"/>
      <c r="N1507" s="25" t="str">
        <f ca="1">IFERROR(__xludf.DUMMYFUNCTION("""COMPUTED_VALUE"""),"香氛精油")</f>
        <v>香氛精油</v>
      </c>
      <c r="O1507" s="25"/>
      <c r="P1507" s="25" t="str">
        <f ca="1">IFERROR(__xludf.DUMMYFUNCTION("""COMPUTED_VALUE"""),"150ml")</f>
        <v>150ml</v>
      </c>
      <c r="Q1507" s="25"/>
      <c r="R1507" s="25" t="str">
        <f ca="1">IFERROR(__xludf.DUMMYFUNCTION("""COMPUTED_VALUE"""),"澳洲")</f>
        <v>澳洲</v>
      </c>
      <c r="S1507" s="25"/>
      <c r="T1507" s="25"/>
      <c r="U1507" s="25"/>
      <c r="V1507" s="25"/>
      <c r="W1507" s="25"/>
      <c r="X1507" s="25"/>
      <c r="Y1507" s="25"/>
      <c r="Z1507" s="27"/>
      <c r="AA1507" s="28" t="str">
        <f ca="1">IFERROR(__xludf.DUMMYFUNCTION("""COMPUTED_VALUE"""),"構成美好空間的儀式感，空氣散發清新香氣，甜而不膩")</f>
        <v>構成美好空間的儀式感，空氣散發清新香氣，甜而不膩</v>
      </c>
    </row>
    <row r="1508" spans="1:27" ht="12.75">
      <c r="A1508" s="25" t="str">
        <f ca="1">IFERROR(__xludf.DUMMYFUNCTION("""COMPUTED_VALUE"""),"居家生活用品")</f>
        <v>居家生活用品</v>
      </c>
      <c r="B1508" s="25" t="str">
        <f ca="1">IFERROR(__xludf.DUMMYFUNCTION("""COMPUTED_VALUE"""),"嘉亨科技")</f>
        <v>嘉亨科技</v>
      </c>
      <c r="C1508" s="25" t="str">
        <f ca="1">IFERROR(__xludf.DUMMYFUNCTION("""COMPUTED_VALUE"""),"澳洲Tilley")</f>
        <v>澳洲Tilley</v>
      </c>
      <c r="D1508" s="25" t="str">
        <f ca="1">IFERROR(__xludf.DUMMYFUNCTION("""COMPUTED_VALUE"""),"居家_【澳洲Tilley】經典擴香150ml-廣藿與麝香")</f>
        <v>居家_【澳洲Tilley】經典擴香150ml-廣藿與麝香</v>
      </c>
      <c r="E1508" s="25" t="str">
        <f ca="1">IFERROR(__xludf.DUMMYFUNCTION("""COMPUTED_VALUE"""),"MTLB05FG0765")</f>
        <v>MTLB05FG0765</v>
      </c>
      <c r="F1508" s="25">
        <f ca="1">IFERROR(__xludf.DUMMYFUNCTION("""COMPUTED_VALUE"""),51020089)</f>
        <v>51020089</v>
      </c>
      <c r="G1508" s="25" t="str">
        <f ca="1">IFERROR(__xludf.DUMMYFUNCTION("""COMPUTED_VALUE"""),"IGEM106Q")</f>
        <v>IGEM106Q</v>
      </c>
      <c r="H1508" s="25">
        <f ca="1">IFERROR(__xludf.DUMMYFUNCTION("""COMPUTED_VALUE"""),1090)</f>
        <v>1090</v>
      </c>
      <c r="I1508" s="27">
        <f ca="1">IFERROR(__xludf.DUMMYFUNCTION("""COMPUTED_VALUE"""),550)</f>
        <v>550</v>
      </c>
      <c r="J1508" s="25"/>
      <c r="K1508" s="25" t="str">
        <f ca="1">IFERROR(__xludf.DUMMYFUNCTION("""COMPUTED_VALUE"""),"新機上架")</f>
        <v>新機上架</v>
      </c>
      <c r="L1508" s="26" t="str">
        <f ca="1">IFERROR(__xludf.DUMMYFUNCTION("""COMPUTED_VALUE"""),"上架中")</f>
        <v>上架中</v>
      </c>
      <c r="M1508" s="25"/>
      <c r="N1508" s="25" t="str">
        <f ca="1">IFERROR(__xludf.DUMMYFUNCTION("""COMPUTED_VALUE"""),"香氛精油")</f>
        <v>香氛精油</v>
      </c>
      <c r="O1508" s="25"/>
      <c r="P1508" s="25" t="str">
        <f ca="1">IFERROR(__xludf.DUMMYFUNCTION("""COMPUTED_VALUE"""),"150ml")</f>
        <v>150ml</v>
      </c>
      <c r="Q1508" s="25"/>
      <c r="R1508" s="25" t="str">
        <f ca="1">IFERROR(__xludf.DUMMYFUNCTION("""COMPUTED_VALUE"""),"澳洲")</f>
        <v>澳洲</v>
      </c>
      <c r="S1508" s="25"/>
      <c r="T1508" s="25"/>
      <c r="U1508" s="25"/>
      <c r="V1508" s="25"/>
      <c r="W1508" s="25"/>
      <c r="X1508" s="25"/>
      <c r="Y1508" s="25"/>
      <c r="Z1508" s="27"/>
      <c r="AA1508" s="28" t="str">
        <f ca="1">IFERROR(__xludf.DUMMYFUNCTION("""COMPUTED_VALUE"""),"構成美好空間的儀式感，空氣散發清新香氣，甜而不膩")</f>
        <v>構成美好空間的儀式感，空氣散發清新香氣，甜而不膩</v>
      </c>
    </row>
    <row r="1509" spans="1:27" ht="12.75">
      <c r="A1509" s="25" t="str">
        <f ca="1">IFERROR(__xludf.DUMMYFUNCTION("""COMPUTED_VALUE"""),"居家生活用品")</f>
        <v>居家生活用品</v>
      </c>
      <c r="B1509" s="25" t="str">
        <f ca="1">IFERROR(__xludf.DUMMYFUNCTION("""COMPUTED_VALUE"""),"嘉亨科技")</f>
        <v>嘉亨科技</v>
      </c>
      <c r="C1509" s="25" t="str">
        <f ca="1">IFERROR(__xludf.DUMMYFUNCTION("""COMPUTED_VALUE"""),"澳洲Tilley")</f>
        <v>澳洲Tilley</v>
      </c>
      <c r="D1509" s="25" t="str">
        <f ca="1">IFERROR(__xludf.DUMMYFUNCTION("""COMPUTED_VALUE"""),"居家_【澳洲Tilley】植粹香氛皂220g 5入組-檀香與佛手柑*3+梔子花*2")</f>
        <v>居家_【澳洲Tilley】植粹香氛皂220g 5入組-檀香與佛手柑*3+梔子花*2</v>
      </c>
      <c r="E1509" s="25" t="str">
        <f ca="1">IFERROR(__xludf.DUMMYFUNCTION("""COMPUTED_VALUE"""),"MTL001")</f>
        <v>MTL001</v>
      </c>
      <c r="F1509" s="25">
        <f ca="1">IFERROR(__xludf.DUMMYFUNCTION("""COMPUTED_VALUE"""),51020090)</f>
        <v>51020090</v>
      </c>
      <c r="G1509" s="25" t="str">
        <f ca="1">IFERROR(__xludf.DUMMYFUNCTION("""COMPUTED_VALUE"""),"IGEM106R")</f>
        <v>IGEM106R</v>
      </c>
      <c r="H1509" s="25">
        <f ca="1">IFERROR(__xludf.DUMMYFUNCTION("""COMPUTED_VALUE"""),2690)</f>
        <v>2690</v>
      </c>
      <c r="I1509" s="27">
        <f ca="1">IFERROR(__xludf.DUMMYFUNCTION("""COMPUTED_VALUE"""),599)</f>
        <v>599</v>
      </c>
      <c r="J1509" s="25"/>
      <c r="K1509" s="25" t="str">
        <f ca="1">IFERROR(__xludf.DUMMYFUNCTION("""COMPUTED_VALUE"""),"新機上架")</f>
        <v>新機上架</v>
      </c>
      <c r="L1509" s="26" t="str">
        <f ca="1">IFERROR(__xludf.DUMMYFUNCTION("""COMPUTED_VALUE"""),"缺貨")</f>
        <v>缺貨</v>
      </c>
      <c r="M1509" s="25"/>
      <c r="N1509" s="25" t="str">
        <f ca="1">IFERROR(__xludf.DUMMYFUNCTION("""COMPUTED_VALUE"""),"身體清潔")</f>
        <v>身體清潔</v>
      </c>
      <c r="O1509" s="25"/>
      <c r="P1509" s="25" t="str">
        <f ca="1">IFERROR(__xludf.DUMMYFUNCTION("""COMPUTED_VALUE"""),"220g*5+100g*2")</f>
        <v>220g*5+100g*2</v>
      </c>
      <c r="Q1509" s="25"/>
      <c r="R1509" s="25" t="str">
        <f ca="1">IFERROR(__xludf.DUMMYFUNCTION("""COMPUTED_VALUE"""),"澳洲")</f>
        <v>澳洲</v>
      </c>
      <c r="S1509" s="25"/>
      <c r="T1509" s="25"/>
      <c r="U1509" s="25"/>
      <c r="V1509" s="25"/>
      <c r="W1509" s="25"/>
      <c r="X1509" s="25" t="str">
        <f ca="1">IFERROR(__xludf.DUMMYFUNCTION("""COMPUTED_VALUE"""),"加碼贈100g隨機口味2入")</f>
        <v>加碼贈100g隨機口味2入</v>
      </c>
      <c r="Y1509" s="25"/>
      <c r="Z1509" s="27"/>
      <c r="AA1509" s="28" t="str">
        <f ca="1">IFERROR(__xludf.DUMMYFUNCTION("""COMPUTED_VALUE"""),"澳洲百年皇家特莉經典香氛皂大顆超值組，洗完不乾澀,清爽保濕，適合各種膚質")</f>
        <v>澳洲百年皇家特莉經典香氛皂大顆超值組，洗完不乾澀,清爽保濕，適合各種膚質</v>
      </c>
    </row>
    <row r="1510" spans="1:27" ht="12.75">
      <c r="A1510" s="25" t="str">
        <f ca="1">IFERROR(__xludf.DUMMYFUNCTION("""COMPUTED_VALUE"""),"居家生活用品")</f>
        <v>居家生活用品</v>
      </c>
      <c r="B1510" s="25" t="str">
        <f ca="1">IFERROR(__xludf.DUMMYFUNCTION("""COMPUTED_VALUE"""),"嘉亨科技")</f>
        <v>嘉亨科技</v>
      </c>
      <c r="C1510" s="25" t="str">
        <f ca="1">IFERROR(__xludf.DUMMYFUNCTION("""COMPUTED_VALUE"""),"澳洲Tilley")</f>
        <v>澳洲Tilley</v>
      </c>
      <c r="D1510" s="25" t="str">
        <f ca="1">IFERROR(__xludf.DUMMYFUNCTION("""COMPUTED_VALUE"""),"居家_【澳洲Tilley】植粹香氛皂220g 5入組-廣藿與麝香*3+芙蓉花*2")</f>
        <v>居家_【澳洲Tilley】植粹香氛皂220g 5入組-廣藿與麝香*3+芙蓉花*2</v>
      </c>
      <c r="E1510" s="25" t="str">
        <f ca="1">IFERROR(__xludf.DUMMYFUNCTION("""COMPUTED_VALUE"""),"MTL002")</f>
        <v>MTL002</v>
      </c>
      <c r="F1510" s="25">
        <f ca="1">IFERROR(__xludf.DUMMYFUNCTION("""COMPUTED_VALUE"""),51020091)</f>
        <v>51020091</v>
      </c>
      <c r="G1510" s="25" t="str">
        <f ca="1">IFERROR(__xludf.DUMMYFUNCTION("""COMPUTED_VALUE"""),"IGEM106S")</f>
        <v>IGEM106S</v>
      </c>
      <c r="H1510" s="25">
        <f ca="1">IFERROR(__xludf.DUMMYFUNCTION("""COMPUTED_VALUE"""),2690)</f>
        <v>2690</v>
      </c>
      <c r="I1510" s="27">
        <f ca="1">IFERROR(__xludf.DUMMYFUNCTION("""COMPUTED_VALUE"""),599)</f>
        <v>599</v>
      </c>
      <c r="J1510" s="25"/>
      <c r="K1510" s="25" t="str">
        <f ca="1">IFERROR(__xludf.DUMMYFUNCTION("""COMPUTED_VALUE"""),"新機上架")</f>
        <v>新機上架</v>
      </c>
      <c r="L1510" s="26" t="str">
        <f ca="1">IFERROR(__xludf.DUMMYFUNCTION("""COMPUTED_VALUE"""),"缺貨")</f>
        <v>缺貨</v>
      </c>
      <c r="M1510" s="25"/>
      <c r="N1510" s="25" t="str">
        <f ca="1">IFERROR(__xludf.DUMMYFUNCTION("""COMPUTED_VALUE"""),"身體清潔")</f>
        <v>身體清潔</v>
      </c>
      <c r="O1510" s="25"/>
      <c r="P1510" s="25" t="str">
        <f ca="1">IFERROR(__xludf.DUMMYFUNCTION("""COMPUTED_VALUE"""),"220g*5+100g*2")</f>
        <v>220g*5+100g*2</v>
      </c>
      <c r="Q1510" s="25"/>
      <c r="R1510" s="25" t="str">
        <f ca="1">IFERROR(__xludf.DUMMYFUNCTION("""COMPUTED_VALUE"""),"澳洲")</f>
        <v>澳洲</v>
      </c>
      <c r="S1510" s="25"/>
      <c r="T1510" s="25"/>
      <c r="U1510" s="25"/>
      <c r="V1510" s="25"/>
      <c r="W1510" s="25"/>
      <c r="X1510" s="25" t="str">
        <f ca="1">IFERROR(__xludf.DUMMYFUNCTION("""COMPUTED_VALUE"""),"加碼贈100g隨機口味2入")</f>
        <v>加碼贈100g隨機口味2入</v>
      </c>
      <c r="Y1510" s="25"/>
      <c r="Z1510" s="27"/>
      <c r="AA1510" s="28" t="str">
        <f ca="1">IFERROR(__xludf.DUMMYFUNCTION("""COMPUTED_VALUE"""),"澳洲百年皇家特莉經典香氛皂大顆超值組，洗完不乾澀,清爽保濕，適合各種膚質")</f>
        <v>澳洲百年皇家特莉經典香氛皂大顆超值組，洗完不乾澀,清爽保濕，適合各種膚質</v>
      </c>
    </row>
    <row r="1511" spans="1:27" ht="12.75">
      <c r="A1511" s="25" t="str">
        <f ca="1">IFERROR(__xludf.DUMMYFUNCTION("""COMPUTED_VALUE"""),"居家生活用品")</f>
        <v>居家生活用品</v>
      </c>
      <c r="B1511" s="25" t="str">
        <f ca="1">IFERROR(__xludf.DUMMYFUNCTION("""COMPUTED_VALUE"""),"嘉亨科技")</f>
        <v>嘉亨科技</v>
      </c>
      <c r="C1511" s="25" t="str">
        <f ca="1">IFERROR(__xludf.DUMMYFUNCTION("""COMPUTED_VALUE"""),"澳洲Tilley")</f>
        <v>澳洲Tilley</v>
      </c>
      <c r="D1511" s="25" t="str">
        <f ca="1">IFERROR(__xludf.DUMMYFUNCTION("""COMPUTED_VALUE"""),"居家_【澳洲Tilley】植粹香氛皂220g 5入組-梔子花*3+檀香與佛手柑*2")</f>
        <v>居家_【澳洲Tilley】植粹香氛皂220g 5入組-梔子花*3+檀香與佛手柑*2</v>
      </c>
      <c r="E1511" s="25" t="str">
        <f ca="1">IFERROR(__xludf.DUMMYFUNCTION("""COMPUTED_VALUE"""),"MTL003")</f>
        <v>MTL003</v>
      </c>
      <c r="F1511" s="25">
        <f ca="1">IFERROR(__xludf.DUMMYFUNCTION("""COMPUTED_VALUE"""),51020092)</f>
        <v>51020092</v>
      </c>
      <c r="G1511" s="25" t="str">
        <f ca="1">IFERROR(__xludf.DUMMYFUNCTION("""COMPUTED_VALUE"""),"IGEM106T")</f>
        <v>IGEM106T</v>
      </c>
      <c r="H1511" s="25">
        <f ca="1">IFERROR(__xludf.DUMMYFUNCTION("""COMPUTED_VALUE"""),2690)</f>
        <v>2690</v>
      </c>
      <c r="I1511" s="27">
        <f ca="1">IFERROR(__xludf.DUMMYFUNCTION("""COMPUTED_VALUE"""),599)</f>
        <v>599</v>
      </c>
      <c r="J1511" s="25"/>
      <c r="K1511" s="25" t="str">
        <f ca="1">IFERROR(__xludf.DUMMYFUNCTION("""COMPUTED_VALUE"""),"新機上架")</f>
        <v>新機上架</v>
      </c>
      <c r="L1511" s="26" t="str">
        <f ca="1">IFERROR(__xludf.DUMMYFUNCTION("""COMPUTED_VALUE"""),"缺貨")</f>
        <v>缺貨</v>
      </c>
      <c r="M1511" s="25"/>
      <c r="N1511" s="25" t="str">
        <f ca="1">IFERROR(__xludf.DUMMYFUNCTION("""COMPUTED_VALUE"""),"身體清潔")</f>
        <v>身體清潔</v>
      </c>
      <c r="O1511" s="25"/>
      <c r="P1511" s="25" t="str">
        <f ca="1">IFERROR(__xludf.DUMMYFUNCTION("""COMPUTED_VALUE"""),"220g*5+100g*2")</f>
        <v>220g*5+100g*2</v>
      </c>
      <c r="Q1511" s="25"/>
      <c r="R1511" s="25" t="str">
        <f ca="1">IFERROR(__xludf.DUMMYFUNCTION("""COMPUTED_VALUE"""),"澳洲")</f>
        <v>澳洲</v>
      </c>
      <c r="S1511" s="25"/>
      <c r="T1511" s="25"/>
      <c r="U1511" s="25"/>
      <c r="V1511" s="25"/>
      <c r="W1511" s="25"/>
      <c r="X1511" s="25" t="str">
        <f ca="1">IFERROR(__xludf.DUMMYFUNCTION("""COMPUTED_VALUE"""),"加碼贈100g隨機口味2入")</f>
        <v>加碼贈100g隨機口味2入</v>
      </c>
      <c r="Y1511" s="25"/>
      <c r="Z1511" s="27"/>
      <c r="AA1511" s="28" t="str">
        <f ca="1">IFERROR(__xludf.DUMMYFUNCTION("""COMPUTED_VALUE"""),"澳洲百年皇家特莉經典香氛皂大顆超值組，洗完不乾澀,清爽保濕，適合各種膚質")</f>
        <v>澳洲百年皇家特莉經典香氛皂大顆超值組，洗完不乾澀,清爽保濕，適合各種膚質</v>
      </c>
    </row>
    <row r="1512" spans="1:27" ht="12.75">
      <c r="A1512" s="25" t="str">
        <f ca="1">IFERROR(__xludf.DUMMYFUNCTION("""COMPUTED_VALUE"""),"居家生活用品")</f>
        <v>居家生活用品</v>
      </c>
      <c r="B1512" s="25" t="str">
        <f ca="1">IFERROR(__xludf.DUMMYFUNCTION("""COMPUTED_VALUE"""),"嘉亨科技")</f>
        <v>嘉亨科技</v>
      </c>
      <c r="C1512" s="25" t="str">
        <f ca="1">IFERROR(__xludf.DUMMYFUNCTION("""COMPUTED_VALUE"""),"澳洲Tilley")</f>
        <v>澳洲Tilley</v>
      </c>
      <c r="D1512" s="25" t="str">
        <f ca="1">IFERROR(__xludf.DUMMYFUNCTION("""COMPUTED_VALUE"""),"居家_【澳洲Tilley】植粹香氛皂220g 5入組-梔子花*3+芙蓉花*2")</f>
        <v>居家_【澳洲Tilley】植粹香氛皂220g 5入組-梔子花*3+芙蓉花*2</v>
      </c>
      <c r="E1512" s="25" t="str">
        <f ca="1">IFERROR(__xludf.DUMMYFUNCTION("""COMPUTED_VALUE"""),"MTL004")</f>
        <v>MTL004</v>
      </c>
      <c r="F1512" s="25">
        <f ca="1">IFERROR(__xludf.DUMMYFUNCTION("""COMPUTED_VALUE"""),51020093)</f>
        <v>51020093</v>
      </c>
      <c r="G1512" s="25" t="str">
        <f ca="1">IFERROR(__xludf.DUMMYFUNCTION("""COMPUTED_VALUE"""),"IGEM106U")</f>
        <v>IGEM106U</v>
      </c>
      <c r="H1512" s="25">
        <f ca="1">IFERROR(__xludf.DUMMYFUNCTION("""COMPUTED_VALUE"""),2690)</f>
        <v>2690</v>
      </c>
      <c r="I1512" s="27">
        <f ca="1">IFERROR(__xludf.DUMMYFUNCTION("""COMPUTED_VALUE"""),599)</f>
        <v>599</v>
      </c>
      <c r="J1512" s="25"/>
      <c r="K1512" s="25" t="str">
        <f ca="1">IFERROR(__xludf.DUMMYFUNCTION("""COMPUTED_VALUE"""),"新機上架")</f>
        <v>新機上架</v>
      </c>
      <c r="L1512" s="26" t="str">
        <f ca="1">IFERROR(__xludf.DUMMYFUNCTION("""COMPUTED_VALUE"""),"缺貨")</f>
        <v>缺貨</v>
      </c>
      <c r="M1512" s="25"/>
      <c r="N1512" s="25" t="str">
        <f ca="1">IFERROR(__xludf.DUMMYFUNCTION("""COMPUTED_VALUE"""),"身體清潔")</f>
        <v>身體清潔</v>
      </c>
      <c r="O1512" s="25"/>
      <c r="P1512" s="25" t="str">
        <f ca="1">IFERROR(__xludf.DUMMYFUNCTION("""COMPUTED_VALUE"""),"220g*5+100g*2")</f>
        <v>220g*5+100g*2</v>
      </c>
      <c r="Q1512" s="25"/>
      <c r="R1512" s="25" t="str">
        <f ca="1">IFERROR(__xludf.DUMMYFUNCTION("""COMPUTED_VALUE"""),"澳洲")</f>
        <v>澳洲</v>
      </c>
      <c r="S1512" s="25"/>
      <c r="T1512" s="25"/>
      <c r="U1512" s="25"/>
      <c r="V1512" s="25"/>
      <c r="W1512" s="25"/>
      <c r="X1512" s="25" t="str">
        <f ca="1">IFERROR(__xludf.DUMMYFUNCTION("""COMPUTED_VALUE"""),"加碼贈100g隨機口味2入")</f>
        <v>加碼贈100g隨機口味2入</v>
      </c>
      <c r="Y1512" s="25"/>
      <c r="Z1512" s="27"/>
      <c r="AA1512" s="28" t="str">
        <f ca="1">IFERROR(__xludf.DUMMYFUNCTION("""COMPUTED_VALUE"""),"澳洲百年皇家特莉經典香氛皂大顆超值組，洗完不乾澀,清爽保濕，適合各種膚質")</f>
        <v>澳洲百年皇家特莉經典香氛皂大顆超值組，洗完不乾澀,清爽保濕，適合各種膚質</v>
      </c>
    </row>
    <row r="1513" spans="1:27" ht="12.75">
      <c r="A1513" s="25" t="str">
        <f ca="1">IFERROR(__xludf.DUMMYFUNCTION("""COMPUTED_VALUE"""),"居家生活用品")</f>
        <v>居家生活用品</v>
      </c>
      <c r="B1513" s="25" t="str">
        <f ca="1">IFERROR(__xludf.DUMMYFUNCTION("""COMPUTED_VALUE"""),"嘉亨科技")</f>
        <v>嘉亨科技</v>
      </c>
      <c r="C1513" s="25" t="str">
        <f ca="1">IFERROR(__xludf.DUMMYFUNCTION("""COMPUTED_VALUE"""),"澳洲Tilley")</f>
        <v>澳洲Tilley</v>
      </c>
      <c r="D1513" s="25" t="str">
        <f ca="1">IFERROR(__xludf.DUMMYFUNCTION("""COMPUTED_VALUE"""),"居家_【法國Panier des sens 潘堤香頌】香氛蠟燭禮盒(70gx3入)")</f>
        <v>居家_【法國Panier des sens 潘堤香頌】香氛蠟燭禮盒(70gx3入)</v>
      </c>
      <c r="E1513" s="25" t="str">
        <f ca="1">IFERROR(__xludf.DUMMYFUNCTION("""COMPUTED_VALUE"""),"RPDH09NOE22600")</f>
        <v>RPDH09NOE22600</v>
      </c>
      <c r="F1513" s="25">
        <f ca="1">IFERROR(__xludf.DUMMYFUNCTION("""COMPUTED_VALUE"""),51020094)</f>
        <v>51020094</v>
      </c>
      <c r="G1513" s="25" t="str">
        <f ca="1">IFERROR(__xludf.DUMMYFUNCTION("""COMPUTED_VALUE"""),"IGEM106V")</f>
        <v>IGEM106V</v>
      </c>
      <c r="H1513" s="25">
        <f ca="1">IFERROR(__xludf.DUMMYFUNCTION("""COMPUTED_VALUE"""),1790)</f>
        <v>1790</v>
      </c>
      <c r="I1513" s="27">
        <f ca="1">IFERROR(__xludf.DUMMYFUNCTION("""COMPUTED_VALUE"""),990)</f>
        <v>990</v>
      </c>
      <c r="J1513" s="25"/>
      <c r="K1513" s="25" t="str">
        <f ca="1">IFERROR(__xludf.DUMMYFUNCTION("""COMPUTED_VALUE"""),"新機上架")</f>
        <v>新機上架</v>
      </c>
      <c r="L1513" s="26" t="str">
        <f ca="1">IFERROR(__xludf.DUMMYFUNCTION("""COMPUTED_VALUE"""),"缺貨")</f>
        <v>缺貨</v>
      </c>
      <c r="M1513" s="25"/>
      <c r="N1513" s="25" t="str">
        <f ca="1">IFERROR(__xludf.DUMMYFUNCTION("""COMPUTED_VALUE"""),"香氛精油")</f>
        <v>香氛精油</v>
      </c>
      <c r="O1513" s="25"/>
      <c r="P1513" s="25" t="str">
        <f ca="1">IFERROR(__xludf.DUMMYFUNCTION("""COMPUTED_VALUE"""),"70g*3")</f>
        <v>70g*3</v>
      </c>
      <c r="Q1513" s="25"/>
      <c r="R1513" s="25" t="str">
        <f ca="1">IFERROR(__xludf.DUMMYFUNCTION("""COMPUTED_VALUE"""),"法國")</f>
        <v>法國</v>
      </c>
      <c r="S1513" s="25"/>
      <c r="T1513" s="25"/>
      <c r="U1513" s="25"/>
      <c r="V1513" s="25"/>
      <c r="W1513" s="25"/>
      <c r="X1513" s="25"/>
      <c r="Y1513" s="25"/>
      <c r="Z1513" s="27"/>
      <c r="AA1513" s="28" t="str">
        <f ca="1">IFERROR(__xludf.DUMMYFUNCTION("""COMPUTED_VALUE"""),"法國原裝進口，手工製作，素食友好，香氣來自精油，令人放鬆紓壓")</f>
        <v>法國原裝進口，手工製作，素食友好，香氣來自精油，令人放鬆紓壓</v>
      </c>
    </row>
    <row r="1514" spans="1:27" ht="12.75">
      <c r="A1514" s="25" t="str">
        <f ca="1">IFERROR(__xludf.DUMMYFUNCTION("""COMPUTED_VALUE"""),"空調")</f>
        <v>空調</v>
      </c>
      <c r="B1514" s="25" t="str">
        <f ca="1">IFERROR(__xludf.DUMMYFUNCTION("""COMPUTED_VALUE"""),"安悅")</f>
        <v>安悅</v>
      </c>
      <c r="C1514" s="25" t="str">
        <f ca="1">IFERROR(__xludf.DUMMYFUNCTION("""COMPUTED_VALUE"""),"東元")</f>
        <v>東元</v>
      </c>
      <c r="D1514" s="25" t="str">
        <f ca="1">IFERROR(__xludf.DUMMYFUNCTION("""COMPUTED_VALUE"""),"東元 20-22坪一對一變頻分離式冷暖空調MA112IH-HP1/MS112IE-HP1")</f>
        <v>東元 20-22坪一對一變頻分離式冷暖空調MA112IH-HP1/MS112IE-HP1</v>
      </c>
      <c r="E1514" s="25" t="str">
        <f ca="1">IFERROR(__xludf.DUMMYFUNCTION("""COMPUTED_VALUE"""),"MA112IH-HP1/MS112IE-HP1")</f>
        <v>MA112IH-HP1/MS112IE-HP1</v>
      </c>
      <c r="F1514" s="25">
        <f ca="1">IFERROR(__xludf.DUMMYFUNCTION("""COMPUTED_VALUE"""),51082278)</f>
        <v>51082278</v>
      </c>
      <c r="G1514" s="25" t="str">
        <f ca="1">IFERROR(__xludf.DUMMYFUNCTION("""COMPUTED_VALUE"""),"IGEM0859")</f>
        <v>IGEM0859</v>
      </c>
      <c r="H1514" s="26">
        <f ca="1">IFERROR(__xludf.DUMMYFUNCTION("""COMPUTED_VALUE"""),83900)</f>
        <v>83900</v>
      </c>
      <c r="I1514" s="27">
        <f ca="1">IFERROR(__xludf.DUMMYFUNCTION("""COMPUTED_VALUE"""),74000)</f>
        <v>74000</v>
      </c>
      <c r="J1514" s="25"/>
      <c r="K1514" s="25"/>
      <c r="L1514" s="25" t="str">
        <f ca="1">IFERROR(__xludf.DUMMYFUNCTION("""COMPUTED_VALUE"""),"專案")</f>
        <v>專案</v>
      </c>
      <c r="M1514" s="25"/>
      <c r="N1514" s="25" t="str">
        <f ca="1">IFERROR(__xludf.DUMMYFUNCTION("""COMPUTED_VALUE"""),"一對一變頻冷暖")</f>
        <v>一對一變頻冷暖</v>
      </c>
      <c r="O1514" s="25" t="str">
        <f ca="1">IFERROR(__xludf.DUMMYFUNCTION("""COMPUTED_VALUE"""),"白")</f>
        <v>白</v>
      </c>
      <c r="P1514" s="25" t="str">
        <f ca="1">IFERROR(__xludf.DUMMYFUNCTION("""COMPUTED_VALUE"""),"20-22坪")</f>
        <v>20-22坪</v>
      </c>
      <c r="Q1514" s="25" t="str">
        <f ca="1">IFERROR(__xludf.DUMMYFUNCTION("""COMPUTED_VALUE"""),"室外機:900*950*350mm
室內機:350*1460*285mm")</f>
        <v>室外機:900*950*350mm
室內機:350*1460*285mm</v>
      </c>
      <c r="R1514" s="25" t="str">
        <f ca="1">IFERROR(__xludf.DUMMYFUNCTION("""COMPUTED_VALUE"""),"台灣")</f>
        <v>台灣</v>
      </c>
      <c r="S1514" s="25" t="str">
        <f ca="1">IFERROR(__xludf.DUMMYFUNCTION("""COMPUTED_VALUE"""),"V")</f>
        <v>V</v>
      </c>
      <c r="T1514" s="25" t="str">
        <f ca="1">IFERROR(__xludf.DUMMYFUNCTION("""COMPUTED_VALUE"""),"1級能效")</f>
        <v>1級能效</v>
      </c>
      <c r="U1514" s="25" t="str">
        <f ca="1">IFERROR(__xludf.DUMMYFUNCTION("""COMPUTED_VALUE"""),"上網登錄享7年")</f>
        <v>上網登錄享7年</v>
      </c>
      <c r="V1514" s="25" t="str">
        <f ca="1">IFERROR(__xludf.DUMMYFUNCTION("""COMPUTED_VALUE"""),"上網登錄享10年")</f>
        <v>上網登錄享10年</v>
      </c>
      <c r="W1514" s="25"/>
      <c r="X1514" s="25"/>
      <c r="Y1514" s="25">
        <f ca="1">IFERROR(__xludf.DUMMYFUNCTION("""COMPUTED_VALUE"""),11.2)</f>
        <v>11.2</v>
      </c>
      <c r="Z1514" s="27" t="str">
        <f ca="1">IFERROR(__xludf.DUMMYFUNCTION("""COMPUTED_VALUE"""),"2000")</f>
        <v>2000</v>
      </c>
      <c r="AA1514" s="28" t="str">
        <f ca="1">IFERROR(__xludf.DUMMYFUNCTION("""COMPUTED_VALUE"""),"*藍波防鏽*關機防霉*預約開關機*靜音除濕*健康舒眠")</f>
        <v>*藍波防鏽*關機防霉*預約開關機*靜音除濕*健康舒眠</v>
      </c>
    </row>
    <row r="1515" spans="1:27" ht="12.75">
      <c r="A1515" s="25" t="str">
        <f ca="1">IFERROR(__xludf.DUMMYFUNCTION("""COMPUTED_VALUE"""),"空調")</f>
        <v>空調</v>
      </c>
      <c r="B1515" s="25" t="str">
        <f ca="1">IFERROR(__xludf.DUMMYFUNCTION("""COMPUTED_VALUE"""),"安悅")</f>
        <v>安悅</v>
      </c>
      <c r="C1515" s="25" t="str">
        <f ca="1">IFERROR(__xludf.DUMMYFUNCTION("""COMPUTED_VALUE"""),"東元")</f>
        <v>東元</v>
      </c>
      <c r="D1515" s="25" t="str">
        <f ca="1">IFERROR(__xludf.DUMMYFUNCTION("""COMPUTED_VALUE"""),"東元8-10坪變頻冷專分離式空調MS/MA50IC-GA1")</f>
        <v>東元8-10坪變頻冷專分離式空調MS/MA50IC-GA1</v>
      </c>
      <c r="E1515" s="25" t="str">
        <f ca="1">IFERROR(__xludf.DUMMYFUNCTION("""COMPUTED_VALUE"""),"MS/MA50IC-GA1")</f>
        <v>MS/MA50IC-GA1</v>
      </c>
      <c r="F1515" s="25">
        <f ca="1">IFERROR(__xludf.DUMMYFUNCTION("""COMPUTED_VALUE"""),51082292)</f>
        <v>51082292</v>
      </c>
      <c r="G1515" s="25" t="str">
        <f ca="1">IFERROR(__xludf.DUMMYFUNCTION("""COMPUTED_VALUE"""),"IGEM086M")</f>
        <v>IGEM086M</v>
      </c>
      <c r="H1515" s="26">
        <f ca="1">IFERROR(__xludf.DUMMYFUNCTION("""COMPUTED_VALUE"""),43400)</f>
        <v>43400</v>
      </c>
      <c r="I1515" s="27">
        <f ca="1">IFERROR(__xludf.DUMMYFUNCTION("""COMPUTED_VALUE"""),30100)</f>
        <v>30100</v>
      </c>
      <c r="J1515" s="29">
        <f ca="1">IFERROR(__xludf.DUMMYFUNCTION("""COMPUTED_VALUE"""),45383)</f>
        <v>45383</v>
      </c>
      <c r="K1515" s="25" t="str">
        <f ca="1">IFERROR(__xludf.DUMMYFUNCTION("""COMPUTED_VALUE"""),"短促")</f>
        <v>短促</v>
      </c>
      <c r="L1515" s="25" t="str">
        <f ca="1">IFERROR(__xludf.DUMMYFUNCTION("""COMPUTED_VALUE"""),"上架中")</f>
        <v>上架中</v>
      </c>
      <c r="M1515" s="25" t="str">
        <f ca="1">IFERROR(__xludf.DUMMYFUNCTION("""COMPUTED_VALUE"""),"2024/4/1-9/30短促現折、7/17新機上架")</f>
        <v>2024/4/1-9/30短促現折、7/17新機上架</v>
      </c>
      <c r="N1515" s="25" t="str">
        <f ca="1">IFERROR(__xludf.DUMMYFUNCTION("""COMPUTED_VALUE"""),"一對一變頻冷專")</f>
        <v>一對一變頻冷專</v>
      </c>
      <c r="O1515" s="25" t="str">
        <f ca="1">IFERROR(__xludf.DUMMYFUNCTION("""COMPUTED_VALUE"""),"白")</f>
        <v>白</v>
      </c>
      <c r="P1515" s="25" t="str">
        <f ca="1">IFERROR(__xludf.DUMMYFUNCTION("""COMPUTED_VALUE"""),"8-10坪")</f>
        <v>8-10坪</v>
      </c>
      <c r="Q1515" s="25" t="str">
        <f ca="1">IFERROR(__xludf.DUMMYFUNCTION("""COMPUTED_VALUE"""),"室外機:655*825*310mm
室內機:316*997*227mm")</f>
        <v>室外機:655*825*310mm
室內機:316*997*227mm</v>
      </c>
      <c r="R1515" s="25" t="str">
        <f ca="1">IFERROR(__xludf.DUMMYFUNCTION("""COMPUTED_VALUE"""),"台灣")</f>
        <v>台灣</v>
      </c>
      <c r="S1515" s="25" t="str">
        <f ca="1">IFERROR(__xludf.DUMMYFUNCTION("""COMPUTED_VALUE"""),"V")</f>
        <v>V</v>
      </c>
      <c r="T1515" s="25" t="str">
        <f ca="1">IFERROR(__xludf.DUMMYFUNCTION("""COMPUTED_VALUE"""),"1級能效")</f>
        <v>1級能效</v>
      </c>
      <c r="U1515" s="25" t="str">
        <f ca="1">IFERROR(__xludf.DUMMYFUNCTION("""COMPUTED_VALUE"""),"上網登錄享7年")</f>
        <v>上網登錄享7年</v>
      </c>
      <c r="V1515" s="25" t="str">
        <f ca="1">IFERROR(__xludf.DUMMYFUNCTION("""COMPUTED_VALUE"""),"上網登錄享10年")</f>
        <v>上網登錄享10年</v>
      </c>
      <c r="W1515" s="25"/>
      <c r="X1515" s="25"/>
      <c r="Y1515" s="25">
        <f ca="1">IFERROR(__xludf.DUMMYFUNCTION("""COMPUTED_VALUE"""),5)</f>
        <v>5</v>
      </c>
      <c r="Z1515" s="27" t="str">
        <f ca="1">IFERROR(__xludf.DUMMYFUNCTION("""COMPUTED_VALUE"""),"2000")</f>
        <v>2000</v>
      </c>
      <c r="AA1515" s="28" t="str">
        <f ca="1">IFERROR(__xludf.DUMMYFUNCTION("""COMPUTED_VALUE"""),"*自，清，淨*活性碳，銀離子濾網*內外機藍波防鏽*關機自動防霉*基板防潮、防蟲*雲端wifi(需另外加購雲端模組)
")</f>
        <v xml:space="preserve">*自，清，淨*活性碳，銀離子濾網*內外機藍波防鏽*關機自動防霉*基板防潮、防蟲*雲端wifi(需另外加購雲端模組)
</v>
      </c>
    </row>
    <row r="1516" spans="1:27" ht="12.75">
      <c r="A1516" s="25" t="str">
        <f ca="1">IFERROR(__xludf.DUMMYFUNCTION("""COMPUTED_VALUE"""),"空調")</f>
        <v>空調</v>
      </c>
      <c r="B1516" s="25" t="str">
        <f ca="1">IFERROR(__xludf.DUMMYFUNCTION("""COMPUTED_VALUE"""),"安悅")</f>
        <v>安悅</v>
      </c>
      <c r="C1516" s="25" t="str">
        <f ca="1">IFERROR(__xludf.DUMMYFUNCTION("""COMPUTED_VALUE"""),"東元")</f>
        <v>東元</v>
      </c>
      <c r="D1516" s="25" t="str">
        <f ca="1">IFERROR(__xludf.DUMMYFUNCTION("""COMPUTED_VALUE"""),"東元 4-5坪R32一對一精品變頻分離式冷暖空調 MA22IH-GA3/MS22IH-GA3")</f>
        <v>東元 4-5坪R32一對一精品變頻分離式冷暖空調 MA22IH-GA3/MS22IH-GA3</v>
      </c>
      <c r="E1516" s="25" t="str">
        <f ca="1">IFERROR(__xludf.DUMMYFUNCTION("""COMPUTED_VALUE"""),"MA22IH-GA3/MS22IH-GA3")</f>
        <v>MA22IH-GA3/MS22IH-GA3</v>
      </c>
      <c r="F1516" s="25">
        <f ca="1">IFERROR(__xludf.DUMMYFUNCTION("""COMPUTED_VALUE"""),51082316)</f>
        <v>51082316</v>
      </c>
      <c r="G1516" s="25" t="str">
        <f ca="1">IFERROR(__xludf.DUMMYFUNCTION("""COMPUTED_VALUE"""),"IGEM099T")</f>
        <v>IGEM099T</v>
      </c>
      <c r="H1516" s="26">
        <f ca="1">IFERROR(__xludf.DUMMYFUNCTION("""COMPUTED_VALUE"""),22900)</f>
        <v>22900</v>
      </c>
      <c r="I1516" s="30">
        <f ca="1">IFERROR(__xludf.DUMMYFUNCTION("""COMPUTED_VALUE"""),19700)</f>
        <v>19700</v>
      </c>
      <c r="J1516" s="29">
        <f ca="1">IFERROR(__xludf.DUMMYFUNCTION("""COMPUTED_VALUE"""),45664)</f>
        <v>45664</v>
      </c>
      <c r="K1516" s="25" t="str">
        <f ca="1">IFERROR(__xludf.DUMMYFUNCTION("""COMPUTED_VALUE"""),"永久降價")</f>
        <v>永久降價</v>
      </c>
      <c r="L1516" s="25" t="str">
        <f ca="1">IFERROR(__xludf.DUMMYFUNCTION("""COMPUTED_VALUE"""),"上架中")</f>
        <v>上架中</v>
      </c>
      <c r="M1516" s="25" t="str">
        <f ca="1">IFERROR(__xludf.DUMMYFUNCTION("""COMPUTED_VALUE"""),"2025/1/6調降售價、2024/4/1新機上架")</f>
        <v>2025/1/6調降售價、2024/4/1新機上架</v>
      </c>
      <c r="N1516" s="25" t="str">
        <f ca="1">IFERROR(__xludf.DUMMYFUNCTION("""COMPUTED_VALUE"""),"一對一變頻冷暖")</f>
        <v>一對一變頻冷暖</v>
      </c>
      <c r="O1516" s="25" t="str">
        <f ca="1">IFERROR(__xludf.DUMMYFUNCTION("""COMPUTED_VALUE"""),"白")</f>
        <v>白</v>
      </c>
      <c r="P1516" s="25" t="str">
        <f ca="1">IFERROR(__xludf.DUMMYFUNCTION("""COMPUTED_VALUE"""),"4-5坪")</f>
        <v>4-5坪</v>
      </c>
      <c r="Q1516" s="25" t="str">
        <f ca="1">IFERROR(__xludf.DUMMYFUNCTION("""COMPUTED_VALUE"""),"室外機:555*785*300
室內機:292*792*201")</f>
        <v>室外機:555*785*300
室內機:292*792*201</v>
      </c>
      <c r="R1516" s="25" t="str">
        <f ca="1">IFERROR(__xludf.DUMMYFUNCTION("""COMPUTED_VALUE"""),"台灣")</f>
        <v>台灣</v>
      </c>
      <c r="S1516" s="25"/>
      <c r="T1516" s="25" t="str">
        <f ca="1">IFERROR(__xludf.DUMMYFUNCTION("""COMPUTED_VALUE"""),"1級能效")</f>
        <v>1級能效</v>
      </c>
      <c r="U1516" s="25" t="str">
        <f ca="1">IFERROR(__xludf.DUMMYFUNCTION("""COMPUTED_VALUE"""),"7(需上網登入)")</f>
        <v>7(需上網登入)</v>
      </c>
      <c r="V1516" s="25" t="str">
        <f ca="1">IFERROR(__xludf.DUMMYFUNCTION("""COMPUTED_VALUE"""),"10(需上網登入)")</f>
        <v>10(需上網登入)</v>
      </c>
      <c r="W1516" s="25"/>
      <c r="X1516" s="25"/>
      <c r="Y1516" s="25">
        <f ca="1">IFERROR(__xludf.DUMMYFUNCTION("""COMPUTED_VALUE"""),2.4)</f>
        <v>2.4</v>
      </c>
      <c r="Z1516" s="27">
        <f ca="1">IFERROR(__xludf.DUMMYFUNCTION("""COMPUTED_VALUE"""),1600)</f>
        <v>1600</v>
      </c>
      <c r="AA1516" s="28" t="str">
        <f ca="1">IFERROR(__xludf.DUMMYFUNCTION("""COMPUTED_VALUE"""),"*全系列超越一級10%*自清淨2.0(內外機)-抑菌99%*活性碳，銀離子濾網*內外機燦金防鏽*關機自動防霉*基板防潮、防蟲*3D氣流全室循環(上下左右自動氣流)*雲端wifi(需另外加購雲端模組)")</f>
        <v>*全系列超越一級10%*自清淨2.0(內外機)-抑菌99%*活性碳，銀離子濾網*內外機燦金防鏽*關機自動防霉*基板防潮、防蟲*3D氣流全室循環(上下左右自動氣流)*雲端wifi(需另外加購雲端模組)</v>
      </c>
    </row>
    <row r="1517" spans="1:27" ht="12.75">
      <c r="A1517" s="25" t="str">
        <f ca="1">IFERROR(__xludf.DUMMYFUNCTION("""COMPUTED_VALUE"""),"空調")</f>
        <v>空調</v>
      </c>
      <c r="B1517" s="25" t="str">
        <f ca="1">IFERROR(__xludf.DUMMYFUNCTION("""COMPUTED_VALUE"""),"安悅")</f>
        <v>安悅</v>
      </c>
      <c r="C1517" s="25" t="str">
        <f ca="1">IFERROR(__xludf.DUMMYFUNCTION("""COMPUTED_VALUE"""),"東元")</f>
        <v>東元</v>
      </c>
      <c r="D1517" s="25" t="str">
        <f ca="1">IFERROR(__xludf.DUMMYFUNCTION("""COMPUTED_VALUE"""),"東元 5-6坪R32一對一精品變頻分離式冷暖空調 MA28IH-GA3/MS28IH-GA3")</f>
        <v>東元 5-6坪R32一對一精品變頻分離式冷暖空調 MA28IH-GA3/MS28IH-GA3</v>
      </c>
      <c r="E1517" s="25" t="str">
        <f ca="1">IFERROR(__xludf.DUMMYFUNCTION("""COMPUTED_VALUE"""),"MA28IH-GA3/MS28IH-GA3")</f>
        <v>MA28IH-GA3/MS28IH-GA3</v>
      </c>
      <c r="F1517" s="25">
        <f ca="1">IFERROR(__xludf.DUMMYFUNCTION("""COMPUTED_VALUE"""),51082317)</f>
        <v>51082317</v>
      </c>
      <c r="G1517" s="25" t="str">
        <f ca="1">IFERROR(__xludf.DUMMYFUNCTION("""COMPUTED_VALUE"""),"IGEM099U")</f>
        <v>IGEM099U</v>
      </c>
      <c r="H1517" s="26">
        <f ca="1">IFERROR(__xludf.DUMMYFUNCTION("""COMPUTED_VALUE"""),28900)</f>
        <v>28900</v>
      </c>
      <c r="I1517" s="30">
        <f ca="1">IFERROR(__xludf.DUMMYFUNCTION("""COMPUTED_VALUE"""),23090)</f>
        <v>23090</v>
      </c>
      <c r="J1517" s="29">
        <f ca="1">IFERROR(__xludf.DUMMYFUNCTION("""COMPUTED_VALUE"""),45664)</f>
        <v>45664</v>
      </c>
      <c r="K1517" s="25" t="str">
        <f ca="1">IFERROR(__xludf.DUMMYFUNCTION("""COMPUTED_VALUE"""),"永久降價")</f>
        <v>永久降價</v>
      </c>
      <c r="L1517" s="25" t="str">
        <f ca="1">IFERROR(__xludf.DUMMYFUNCTION("""COMPUTED_VALUE"""),"上架中")</f>
        <v>上架中</v>
      </c>
      <c r="M1517" s="25" t="str">
        <f ca="1">IFERROR(__xludf.DUMMYFUNCTION("""COMPUTED_VALUE"""),"2025/1/6調降售價、2024/4/1新機上架")</f>
        <v>2025/1/6調降售價、2024/4/1新機上架</v>
      </c>
      <c r="N1517" s="25" t="str">
        <f ca="1">IFERROR(__xludf.DUMMYFUNCTION("""COMPUTED_VALUE"""),"一對一變頻冷暖")</f>
        <v>一對一變頻冷暖</v>
      </c>
      <c r="O1517" s="25" t="str">
        <f ca="1">IFERROR(__xludf.DUMMYFUNCTION("""COMPUTED_VALUE"""),"白")</f>
        <v>白</v>
      </c>
      <c r="P1517" s="25" t="str">
        <f ca="1">IFERROR(__xludf.DUMMYFUNCTION("""COMPUTED_VALUE"""),"5-6坪")</f>
        <v>5-6坪</v>
      </c>
      <c r="Q1517" s="25" t="str">
        <f ca="1">IFERROR(__xludf.DUMMYFUNCTION("""COMPUTED_VALUE"""),"室外機:555*785*300
室內機:292*792*201")</f>
        <v>室外機:555*785*300
室內機:292*792*201</v>
      </c>
      <c r="R1517" s="25" t="str">
        <f ca="1">IFERROR(__xludf.DUMMYFUNCTION("""COMPUTED_VALUE"""),"台灣")</f>
        <v>台灣</v>
      </c>
      <c r="S1517" s="25"/>
      <c r="T1517" s="25" t="str">
        <f ca="1">IFERROR(__xludf.DUMMYFUNCTION("""COMPUTED_VALUE"""),"1級能效")</f>
        <v>1級能效</v>
      </c>
      <c r="U1517" s="25" t="str">
        <f ca="1">IFERROR(__xludf.DUMMYFUNCTION("""COMPUTED_VALUE"""),"7(需上網登入)")</f>
        <v>7(需上網登入)</v>
      </c>
      <c r="V1517" s="25" t="str">
        <f ca="1">IFERROR(__xludf.DUMMYFUNCTION("""COMPUTED_VALUE"""),"10(需上網登入)")</f>
        <v>10(需上網登入)</v>
      </c>
      <c r="W1517" s="25" t="str">
        <f ca="1">IFERROR(__xludf.DUMMYFUNCTION("""COMPUTED_VALUE"""),"(2/1-4/30)隨貨送東元好禮4選1:東元吹風機、東元16吋DC風扇、東元10L氣炸烤箱、東元觸控IH變頻電磁爐，早買早選，送完為止")</f>
        <v>(2/1-4/30)隨貨送東元好禮4選1:東元吹風機、東元16吋DC風扇、東元10L氣炸烤箱、東元觸控IH變頻電磁爐，早買早選，送完為止</v>
      </c>
      <c r="X1517" s="25"/>
      <c r="Y1517" s="25">
        <f ca="1">IFERROR(__xludf.DUMMYFUNCTION("""COMPUTED_VALUE"""),2.9)</f>
        <v>2.9</v>
      </c>
      <c r="Z1517" s="27">
        <f ca="1">IFERROR(__xludf.DUMMYFUNCTION("""COMPUTED_VALUE"""),1600)</f>
        <v>1600</v>
      </c>
      <c r="AA1517" s="28" t="str">
        <f ca="1">IFERROR(__xludf.DUMMYFUNCTION("""COMPUTED_VALUE"""),"*全系列超越一級10%*自清淨2.0(內外機)-抑菌99%*活性碳，銀離子濾網*內外機燦金防鏽*關機自動防霉*基板防潮、防蟲*3D氣流全室循環(上下左右自動氣流)*雲端wifi(需另外加購雲端模組)")</f>
        <v>*全系列超越一級10%*自清淨2.0(內外機)-抑菌99%*活性碳，銀離子濾網*內外機燦金防鏽*關機自動防霉*基板防潮、防蟲*3D氣流全室循環(上下左右自動氣流)*雲端wifi(需另外加購雲端模組)</v>
      </c>
    </row>
    <row r="1518" spans="1:27" ht="12.75">
      <c r="A1518" s="25" t="str">
        <f ca="1">IFERROR(__xludf.DUMMYFUNCTION("""COMPUTED_VALUE"""),"空調")</f>
        <v>空調</v>
      </c>
      <c r="B1518" s="25" t="str">
        <f ca="1">IFERROR(__xludf.DUMMYFUNCTION("""COMPUTED_VALUE"""),"安悅")</f>
        <v>安悅</v>
      </c>
      <c r="C1518" s="25" t="str">
        <f ca="1">IFERROR(__xludf.DUMMYFUNCTION("""COMPUTED_VALUE"""),"東元")</f>
        <v>東元</v>
      </c>
      <c r="D1518" s="25" t="str">
        <f ca="1">IFERROR(__xludf.DUMMYFUNCTION("""COMPUTED_VALUE"""),"東元 6-7坪R32一對一精品變頻分離式冷暖空調 MA36IH-GA3/MS36IH-GA3")</f>
        <v>東元 6-7坪R32一對一精品變頻分離式冷暖空調 MA36IH-GA3/MS36IH-GA3</v>
      </c>
      <c r="E1518" s="25" t="str">
        <f ca="1">IFERROR(__xludf.DUMMYFUNCTION("""COMPUTED_VALUE"""),"MA36IH-GA3/MS36IH-GA3")</f>
        <v>MA36IH-GA3/MS36IH-GA3</v>
      </c>
      <c r="F1518" s="25">
        <f ca="1">IFERROR(__xludf.DUMMYFUNCTION("""COMPUTED_VALUE"""),51082318)</f>
        <v>51082318</v>
      </c>
      <c r="G1518" s="25" t="str">
        <f ca="1">IFERROR(__xludf.DUMMYFUNCTION("""COMPUTED_VALUE"""),"IGEM099V")</f>
        <v>IGEM099V</v>
      </c>
      <c r="H1518" s="26">
        <f ca="1">IFERROR(__xludf.DUMMYFUNCTION("""COMPUTED_VALUE"""),36900)</f>
        <v>36900</v>
      </c>
      <c r="I1518" s="30">
        <f ca="1">IFERROR(__xludf.DUMMYFUNCTION("""COMPUTED_VALUE"""),30300)</f>
        <v>30300</v>
      </c>
      <c r="J1518" s="29">
        <f ca="1">IFERROR(__xludf.DUMMYFUNCTION("""COMPUTED_VALUE"""),45664)</f>
        <v>45664</v>
      </c>
      <c r="K1518" s="25" t="str">
        <f ca="1">IFERROR(__xludf.DUMMYFUNCTION("""COMPUTED_VALUE"""),"永久降價")</f>
        <v>永久降價</v>
      </c>
      <c r="L1518" s="25" t="str">
        <f ca="1">IFERROR(__xludf.DUMMYFUNCTION("""COMPUTED_VALUE"""),"上架中")</f>
        <v>上架中</v>
      </c>
      <c r="M1518" s="25" t="str">
        <f ca="1">IFERROR(__xludf.DUMMYFUNCTION("""COMPUTED_VALUE"""),"2025/1/6調降售價、2024/4/1新機上架")</f>
        <v>2025/1/6調降售價、2024/4/1新機上架</v>
      </c>
      <c r="N1518" s="25" t="str">
        <f ca="1">IFERROR(__xludf.DUMMYFUNCTION("""COMPUTED_VALUE"""),"一對一變頻冷暖")</f>
        <v>一對一變頻冷暖</v>
      </c>
      <c r="O1518" s="25" t="str">
        <f ca="1">IFERROR(__xludf.DUMMYFUNCTION("""COMPUTED_VALUE"""),"白")</f>
        <v>白</v>
      </c>
      <c r="P1518" s="25" t="str">
        <f ca="1">IFERROR(__xludf.DUMMYFUNCTION("""COMPUTED_VALUE"""),"6-7坪")</f>
        <v>6-7坪</v>
      </c>
      <c r="Q1518" s="25" t="str">
        <f ca="1">IFERROR(__xludf.DUMMYFUNCTION("""COMPUTED_VALUE"""),"室外機:555*785*300
室內機:294*881*194")</f>
        <v>室外機:555*785*300
室內機:294*881*194</v>
      </c>
      <c r="R1518" s="25" t="str">
        <f ca="1">IFERROR(__xludf.DUMMYFUNCTION("""COMPUTED_VALUE"""),"台灣")</f>
        <v>台灣</v>
      </c>
      <c r="S1518" s="25"/>
      <c r="T1518" s="25" t="str">
        <f ca="1">IFERROR(__xludf.DUMMYFUNCTION("""COMPUTED_VALUE"""),"1級能效")</f>
        <v>1級能效</v>
      </c>
      <c r="U1518" s="25" t="str">
        <f ca="1">IFERROR(__xludf.DUMMYFUNCTION("""COMPUTED_VALUE"""),"7(需上網登入)")</f>
        <v>7(需上網登入)</v>
      </c>
      <c r="V1518" s="25" t="str">
        <f ca="1">IFERROR(__xludf.DUMMYFUNCTION("""COMPUTED_VALUE"""),"10(需上網登入)")</f>
        <v>10(需上網登入)</v>
      </c>
      <c r="W1518" s="25" t="str">
        <f ca="1">IFERROR(__xludf.DUMMYFUNCTION("""COMPUTED_VALUE"""),"(2/1-4/30)隨貨送東元好禮4選1:東元吹風機、東元16吋DC風扇、東元10L氣炸烤箱、東元觸控IH變頻電磁爐，早買早選，送完為止")</f>
        <v>(2/1-4/30)隨貨送東元好禮4選1:東元吹風機、東元16吋DC風扇、東元10L氣炸烤箱、東元觸控IH變頻電磁爐，早買早選，送完為止</v>
      </c>
      <c r="X1518" s="25"/>
      <c r="Y1518" s="25">
        <f ca="1">IFERROR(__xludf.DUMMYFUNCTION("""COMPUTED_VALUE"""),3.6)</f>
        <v>3.6</v>
      </c>
      <c r="Z1518" s="27" t="str">
        <f ca="1">IFERROR(__xludf.DUMMYFUNCTION("""COMPUTED_VALUE"""),"2000")</f>
        <v>2000</v>
      </c>
      <c r="AA1518" s="28" t="str">
        <f ca="1">IFERROR(__xludf.DUMMYFUNCTION("""COMPUTED_VALUE"""),"*全系列超越一級10%*自清淨2.0(內外機)-抑菌99%*活性碳，銀離子濾網*內外機燦金防鏽*關機自動防霉*基板防潮、防蟲*3D氣流全室循環(上下左右自動氣流)*雲端wifi(需另外加購雲端模組)")</f>
        <v>*全系列超越一級10%*自清淨2.0(內外機)-抑菌99%*活性碳，銀離子濾網*內外機燦金防鏽*關機自動防霉*基板防潮、防蟲*3D氣流全室循環(上下左右自動氣流)*雲端wifi(需另外加購雲端模組)</v>
      </c>
    </row>
    <row r="1519" spans="1:27" ht="12.75">
      <c r="A1519" s="25" t="str">
        <f ca="1">IFERROR(__xludf.DUMMYFUNCTION("""COMPUTED_VALUE"""),"空調")</f>
        <v>空調</v>
      </c>
      <c r="B1519" s="25" t="str">
        <f ca="1">IFERROR(__xludf.DUMMYFUNCTION("""COMPUTED_VALUE"""),"安悅")</f>
        <v>安悅</v>
      </c>
      <c r="C1519" s="25" t="str">
        <f ca="1">IFERROR(__xludf.DUMMYFUNCTION("""COMPUTED_VALUE"""),"東元")</f>
        <v>東元</v>
      </c>
      <c r="D1519" s="25" t="str">
        <f ca="1">IFERROR(__xludf.DUMMYFUNCTION("""COMPUTED_VALUE"""),"東元 7-8坪R32一對一精品變頻分離式冷暖空調 MA40IH-GA3/MS40IH-GA3")</f>
        <v>東元 7-8坪R32一對一精品變頻分離式冷暖空調 MA40IH-GA3/MS40IH-GA3</v>
      </c>
      <c r="E1519" s="25" t="str">
        <f ca="1">IFERROR(__xludf.DUMMYFUNCTION("""COMPUTED_VALUE"""),"MA40IH-GA3/MS40IH-GA3")</f>
        <v>MA40IH-GA3/MS40IH-GA3</v>
      </c>
      <c r="F1519" s="25">
        <f ca="1">IFERROR(__xludf.DUMMYFUNCTION("""COMPUTED_VALUE"""),51082319)</f>
        <v>51082319</v>
      </c>
      <c r="G1519" s="25" t="str">
        <f ca="1">IFERROR(__xludf.DUMMYFUNCTION("""COMPUTED_VALUE"""),"IGEM099W")</f>
        <v>IGEM099W</v>
      </c>
      <c r="H1519" s="26">
        <f ca="1">IFERROR(__xludf.DUMMYFUNCTION("""COMPUTED_VALUE"""),37900)</f>
        <v>37900</v>
      </c>
      <c r="I1519" s="30">
        <f ca="1">IFERROR(__xludf.DUMMYFUNCTION("""COMPUTED_VALUE"""),31890)</f>
        <v>31890</v>
      </c>
      <c r="J1519" s="29">
        <f ca="1">IFERROR(__xludf.DUMMYFUNCTION("""COMPUTED_VALUE"""),45664)</f>
        <v>45664</v>
      </c>
      <c r="K1519" s="25" t="str">
        <f ca="1">IFERROR(__xludf.DUMMYFUNCTION("""COMPUTED_VALUE"""),"永久降價")</f>
        <v>永久降價</v>
      </c>
      <c r="L1519" s="25" t="str">
        <f ca="1">IFERROR(__xludf.DUMMYFUNCTION("""COMPUTED_VALUE"""),"上架中")</f>
        <v>上架中</v>
      </c>
      <c r="M1519" s="25" t="str">
        <f ca="1">IFERROR(__xludf.DUMMYFUNCTION("""COMPUTED_VALUE"""),"2025/1/6調降售價、2024/4/1新機上架")</f>
        <v>2025/1/6調降售價、2024/4/1新機上架</v>
      </c>
      <c r="N1519" s="25" t="str">
        <f ca="1">IFERROR(__xludf.DUMMYFUNCTION("""COMPUTED_VALUE"""),"一對一變頻冷暖")</f>
        <v>一對一變頻冷暖</v>
      </c>
      <c r="O1519" s="25" t="str">
        <f ca="1">IFERROR(__xludf.DUMMYFUNCTION("""COMPUTED_VALUE"""),"白")</f>
        <v>白</v>
      </c>
      <c r="P1519" s="25" t="str">
        <f ca="1">IFERROR(__xludf.DUMMYFUNCTION("""COMPUTED_VALUE"""),"7-8坪")</f>
        <v>7-8坪</v>
      </c>
      <c r="Q1519" s="25" t="str">
        <f ca="1">IFERROR(__xludf.DUMMYFUNCTION("""COMPUTED_VALUE"""),"室外機:555*785*300
室內機:294*881*194")</f>
        <v>室外機:555*785*300
室內機:294*881*194</v>
      </c>
      <c r="R1519" s="25" t="str">
        <f ca="1">IFERROR(__xludf.DUMMYFUNCTION("""COMPUTED_VALUE"""),"台灣")</f>
        <v>台灣</v>
      </c>
      <c r="S1519" s="25"/>
      <c r="T1519" s="25" t="str">
        <f ca="1">IFERROR(__xludf.DUMMYFUNCTION("""COMPUTED_VALUE"""),"1級能效")</f>
        <v>1級能效</v>
      </c>
      <c r="U1519" s="25" t="str">
        <f ca="1">IFERROR(__xludf.DUMMYFUNCTION("""COMPUTED_VALUE"""),"7(需上網登入)")</f>
        <v>7(需上網登入)</v>
      </c>
      <c r="V1519" s="25" t="str">
        <f ca="1">IFERROR(__xludf.DUMMYFUNCTION("""COMPUTED_VALUE"""),"10(需上網登入)")</f>
        <v>10(需上網登入)</v>
      </c>
      <c r="W1519" s="25" t="str">
        <f ca="1">IFERROR(__xludf.DUMMYFUNCTION("""COMPUTED_VALUE"""),"(2/1-4/30)隨貨送東元好禮4選1:東元吹風機、東元16吋DC風扇、東元10L氣炸烤箱、東元觸控IH變頻電磁爐，早買早選，送完為止")</f>
        <v>(2/1-4/30)隨貨送東元好禮4選1:東元吹風機、東元16吋DC風扇、東元10L氣炸烤箱、東元觸控IH變頻電磁爐，早買早選，送完為止</v>
      </c>
      <c r="X1519" s="25"/>
      <c r="Y1519" s="25">
        <f ca="1">IFERROR(__xludf.DUMMYFUNCTION("""COMPUTED_VALUE"""),4.1)</f>
        <v>4.0999999999999996</v>
      </c>
      <c r="Z1519" s="27" t="str">
        <f ca="1">IFERROR(__xludf.DUMMYFUNCTION("""COMPUTED_VALUE"""),"2000")</f>
        <v>2000</v>
      </c>
      <c r="AA1519" s="28" t="str">
        <f ca="1">IFERROR(__xludf.DUMMYFUNCTION("""COMPUTED_VALUE"""),"*全系列超越一級10%*自清淨2.0(內外機)-抑菌99%*活性碳，銀離子濾網*內外機燦金防鏽*關機自動防霉*基板防潮、防蟲*3D氣流全室循環(上下左右自動氣流)*雲端wifi(需另外加購雲端模組)")</f>
        <v>*全系列超越一級10%*自清淨2.0(內外機)-抑菌99%*活性碳，銀離子濾網*內外機燦金防鏽*關機自動防霉*基板防潮、防蟲*3D氣流全室循環(上下左右自動氣流)*雲端wifi(需另外加購雲端模組)</v>
      </c>
    </row>
    <row r="1520" spans="1:27" ht="12.75">
      <c r="A1520" s="25" t="str">
        <f ca="1">IFERROR(__xludf.DUMMYFUNCTION("""COMPUTED_VALUE"""),"空調")</f>
        <v>空調</v>
      </c>
      <c r="B1520" s="25" t="str">
        <f ca="1">IFERROR(__xludf.DUMMYFUNCTION("""COMPUTED_VALUE"""),"安悅")</f>
        <v>安悅</v>
      </c>
      <c r="C1520" s="25" t="str">
        <f ca="1">IFERROR(__xludf.DUMMYFUNCTION("""COMPUTED_VALUE"""),"東元")</f>
        <v>東元</v>
      </c>
      <c r="D1520" s="25" t="str">
        <f ca="1">IFERROR(__xludf.DUMMYFUNCTION("""COMPUTED_VALUE"""),"東元 9-10坪R32一對一精品變頻分離式冷暖空調 MA50IH-GA3/MS50IH-GA3")</f>
        <v>東元 9-10坪R32一對一精品變頻分離式冷暖空調 MA50IH-GA3/MS50IH-GA3</v>
      </c>
      <c r="E1520" s="25" t="str">
        <f ca="1">IFERROR(__xludf.DUMMYFUNCTION("""COMPUTED_VALUE"""),"MA50IH-GA3/MS50IH-GA3")</f>
        <v>MA50IH-GA3/MS50IH-GA3</v>
      </c>
      <c r="F1520" s="25">
        <f ca="1">IFERROR(__xludf.DUMMYFUNCTION("""COMPUTED_VALUE"""),51082320)</f>
        <v>51082320</v>
      </c>
      <c r="G1520" s="25" t="str">
        <f ca="1">IFERROR(__xludf.DUMMYFUNCTION("""COMPUTED_VALUE"""),"IGEM099X")</f>
        <v>IGEM099X</v>
      </c>
      <c r="H1520" s="26">
        <f ca="1">IFERROR(__xludf.DUMMYFUNCTION("""COMPUTED_VALUE"""),45900)</f>
        <v>45900</v>
      </c>
      <c r="I1520" s="30">
        <f ca="1">IFERROR(__xludf.DUMMYFUNCTION("""COMPUTED_VALUE"""),38300)</f>
        <v>38300</v>
      </c>
      <c r="J1520" s="29">
        <f ca="1">IFERROR(__xludf.DUMMYFUNCTION("""COMPUTED_VALUE"""),45664)</f>
        <v>45664</v>
      </c>
      <c r="K1520" s="25" t="str">
        <f ca="1">IFERROR(__xludf.DUMMYFUNCTION("""COMPUTED_VALUE"""),"永久降價")</f>
        <v>永久降價</v>
      </c>
      <c r="L1520" s="25" t="str">
        <f ca="1">IFERROR(__xludf.DUMMYFUNCTION("""COMPUTED_VALUE"""),"上架中")</f>
        <v>上架中</v>
      </c>
      <c r="M1520" s="25" t="str">
        <f ca="1">IFERROR(__xludf.DUMMYFUNCTION("""COMPUTED_VALUE"""),"2025/1/6調降售價、2024/4/1新機上架")</f>
        <v>2025/1/6調降售價、2024/4/1新機上架</v>
      </c>
      <c r="N1520" s="25" t="str">
        <f ca="1">IFERROR(__xludf.DUMMYFUNCTION("""COMPUTED_VALUE"""),"一對一變頻冷暖")</f>
        <v>一對一變頻冷暖</v>
      </c>
      <c r="O1520" s="25" t="str">
        <f ca="1">IFERROR(__xludf.DUMMYFUNCTION("""COMPUTED_VALUE"""),"白")</f>
        <v>白</v>
      </c>
      <c r="P1520" s="25" t="str">
        <f ca="1">IFERROR(__xludf.DUMMYFUNCTION("""COMPUTED_VALUE"""),"9-10坪")</f>
        <v>9-10坪</v>
      </c>
      <c r="Q1520" s="25" t="str">
        <f ca="1">IFERROR(__xludf.DUMMYFUNCTION("""COMPUTED_VALUE"""),"室外機:555*785*300
室內機:316*997*227")</f>
        <v>室外機:555*785*300
室內機:316*997*227</v>
      </c>
      <c r="R1520" s="25" t="str">
        <f ca="1">IFERROR(__xludf.DUMMYFUNCTION("""COMPUTED_VALUE"""),"台灣")</f>
        <v>台灣</v>
      </c>
      <c r="S1520" s="25"/>
      <c r="T1520" s="25" t="str">
        <f ca="1">IFERROR(__xludf.DUMMYFUNCTION("""COMPUTED_VALUE"""),"1級能效")</f>
        <v>1級能效</v>
      </c>
      <c r="U1520" s="25" t="str">
        <f ca="1">IFERROR(__xludf.DUMMYFUNCTION("""COMPUTED_VALUE"""),"7(需上網登入)")</f>
        <v>7(需上網登入)</v>
      </c>
      <c r="V1520" s="25" t="str">
        <f ca="1">IFERROR(__xludf.DUMMYFUNCTION("""COMPUTED_VALUE"""),"10(需上網登入)")</f>
        <v>10(需上網登入)</v>
      </c>
      <c r="W1520" s="25" t="str">
        <f ca="1">IFERROR(__xludf.DUMMYFUNCTION("""COMPUTED_VALUE"""),"(2/1-4/30)隨貨送東元好禮4選1:東元吹風機、東元16吋DC風扇、東元10L氣炸烤箱、東元觸控IH變頻電磁爐，早買早選，送完為止")</f>
        <v>(2/1-4/30)隨貨送東元好禮4選1:東元吹風機、東元16吋DC風扇、東元10L氣炸烤箱、東元觸控IH變頻電磁爐，早買早選，送完為止</v>
      </c>
      <c r="X1520" s="25"/>
      <c r="Y1520" s="25">
        <f ca="1">IFERROR(__xludf.DUMMYFUNCTION("""COMPUTED_VALUE"""),5.2)</f>
        <v>5.2</v>
      </c>
      <c r="Z1520" s="27" t="str">
        <f ca="1">IFERROR(__xludf.DUMMYFUNCTION("""COMPUTED_VALUE"""),"2000")</f>
        <v>2000</v>
      </c>
      <c r="AA1520" s="28" t="str">
        <f ca="1">IFERROR(__xludf.DUMMYFUNCTION("""COMPUTED_VALUE"""),"*全系列超越一級10%*自清淨2.0(內外機)-抑菌99%*活性碳，銀離子濾網*內外機燦金防鏽*關機自動防霉*基板防潮、防蟲*3D氣流全室循環(上下左右自動氣流)*雲端wifi(需另外加購雲端模組)")</f>
        <v>*全系列超越一級10%*自清淨2.0(內外機)-抑菌99%*活性碳，銀離子濾網*內外機燦金防鏽*關機自動防霉*基板防潮、防蟲*3D氣流全室循環(上下左右自動氣流)*雲端wifi(需另外加購雲端模組)</v>
      </c>
    </row>
    <row r="1521" spans="1:27" ht="12.75">
      <c r="A1521" s="25" t="str">
        <f ca="1">IFERROR(__xludf.DUMMYFUNCTION("""COMPUTED_VALUE"""),"空調")</f>
        <v>空調</v>
      </c>
      <c r="B1521" s="25" t="str">
        <f ca="1">IFERROR(__xludf.DUMMYFUNCTION("""COMPUTED_VALUE"""),"安悅")</f>
        <v>安悅</v>
      </c>
      <c r="C1521" s="25" t="str">
        <f ca="1">IFERROR(__xludf.DUMMYFUNCTION("""COMPUTED_VALUE"""),"東元")</f>
        <v>東元</v>
      </c>
      <c r="D1521" s="25" t="str">
        <f ca="1">IFERROR(__xludf.DUMMYFUNCTION("""COMPUTED_VALUE"""),"東元 4-5坪R32一對一精品變頻分離式冷專空調 MA22IC-GA2/MS22IC-GA2")</f>
        <v>東元 4-5坪R32一對一精品變頻分離式冷專空調 MA22IC-GA2/MS22IC-GA2</v>
      </c>
      <c r="E1521" s="25" t="str">
        <f ca="1">IFERROR(__xludf.DUMMYFUNCTION("""COMPUTED_VALUE"""),"MA22IC-GA2/MS22IC-GA2")</f>
        <v>MA22IC-GA2/MS22IC-GA2</v>
      </c>
      <c r="F1521" s="25">
        <f ca="1">IFERROR(__xludf.DUMMYFUNCTION("""COMPUTED_VALUE"""),51082322)</f>
        <v>51082322</v>
      </c>
      <c r="G1521" s="25" t="str">
        <f ca="1">IFERROR(__xludf.DUMMYFUNCTION("""COMPUTED_VALUE"""),"IGEM101P")</f>
        <v>IGEM101P</v>
      </c>
      <c r="H1521" s="26">
        <f ca="1">IFERROR(__xludf.DUMMYFUNCTION("""COMPUTED_VALUE"""),25490)</f>
        <v>25490</v>
      </c>
      <c r="I1521" s="27">
        <f ca="1">IFERROR(__xludf.DUMMYFUNCTION("""COMPUTED_VALUE"""),17840)</f>
        <v>17840</v>
      </c>
      <c r="J1521" s="29">
        <f ca="1">IFERROR(__xludf.DUMMYFUNCTION("""COMPUTED_VALUE"""),45658)</f>
        <v>45658</v>
      </c>
      <c r="K1521" s="25" t="str">
        <f ca="1">IFERROR(__xludf.DUMMYFUNCTION("""COMPUTED_VALUE"""),"永久降價")</f>
        <v>永久降價</v>
      </c>
      <c r="L1521" s="25" t="str">
        <f ca="1">IFERROR(__xludf.DUMMYFUNCTION("""COMPUTED_VALUE"""),"上架中")</f>
        <v>上架中</v>
      </c>
      <c r="M1521" s="25" t="str">
        <f ca="1">IFERROR(__xludf.DUMMYFUNCTION("""COMPUTED_VALUE"""),"114/1/1調降、11/2-12/31短促、113/5/10新上架")</f>
        <v>114/1/1調降、11/2-12/31短促、113/5/10新上架</v>
      </c>
      <c r="N1521" s="25" t="str">
        <f ca="1">IFERROR(__xludf.DUMMYFUNCTION("""COMPUTED_VALUE"""),"一對一變頻冷專")</f>
        <v>一對一變頻冷專</v>
      </c>
      <c r="O1521" s="25" t="str">
        <f ca="1">IFERROR(__xludf.DUMMYFUNCTION("""COMPUTED_VALUE"""),"白")</f>
        <v>白</v>
      </c>
      <c r="P1521" s="25" t="str">
        <f ca="1">IFERROR(__xludf.DUMMYFUNCTION("""COMPUTED_VALUE"""),"4-5坪")</f>
        <v>4-5坪</v>
      </c>
      <c r="Q1521" s="25" t="str">
        <f ca="1">IFERROR(__xludf.DUMMYFUNCTION("""COMPUTED_VALUE"""),"室外機:555*785*300mm 
室內機:292*792*201mm")</f>
        <v>室外機:555*785*300mm 
室內機:292*792*201mm</v>
      </c>
      <c r="R1521" s="25" t="str">
        <f ca="1">IFERROR(__xludf.DUMMYFUNCTION("""COMPUTED_VALUE"""),"台灣")</f>
        <v>台灣</v>
      </c>
      <c r="S1521" s="25" t="str">
        <f ca="1">IFERROR(__xludf.DUMMYFUNCTION("""COMPUTED_VALUE"""),"V")</f>
        <v>V</v>
      </c>
      <c r="T1521" s="25" t="str">
        <f ca="1">IFERROR(__xludf.DUMMYFUNCTION("""COMPUTED_VALUE"""),"1級能效")</f>
        <v>1級能效</v>
      </c>
      <c r="U1521" s="25" t="str">
        <f ca="1">IFERROR(__xludf.DUMMYFUNCTION("""COMPUTED_VALUE"""),"7(需上網登入)")</f>
        <v>7(需上網登入)</v>
      </c>
      <c r="V1521" s="25" t="str">
        <f ca="1">IFERROR(__xludf.DUMMYFUNCTION("""COMPUTED_VALUE"""),"10(需上網登入)")</f>
        <v>10(需上網登入)</v>
      </c>
      <c r="W1521" s="25"/>
      <c r="X1521" s="25"/>
      <c r="Y1521" s="25">
        <f ca="1">IFERROR(__xludf.DUMMYFUNCTION("""COMPUTED_VALUE"""),2.4)</f>
        <v>2.4</v>
      </c>
      <c r="Z1521" s="27">
        <f ca="1">IFERROR(__xludf.DUMMYFUNCTION("""COMPUTED_VALUE"""),1600)</f>
        <v>1600</v>
      </c>
      <c r="AA1521" s="28" t="str">
        <f ca="1">IFERROR(__xludf.DUMMYFUNCTION("""COMPUTED_VALUE"""),"*全系列超越一級10%*自清淨*活性碳，銀離子濾網*內外機燦金防鏽*關機自動防霉*3D氣流*基板防潮、防蟲*雲端wifi(需另外加購雲端模組)")</f>
        <v>*全系列超越一級10%*自清淨*活性碳，銀離子濾網*內外機燦金防鏽*關機自動防霉*3D氣流*基板防潮、防蟲*雲端wifi(需另外加購雲端模組)</v>
      </c>
    </row>
    <row r="1522" spans="1:27" ht="12.75">
      <c r="A1522" s="25" t="str">
        <f ca="1">IFERROR(__xludf.DUMMYFUNCTION("""COMPUTED_VALUE"""),"空調")</f>
        <v>空調</v>
      </c>
      <c r="B1522" s="25" t="str">
        <f ca="1">IFERROR(__xludf.DUMMYFUNCTION("""COMPUTED_VALUE"""),"安悅")</f>
        <v>安悅</v>
      </c>
      <c r="C1522" s="25" t="str">
        <f ca="1">IFERROR(__xludf.DUMMYFUNCTION("""COMPUTED_VALUE"""),"東元")</f>
        <v>東元</v>
      </c>
      <c r="D1522" s="25" t="str">
        <f ca="1">IFERROR(__xludf.DUMMYFUNCTION("""COMPUTED_VALUE"""),"東元 5-6坪R32一對一精品變頻分離式冷專空調 MA28IC-GA2/MS28IC-GA2")</f>
        <v>東元 5-6坪R32一對一精品變頻分離式冷專空調 MA28IC-GA2/MS28IC-GA2</v>
      </c>
      <c r="E1522" s="25" t="str">
        <f ca="1">IFERROR(__xludf.DUMMYFUNCTION("""COMPUTED_VALUE"""),"MA28IC-GA2/MS28IC-GA2")</f>
        <v>MA28IC-GA2/MS28IC-GA2</v>
      </c>
      <c r="F1522" s="25">
        <f ca="1">IFERROR(__xludf.DUMMYFUNCTION("""COMPUTED_VALUE"""),51082323)</f>
        <v>51082323</v>
      </c>
      <c r="G1522" s="25" t="str">
        <f ca="1">IFERROR(__xludf.DUMMYFUNCTION("""COMPUTED_VALUE"""),"IGEM101Q")</f>
        <v>IGEM101Q</v>
      </c>
      <c r="H1522" s="26">
        <f ca="1">IFERROR(__xludf.DUMMYFUNCTION("""COMPUTED_VALUE"""),25490)</f>
        <v>25490</v>
      </c>
      <c r="I1522" s="27">
        <f ca="1">IFERROR(__xludf.DUMMYFUNCTION("""COMPUTED_VALUE"""),20290)</f>
        <v>20290</v>
      </c>
      <c r="J1522" s="29">
        <f ca="1">IFERROR(__xludf.DUMMYFUNCTION("""COMPUTED_VALUE"""),45665)</f>
        <v>45665</v>
      </c>
      <c r="K1522" s="25" t="str">
        <f ca="1">IFERROR(__xludf.DUMMYFUNCTION("""COMPUTED_VALUE"""),"到貨")</f>
        <v>到貨</v>
      </c>
      <c r="L1522" s="25" t="str">
        <f ca="1">IFERROR(__xludf.DUMMYFUNCTION("""COMPUTED_VALUE"""),"上架中")</f>
        <v>上架中</v>
      </c>
      <c r="M1522" s="25" t="str">
        <f ca="1">IFERROR(__xludf.DUMMYFUNCTION("""COMPUTED_VALUE"""),"（2025/1/6起剩2台）需10/18停售、113/5/10新上架")</f>
        <v>（2025/1/6起剩2台）需10/18停售、113/5/10新上架</v>
      </c>
      <c r="N1522" s="25" t="str">
        <f ca="1">IFERROR(__xludf.DUMMYFUNCTION("""COMPUTED_VALUE"""),"一對一變頻冷專")</f>
        <v>一對一變頻冷專</v>
      </c>
      <c r="O1522" s="25" t="str">
        <f ca="1">IFERROR(__xludf.DUMMYFUNCTION("""COMPUTED_VALUE"""),"白")</f>
        <v>白</v>
      </c>
      <c r="P1522" s="25" t="str">
        <f ca="1">IFERROR(__xludf.DUMMYFUNCTION("""COMPUTED_VALUE"""),"5-6坪")</f>
        <v>5-6坪</v>
      </c>
      <c r="Q1522" s="25" t="str">
        <f ca="1">IFERROR(__xludf.DUMMYFUNCTION("""COMPUTED_VALUE"""),"室外機:555*785*300mm 
室內機:292*792*201mm")</f>
        <v>室外機:555*785*300mm 
室內機:292*792*201mm</v>
      </c>
      <c r="R1522" s="25" t="str">
        <f ca="1">IFERROR(__xludf.DUMMYFUNCTION("""COMPUTED_VALUE"""),"台灣")</f>
        <v>台灣</v>
      </c>
      <c r="S1522" s="25" t="str">
        <f ca="1">IFERROR(__xludf.DUMMYFUNCTION("""COMPUTED_VALUE"""),"V")</f>
        <v>V</v>
      </c>
      <c r="T1522" s="25" t="str">
        <f ca="1">IFERROR(__xludf.DUMMYFUNCTION("""COMPUTED_VALUE"""),"1級能效")</f>
        <v>1級能效</v>
      </c>
      <c r="U1522" s="25" t="str">
        <f ca="1">IFERROR(__xludf.DUMMYFUNCTION("""COMPUTED_VALUE"""),"7(需上網登入)")</f>
        <v>7(需上網登入)</v>
      </c>
      <c r="V1522" s="25" t="str">
        <f ca="1">IFERROR(__xludf.DUMMYFUNCTION("""COMPUTED_VALUE"""),"10(需上網登入)")</f>
        <v>10(需上網登入)</v>
      </c>
      <c r="W1522" s="25"/>
      <c r="X1522" s="25"/>
      <c r="Y1522" s="25">
        <f ca="1">IFERROR(__xludf.DUMMYFUNCTION("""COMPUTED_VALUE"""),2.9)</f>
        <v>2.9</v>
      </c>
      <c r="Z1522" s="27">
        <f ca="1">IFERROR(__xludf.DUMMYFUNCTION("""COMPUTED_VALUE"""),1600)</f>
        <v>1600</v>
      </c>
      <c r="AA1522" s="28" t="str">
        <f ca="1">IFERROR(__xludf.DUMMYFUNCTION("""COMPUTED_VALUE"""),"*全系列超越一級10%*自清淨*活性碳，銀離子濾網*內外機燦金防鏽*關機自動防霉*3D氣流*基板防潮、防蟲*雲端wifi(需另外加購雲端模組)")</f>
        <v>*全系列超越一級10%*自清淨*活性碳，銀離子濾網*內外機燦金防鏽*關機自動防霉*3D氣流*基板防潮、防蟲*雲端wifi(需另外加購雲端模組)</v>
      </c>
    </row>
    <row r="1523" spans="1:27" ht="12.75">
      <c r="A1523" s="25" t="str">
        <f ca="1">IFERROR(__xludf.DUMMYFUNCTION("""COMPUTED_VALUE"""),"空調")</f>
        <v>空調</v>
      </c>
      <c r="B1523" s="25" t="str">
        <f ca="1">IFERROR(__xludf.DUMMYFUNCTION("""COMPUTED_VALUE"""),"安悅")</f>
        <v>安悅</v>
      </c>
      <c r="C1523" s="25" t="str">
        <f ca="1">IFERROR(__xludf.DUMMYFUNCTION("""COMPUTED_VALUE"""),"東元")</f>
        <v>東元</v>
      </c>
      <c r="D1523" s="25" t="str">
        <f ca="1">IFERROR(__xludf.DUMMYFUNCTION("""COMPUTED_VALUE"""),"東元 7-8坪R32一對一精品變頻分離式冷專空調 MA40IC-GA2/MS40IC-GA2")</f>
        <v>東元 7-8坪R32一對一精品變頻分離式冷專空調 MA40IC-GA2/MS40IC-GA2</v>
      </c>
      <c r="E1523" s="25" t="str">
        <f ca="1">IFERROR(__xludf.DUMMYFUNCTION("""COMPUTED_VALUE"""),"MA40IC-GA2/MS40IC-GA2")</f>
        <v>MA40IC-GA2/MS40IC-GA2</v>
      </c>
      <c r="F1523" s="25">
        <f ca="1">IFERROR(__xludf.DUMMYFUNCTION("""COMPUTED_VALUE"""),51082325)</f>
        <v>51082325</v>
      </c>
      <c r="G1523" s="25" t="str">
        <f ca="1">IFERROR(__xludf.DUMMYFUNCTION("""COMPUTED_VALUE"""),"IGEM101S")</f>
        <v>IGEM101S</v>
      </c>
      <c r="H1523" s="26">
        <f ca="1">IFERROR(__xludf.DUMMYFUNCTION("""COMPUTED_VALUE"""),35300)</f>
        <v>35300</v>
      </c>
      <c r="I1523" s="27">
        <f ca="1">IFERROR(__xludf.DUMMYFUNCTION("""COMPUTED_VALUE"""),28990)</f>
        <v>28990</v>
      </c>
      <c r="J1523" s="29">
        <f ca="1">IFERROR(__xludf.DUMMYFUNCTION("""COMPUTED_VALUE"""),45658)</f>
        <v>45658</v>
      </c>
      <c r="K1523" s="25" t="str">
        <f ca="1">IFERROR(__xludf.DUMMYFUNCTION("""COMPUTED_VALUE"""),"停售")</f>
        <v>停售</v>
      </c>
      <c r="L1523" s="25" t="str">
        <f ca="1">IFERROR(__xludf.DUMMYFUNCTION("""COMPUTED_VALUE"""),"上架中")</f>
        <v>上架中</v>
      </c>
      <c r="M1523" s="25" t="str">
        <f ca="1">IFERROR(__xludf.DUMMYFUNCTION("""COMPUTED_VALUE"""),"（2025/1/1起剩1台）114/1/1停售、113/5/10新上架")</f>
        <v>（2025/1/1起剩1台）114/1/1停售、113/5/10新上架</v>
      </c>
      <c r="N1523" s="25" t="str">
        <f ca="1">IFERROR(__xludf.DUMMYFUNCTION("""COMPUTED_VALUE"""),"一對一變頻冷專")</f>
        <v>一對一變頻冷專</v>
      </c>
      <c r="O1523" s="25" t="str">
        <f ca="1">IFERROR(__xludf.DUMMYFUNCTION("""COMPUTED_VALUE"""),"白")</f>
        <v>白</v>
      </c>
      <c r="P1523" s="25" t="str">
        <f ca="1">IFERROR(__xludf.DUMMYFUNCTION("""COMPUTED_VALUE"""),"7-8坪")</f>
        <v>7-8坪</v>
      </c>
      <c r="Q1523" s="25" t="str">
        <f ca="1">IFERROR(__xludf.DUMMYFUNCTION("""COMPUTED_VALUE"""),"室外機:555*785*300mm 
室內機:294*881*194mm")</f>
        <v>室外機:555*785*300mm 
室內機:294*881*194mm</v>
      </c>
      <c r="R1523" s="25" t="str">
        <f ca="1">IFERROR(__xludf.DUMMYFUNCTION("""COMPUTED_VALUE"""),"台灣")</f>
        <v>台灣</v>
      </c>
      <c r="S1523" s="25" t="str">
        <f ca="1">IFERROR(__xludf.DUMMYFUNCTION("""COMPUTED_VALUE"""),"V")</f>
        <v>V</v>
      </c>
      <c r="T1523" s="25" t="str">
        <f ca="1">IFERROR(__xludf.DUMMYFUNCTION("""COMPUTED_VALUE"""),"1級能效")</f>
        <v>1級能效</v>
      </c>
      <c r="U1523" s="25" t="str">
        <f ca="1">IFERROR(__xludf.DUMMYFUNCTION("""COMPUTED_VALUE"""),"7(需上網登入)")</f>
        <v>7(需上網登入)</v>
      </c>
      <c r="V1523" s="25" t="str">
        <f ca="1">IFERROR(__xludf.DUMMYFUNCTION("""COMPUTED_VALUE"""),"10(需上網登入)")</f>
        <v>10(需上網登入)</v>
      </c>
      <c r="W1523" s="25"/>
      <c r="X1523" s="25"/>
      <c r="Y1523" s="25">
        <f ca="1">IFERROR(__xludf.DUMMYFUNCTION("""COMPUTED_VALUE"""),4.1)</f>
        <v>4.0999999999999996</v>
      </c>
      <c r="Z1523" s="27" t="str">
        <f ca="1">IFERROR(__xludf.DUMMYFUNCTION("""COMPUTED_VALUE"""),"2000")</f>
        <v>2000</v>
      </c>
      <c r="AA1523" s="28" t="str">
        <f ca="1">IFERROR(__xludf.DUMMYFUNCTION("""COMPUTED_VALUE"""),"*全系列超越一級10%*自清淨*活性碳，銀離子濾網*內外機燦金防鏽*關機自動防霉*3D氣流*基板防潮、防蟲*雲端wifi(需另外加購雲端模組)")</f>
        <v>*全系列超越一級10%*自清淨*活性碳，銀離子濾網*內外機燦金防鏽*關機自動防霉*3D氣流*基板防潮、防蟲*雲端wifi(需另外加購雲端模組)</v>
      </c>
    </row>
    <row r="1524" spans="1:27" ht="12.75">
      <c r="A1524" s="25" t="str">
        <f ca="1">IFERROR(__xludf.DUMMYFUNCTION("""COMPUTED_VALUE"""),"空調")</f>
        <v>空調</v>
      </c>
      <c r="B1524" s="25" t="str">
        <f ca="1">IFERROR(__xludf.DUMMYFUNCTION("""COMPUTED_VALUE"""),"安悅")</f>
        <v>安悅</v>
      </c>
      <c r="C1524" s="25" t="str">
        <f ca="1">IFERROR(__xludf.DUMMYFUNCTION("""COMPUTED_VALUE"""),"東元")</f>
        <v>東元</v>
      </c>
      <c r="D1524" s="25" t="str">
        <f ca="1">IFERROR(__xludf.DUMMYFUNCTION("""COMPUTED_VALUE"""),"東元 9-10坪R32一對一精品變頻分離式冷專空調 MA50IC-GA2/MS50IC-GA2")</f>
        <v>東元 9-10坪R32一對一精品變頻分離式冷專空調 MA50IC-GA2/MS50IC-GA2</v>
      </c>
      <c r="E1524" s="25" t="str">
        <f ca="1">IFERROR(__xludf.DUMMYFUNCTION("""COMPUTED_VALUE"""),"MA50IC-GA2/MS50IC-GA2")</f>
        <v>MA50IC-GA2/MS50IC-GA2</v>
      </c>
      <c r="F1524" s="25">
        <f ca="1">IFERROR(__xludf.DUMMYFUNCTION("""COMPUTED_VALUE"""),51082326)</f>
        <v>51082326</v>
      </c>
      <c r="G1524" s="25" t="str">
        <f ca="1">IFERROR(__xludf.DUMMYFUNCTION("""COMPUTED_VALUE"""),"IGEM101T")</f>
        <v>IGEM101T</v>
      </c>
      <c r="H1524" s="26">
        <f ca="1">IFERROR(__xludf.DUMMYFUNCTION("""COMPUTED_VALUE"""),40900)</f>
        <v>40900</v>
      </c>
      <c r="I1524" s="27">
        <f ca="1">IFERROR(__xludf.DUMMYFUNCTION("""COMPUTED_VALUE"""),34900)</f>
        <v>34900</v>
      </c>
      <c r="J1524" s="29">
        <f ca="1">IFERROR(__xludf.DUMMYFUNCTION("""COMPUTED_VALUE"""),45422)</f>
        <v>45422</v>
      </c>
      <c r="K1524" s="25" t="str">
        <f ca="1">IFERROR(__xludf.DUMMYFUNCTION("""COMPUTED_VALUE"""),"新機上架")</f>
        <v>新機上架</v>
      </c>
      <c r="L1524" s="25" t="str">
        <f ca="1">IFERROR(__xludf.DUMMYFUNCTION("""COMPUTED_VALUE"""),"上架中")</f>
        <v>上架中</v>
      </c>
      <c r="M1524" s="25" t="str">
        <f ca="1">IFERROR(__xludf.DUMMYFUNCTION("""COMPUTED_VALUE"""),"113/5/10新上架")</f>
        <v>113/5/10新上架</v>
      </c>
      <c r="N1524" s="25" t="str">
        <f ca="1">IFERROR(__xludf.DUMMYFUNCTION("""COMPUTED_VALUE"""),"一對一變頻冷專")</f>
        <v>一對一變頻冷專</v>
      </c>
      <c r="O1524" s="25" t="str">
        <f ca="1">IFERROR(__xludf.DUMMYFUNCTION("""COMPUTED_VALUE"""),"白")</f>
        <v>白</v>
      </c>
      <c r="P1524" s="25" t="str">
        <f ca="1">IFERROR(__xludf.DUMMYFUNCTION("""COMPUTED_VALUE"""),"9-10坪")</f>
        <v>9-10坪</v>
      </c>
      <c r="Q1524" s="25" t="str">
        <f ca="1">IFERROR(__xludf.DUMMYFUNCTION("""COMPUTED_VALUE"""),"室外機:555*785*300mm 
室內機:316*997*227mm")</f>
        <v>室外機:555*785*300mm 
室內機:316*997*227mm</v>
      </c>
      <c r="R1524" s="25" t="str">
        <f ca="1">IFERROR(__xludf.DUMMYFUNCTION("""COMPUTED_VALUE"""),"台灣")</f>
        <v>台灣</v>
      </c>
      <c r="S1524" s="25" t="str">
        <f ca="1">IFERROR(__xludf.DUMMYFUNCTION("""COMPUTED_VALUE"""),"V")</f>
        <v>V</v>
      </c>
      <c r="T1524" s="25" t="str">
        <f ca="1">IFERROR(__xludf.DUMMYFUNCTION("""COMPUTED_VALUE"""),"1級能效")</f>
        <v>1級能效</v>
      </c>
      <c r="U1524" s="25" t="str">
        <f ca="1">IFERROR(__xludf.DUMMYFUNCTION("""COMPUTED_VALUE"""),"7(需上網登入)")</f>
        <v>7(需上網登入)</v>
      </c>
      <c r="V1524" s="25" t="str">
        <f ca="1">IFERROR(__xludf.DUMMYFUNCTION("""COMPUTED_VALUE"""),"10(需上網登入)")</f>
        <v>10(需上網登入)</v>
      </c>
      <c r="W1524" s="25"/>
      <c r="X1524" s="25"/>
      <c r="Y1524" s="25">
        <f ca="1">IFERROR(__xludf.DUMMYFUNCTION("""COMPUTED_VALUE"""),5.2)</f>
        <v>5.2</v>
      </c>
      <c r="Z1524" s="27" t="str">
        <f ca="1">IFERROR(__xludf.DUMMYFUNCTION("""COMPUTED_VALUE"""),"2000")</f>
        <v>2000</v>
      </c>
      <c r="AA1524" s="28" t="str">
        <f ca="1">IFERROR(__xludf.DUMMYFUNCTION("""COMPUTED_VALUE"""),"*全系列超越一級10%*自清淨*活性碳，銀離子濾網*內外機燦金防鏽*關機自動防霉*3D氣流*基板防潮、防蟲*雲端wifi(需另外加購雲端模組)")</f>
        <v>*全系列超越一級10%*自清淨*活性碳，銀離子濾網*內外機燦金防鏽*關機自動防霉*3D氣流*基板防潮、防蟲*雲端wifi(需另外加購雲端模組)</v>
      </c>
    </row>
    <row r="1525" spans="1:27" ht="12.75">
      <c r="A1525" s="25" t="str">
        <f ca="1">IFERROR(__xludf.DUMMYFUNCTION("""COMPUTED_VALUE"""),"空調")</f>
        <v>空調</v>
      </c>
      <c r="B1525" s="25" t="str">
        <f ca="1">IFERROR(__xludf.DUMMYFUNCTION("""COMPUTED_VALUE"""),"安悅")</f>
        <v>安悅</v>
      </c>
      <c r="C1525" s="25" t="str">
        <f ca="1">IFERROR(__xludf.DUMMYFUNCTION("""COMPUTED_VALUE"""),"東元")</f>
        <v>東元</v>
      </c>
      <c r="D1525" s="25" t="str">
        <f ca="1">IFERROR(__xludf.DUMMYFUNCTION("""COMPUTED_VALUE"""),"東元12-14坪R32一對一精品變頻分離式冷專空調 MA72IC-GA2/MS72IC-GA2")</f>
        <v>東元12-14坪R32一對一精品變頻分離式冷專空調 MA72IC-GA2/MS72IC-GA2</v>
      </c>
      <c r="E1525" s="25" t="str">
        <f ca="1">IFERROR(__xludf.DUMMYFUNCTION("""COMPUTED_VALUE"""),"MA72IC-GA2/MS72IC-GA2")</f>
        <v>MA72IC-GA2/MS72IC-GA2</v>
      </c>
      <c r="F1525" s="25">
        <f ca="1">IFERROR(__xludf.DUMMYFUNCTION("""COMPUTED_VALUE"""),51082328)</f>
        <v>51082328</v>
      </c>
      <c r="G1525" s="25" t="str">
        <f ca="1">IFERROR(__xludf.DUMMYFUNCTION("""COMPUTED_VALUE"""),"IGEM101V")</f>
        <v>IGEM101V</v>
      </c>
      <c r="H1525" s="26">
        <f ca="1">IFERROR(__xludf.DUMMYFUNCTION("""COMPUTED_VALUE"""),53900)</f>
        <v>53900</v>
      </c>
      <c r="I1525" s="27">
        <f ca="1">IFERROR(__xludf.DUMMYFUNCTION("""COMPUTED_VALUE"""),42000)</f>
        <v>42000</v>
      </c>
      <c r="J1525" s="29">
        <f ca="1">IFERROR(__xludf.DUMMYFUNCTION("""COMPUTED_VALUE"""),45422)</f>
        <v>45422</v>
      </c>
      <c r="K1525" s="25" t="str">
        <f ca="1">IFERROR(__xludf.DUMMYFUNCTION("""COMPUTED_VALUE"""),"短促")</f>
        <v>短促</v>
      </c>
      <c r="L1525" s="25" t="str">
        <f ca="1">IFERROR(__xludf.DUMMYFUNCTION("""COMPUTED_VALUE"""),"上架中")</f>
        <v>上架中</v>
      </c>
      <c r="M1525" s="25" t="str">
        <f ca="1">IFERROR(__xludf.DUMMYFUNCTION("""COMPUTED_VALUE"""),"11/2-12/31短促、113/5/10新上架")</f>
        <v>11/2-12/31短促、113/5/10新上架</v>
      </c>
      <c r="N1525" s="25" t="str">
        <f ca="1">IFERROR(__xludf.DUMMYFUNCTION("""COMPUTED_VALUE"""),"一對一變頻冷專")</f>
        <v>一對一變頻冷專</v>
      </c>
      <c r="O1525" s="25" t="str">
        <f ca="1">IFERROR(__xludf.DUMMYFUNCTION("""COMPUTED_VALUE"""),"白")</f>
        <v>白</v>
      </c>
      <c r="P1525" s="25" t="str">
        <f ca="1">IFERROR(__xludf.DUMMYFUNCTION("""COMPUTED_VALUE"""),"12-14坪")</f>
        <v>12-14坪</v>
      </c>
      <c r="Q1525" s="25" t="str">
        <f ca="1">IFERROR(__xludf.DUMMYFUNCTION("""COMPUTED_VALUE"""),"室外機:700*900*350mm 
室內機:330*1132*232mm")</f>
        <v>室外機:700*900*350mm 
室內機:330*1132*232mm</v>
      </c>
      <c r="R1525" s="25" t="str">
        <f ca="1">IFERROR(__xludf.DUMMYFUNCTION("""COMPUTED_VALUE"""),"台灣")</f>
        <v>台灣</v>
      </c>
      <c r="S1525" s="25" t="str">
        <f ca="1">IFERROR(__xludf.DUMMYFUNCTION("""COMPUTED_VALUE"""),"V")</f>
        <v>V</v>
      </c>
      <c r="T1525" s="25" t="str">
        <f ca="1">IFERROR(__xludf.DUMMYFUNCTION("""COMPUTED_VALUE"""),"1級能效")</f>
        <v>1級能效</v>
      </c>
      <c r="U1525" s="25" t="str">
        <f ca="1">IFERROR(__xludf.DUMMYFUNCTION("""COMPUTED_VALUE"""),"7(需上網登入)")</f>
        <v>7(需上網登入)</v>
      </c>
      <c r="V1525" s="25" t="str">
        <f ca="1">IFERROR(__xludf.DUMMYFUNCTION("""COMPUTED_VALUE"""),"10(需上網登入)")</f>
        <v>10(需上網登入)</v>
      </c>
      <c r="W1525" s="25"/>
      <c r="X1525" s="25"/>
      <c r="Y1525" s="25">
        <f ca="1">IFERROR(__xludf.DUMMYFUNCTION("""COMPUTED_VALUE"""),7.3)</f>
        <v>7.3</v>
      </c>
      <c r="Z1525" s="27" t="str">
        <f ca="1">IFERROR(__xludf.DUMMYFUNCTION("""COMPUTED_VALUE"""),"2000")</f>
        <v>2000</v>
      </c>
      <c r="AA1525" s="28" t="str">
        <f ca="1">IFERROR(__xludf.DUMMYFUNCTION("""COMPUTED_VALUE"""),"*全系列超越一級10%*自清淨*活性碳，銀離子濾網*內外機燦金防鏽*關機自動防霉*3D氣流*基板防潮、防蟲*雲端wifi(需另外加購雲端模組)")</f>
        <v>*全系列超越一級10%*自清淨*活性碳，銀離子濾網*內外機燦金防鏽*關機自動防霉*3D氣流*基板防潮、防蟲*雲端wifi(需另外加購雲端模組)</v>
      </c>
    </row>
    <row r="1526" spans="1:27" ht="12.75">
      <c r="A1526" s="25" t="str">
        <f ca="1">IFERROR(__xludf.DUMMYFUNCTION("""COMPUTED_VALUE"""),"空調")</f>
        <v>空調</v>
      </c>
      <c r="B1526" s="25" t="str">
        <f ca="1">IFERROR(__xludf.DUMMYFUNCTION("""COMPUTED_VALUE"""),"安悅")</f>
        <v>安悅</v>
      </c>
      <c r="C1526" s="25" t="str">
        <f ca="1">IFERROR(__xludf.DUMMYFUNCTION("""COMPUTED_VALUE"""),"東元")</f>
        <v>東元</v>
      </c>
      <c r="D1526" s="25" t="str">
        <f ca="1">IFERROR(__xludf.DUMMYFUNCTION("""COMPUTED_VALUE"""),"東元10000BTU多功能冷暖型移動式空調XYFMP-2808FH")</f>
        <v>東元10000BTU多功能冷暖型移動式空調XYFMP-2808FH</v>
      </c>
      <c r="E1526" s="25" t="str">
        <f ca="1">IFERROR(__xludf.DUMMYFUNCTION("""COMPUTED_VALUE"""),"XYFMP-2808FH")</f>
        <v>XYFMP-2808FH</v>
      </c>
      <c r="F1526" s="25">
        <f ca="1">IFERROR(__xludf.DUMMYFUNCTION("""COMPUTED_VALUE"""),51082331)</f>
        <v>51082331</v>
      </c>
      <c r="G1526" s="25" t="str">
        <f ca="1">IFERROR(__xludf.DUMMYFUNCTION("""COMPUTED_VALUE"""),"IGEM104S")</f>
        <v>IGEM104S</v>
      </c>
      <c r="H1526" s="25">
        <f ca="1">IFERROR(__xludf.DUMMYFUNCTION("""COMPUTED_VALUE"""),12900)</f>
        <v>12900</v>
      </c>
      <c r="I1526" s="27">
        <f ca="1">IFERROR(__xludf.DUMMYFUNCTION("""COMPUTED_VALUE"""),10900)</f>
        <v>10900</v>
      </c>
      <c r="J1526" s="29">
        <f ca="1">IFERROR(__xludf.DUMMYFUNCTION("""COMPUTED_VALUE"""),45695)</f>
        <v>45695</v>
      </c>
      <c r="K1526" s="25" t="str">
        <f ca="1">IFERROR(__xludf.DUMMYFUNCTION("""COMPUTED_VALUE"""),"到貨")</f>
        <v>到貨</v>
      </c>
      <c r="L1526" s="25" t="str">
        <f ca="1">IFERROR(__xludf.DUMMYFUNCTION("""COMPUTED_VALUE"""),"上架中")</f>
        <v>上架中</v>
      </c>
      <c r="M1526" s="25" t="str">
        <f ca="1">IFERROR(__xludf.DUMMYFUNCTION("""COMPUTED_VALUE"""),"2025/2/7到貨重新上架、2024/11/6停售、2024/7/5新機上市")</f>
        <v>2025/2/7到貨重新上架、2024/11/6停售、2024/7/5新機上市</v>
      </c>
      <c r="N1526" s="25" t="str">
        <f ca="1">IFERROR(__xludf.DUMMYFUNCTION("""COMPUTED_VALUE"""),"移動式空調")</f>
        <v>移動式空調</v>
      </c>
      <c r="O1526" s="25" t="str">
        <f ca="1">IFERROR(__xludf.DUMMYFUNCTION("""COMPUTED_VALUE"""),"白")</f>
        <v>白</v>
      </c>
      <c r="P1526" s="25" t="str">
        <f ca="1">IFERROR(__xludf.DUMMYFUNCTION("""COMPUTED_VALUE"""),"6-8坪")</f>
        <v>6-8坪</v>
      </c>
      <c r="Q1526" s="25" t="str">
        <f ca="1">IFERROR(__xludf.DUMMYFUNCTION("""COMPUTED_VALUE"""),"700*315*310mm")</f>
        <v>700*315*310mm</v>
      </c>
      <c r="R1526" s="25" t="str">
        <f ca="1">IFERROR(__xludf.DUMMYFUNCTION("""COMPUTED_VALUE"""),"中國")</f>
        <v>中國</v>
      </c>
      <c r="S1526" s="25"/>
      <c r="T1526" s="25"/>
      <c r="U1526" s="25" t="str">
        <f ca="1">IFERROR(__xludf.DUMMYFUNCTION("""COMPUTED_VALUE"""),"1年")</f>
        <v>1年</v>
      </c>
      <c r="V1526" s="25" t="str">
        <f ca="1">IFERROR(__xludf.DUMMYFUNCTION("""COMPUTED_VALUE"""),"3年")</f>
        <v>3年</v>
      </c>
      <c r="W1526" s="25"/>
      <c r="X1526" s="25"/>
      <c r="Y1526" s="25"/>
      <c r="Z1526" s="27" t="str">
        <f ca="1">IFERROR(__xludf.DUMMYFUNCTION("""COMPUTED_VALUE"""),"無")</f>
        <v>無</v>
      </c>
      <c r="AA1526" s="28" t="str">
        <f ca="1">IFERROR(__xludf.DUMMYFUNCTION("""COMPUTED_VALUE"""),"*適用坪數6-8坪*冷暖型/除濕/送風/淨化/乾衣*急速制冷/免安裝/定時功能*觸控式液晶顯示面板，遠距無線遙控*除溼能力：50L/D(35℃/60%RH)")</f>
        <v>*適用坪數6-8坪*冷暖型/除濕/送風/淨化/乾衣*急速制冷/免安裝/定時功能*觸控式液晶顯示面板，遠距無線遙控*除溼能力：50L/D(35℃/60%RH)</v>
      </c>
    </row>
    <row r="1527" spans="1:27" ht="12.75">
      <c r="A1527" s="25" t="str">
        <f ca="1">IFERROR(__xludf.DUMMYFUNCTION("""COMPUTED_VALUE"""),"HDTV")</f>
        <v>HDTV</v>
      </c>
      <c r="B1527" s="25" t="str">
        <f ca="1">IFERROR(__xludf.DUMMYFUNCTION("""COMPUTED_VALUE"""),"禾聯")</f>
        <v>禾聯</v>
      </c>
      <c r="C1527" s="25" t="str">
        <f ca="1">IFERROR(__xludf.DUMMYFUNCTION("""COMPUTED_VALUE"""),"禾聯")</f>
        <v>禾聯</v>
      </c>
      <c r="D1527" s="25" t="str">
        <f ca="1">IFERROR(__xludf.DUMMYFUNCTION("""COMPUTED_VALUE"""),"禾聯43型全面屏連網4K量子點液晶顯示器HD-43QSF91")</f>
        <v>禾聯43型全面屏連網4K量子點液晶顯示器HD-43QSF91</v>
      </c>
      <c r="E1527" s="25" t="str">
        <f ca="1">IFERROR(__xludf.DUMMYFUNCTION("""COMPUTED_VALUE"""),"HD-43QSF91")</f>
        <v>HD-43QSF91</v>
      </c>
      <c r="F1527" s="25">
        <f ca="1">IFERROR(__xludf.DUMMYFUNCTION("""COMPUTED_VALUE"""),51087267)</f>
        <v>51087267</v>
      </c>
      <c r="G1527" s="25" t="str">
        <f ca="1">IFERROR(__xludf.DUMMYFUNCTION("""COMPUTED_VALUE"""),"NCTV01IE")</f>
        <v>NCTV01IE</v>
      </c>
      <c r="H1527" s="26">
        <f ca="1">IFERROR(__xludf.DUMMYFUNCTION("""COMPUTED_VALUE"""),24700)</f>
        <v>24700</v>
      </c>
      <c r="I1527" s="27">
        <f ca="1">IFERROR(__xludf.DUMMYFUNCTION("""COMPUTED_VALUE"""),21500)</f>
        <v>21500</v>
      </c>
      <c r="J1527" s="29">
        <f ca="1">IFERROR(__xludf.DUMMYFUNCTION("""COMPUTED_VALUE"""),45100)</f>
        <v>45100</v>
      </c>
      <c r="K1527" s="25" t="str">
        <f ca="1">IFERROR(__xludf.DUMMYFUNCTION("""COMPUTED_VALUE"""),"永久降價")</f>
        <v>永久降價</v>
      </c>
      <c r="L1527" s="25" t="str">
        <f ca="1">IFERROR(__xludf.DUMMYFUNCTION("""COMPUTED_VALUE"""),"上架中")</f>
        <v>上架中</v>
      </c>
      <c r="M1527" s="25" t="str">
        <f ca="1">IFERROR(__xludf.DUMMYFUNCTION("""COMPUTED_VALUE"""),"2023/4/19新機上市")</f>
        <v>2023/4/19新機上市</v>
      </c>
      <c r="N1527" s="25" t="str">
        <f ca="1">IFERROR(__xludf.DUMMYFUNCTION("""COMPUTED_VALUE"""),"螢幕/液晶電視")</f>
        <v>螢幕/液晶電視</v>
      </c>
      <c r="O1527" s="25"/>
      <c r="P1527" s="25" t="str">
        <f ca="1">IFERROR(__xludf.DUMMYFUNCTION("""COMPUTED_VALUE"""),"43型")</f>
        <v>43型</v>
      </c>
      <c r="Q1527" s="25" t="str">
        <f ca="1">IFERROR(__xludf.DUMMYFUNCTION("""COMPUTED_VALUE"""),"標準機體：H611*W965*D179mm
不含腳座：H556*W965*D80 mm
")</f>
        <v xml:space="preserve">標準機體：H611*W965*D179mm
不含腳座：H556*W965*D80 mm
</v>
      </c>
      <c r="R1527" s="25" t="str">
        <f ca="1">IFERROR(__xludf.DUMMYFUNCTION("""COMPUTED_VALUE"""),"台灣")</f>
        <v>台灣</v>
      </c>
      <c r="S1527" s="25"/>
      <c r="T1527" s="25"/>
      <c r="U1527" s="25" t="str">
        <f ca="1">IFERROR(__xludf.DUMMYFUNCTION("""COMPUTED_VALUE"""),"3年")</f>
        <v>3年</v>
      </c>
      <c r="V1527" s="25"/>
      <c r="W1527" s="25"/>
      <c r="X1527" s="25"/>
      <c r="Y1527" s="25"/>
      <c r="Z1527" s="27"/>
      <c r="AA1527" s="28" t="str">
        <f ca="1">IFERROR(__xludf.DUMMYFUNCTION("""COMPUTED_VALUE"""),"*4K HDR 3840*2160高解析度*內建YouTube NETFLIX娛樂平台*搭配5G WiFi*支援鏡射功能*原廠3年保固*無邊框設計 *量子點超寬廣色域,色彩鮮豔亮麗")</f>
        <v>*4K HDR 3840*2160高解析度*內建YouTube NETFLIX娛樂平台*搭配5G WiFi*支援鏡射功能*原廠3年保固*無邊框設計 *量子點超寬廣色域,色彩鮮豔亮麗</v>
      </c>
    </row>
    <row r="1528" spans="1:27" ht="12.75">
      <c r="A1528" s="25" t="str">
        <f ca="1">IFERROR(__xludf.DUMMYFUNCTION("""COMPUTED_VALUE"""),"HDTV")</f>
        <v>HDTV</v>
      </c>
      <c r="B1528" s="25" t="str">
        <f ca="1">IFERROR(__xludf.DUMMYFUNCTION("""COMPUTED_VALUE"""),"禾聯")</f>
        <v>禾聯</v>
      </c>
      <c r="C1528" s="25" t="str">
        <f ca="1">IFERROR(__xludf.DUMMYFUNCTION("""COMPUTED_VALUE"""),"禾聯")</f>
        <v>禾聯</v>
      </c>
      <c r="D1528" s="25" t="str">
        <f ca="1">IFERROR(__xludf.DUMMYFUNCTION("""COMPUTED_VALUE"""),"禾聯50型全面屏連網4K量子點液晶顯示器HD-50QSF91")</f>
        <v>禾聯50型全面屏連網4K量子點液晶顯示器HD-50QSF91</v>
      </c>
      <c r="E1528" s="25" t="str">
        <f ca="1">IFERROR(__xludf.DUMMYFUNCTION("""COMPUTED_VALUE"""),"HD-50QSF91")</f>
        <v>HD-50QSF91</v>
      </c>
      <c r="F1528" s="25">
        <f ca="1">IFERROR(__xludf.DUMMYFUNCTION("""COMPUTED_VALUE"""),51087268)</f>
        <v>51087268</v>
      </c>
      <c r="G1528" s="25" t="str">
        <f ca="1">IFERROR(__xludf.DUMMYFUNCTION("""COMPUTED_VALUE"""),"NCTV01IF")</f>
        <v>NCTV01IF</v>
      </c>
      <c r="H1528" s="26">
        <f ca="1">IFERROR(__xludf.DUMMYFUNCTION("""COMPUTED_VALUE"""),32700)</f>
        <v>32700</v>
      </c>
      <c r="I1528" s="27">
        <f ca="1">IFERROR(__xludf.DUMMYFUNCTION("""COMPUTED_VALUE"""),29500)</f>
        <v>29500</v>
      </c>
      <c r="J1528" s="29">
        <f ca="1">IFERROR(__xludf.DUMMYFUNCTION("""COMPUTED_VALUE"""),45100)</f>
        <v>45100</v>
      </c>
      <c r="K1528" s="25" t="str">
        <f ca="1">IFERROR(__xludf.DUMMYFUNCTION("""COMPUTED_VALUE"""),"永久降價")</f>
        <v>永久降價</v>
      </c>
      <c r="L1528" s="25" t="str">
        <f ca="1">IFERROR(__xludf.DUMMYFUNCTION("""COMPUTED_VALUE"""),"上架中")</f>
        <v>上架中</v>
      </c>
      <c r="M1528" s="25" t="str">
        <f ca="1">IFERROR(__xludf.DUMMYFUNCTION("""COMPUTED_VALUE"""),"2023/4/19新機上市")</f>
        <v>2023/4/19新機上市</v>
      </c>
      <c r="N1528" s="25" t="str">
        <f ca="1">IFERROR(__xludf.DUMMYFUNCTION("""COMPUTED_VALUE"""),"螢幕/液晶電視")</f>
        <v>螢幕/液晶電視</v>
      </c>
      <c r="O1528" s="25"/>
      <c r="P1528" s="25" t="str">
        <f ca="1">IFERROR(__xludf.DUMMYFUNCTION("""COMPUTED_VALUE"""),"50型")</f>
        <v>50型</v>
      </c>
      <c r="Q1528" s="25" t="str">
        <f ca="1">IFERROR(__xludf.DUMMYFUNCTION("""COMPUTED_VALUE"""),"標準機體：H700*W1112*D274mm
不含腳座：H642*W1112*D90 mm")</f>
        <v>標準機體：H700*W1112*D274mm
不含腳座：H642*W1112*D90 mm</v>
      </c>
      <c r="R1528" s="25" t="str">
        <f ca="1">IFERROR(__xludf.DUMMYFUNCTION("""COMPUTED_VALUE"""),"台灣")</f>
        <v>台灣</v>
      </c>
      <c r="S1528" s="25"/>
      <c r="T1528" s="25"/>
      <c r="U1528" s="25" t="str">
        <f ca="1">IFERROR(__xludf.DUMMYFUNCTION("""COMPUTED_VALUE"""),"3年")</f>
        <v>3年</v>
      </c>
      <c r="V1528" s="25"/>
      <c r="W1528" s="25"/>
      <c r="X1528" s="25"/>
      <c r="Y1528" s="25"/>
      <c r="Z1528" s="27"/>
      <c r="AA1528" s="28" t="str">
        <f ca="1">IFERROR(__xludf.DUMMYFUNCTION("""COMPUTED_VALUE"""),"*4K HDR 3840*2160高解析度*內建YouTube NETFLIX娛樂平台*搭配5G WiFi*支援鏡射功能*原廠3年保固*無邊框設計 *量子點超寬廣色域,色彩鮮豔亮麗")</f>
        <v>*4K HDR 3840*2160高解析度*內建YouTube NETFLIX娛樂平台*搭配5G WiFi*支援鏡射功能*原廠3年保固*無邊框設計 *量子點超寬廣色域,色彩鮮豔亮麗</v>
      </c>
    </row>
    <row r="1529" spans="1:27" ht="12.75">
      <c r="A1529" s="25" t="str">
        <f ca="1">IFERROR(__xludf.DUMMYFUNCTION("""COMPUTED_VALUE"""),"HDTV")</f>
        <v>HDTV</v>
      </c>
      <c r="B1529" s="25" t="str">
        <f ca="1">IFERROR(__xludf.DUMMYFUNCTION("""COMPUTED_VALUE"""),"禾聯")</f>
        <v>禾聯</v>
      </c>
      <c r="C1529" s="25" t="str">
        <f ca="1">IFERROR(__xludf.DUMMYFUNCTION("""COMPUTED_VALUE"""),"禾聯")</f>
        <v>禾聯</v>
      </c>
      <c r="D1529" s="25" t="str">
        <f ca="1">IFERROR(__xludf.DUMMYFUNCTION("""COMPUTED_VALUE"""),"禾聯55型全面屏連網4K量子點液晶顯示器HD-55QSF91")</f>
        <v>禾聯55型全面屏連網4K量子點液晶顯示器HD-55QSF91</v>
      </c>
      <c r="E1529" s="25" t="str">
        <f ca="1">IFERROR(__xludf.DUMMYFUNCTION("""COMPUTED_VALUE"""),"HD-55QSF91")</f>
        <v>HD-55QSF91</v>
      </c>
      <c r="F1529" s="25">
        <f ca="1">IFERROR(__xludf.DUMMYFUNCTION("""COMPUTED_VALUE"""),51087269)</f>
        <v>51087269</v>
      </c>
      <c r="G1529" s="25" t="str">
        <f ca="1">IFERROR(__xludf.DUMMYFUNCTION("""COMPUTED_VALUE"""),"NCTV01IG")</f>
        <v>NCTV01IG</v>
      </c>
      <c r="H1529" s="26">
        <f ca="1">IFERROR(__xludf.DUMMYFUNCTION("""COMPUTED_VALUE"""),37700)</f>
        <v>37700</v>
      </c>
      <c r="I1529" s="27">
        <f ca="1">IFERROR(__xludf.DUMMYFUNCTION("""COMPUTED_VALUE"""),33200)</f>
        <v>33200</v>
      </c>
      <c r="J1529" s="29">
        <f ca="1">IFERROR(__xludf.DUMMYFUNCTION("""COMPUTED_VALUE"""),45100)</f>
        <v>45100</v>
      </c>
      <c r="K1529" s="25" t="str">
        <f ca="1">IFERROR(__xludf.DUMMYFUNCTION("""COMPUTED_VALUE"""),"永久降價")</f>
        <v>永久降價</v>
      </c>
      <c r="L1529" s="25" t="str">
        <f ca="1">IFERROR(__xludf.DUMMYFUNCTION("""COMPUTED_VALUE"""),"上架中")</f>
        <v>上架中</v>
      </c>
      <c r="M1529" s="25" t="str">
        <f ca="1">IFERROR(__xludf.DUMMYFUNCTION("""COMPUTED_VALUE"""),"2023/4/19新機上市")</f>
        <v>2023/4/19新機上市</v>
      </c>
      <c r="N1529" s="25" t="str">
        <f ca="1">IFERROR(__xludf.DUMMYFUNCTION("""COMPUTED_VALUE"""),"螢幕/液晶電視")</f>
        <v>螢幕/液晶電視</v>
      </c>
      <c r="O1529" s="25"/>
      <c r="P1529" s="25" t="str">
        <f ca="1">IFERROR(__xludf.DUMMYFUNCTION("""COMPUTED_VALUE"""),"55型")</f>
        <v>55型</v>
      </c>
      <c r="Q1529" s="25" t="str">
        <f ca="1">IFERROR(__xludf.DUMMYFUNCTION("""COMPUTED_VALUE"""),"標準機體：H767*W1226*D274mm
不含腳座：H709*W1226*D89 mm")</f>
        <v>標準機體：H767*W1226*D274mm
不含腳座：H709*W1226*D89 mm</v>
      </c>
      <c r="R1529" s="25" t="str">
        <f ca="1">IFERROR(__xludf.DUMMYFUNCTION("""COMPUTED_VALUE"""),"台灣")</f>
        <v>台灣</v>
      </c>
      <c r="S1529" s="25"/>
      <c r="T1529" s="25"/>
      <c r="U1529" s="25" t="str">
        <f ca="1">IFERROR(__xludf.DUMMYFUNCTION("""COMPUTED_VALUE"""),"3年")</f>
        <v>3年</v>
      </c>
      <c r="V1529" s="25"/>
      <c r="W1529" s="25"/>
      <c r="X1529" s="25"/>
      <c r="Y1529" s="25"/>
      <c r="Z1529" s="27"/>
      <c r="AA1529" s="28" t="str">
        <f ca="1">IFERROR(__xludf.DUMMYFUNCTION("""COMPUTED_VALUE"""),"*4K HDR 3840*2160高解析度*內建YouTube NETFLIX娛樂平台*搭配5G WiFi*支援鏡射功能*原廠3年保固*無邊框設計 *量子點超寬廣色域,色彩鮮豔亮麗")</f>
        <v>*4K HDR 3840*2160高解析度*內建YouTube NETFLIX娛樂平台*搭配5G WiFi*支援鏡射功能*原廠3年保固*無邊框設計 *量子點超寬廣色域,色彩鮮豔亮麗</v>
      </c>
    </row>
    <row r="1530" spans="1:27" ht="12.75">
      <c r="A1530" s="25" t="str">
        <f ca="1">IFERROR(__xludf.DUMMYFUNCTION("""COMPUTED_VALUE"""),"HDTV")</f>
        <v>HDTV</v>
      </c>
      <c r="B1530" s="25" t="str">
        <f ca="1">IFERROR(__xludf.DUMMYFUNCTION("""COMPUTED_VALUE"""),"禾聯")</f>
        <v>禾聯</v>
      </c>
      <c r="C1530" s="25" t="str">
        <f ca="1">IFERROR(__xludf.DUMMYFUNCTION("""COMPUTED_VALUE"""),"禾聯")</f>
        <v>禾聯</v>
      </c>
      <c r="D1530" s="25" t="str">
        <f ca="1">IFERROR(__xludf.DUMMYFUNCTION("""COMPUTED_VALUE"""),"禾聯65型全面屏連網4K量子點液晶顯示器HD-65QSF91")</f>
        <v>禾聯65型全面屏連網4K量子點液晶顯示器HD-65QSF91</v>
      </c>
      <c r="E1530" s="25" t="str">
        <f ca="1">IFERROR(__xludf.DUMMYFUNCTION("""COMPUTED_VALUE"""),"HD-65QSF91")</f>
        <v>HD-65QSF91</v>
      </c>
      <c r="F1530" s="25">
        <f ca="1">IFERROR(__xludf.DUMMYFUNCTION("""COMPUTED_VALUE"""),51087270)</f>
        <v>51087270</v>
      </c>
      <c r="G1530" s="25" t="str">
        <f ca="1">IFERROR(__xludf.DUMMYFUNCTION("""COMPUTED_VALUE"""),"NCTV01IH")</f>
        <v>NCTV01IH</v>
      </c>
      <c r="H1530" s="26">
        <f ca="1">IFERROR(__xludf.DUMMYFUNCTION("""COMPUTED_VALUE"""),44700)</f>
        <v>44700</v>
      </c>
      <c r="I1530" s="27">
        <f ca="1">IFERROR(__xludf.DUMMYFUNCTION("""COMPUTED_VALUE"""),39200)</f>
        <v>39200</v>
      </c>
      <c r="J1530" s="29">
        <f ca="1">IFERROR(__xludf.DUMMYFUNCTION("""COMPUTED_VALUE"""),45100)</f>
        <v>45100</v>
      </c>
      <c r="K1530" s="25" t="str">
        <f ca="1">IFERROR(__xludf.DUMMYFUNCTION("""COMPUTED_VALUE"""),"永久降價")</f>
        <v>永久降價</v>
      </c>
      <c r="L1530" s="25" t="str">
        <f ca="1">IFERROR(__xludf.DUMMYFUNCTION("""COMPUTED_VALUE"""),"上架中")</f>
        <v>上架中</v>
      </c>
      <c r="M1530" s="25" t="str">
        <f ca="1">IFERROR(__xludf.DUMMYFUNCTION("""COMPUTED_VALUE"""),"2023/4/19新機上市")</f>
        <v>2023/4/19新機上市</v>
      </c>
      <c r="N1530" s="25" t="str">
        <f ca="1">IFERROR(__xludf.DUMMYFUNCTION("""COMPUTED_VALUE"""),"螢幕/液晶電視")</f>
        <v>螢幕/液晶電視</v>
      </c>
      <c r="O1530" s="25"/>
      <c r="P1530" s="25" t="str">
        <f ca="1">IFERROR(__xludf.DUMMYFUNCTION("""COMPUTED_VALUE"""),"65型")</f>
        <v>65型</v>
      </c>
      <c r="Q1530" s="25" t="str">
        <f ca="1">IFERROR(__xludf.DUMMYFUNCTION("""COMPUTED_VALUE"""),"標準機體：H894*W1446*D244mm
不含腳座：H837*W1446*D78 mm")</f>
        <v>標準機體：H894*W1446*D244mm
不含腳座：H837*W1446*D78 mm</v>
      </c>
      <c r="R1530" s="25" t="str">
        <f ca="1">IFERROR(__xludf.DUMMYFUNCTION("""COMPUTED_VALUE"""),"台灣")</f>
        <v>台灣</v>
      </c>
      <c r="S1530" s="25"/>
      <c r="T1530" s="25"/>
      <c r="U1530" s="25" t="str">
        <f ca="1">IFERROR(__xludf.DUMMYFUNCTION("""COMPUTED_VALUE"""),"3年")</f>
        <v>3年</v>
      </c>
      <c r="V1530" s="25"/>
      <c r="W1530" s="25"/>
      <c r="X1530" s="25"/>
      <c r="Y1530" s="25"/>
      <c r="Z1530" s="27"/>
      <c r="AA1530" s="28" t="str">
        <f ca="1">IFERROR(__xludf.DUMMYFUNCTION("""COMPUTED_VALUE"""),"*4K HDR 3840*2160高解析度*內建YouTube NETFLIX娛樂平台*搭配5G WiFi*支援鏡射功能*原廠3年保固*無邊框設計 *量子點超寬廣色域,色彩鮮豔亮麗")</f>
        <v>*4K HDR 3840*2160高解析度*內建YouTube NETFLIX娛樂平台*搭配5G WiFi*支援鏡射功能*原廠3年保固*無邊框設計 *量子點超寬廣色域,色彩鮮豔亮麗</v>
      </c>
    </row>
    <row r="1531" spans="1:27" ht="12.75">
      <c r="A1531" s="25" t="str">
        <f ca="1">IFERROR(__xludf.DUMMYFUNCTION("""COMPUTED_VALUE"""),"HDTV")</f>
        <v>HDTV</v>
      </c>
      <c r="B1531" s="25" t="str">
        <f ca="1">IFERROR(__xludf.DUMMYFUNCTION("""COMPUTED_VALUE"""),"禾聯")</f>
        <v>禾聯</v>
      </c>
      <c r="C1531" s="25" t="str">
        <f ca="1">IFERROR(__xludf.DUMMYFUNCTION("""COMPUTED_VALUE"""),"禾聯")</f>
        <v>禾聯</v>
      </c>
      <c r="D1531" s="25" t="str">
        <f ca="1">IFERROR(__xludf.DUMMYFUNCTION("""COMPUTED_VALUE"""),"HEARN 43型4K Google TV視聽超進化 智慧顯示器(無視訊盒)UM-43H320")</f>
        <v>HEARN 43型4K Google TV視聽超進化 智慧顯示器(無視訊盒)UM-43H320</v>
      </c>
      <c r="E1531" s="25" t="str">
        <f ca="1">IFERROR(__xludf.DUMMYFUNCTION("""COMPUTED_VALUE"""),"UM-43H320")</f>
        <v>UM-43H320</v>
      </c>
      <c r="F1531" s="25">
        <f ca="1">IFERROR(__xludf.DUMMYFUNCTION("""COMPUTED_VALUE"""),51008322)</f>
        <v>51008322</v>
      </c>
      <c r="G1531" s="25" t="str">
        <f ca="1">IFERROR(__xludf.DUMMYFUNCTION("""COMPUTED_VALUE"""),"NCTV01RO")</f>
        <v>NCTV01RO</v>
      </c>
      <c r="H1531" s="26">
        <f ca="1">IFERROR(__xludf.DUMMYFUNCTION("""COMPUTED_VALUE"""),18490)</f>
        <v>18490</v>
      </c>
      <c r="I1531" s="30">
        <f ca="1">IFERROR(__xludf.DUMMYFUNCTION("""COMPUTED_VALUE"""),11800)</f>
        <v>11800</v>
      </c>
      <c r="J1531" s="29">
        <f ca="1">IFERROR(__xludf.DUMMYFUNCTION("""COMPUTED_VALUE"""),45554)</f>
        <v>45554</v>
      </c>
      <c r="K1531" s="25" t="str">
        <f ca="1">IFERROR(__xludf.DUMMYFUNCTION("""COMPUTED_VALUE"""),"永久降價")</f>
        <v>永久降價</v>
      </c>
      <c r="L1531" s="25" t="str">
        <f ca="1">IFERROR(__xludf.DUMMYFUNCTION("""COMPUTED_VALUE"""),"上架中")</f>
        <v>上架中</v>
      </c>
      <c r="M1531" s="25" t="str">
        <f ca="1">IFERROR(__xludf.DUMMYFUNCTION("""COMPUTED_VALUE"""),"2024/9/19新機上架")</f>
        <v>2024/9/19新機上架</v>
      </c>
      <c r="N1531" s="25" t="str">
        <f ca="1">IFERROR(__xludf.DUMMYFUNCTION("""COMPUTED_VALUE"""),"螢幕/液晶電視")</f>
        <v>螢幕/液晶電視</v>
      </c>
      <c r="O1531" s="25"/>
      <c r="P1531" s="25" t="str">
        <f ca="1">IFERROR(__xludf.DUMMYFUNCTION("""COMPUTED_VALUE"""),"43型")</f>
        <v>43型</v>
      </c>
      <c r="Q1531" s="25" t="str">
        <f ca="1">IFERROR(__xludf.DUMMYFUNCTION("""COMPUTED_VALUE"""),"外觀尺寸(HxWxD) 957x605x226mm 
不含腳座(HxWxD) 957x556x87mm")</f>
        <v>外觀尺寸(HxWxD) 957x605x226mm 
不含腳座(HxWxD) 957x556x87mm</v>
      </c>
      <c r="R1531" s="25" t="str">
        <f ca="1">IFERROR(__xludf.DUMMYFUNCTION("""COMPUTED_VALUE"""),"台灣")</f>
        <v>台灣</v>
      </c>
      <c r="S1531" s="25"/>
      <c r="T1531" s="25"/>
      <c r="U1531" s="25" t="str">
        <f ca="1">IFERROR(__xludf.DUMMYFUNCTION("""COMPUTED_VALUE"""),"3年")</f>
        <v>3年</v>
      </c>
      <c r="V1531" s="25"/>
      <c r="W1531" s="25"/>
      <c r="X1531" s="25"/>
      <c r="Y1531" s="25"/>
      <c r="Z1531" s="27"/>
      <c r="AA1531" s="28" t="str">
        <f ca="1">IFERROR(__xludf.DUMMYFUNCTION("""COMPUTED_VALUE"""),"*內建4組HDMI / 2組USB端子*4K UHD 3840×2160 高解析度*Google TV 3.0 智慧系統*內建15W+15W 四單體喇叭*支援120Hz DLG 高更新率*Dolby Audio / Dolby Atmos / Dolby Vision")</f>
        <v>*內建4組HDMI / 2組USB端子*4K UHD 3840×2160 高解析度*Google TV 3.0 智慧系統*內建15W+15W 四單體喇叭*支援120Hz DLG 高更新率*Dolby Audio / Dolby Atmos / Dolby Vision</v>
      </c>
    </row>
    <row r="1532" spans="1:27" ht="12.75">
      <c r="A1532" s="25" t="str">
        <f ca="1">IFERROR(__xludf.DUMMYFUNCTION("""COMPUTED_VALUE"""),"HDTV")</f>
        <v>HDTV</v>
      </c>
      <c r="B1532" s="25" t="str">
        <f ca="1">IFERROR(__xludf.DUMMYFUNCTION("""COMPUTED_VALUE"""),"禾聯")</f>
        <v>禾聯</v>
      </c>
      <c r="C1532" s="25" t="str">
        <f ca="1">IFERROR(__xludf.DUMMYFUNCTION("""COMPUTED_VALUE"""),"禾聯")</f>
        <v>禾聯</v>
      </c>
      <c r="D1532" s="25" t="str">
        <f ca="1">IFERROR(__xludf.DUMMYFUNCTION("""COMPUTED_VALUE"""),"HEARN 50型4K Google TV視聽超進化 智慧顯示器(無視訊盒)UM-50H320")</f>
        <v>HEARN 50型4K Google TV視聽超進化 智慧顯示器(無視訊盒)UM-50H320</v>
      </c>
      <c r="E1532" s="25" t="str">
        <f ca="1">IFERROR(__xludf.DUMMYFUNCTION("""COMPUTED_VALUE"""),"UM-50H320")</f>
        <v>UM-50H320</v>
      </c>
      <c r="F1532" s="25">
        <f ca="1">IFERROR(__xludf.DUMMYFUNCTION("""COMPUTED_VALUE"""),51008323)</f>
        <v>51008323</v>
      </c>
      <c r="G1532" s="25" t="str">
        <f ca="1">IFERROR(__xludf.DUMMYFUNCTION("""COMPUTED_VALUE"""),"NCTV01RP")</f>
        <v>NCTV01RP</v>
      </c>
      <c r="H1532" s="26">
        <f ca="1">IFERROR(__xludf.DUMMYFUNCTION("""COMPUTED_VALUE"""),21290)</f>
        <v>21290</v>
      </c>
      <c r="I1532" s="30">
        <f ca="1">IFERROR(__xludf.DUMMYFUNCTION("""COMPUTED_VALUE"""),14500)</f>
        <v>14500</v>
      </c>
      <c r="J1532" s="29">
        <f ca="1">IFERROR(__xludf.DUMMYFUNCTION("""COMPUTED_VALUE"""),45554)</f>
        <v>45554</v>
      </c>
      <c r="K1532" s="25" t="str">
        <f ca="1">IFERROR(__xludf.DUMMYFUNCTION("""COMPUTED_VALUE"""),"永久降價")</f>
        <v>永久降價</v>
      </c>
      <c r="L1532" s="25" t="str">
        <f ca="1">IFERROR(__xludf.DUMMYFUNCTION("""COMPUTED_VALUE"""),"上架中")</f>
        <v>上架中</v>
      </c>
      <c r="M1532" s="25" t="str">
        <f ca="1">IFERROR(__xludf.DUMMYFUNCTION("""COMPUTED_VALUE"""),"2024/9/19新機上架")</f>
        <v>2024/9/19新機上架</v>
      </c>
      <c r="N1532" s="25" t="str">
        <f ca="1">IFERROR(__xludf.DUMMYFUNCTION("""COMPUTED_VALUE"""),"螢幕/液晶電視")</f>
        <v>螢幕/液晶電視</v>
      </c>
      <c r="O1532" s="25"/>
      <c r="P1532" s="25" t="str">
        <f ca="1">IFERROR(__xludf.DUMMYFUNCTION("""COMPUTED_VALUE"""),"50型")</f>
        <v>50型</v>
      </c>
      <c r="Q1532" s="25" t="str">
        <f ca="1">IFERROR(__xludf.DUMMYFUNCTION("""COMPUTED_VALUE"""),"外觀尺寸(HxWxD)1111x698x267mm 
不含腳座(HxWxD) 1111x642x92mm")</f>
        <v>外觀尺寸(HxWxD)1111x698x267mm 
不含腳座(HxWxD) 1111x642x92mm</v>
      </c>
      <c r="R1532" s="25" t="str">
        <f ca="1">IFERROR(__xludf.DUMMYFUNCTION("""COMPUTED_VALUE"""),"台灣")</f>
        <v>台灣</v>
      </c>
      <c r="S1532" s="25"/>
      <c r="T1532" s="25"/>
      <c r="U1532" s="25" t="str">
        <f ca="1">IFERROR(__xludf.DUMMYFUNCTION("""COMPUTED_VALUE"""),"3年")</f>
        <v>3年</v>
      </c>
      <c r="V1532" s="25"/>
      <c r="W1532" s="25"/>
      <c r="X1532" s="25"/>
      <c r="Y1532" s="25"/>
      <c r="Z1532" s="27"/>
      <c r="AA1532" s="28" t="str">
        <f ca="1">IFERROR(__xludf.DUMMYFUNCTION("""COMPUTED_VALUE"""),"*內建4組HDMI / 2組USB端子*4K UHD 3840×2160 高解析度*Google TV 3.0 智慧系統*內建15W+15W 四單體喇叭*支援120Hz DLG 高更新率*Dolby Audio / Dolby Atmos / Dolby Vision")</f>
        <v>*內建4組HDMI / 2組USB端子*4K UHD 3840×2160 高解析度*Google TV 3.0 智慧系統*內建15W+15W 四單體喇叭*支援120Hz DLG 高更新率*Dolby Audio / Dolby Atmos / Dolby Vision</v>
      </c>
    </row>
    <row r="1533" spans="1:27" ht="12.75">
      <c r="A1533" s="25" t="str">
        <f ca="1">IFERROR(__xludf.DUMMYFUNCTION("""COMPUTED_VALUE"""),"HDTV")</f>
        <v>HDTV</v>
      </c>
      <c r="B1533" s="25" t="str">
        <f ca="1">IFERROR(__xludf.DUMMYFUNCTION("""COMPUTED_VALUE"""),"禾聯")</f>
        <v>禾聯</v>
      </c>
      <c r="C1533" s="25" t="str">
        <f ca="1">IFERROR(__xludf.DUMMYFUNCTION("""COMPUTED_VALUE"""),"禾聯")</f>
        <v>禾聯</v>
      </c>
      <c r="D1533" s="25" t="str">
        <f ca="1">IFERROR(__xludf.DUMMYFUNCTION("""COMPUTED_VALUE"""),"HEARN 55型4K Google TV視聽超進化 智慧顯示器(無視訊盒)UM-55H320")</f>
        <v>HEARN 55型4K Google TV視聽超進化 智慧顯示器(無視訊盒)UM-55H320</v>
      </c>
      <c r="E1533" s="25" t="str">
        <f ca="1">IFERROR(__xludf.DUMMYFUNCTION("""COMPUTED_VALUE"""),"UM-55H320")</f>
        <v>UM-55H320</v>
      </c>
      <c r="F1533" s="25">
        <f ca="1">IFERROR(__xludf.DUMMYFUNCTION("""COMPUTED_VALUE"""),51008324)</f>
        <v>51008324</v>
      </c>
      <c r="G1533" s="25" t="str">
        <f ca="1">IFERROR(__xludf.DUMMYFUNCTION("""COMPUTED_VALUE"""),"NCTV01RQ")</f>
        <v>NCTV01RQ</v>
      </c>
      <c r="H1533" s="26">
        <f ca="1">IFERROR(__xludf.DUMMYFUNCTION("""COMPUTED_VALUE"""),26790)</f>
        <v>26790</v>
      </c>
      <c r="I1533" s="30">
        <f ca="1">IFERROR(__xludf.DUMMYFUNCTION("""COMPUTED_VALUE"""),17500)</f>
        <v>17500</v>
      </c>
      <c r="J1533" s="29">
        <f ca="1">IFERROR(__xludf.DUMMYFUNCTION("""COMPUTED_VALUE"""),45554)</f>
        <v>45554</v>
      </c>
      <c r="K1533" s="25" t="str">
        <f ca="1">IFERROR(__xludf.DUMMYFUNCTION("""COMPUTED_VALUE"""),"永久降價")</f>
        <v>永久降價</v>
      </c>
      <c r="L1533" s="25" t="str">
        <f ca="1">IFERROR(__xludf.DUMMYFUNCTION("""COMPUTED_VALUE"""),"上架中")</f>
        <v>上架中</v>
      </c>
      <c r="M1533" s="25" t="str">
        <f ca="1">IFERROR(__xludf.DUMMYFUNCTION("""COMPUTED_VALUE"""),"2024/9/19新機上架")</f>
        <v>2024/9/19新機上架</v>
      </c>
      <c r="N1533" s="25" t="str">
        <f ca="1">IFERROR(__xludf.DUMMYFUNCTION("""COMPUTED_VALUE"""),"螢幕/液晶電視")</f>
        <v>螢幕/液晶電視</v>
      </c>
      <c r="O1533" s="25"/>
      <c r="P1533" s="25" t="str">
        <f ca="1">IFERROR(__xludf.DUMMYFUNCTION("""COMPUTED_VALUE"""),"55型")</f>
        <v>55型</v>
      </c>
      <c r="Q1533" s="25" t="str">
        <f ca="1">IFERROR(__xludf.DUMMYFUNCTION("""COMPUTED_VALUE"""),"外觀尺寸(HxWxD)764x1226x269mm 
不含腳座(HxWxD)710x1226x90mm")</f>
        <v>外觀尺寸(HxWxD)764x1226x269mm 
不含腳座(HxWxD)710x1226x90mm</v>
      </c>
      <c r="R1533" s="25" t="str">
        <f ca="1">IFERROR(__xludf.DUMMYFUNCTION("""COMPUTED_VALUE"""),"台灣")</f>
        <v>台灣</v>
      </c>
      <c r="S1533" s="25"/>
      <c r="T1533" s="25"/>
      <c r="U1533" s="25" t="str">
        <f ca="1">IFERROR(__xludf.DUMMYFUNCTION("""COMPUTED_VALUE"""),"3年")</f>
        <v>3年</v>
      </c>
      <c r="V1533" s="25"/>
      <c r="W1533" s="25"/>
      <c r="X1533" s="25"/>
      <c r="Y1533" s="25"/>
      <c r="Z1533" s="27"/>
      <c r="AA1533" s="28" t="str">
        <f ca="1">IFERROR(__xludf.DUMMYFUNCTION("""COMPUTED_VALUE"""),"*內建4組HDMI / 2組USB端子*4K UHD 3840×2160 高解析度*Google TV 3.0 智慧系統*內建15W+15W 四單體喇叭*支援120Hz DLG 高更新率*Dolby Audio / Dolby Atmos / Dolby Vision")</f>
        <v>*內建4組HDMI / 2組USB端子*4K UHD 3840×2160 高解析度*Google TV 3.0 智慧系統*內建15W+15W 四單體喇叭*支援120Hz DLG 高更新率*Dolby Audio / Dolby Atmos / Dolby Vision</v>
      </c>
    </row>
    <row r="1534" spans="1:27" ht="12.75">
      <c r="A1534" s="25" t="str">
        <f ca="1">IFERROR(__xludf.DUMMYFUNCTION("""COMPUTED_VALUE"""),"HDTV")</f>
        <v>HDTV</v>
      </c>
      <c r="B1534" s="25" t="str">
        <f ca="1">IFERROR(__xludf.DUMMYFUNCTION("""COMPUTED_VALUE"""),"禾聯")</f>
        <v>禾聯</v>
      </c>
      <c r="C1534" s="25" t="str">
        <f ca="1">IFERROR(__xludf.DUMMYFUNCTION("""COMPUTED_VALUE"""),"禾聯")</f>
        <v>禾聯</v>
      </c>
      <c r="D1534" s="25" t="str">
        <f ca="1">IFERROR(__xludf.DUMMYFUNCTION("""COMPUTED_VALUE"""),"HEARN 65型4K Google TV視聽超進化 智慧顯示器(無視訊盒)UM-65H320")</f>
        <v>HEARN 65型4K Google TV視聽超進化 智慧顯示器(無視訊盒)UM-65H320</v>
      </c>
      <c r="E1534" s="25" t="str">
        <f ca="1">IFERROR(__xludf.DUMMYFUNCTION("""COMPUTED_VALUE"""),"UM-65H320")</f>
        <v>UM-65H320</v>
      </c>
      <c r="F1534" s="25">
        <f ca="1">IFERROR(__xludf.DUMMYFUNCTION("""COMPUTED_VALUE"""),51008325)</f>
        <v>51008325</v>
      </c>
      <c r="G1534" s="25" t="str">
        <f ca="1">IFERROR(__xludf.DUMMYFUNCTION("""COMPUTED_VALUE"""),"NCTV01RS")</f>
        <v>NCTV01RS</v>
      </c>
      <c r="H1534" s="26">
        <f ca="1">IFERROR(__xludf.DUMMYFUNCTION("""COMPUTED_VALUE"""),32790)</f>
        <v>32790</v>
      </c>
      <c r="I1534" s="30">
        <f ca="1">IFERROR(__xludf.DUMMYFUNCTION("""COMPUTED_VALUE"""),21900)</f>
        <v>21900</v>
      </c>
      <c r="J1534" s="29">
        <f ca="1">IFERROR(__xludf.DUMMYFUNCTION("""COMPUTED_VALUE"""),45554)</f>
        <v>45554</v>
      </c>
      <c r="K1534" s="25" t="str">
        <f ca="1">IFERROR(__xludf.DUMMYFUNCTION("""COMPUTED_VALUE"""),"永久降價")</f>
        <v>永久降價</v>
      </c>
      <c r="L1534" s="25" t="str">
        <f ca="1">IFERROR(__xludf.DUMMYFUNCTION("""COMPUTED_VALUE"""),"上架中")</f>
        <v>上架中</v>
      </c>
      <c r="M1534" s="25" t="str">
        <f ca="1">IFERROR(__xludf.DUMMYFUNCTION("""COMPUTED_VALUE"""),"2024/9/19新機上架")</f>
        <v>2024/9/19新機上架</v>
      </c>
      <c r="N1534" s="25" t="str">
        <f ca="1">IFERROR(__xludf.DUMMYFUNCTION("""COMPUTED_VALUE"""),"螢幕/液晶電視")</f>
        <v>螢幕/液晶電視</v>
      </c>
      <c r="O1534" s="25"/>
      <c r="P1534" s="25" t="str">
        <f ca="1">IFERROR(__xludf.DUMMYFUNCTION("""COMPUTED_VALUE"""),"65型")</f>
        <v>65型</v>
      </c>
      <c r="Q1534" s="25" t="str">
        <f ca="1">IFERROR(__xludf.DUMMYFUNCTION("""COMPUTED_VALUE"""),"外觀尺寸(WxHxD) 1445x893x301mm 
不含腳座(WxHxD) 1445x832x94mm")</f>
        <v>外觀尺寸(WxHxD) 1445x893x301mm 
不含腳座(WxHxD) 1445x832x94mm</v>
      </c>
      <c r="R1534" s="25" t="str">
        <f ca="1">IFERROR(__xludf.DUMMYFUNCTION("""COMPUTED_VALUE"""),"台灣")</f>
        <v>台灣</v>
      </c>
      <c r="S1534" s="25"/>
      <c r="T1534" s="25"/>
      <c r="U1534" s="25" t="str">
        <f ca="1">IFERROR(__xludf.DUMMYFUNCTION("""COMPUTED_VALUE"""),"3年")</f>
        <v>3年</v>
      </c>
      <c r="V1534" s="25"/>
      <c r="W1534" s="25"/>
      <c r="X1534" s="25"/>
      <c r="Y1534" s="25"/>
      <c r="Z1534" s="27"/>
      <c r="AA1534" s="28" t="str">
        <f ca="1">IFERROR(__xludf.DUMMYFUNCTION("""COMPUTED_VALUE"""),"*內建4組HDMI / 2組USB端子*4K UHD 3840×2160 高解析度*Google TV 3.0 智慧系統*內建15W+15W 四單體喇叭*支援120Hz DLG 高更新率*Dolby Audio / Dolby Atmos / Dolby Vision")</f>
        <v>*內建4組HDMI / 2組USB端子*4K UHD 3840×2160 高解析度*Google TV 3.0 智慧系統*內建15W+15W 四單體喇叭*支援120Hz DLG 高更新率*Dolby Audio / Dolby Atmos / Dolby Vision</v>
      </c>
    </row>
    <row r="1535" spans="1:27" ht="12.75">
      <c r="A1535" s="25" t="str">
        <f ca="1">IFERROR(__xludf.DUMMYFUNCTION("""COMPUTED_VALUE"""),"居家生活用品")</f>
        <v>居家生活用品</v>
      </c>
      <c r="B1535" s="25" t="str">
        <f ca="1">IFERROR(__xludf.DUMMYFUNCTION("""COMPUTED_VALUE"""),"衛利")</f>
        <v>衛利</v>
      </c>
      <c r="C1535" s="25" t="str">
        <f ca="1">IFERROR(__xludf.DUMMYFUNCTION("""COMPUTED_VALUE"""),"KJX康健欣")</f>
        <v>KJX康健欣</v>
      </c>
      <c r="D1535" s="25" t="str">
        <f ca="1">IFERROR(__xludf.DUMMYFUNCTION("""COMPUTED_VALUE"""),"【KJX康健欣】醫療雙鋼印平面口罩5盒入(50入/盒)-宅配限本島")</f>
        <v>【KJX康健欣】醫療雙鋼印平面口罩5盒入(50入/盒)-宅配限本島</v>
      </c>
      <c r="E1535" s="25" t="str">
        <f ca="1">IFERROR(__xludf.DUMMYFUNCTION("""COMPUTED_VALUE"""),"HR-0001")</f>
        <v>HR-0001</v>
      </c>
      <c r="F1535" s="25">
        <f ca="1">IFERROR(__xludf.DUMMYFUNCTION("""COMPUTED_VALUE"""),51057216)</f>
        <v>51057216</v>
      </c>
      <c r="G1535" s="25" t="str">
        <f ca="1">IFERROR(__xludf.DUMMYFUNCTION("""COMPUTED_VALUE"""),"IGEM077A")</f>
        <v>IGEM077A</v>
      </c>
      <c r="H1535" s="26">
        <f ca="1">IFERROR(__xludf.DUMMYFUNCTION("""COMPUTED_VALUE"""),900)</f>
        <v>900</v>
      </c>
      <c r="I1535" s="27">
        <f ca="1">IFERROR(__xludf.DUMMYFUNCTION("""COMPUTED_VALUE"""),800)</f>
        <v>800</v>
      </c>
      <c r="J1535" s="29">
        <f ca="1">IFERROR(__xludf.DUMMYFUNCTION("""COMPUTED_VALUE"""),44993)</f>
        <v>44993</v>
      </c>
      <c r="K1535" s="25" t="str">
        <f ca="1">IFERROR(__xludf.DUMMYFUNCTION("""COMPUTED_VALUE"""),"新機上架")</f>
        <v>新機上架</v>
      </c>
      <c r="L1535" s="26" t="str">
        <f ca="1">IFERROR(__xludf.DUMMYFUNCTION("""COMPUTED_VALUE"""),"上架中")</f>
        <v>上架中</v>
      </c>
      <c r="M1535" s="25"/>
      <c r="N1535" s="25" t="str">
        <f ca="1">IFERROR(__xludf.DUMMYFUNCTION("""COMPUTED_VALUE"""),"口罩")</f>
        <v>口罩</v>
      </c>
      <c r="O1535" s="25" t="str">
        <f ca="1">IFERROR(__xludf.DUMMYFUNCTION("""COMPUTED_VALUE"""),"帥氣藍
 時髦綠
 奢華紅
 迷戀紫
 時尚灰")</f>
        <v>帥氣藍
 時髦綠
 奢華紅
 迷戀紫
 時尚灰</v>
      </c>
      <c r="P1535" s="25" t="str">
        <f ca="1">IFERROR(__xludf.DUMMYFUNCTION("""COMPUTED_VALUE"""),"5色/50片/盒*5")</f>
        <v>5色/50片/盒*5</v>
      </c>
      <c r="Q1535" s="25"/>
      <c r="R1535" s="25" t="str">
        <f ca="1">IFERROR(__xludf.DUMMYFUNCTION("""COMPUTED_VALUE"""),"台灣")</f>
        <v>台灣</v>
      </c>
      <c r="S1535" s="25"/>
      <c r="T1535" s="25"/>
      <c r="U1535" s="25"/>
      <c r="V1535" s="25"/>
      <c r="W1535" s="25"/>
      <c r="X1535" s="25"/>
      <c r="Y1535" s="25"/>
      <c r="Z1535" s="27"/>
      <c r="AA1535" s="28" t="str">
        <f ca="1">IFERROR(__xludf.DUMMYFUNCTION("""COMPUTED_VALUE"""),"*台灣GMP廠製造，100%台灣生產*標準三層雙鋼印、抗敏親膚、服貼透氣*BEF細菌過濾效率99%以上*符合CNS14774/14775*衛部醫器製壹字第008965號")</f>
        <v>*台灣GMP廠製造，100%台灣生產*標準三層雙鋼印、抗敏親膚、服貼透氣*BEF細菌過濾效率99%以上*符合CNS14774/14775*衛部醫器製壹字第008965號</v>
      </c>
    </row>
    <row r="1536" spans="1:27" ht="12.75">
      <c r="A1536" s="25" t="str">
        <f ca="1">IFERROR(__xludf.DUMMYFUNCTION("""COMPUTED_VALUE"""),"居家生活用品")</f>
        <v>居家生活用品</v>
      </c>
      <c r="B1536" s="25" t="str">
        <f ca="1">IFERROR(__xludf.DUMMYFUNCTION("""COMPUTED_VALUE"""),"衛利")</f>
        <v>衛利</v>
      </c>
      <c r="C1536" s="25" t="str">
        <f ca="1">IFERROR(__xludf.DUMMYFUNCTION("""COMPUTED_VALUE"""),"KJX康健欣")</f>
        <v>KJX康健欣</v>
      </c>
      <c r="D1536" s="25" t="str">
        <f ca="1">IFERROR(__xludf.DUMMYFUNCTION("""COMPUTED_VALUE"""),"【KJX康健欣】成人醫療級平面口罩雙鋼印莫蘭迪深五色5盒入(50入/盒)-宅配限本島")</f>
        <v>【KJX康健欣】成人醫療級平面口罩雙鋼印莫蘭迪深五色5盒入(50入/盒)-宅配限本島</v>
      </c>
      <c r="E1536" s="25" t="str">
        <f ca="1">IFERROR(__xludf.DUMMYFUNCTION("""COMPUTED_VALUE"""),"HR-0002")</f>
        <v>HR-0002</v>
      </c>
      <c r="F1536" s="25">
        <f ca="1">IFERROR(__xludf.DUMMYFUNCTION("""COMPUTED_VALUE"""),51057217)</f>
        <v>51057217</v>
      </c>
      <c r="G1536" s="25" t="str">
        <f ca="1">IFERROR(__xludf.DUMMYFUNCTION("""COMPUTED_VALUE"""),"IGEM077B")</f>
        <v>IGEM077B</v>
      </c>
      <c r="H1536" s="26">
        <f ca="1">IFERROR(__xludf.DUMMYFUNCTION("""COMPUTED_VALUE"""),900)</f>
        <v>900</v>
      </c>
      <c r="I1536" s="27">
        <f ca="1">IFERROR(__xludf.DUMMYFUNCTION("""COMPUTED_VALUE"""),800)</f>
        <v>800</v>
      </c>
      <c r="J1536" s="29">
        <f ca="1">IFERROR(__xludf.DUMMYFUNCTION("""COMPUTED_VALUE"""),44993)</f>
        <v>44993</v>
      </c>
      <c r="K1536" s="25" t="str">
        <f ca="1">IFERROR(__xludf.DUMMYFUNCTION("""COMPUTED_VALUE"""),"新機上架")</f>
        <v>新機上架</v>
      </c>
      <c r="L1536" s="26" t="str">
        <f ca="1">IFERROR(__xludf.DUMMYFUNCTION("""COMPUTED_VALUE"""),"上架中")</f>
        <v>上架中</v>
      </c>
      <c r="M1536" s="25"/>
      <c r="N1536" s="25" t="str">
        <f ca="1">IFERROR(__xludf.DUMMYFUNCTION("""COMPUTED_VALUE"""),"口罩")</f>
        <v>口罩</v>
      </c>
      <c r="O1536" s="25" t="str">
        <f ca="1">IFERROR(__xludf.DUMMYFUNCTION("""COMPUTED_VALUE"""),"淺天藍
 春芽綠
 珊瑚菊
 薰衣紫
 奶油黃")</f>
        <v>淺天藍
 春芽綠
 珊瑚菊
 薰衣紫
 奶油黃</v>
      </c>
      <c r="P1536" s="25" t="str">
        <f ca="1">IFERROR(__xludf.DUMMYFUNCTION("""COMPUTED_VALUE"""),"5色/50片/盒*5")</f>
        <v>5色/50片/盒*5</v>
      </c>
      <c r="Q1536" s="25"/>
      <c r="R1536" s="25" t="str">
        <f ca="1">IFERROR(__xludf.DUMMYFUNCTION("""COMPUTED_VALUE"""),"台灣")</f>
        <v>台灣</v>
      </c>
      <c r="S1536" s="25"/>
      <c r="T1536" s="25"/>
      <c r="U1536" s="25"/>
      <c r="V1536" s="25"/>
      <c r="W1536" s="25"/>
      <c r="X1536" s="25"/>
      <c r="Y1536" s="25"/>
      <c r="Z1536" s="27"/>
      <c r="AA1536" s="28" t="str">
        <f ca="1">IFERROR(__xludf.DUMMYFUNCTION("""COMPUTED_VALUE"""),"*台灣GMP廠製造，100%台灣生產*標準三層雙鋼印、抗敏親膚、服貼透氣*BEF細菌過濾效率99%以上*符合CNS14774/14775*衛部醫器製壹字第008965號")</f>
        <v>*台灣GMP廠製造，100%台灣生產*標準三層雙鋼印、抗敏親膚、服貼透氣*BEF細菌過濾效率99%以上*符合CNS14774/14775*衛部醫器製壹字第008965號</v>
      </c>
    </row>
    <row r="1537" spans="1:27" ht="12.75">
      <c r="A1537" s="25" t="str">
        <f ca="1">IFERROR(__xludf.DUMMYFUNCTION("""COMPUTED_VALUE"""),"居家生活用品")</f>
        <v>居家生活用品</v>
      </c>
      <c r="B1537" s="25" t="str">
        <f ca="1">IFERROR(__xludf.DUMMYFUNCTION("""COMPUTED_VALUE"""),"衛利")</f>
        <v>衛利</v>
      </c>
      <c r="C1537" s="25" t="str">
        <f ca="1">IFERROR(__xludf.DUMMYFUNCTION("""COMPUTED_VALUE"""),"星安衛麗潔")</f>
        <v>星安衛麗潔</v>
      </c>
      <c r="D1537" s="25" t="str">
        <f ca="1">IFERROR(__xludf.DUMMYFUNCTION("""COMPUTED_VALUE"""),"【星安衛麗潔】韓風4D立體醫用口罩五色5盒入(25入/盒)-宅配限本島")</f>
        <v>【星安衛麗潔】韓風4D立體醫用口罩五色5盒入(25入/盒)-宅配限本島</v>
      </c>
      <c r="E1537" s="25" t="str">
        <f ca="1">IFERROR(__xludf.DUMMYFUNCTION("""COMPUTED_VALUE"""),"HR-0003")</f>
        <v>HR-0003</v>
      </c>
      <c r="F1537" s="25">
        <f ca="1">IFERROR(__xludf.DUMMYFUNCTION("""COMPUTED_VALUE"""),51057218)</f>
        <v>51057218</v>
      </c>
      <c r="G1537" s="25" t="str">
        <f ca="1">IFERROR(__xludf.DUMMYFUNCTION("""COMPUTED_VALUE"""),"IGEM077C")</f>
        <v>IGEM077C</v>
      </c>
      <c r="H1537" s="26">
        <f ca="1">IFERROR(__xludf.DUMMYFUNCTION("""COMPUTED_VALUE"""),1000)</f>
        <v>1000</v>
      </c>
      <c r="I1537" s="27">
        <f ca="1">IFERROR(__xludf.DUMMYFUNCTION("""COMPUTED_VALUE"""),1000)</f>
        <v>1000</v>
      </c>
      <c r="J1537" s="29">
        <f ca="1">IFERROR(__xludf.DUMMYFUNCTION("""COMPUTED_VALUE"""),44993)</f>
        <v>44993</v>
      </c>
      <c r="K1537" s="25" t="str">
        <f ca="1">IFERROR(__xludf.DUMMYFUNCTION("""COMPUTED_VALUE"""),"新機上架")</f>
        <v>新機上架</v>
      </c>
      <c r="L1537" s="26" t="str">
        <f ca="1">IFERROR(__xludf.DUMMYFUNCTION("""COMPUTED_VALUE"""),"上架中")</f>
        <v>上架中</v>
      </c>
      <c r="M1537" s="25"/>
      <c r="N1537" s="25" t="str">
        <f ca="1">IFERROR(__xludf.DUMMYFUNCTION("""COMPUTED_VALUE"""),"口罩")</f>
        <v>口罩</v>
      </c>
      <c r="O1537" s="25" t="str">
        <f ca="1">IFERROR(__xludf.DUMMYFUNCTION("""COMPUTED_VALUE"""),"騎士黑
 卡其棕
 爵士藍
 香芋粉
 鴿子灰")</f>
        <v>騎士黑
 卡其棕
 爵士藍
 香芋粉
 鴿子灰</v>
      </c>
      <c r="P1537" s="25" t="str">
        <f ca="1">IFERROR(__xludf.DUMMYFUNCTION("""COMPUTED_VALUE"""),"5色/25片/盒*5")</f>
        <v>5色/25片/盒*5</v>
      </c>
      <c r="Q1537" s="25"/>
      <c r="R1537" s="25" t="str">
        <f ca="1">IFERROR(__xludf.DUMMYFUNCTION("""COMPUTED_VALUE"""),"台灣")</f>
        <v>台灣</v>
      </c>
      <c r="S1537" s="25"/>
      <c r="T1537" s="25"/>
      <c r="U1537" s="25"/>
      <c r="V1537" s="25"/>
      <c r="W1537" s="25"/>
      <c r="X1537" s="25"/>
      <c r="Y1537" s="25"/>
      <c r="Z1537" s="27"/>
      <c r="AA1537" s="28" t="str">
        <f ca="1">IFERROR(__xludf.DUMMYFUNCTION("""COMPUTED_VALUE"""),"*台灣GMP廠製造，100%台灣生產*標準三層雙鋼印、抗敏親膚不脫妝*立體服貼、透氣舒適*BEF細菌過濾效率99%以上*符合CNS14774/14775/14777*衛部醫器製壹字第008862號")</f>
        <v>*台灣GMP廠製造，100%台灣生產*標準三層雙鋼印、抗敏親膚不脫妝*立體服貼、透氣舒適*BEF細菌過濾效率99%以上*符合CNS14774/14775/14777*衛部醫器製壹字第008862號</v>
      </c>
    </row>
    <row r="1538" spans="1:27" ht="12.75">
      <c r="A1538" s="25" t="str">
        <f ca="1">IFERROR(__xludf.DUMMYFUNCTION("""COMPUTED_VALUE"""),"居家生活用品")</f>
        <v>居家生活用品</v>
      </c>
      <c r="B1538" s="25" t="str">
        <f ca="1">IFERROR(__xludf.DUMMYFUNCTION("""COMPUTED_VALUE"""),"衛利")</f>
        <v>衛利</v>
      </c>
      <c r="C1538" s="25" t="str">
        <f ca="1">IFERROR(__xludf.DUMMYFUNCTION("""COMPUTED_VALUE"""),"Light Smile")</f>
        <v>Light Smile</v>
      </c>
      <c r="D1538" s="25" t="str">
        <f ca="1">IFERROR(__xludf.DUMMYFUNCTION("""COMPUTED_VALUE"""),"Light Smile CCFL抗菌電球_白光2顆入-宅配限本島")</f>
        <v>Light Smile CCFL抗菌電球_白光2顆入-宅配限本島</v>
      </c>
      <c r="E1538" s="25" t="str">
        <f ca="1">IFERROR(__xludf.DUMMYFUNCTION("""COMPUTED_VALUE"""),"HR-0004")</f>
        <v>HR-0004</v>
      </c>
      <c r="F1538" s="25">
        <f ca="1">IFERROR(__xludf.DUMMYFUNCTION("""COMPUTED_VALUE"""),51057219)</f>
        <v>51057219</v>
      </c>
      <c r="G1538" s="25" t="str">
        <f ca="1">IFERROR(__xludf.DUMMYFUNCTION("""COMPUTED_VALUE"""),"IGEM077D")</f>
        <v>IGEM077D</v>
      </c>
      <c r="H1538" s="26">
        <f ca="1">IFERROR(__xludf.DUMMYFUNCTION("""COMPUTED_VALUE"""),2460)</f>
        <v>2460</v>
      </c>
      <c r="I1538" s="27">
        <f ca="1">IFERROR(__xludf.DUMMYFUNCTION("""COMPUTED_VALUE"""),2160)</f>
        <v>2160</v>
      </c>
      <c r="J1538" s="29">
        <f ca="1">IFERROR(__xludf.DUMMYFUNCTION("""COMPUTED_VALUE"""),44993)</f>
        <v>44993</v>
      </c>
      <c r="K1538" s="25" t="str">
        <f ca="1">IFERROR(__xludf.DUMMYFUNCTION("""COMPUTED_VALUE"""),"新機上架")</f>
        <v>新機上架</v>
      </c>
      <c r="L1538" s="26" t="str">
        <f ca="1">IFERROR(__xludf.DUMMYFUNCTION("""COMPUTED_VALUE"""),"上架中")</f>
        <v>上架中</v>
      </c>
      <c r="M1538" s="25"/>
      <c r="N1538" s="25" t="str">
        <f ca="1">IFERROR(__xludf.DUMMYFUNCTION("""COMPUTED_VALUE"""),"燈泡")</f>
        <v>燈泡</v>
      </c>
      <c r="O1538" s="25" t="str">
        <f ca="1">IFERROR(__xludf.DUMMYFUNCTION("""COMPUTED_VALUE"""),"白光")</f>
        <v>白光</v>
      </c>
      <c r="P1538" s="25" t="str">
        <f ca="1">IFERROR(__xludf.DUMMYFUNCTION("""COMPUTED_VALUE"""),"長15cm*5.8cm
 重量100g/顆*2")</f>
        <v>長15cm*5.8cm
 重量100g/顆*2</v>
      </c>
      <c r="Q1538" s="25"/>
      <c r="R1538" s="25" t="str">
        <f ca="1">IFERROR(__xludf.DUMMYFUNCTION("""COMPUTED_VALUE"""),"台灣")</f>
        <v>台灣</v>
      </c>
      <c r="S1538" s="25"/>
      <c r="T1538" s="25"/>
      <c r="U1538" s="25"/>
      <c r="V1538" s="25"/>
      <c r="W1538" s="25"/>
      <c r="X1538" s="25"/>
      <c r="Y1538" s="25"/>
      <c r="Z1538" s="27"/>
      <c r="AA1538" s="28" t="str">
        <f ca="1">IFERROR(__xludf.DUMMYFUNCTION("""COMPUTED_VALUE"""),"*日本專利塗層技術-完整披覆銀離子+光觸媒*護眼健康-無頻閃、無紫外線、低藍光、低眩光*壽命長且穩定，大幅減少拋棄次數及換修費用*耗電量低，低汙染，減少環境負擔，節能又環保*公正單位檢測證明可有效抗菌
")</f>
        <v xml:space="preserve">*日本專利塗層技術-完整披覆銀離子+光觸媒*護眼健康-無頻閃、無紫外線、低藍光、低眩光*壽命長且穩定，大幅減少拋棄次數及換修費用*耗電量低，低汙染，減少環境負擔，節能又環保*公正單位檢測證明可有效抗菌
</v>
      </c>
    </row>
    <row r="1539" spans="1:27" ht="12.75">
      <c r="A1539" s="25" t="str">
        <f ca="1">IFERROR(__xludf.DUMMYFUNCTION("""COMPUTED_VALUE"""),"居家生活用品")</f>
        <v>居家生活用品</v>
      </c>
      <c r="B1539" s="25" t="str">
        <f ca="1">IFERROR(__xludf.DUMMYFUNCTION("""COMPUTED_VALUE"""),"衛利")</f>
        <v>衛利</v>
      </c>
      <c r="C1539" s="25" t="str">
        <f ca="1">IFERROR(__xludf.DUMMYFUNCTION("""COMPUTED_VALUE"""),"Light Smile")</f>
        <v>Light Smile</v>
      </c>
      <c r="D1539" s="25" t="str">
        <f ca="1">IFERROR(__xludf.DUMMYFUNCTION("""COMPUTED_VALUE"""),"Light Smile CCFL抗菌電球_黃光2顆入-宅配限本島")</f>
        <v>Light Smile CCFL抗菌電球_黃光2顆入-宅配限本島</v>
      </c>
      <c r="E1539" s="25" t="str">
        <f ca="1">IFERROR(__xludf.DUMMYFUNCTION("""COMPUTED_VALUE"""),"HR-0005")</f>
        <v>HR-0005</v>
      </c>
      <c r="F1539" s="25">
        <f ca="1">IFERROR(__xludf.DUMMYFUNCTION("""COMPUTED_VALUE"""),51057220)</f>
        <v>51057220</v>
      </c>
      <c r="G1539" s="25" t="str">
        <f ca="1">IFERROR(__xludf.DUMMYFUNCTION("""COMPUTED_VALUE"""),"IGEM077E")</f>
        <v>IGEM077E</v>
      </c>
      <c r="H1539" s="26">
        <f ca="1">IFERROR(__xludf.DUMMYFUNCTION("""COMPUTED_VALUE"""),2460)</f>
        <v>2460</v>
      </c>
      <c r="I1539" s="27">
        <f ca="1">IFERROR(__xludf.DUMMYFUNCTION("""COMPUTED_VALUE"""),2160)</f>
        <v>2160</v>
      </c>
      <c r="J1539" s="29">
        <f ca="1">IFERROR(__xludf.DUMMYFUNCTION("""COMPUTED_VALUE"""),44993)</f>
        <v>44993</v>
      </c>
      <c r="K1539" s="25" t="str">
        <f ca="1">IFERROR(__xludf.DUMMYFUNCTION("""COMPUTED_VALUE"""),"新機上架")</f>
        <v>新機上架</v>
      </c>
      <c r="L1539" s="26" t="str">
        <f ca="1">IFERROR(__xludf.DUMMYFUNCTION("""COMPUTED_VALUE"""),"上架中")</f>
        <v>上架中</v>
      </c>
      <c r="M1539" s="25"/>
      <c r="N1539" s="25" t="str">
        <f ca="1">IFERROR(__xludf.DUMMYFUNCTION("""COMPUTED_VALUE"""),"燈泡")</f>
        <v>燈泡</v>
      </c>
      <c r="O1539" s="25" t="str">
        <f ca="1">IFERROR(__xludf.DUMMYFUNCTION("""COMPUTED_VALUE"""),"黃光")</f>
        <v>黃光</v>
      </c>
      <c r="P1539" s="25" t="str">
        <f ca="1">IFERROR(__xludf.DUMMYFUNCTION("""COMPUTED_VALUE"""),"長15cm*5.8cm
 重量100g/顆*2")</f>
        <v>長15cm*5.8cm
 重量100g/顆*2</v>
      </c>
      <c r="Q1539" s="25"/>
      <c r="R1539" s="25" t="str">
        <f ca="1">IFERROR(__xludf.DUMMYFUNCTION("""COMPUTED_VALUE"""),"台灣")</f>
        <v>台灣</v>
      </c>
      <c r="S1539" s="25"/>
      <c r="T1539" s="25"/>
      <c r="U1539" s="25"/>
      <c r="V1539" s="25"/>
      <c r="W1539" s="25"/>
      <c r="X1539" s="25"/>
      <c r="Y1539" s="25"/>
      <c r="Z1539" s="27"/>
      <c r="AA1539" s="28" t="str">
        <f ca="1">IFERROR(__xludf.DUMMYFUNCTION("""COMPUTED_VALUE"""),"*日本專利塗層技術-完整披覆銀離子+光觸媒*護眼健康-無頻閃、無紫外線、低藍光、低眩光*壽命長且穩定，大幅減少拋棄次數及換修費用*耗電量低，低汙染，減少環境負擔，節能又環保*公正單位檢測證明可有效抗菌
 ")</f>
        <v xml:space="preserve">*日本專利塗層技術-完整披覆銀離子+光觸媒*護眼健康-無頻閃、無紫外線、低藍光、低眩光*壽命長且穩定，大幅減少拋棄次數及換修費用*耗電量低，低汙染，減少環境負擔，節能又環保*公正單位檢測證明可有效抗菌
 </v>
      </c>
    </row>
    <row r="1540" spans="1:27" ht="12.75">
      <c r="A1540" s="25" t="str">
        <f ca="1">IFERROR(__xludf.DUMMYFUNCTION("""COMPUTED_VALUE"""),"居家生活用品")</f>
        <v>居家生活用品</v>
      </c>
      <c r="B1540" s="25" t="str">
        <f ca="1">IFERROR(__xludf.DUMMYFUNCTION("""COMPUTED_VALUE"""),"衛利")</f>
        <v>衛利</v>
      </c>
      <c r="C1540" s="25" t="str">
        <f ca="1">IFERROR(__xludf.DUMMYFUNCTION("""COMPUTED_VALUE"""),"立得清")</f>
        <v>立得清</v>
      </c>
      <c r="D1540" s="25" t="str">
        <f ca="1">IFERROR(__xludf.DUMMYFUNCTION("""COMPUTED_VALUE"""),"【立得清】酒精擦濕紙巾(10抽)30包入-宅配限本島")</f>
        <v>【立得清】酒精擦濕紙巾(10抽)30包入-宅配限本島</v>
      </c>
      <c r="E1540" s="25" t="str">
        <f ca="1">IFERROR(__xludf.DUMMYFUNCTION("""COMPUTED_VALUE"""),"HR-0006")</f>
        <v>HR-0006</v>
      </c>
      <c r="F1540" s="25">
        <f ca="1">IFERROR(__xludf.DUMMYFUNCTION("""COMPUTED_VALUE"""),51057221)</f>
        <v>51057221</v>
      </c>
      <c r="G1540" s="25" t="str">
        <f ca="1">IFERROR(__xludf.DUMMYFUNCTION("""COMPUTED_VALUE"""),"IGEM077F")</f>
        <v>IGEM077F</v>
      </c>
      <c r="H1540" s="26">
        <f ca="1">IFERROR(__xludf.DUMMYFUNCTION("""COMPUTED_VALUE"""),950)</f>
        <v>950</v>
      </c>
      <c r="I1540" s="27">
        <f ca="1">IFERROR(__xludf.DUMMYFUNCTION("""COMPUTED_VALUE"""),750)</f>
        <v>750</v>
      </c>
      <c r="J1540" s="29">
        <f ca="1">IFERROR(__xludf.DUMMYFUNCTION("""COMPUTED_VALUE"""),44993)</f>
        <v>44993</v>
      </c>
      <c r="K1540" s="25" t="str">
        <f ca="1">IFERROR(__xludf.DUMMYFUNCTION("""COMPUTED_VALUE"""),"新機上架")</f>
        <v>新機上架</v>
      </c>
      <c r="L1540" s="26" t="str">
        <f ca="1">IFERROR(__xludf.DUMMYFUNCTION("""COMPUTED_VALUE"""),"上架中")</f>
        <v>上架中</v>
      </c>
      <c r="M1540" s="25"/>
      <c r="N1540" s="25" t="str">
        <f ca="1">IFERROR(__xludf.DUMMYFUNCTION("""COMPUTED_VALUE"""),"濕紙巾")</f>
        <v>濕紙巾</v>
      </c>
      <c r="O1540" s="25" t="str">
        <f ca="1">IFERROR(__xludf.DUMMYFUNCTION("""COMPUTED_VALUE"""),"深藍")</f>
        <v>深藍</v>
      </c>
      <c r="P1540" s="25" t="str">
        <f ca="1">IFERROR(__xludf.DUMMYFUNCTION("""COMPUTED_VALUE"""),"10抽/包*30")</f>
        <v>10抽/包*30</v>
      </c>
      <c r="Q1540" s="25"/>
      <c r="R1540" s="25" t="str">
        <f ca="1">IFERROR(__xludf.DUMMYFUNCTION("""COMPUTED_VALUE"""),"越南")</f>
        <v>越南</v>
      </c>
      <c r="S1540" s="25"/>
      <c r="T1540" s="25"/>
      <c r="U1540" s="25"/>
      <c r="V1540" s="25"/>
      <c r="W1540" s="25"/>
      <c r="X1540" s="25"/>
      <c r="Y1540" s="25"/>
      <c r="Z1540" s="27"/>
      <c r="AA1540" s="28" t="str">
        <f ca="1">IFERROR(__xludf.DUMMYFUNCTION("""COMPUTED_VALUE"""),"*消基會公布市售優良酒精擦濕紙巾*食品級酒精原料、酒精濃度達75%*溫和不刺激、不刺鼻*不含MI與Paraben類防腐劑*不含甲醛及可遷移性螢光物質*通過 SGS FA/2013/52441檢驗")</f>
        <v>*消基會公布市售優良酒精擦濕紙巾*食品級酒精原料、酒精濃度達75%*溫和不刺激、不刺鼻*不含MI與Paraben類防腐劑*不含甲醛及可遷移性螢光物質*通過 SGS FA/2013/52441檢驗</v>
      </c>
    </row>
    <row r="1541" spans="1:27" ht="12.75">
      <c r="A1541" s="25" t="str">
        <f ca="1">IFERROR(__xludf.DUMMYFUNCTION("""COMPUTED_VALUE"""),"居家生活用品")</f>
        <v>居家生活用品</v>
      </c>
      <c r="B1541" s="25" t="str">
        <f ca="1">IFERROR(__xludf.DUMMYFUNCTION("""COMPUTED_VALUE"""),"衛利")</f>
        <v>衛利</v>
      </c>
      <c r="C1541" s="25" t="str">
        <f ca="1">IFERROR(__xludf.DUMMYFUNCTION("""COMPUTED_VALUE"""),"立得清")</f>
        <v>立得清</v>
      </c>
      <c r="D1541" s="25" t="str">
        <f ca="1">IFERROR(__xludf.DUMMYFUNCTION("""COMPUTED_VALUE"""),"【立得清】酒精擦濕紙巾(35抽)15包入-宅配限本島")</f>
        <v>【立得清】酒精擦濕紙巾(35抽)15包入-宅配限本島</v>
      </c>
      <c r="E1541" s="25" t="str">
        <f ca="1">IFERROR(__xludf.DUMMYFUNCTION("""COMPUTED_VALUE"""),"HR-0007")</f>
        <v>HR-0007</v>
      </c>
      <c r="F1541" s="25">
        <f ca="1">IFERROR(__xludf.DUMMYFUNCTION("""COMPUTED_VALUE"""),51057222)</f>
        <v>51057222</v>
      </c>
      <c r="G1541" s="25" t="str">
        <f ca="1">IFERROR(__xludf.DUMMYFUNCTION("""COMPUTED_VALUE"""),"IGEM077G")</f>
        <v>IGEM077G</v>
      </c>
      <c r="H1541" s="26">
        <f ca="1">IFERROR(__xludf.DUMMYFUNCTION("""COMPUTED_VALUE"""),1125)</f>
        <v>1125</v>
      </c>
      <c r="I1541" s="27">
        <f ca="1">IFERROR(__xludf.DUMMYFUNCTION("""COMPUTED_VALUE"""),840)</f>
        <v>840</v>
      </c>
      <c r="J1541" s="29">
        <f ca="1">IFERROR(__xludf.DUMMYFUNCTION("""COMPUTED_VALUE"""),44993)</f>
        <v>44993</v>
      </c>
      <c r="K1541" s="25" t="str">
        <f ca="1">IFERROR(__xludf.DUMMYFUNCTION("""COMPUTED_VALUE"""),"新機上架")</f>
        <v>新機上架</v>
      </c>
      <c r="L1541" s="26" t="str">
        <f ca="1">IFERROR(__xludf.DUMMYFUNCTION("""COMPUTED_VALUE"""),"上架中")</f>
        <v>上架中</v>
      </c>
      <c r="M1541" s="25"/>
      <c r="N1541" s="25" t="str">
        <f ca="1">IFERROR(__xludf.DUMMYFUNCTION("""COMPUTED_VALUE"""),"濕紙巾")</f>
        <v>濕紙巾</v>
      </c>
      <c r="O1541" s="25" t="str">
        <f ca="1">IFERROR(__xludf.DUMMYFUNCTION("""COMPUTED_VALUE"""),"水藍")</f>
        <v>水藍</v>
      </c>
      <c r="P1541" s="25" t="str">
        <f ca="1">IFERROR(__xludf.DUMMYFUNCTION("""COMPUTED_VALUE"""),"30抽/包*15")</f>
        <v>30抽/包*15</v>
      </c>
      <c r="Q1541" s="25"/>
      <c r="R1541" s="25" t="str">
        <f ca="1">IFERROR(__xludf.DUMMYFUNCTION("""COMPUTED_VALUE"""),"越南")</f>
        <v>越南</v>
      </c>
      <c r="S1541" s="25"/>
      <c r="T1541" s="25"/>
      <c r="U1541" s="25"/>
      <c r="V1541" s="25"/>
      <c r="W1541" s="25"/>
      <c r="X1541" s="25"/>
      <c r="Y1541" s="25"/>
      <c r="Z1541" s="27"/>
      <c r="AA1541" s="28" t="str">
        <f ca="1">IFERROR(__xludf.DUMMYFUNCTION("""COMPUTED_VALUE"""),"*消基會公布市售優良酒精擦濕紙巾*食品級酒精原料、酒精濃度達75%*溫和不刺激、不刺鼻*不含MI與Paraben類防腐劑*不含甲醛及可遷移性螢光物質*通過 SGS FA/2013/52441檢驗")</f>
        <v>*消基會公布市售優良酒精擦濕紙巾*食品級酒精原料、酒精濃度達75%*溫和不刺激、不刺鼻*不含MI與Paraben類防腐劑*不含甲醛及可遷移性螢光物質*通過 SGS FA/2013/52441檢驗</v>
      </c>
    </row>
    <row r="1542" spans="1:27" ht="12.75">
      <c r="A1542" s="25" t="str">
        <f ca="1">IFERROR(__xludf.DUMMYFUNCTION("""COMPUTED_VALUE"""),"居家生活用品")</f>
        <v>居家生活用品</v>
      </c>
      <c r="B1542" s="25" t="str">
        <f ca="1">IFERROR(__xludf.DUMMYFUNCTION("""COMPUTED_VALUE"""),"衛利")</f>
        <v>衛利</v>
      </c>
      <c r="C1542" s="25" t="str">
        <f ca="1">IFERROR(__xludf.DUMMYFUNCTION("""COMPUTED_VALUE"""),"千櫻")</f>
        <v>千櫻</v>
      </c>
      <c r="D1542" s="25" t="str">
        <f ca="1">IFERROR(__xludf.DUMMYFUNCTION("""COMPUTED_VALUE"""),"【千櫻】潔用75度酒精500ml 10瓶入-宅配限本島")</f>
        <v>【千櫻】潔用75度酒精500ml 10瓶入-宅配限本島</v>
      </c>
      <c r="E1542" s="25" t="str">
        <f ca="1">IFERROR(__xludf.DUMMYFUNCTION("""COMPUTED_VALUE"""),"HR-0008")</f>
        <v>HR-0008</v>
      </c>
      <c r="F1542" s="25">
        <f ca="1">IFERROR(__xludf.DUMMYFUNCTION("""COMPUTED_VALUE"""),51057223)</f>
        <v>51057223</v>
      </c>
      <c r="G1542" s="25" t="str">
        <f ca="1">IFERROR(__xludf.DUMMYFUNCTION("""COMPUTED_VALUE"""),"IGEM077H")</f>
        <v>IGEM077H</v>
      </c>
      <c r="H1542" s="26">
        <f ca="1">IFERROR(__xludf.DUMMYFUNCTION("""COMPUTED_VALUE"""),950)</f>
        <v>950</v>
      </c>
      <c r="I1542" s="27">
        <f ca="1">IFERROR(__xludf.DUMMYFUNCTION("""COMPUTED_VALUE"""),750)</f>
        <v>750</v>
      </c>
      <c r="J1542" s="29">
        <f ca="1">IFERROR(__xludf.DUMMYFUNCTION("""COMPUTED_VALUE"""),44993)</f>
        <v>44993</v>
      </c>
      <c r="K1542" s="25" t="str">
        <f ca="1">IFERROR(__xludf.DUMMYFUNCTION("""COMPUTED_VALUE"""),"新機上架")</f>
        <v>新機上架</v>
      </c>
      <c r="L1542" s="26" t="str">
        <f ca="1">IFERROR(__xludf.DUMMYFUNCTION("""COMPUTED_VALUE"""),"上架中")</f>
        <v>上架中</v>
      </c>
      <c r="M1542" s="25"/>
      <c r="N1542" s="25" t="str">
        <f ca="1">IFERROR(__xludf.DUMMYFUNCTION("""COMPUTED_VALUE"""),"酒精/消毒")</f>
        <v>酒精/消毒</v>
      </c>
      <c r="O1542" s="25" t="str">
        <f ca="1">IFERROR(__xludf.DUMMYFUNCTION("""COMPUTED_VALUE"""),"透明")</f>
        <v>透明</v>
      </c>
      <c r="P1542" s="25" t="str">
        <f ca="1">IFERROR(__xludf.DUMMYFUNCTION("""COMPUTED_VALUE"""),"500ml/瓶*10")</f>
        <v>500ml/瓶*10</v>
      </c>
      <c r="Q1542" s="25"/>
      <c r="R1542" s="25" t="str">
        <f ca="1">IFERROR(__xludf.DUMMYFUNCTION("""COMPUTED_VALUE"""),"台灣")</f>
        <v>台灣</v>
      </c>
      <c r="S1542" s="25"/>
      <c r="T1542" s="25"/>
      <c r="U1542" s="25"/>
      <c r="V1542" s="25"/>
      <c r="W1542" s="25"/>
      <c r="X1542" s="25"/>
      <c r="Y1542" s="25"/>
      <c r="Z1542" s="27"/>
      <c r="AA1542" s="28" t="str">
        <f ca="1">IFERROR(__xludf.DUMMYFUNCTION("""COMPUTED_VALUE"""),"*GMP廠製造，食品級原料(植物蔗糖)發酵精釀*精煉乙醇至95%，純水稀釋至75% (未變性乙醇)*去除雜質對人體無害，不刺鼻、不刺激*有效殺菌、長期存放使用，使用安全又放心*SGS合格認證DNS21600286*非甲醇或異丙醇混充*非藥用或食用酒精")</f>
        <v>*GMP廠製造，食品級原料(植物蔗糖)發酵精釀*精煉乙醇至95%，純水稀釋至75% (未變性乙醇)*去除雜質對人體無害，不刺鼻、不刺激*有效殺菌、長期存放使用，使用安全又放心*SGS合格認證DNS21600286*非甲醇或異丙醇混充*非藥用或食用酒精</v>
      </c>
    </row>
    <row r="1543" spans="1:27" ht="12.75">
      <c r="A1543" s="25" t="str">
        <f ca="1">IFERROR(__xludf.DUMMYFUNCTION("""COMPUTED_VALUE"""),"居家生活用品")</f>
        <v>居家生活用品</v>
      </c>
      <c r="B1543" s="25" t="str">
        <f ca="1">IFERROR(__xludf.DUMMYFUNCTION("""COMPUTED_VALUE"""),"衛利")</f>
        <v>衛利</v>
      </c>
      <c r="C1543" s="25" t="str">
        <f ca="1">IFERROR(__xludf.DUMMYFUNCTION("""COMPUTED_VALUE"""),"Sharpots")</f>
        <v>Sharpots</v>
      </c>
      <c r="D1543" s="25" t="str">
        <f ca="1">IFERROR(__xludf.DUMMYFUNCTION("""COMPUTED_VALUE"""),"Sharpots水基型車居隨身滅火噴霧 4瓶入-宅配限本島")</f>
        <v>Sharpots水基型車居隨身滅火噴霧 4瓶入-宅配限本島</v>
      </c>
      <c r="E1543" s="25" t="str">
        <f ca="1">IFERROR(__xludf.DUMMYFUNCTION("""COMPUTED_VALUE"""),"HR-0009")</f>
        <v>HR-0009</v>
      </c>
      <c r="F1543" s="25">
        <f ca="1">IFERROR(__xludf.DUMMYFUNCTION("""COMPUTED_VALUE"""),51057225)</f>
        <v>51057225</v>
      </c>
      <c r="G1543" s="25" t="str">
        <f ca="1">IFERROR(__xludf.DUMMYFUNCTION("""COMPUTED_VALUE"""),"IGEM077I")</f>
        <v>IGEM077I</v>
      </c>
      <c r="H1543" s="26">
        <f ca="1">IFERROR(__xludf.DUMMYFUNCTION("""COMPUTED_VALUE"""),1299)</f>
        <v>1299</v>
      </c>
      <c r="I1543" s="27">
        <f ca="1">IFERROR(__xludf.DUMMYFUNCTION("""COMPUTED_VALUE"""),1200)</f>
        <v>1200</v>
      </c>
      <c r="J1543" s="29">
        <f ca="1">IFERROR(__xludf.DUMMYFUNCTION("""COMPUTED_VALUE"""),44993)</f>
        <v>44993</v>
      </c>
      <c r="K1543" s="25" t="str">
        <f ca="1">IFERROR(__xludf.DUMMYFUNCTION("""COMPUTED_VALUE"""),"新機上架")</f>
        <v>新機上架</v>
      </c>
      <c r="L1543" s="26" t="str">
        <f ca="1">IFERROR(__xludf.DUMMYFUNCTION("""COMPUTED_VALUE"""),"上架中")</f>
        <v>上架中</v>
      </c>
      <c r="M1543" s="25"/>
      <c r="N1543" s="25" t="str">
        <f ca="1">IFERROR(__xludf.DUMMYFUNCTION("""COMPUTED_VALUE"""),"消防設備")</f>
        <v>消防設備</v>
      </c>
      <c r="O1543" s="25" t="str">
        <f ca="1">IFERROR(__xludf.DUMMYFUNCTION("""COMPUTED_VALUE"""),"紅")</f>
        <v>紅</v>
      </c>
      <c r="P1543" s="25" t="str">
        <f ca="1">IFERROR(__xludf.DUMMYFUNCTION("""COMPUTED_VALUE"""),"570ml±20/罐*4")</f>
        <v>570ml±20/罐*4</v>
      </c>
      <c r="Q1543" s="25"/>
      <c r="R1543" s="25" t="str">
        <f ca="1">IFERROR(__xludf.DUMMYFUNCTION("""COMPUTED_VALUE"""),"中國")</f>
        <v>中國</v>
      </c>
      <c r="S1543" s="25"/>
      <c r="T1543" s="25"/>
      <c r="U1543" s="25"/>
      <c r="V1543" s="25"/>
      <c r="W1543" s="25"/>
      <c r="X1543" s="25"/>
      <c r="Y1543" s="25"/>
      <c r="Z1543" s="27"/>
      <c r="AA1543" s="28" t="str">
        <f ca="1">IFERROR(__xludf.DUMMYFUNCTION("""COMPUTED_VALUE"""),"*不自爆、不自燃、耐高壓、抗腐蝕*便攜好收納，簡單易用助逃生*適應於各類型初起火勢，抗復燃*低汙染、好清洗*符合台灣CNS10978 3.(1).(E)檢測標準*消防器材檢驗中心 TFTF 1090603-01")</f>
        <v>*不自爆、不自燃、耐高壓、抗腐蝕*便攜好收納，簡單易用助逃生*適應於各類型初起火勢，抗復燃*低汙染、好清洗*符合台灣CNS10978 3.(1).(E)檢測標準*消防器材檢驗中心 TFTF 1090603-01</v>
      </c>
    </row>
    <row r="1544" spans="1:27" ht="12.75">
      <c r="A1544" s="25" t="str">
        <f ca="1">IFERROR(__xludf.DUMMYFUNCTION("""COMPUTED_VALUE"""),"居家生活用品")</f>
        <v>居家生活用品</v>
      </c>
      <c r="B1544" s="25" t="str">
        <f ca="1">IFERROR(__xludf.DUMMYFUNCTION("""COMPUTED_VALUE"""),"衛利")</f>
        <v>衛利</v>
      </c>
      <c r="C1544" s="25" t="str">
        <f ca="1">IFERROR(__xludf.DUMMYFUNCTION("""COMPUTED_VALUE"""),"立得清")</f>
        <v>立得清</v>
      </c>
      <c r="D1544" s="25" t="str">
        <f ca="1">IFERROR(__xludf.DUMMYFUNCTION("""COMPUTED_VALUE"""),"居家_【立得清】抗菌.抗病毒濕巾(50抽)-10包")</f>
        <v>居家_【立得清】抗菌.抗病毒濕巾(50抽)-10包</v>
      </c>
      <c r="E1544" s="25" t="str">
        <f ca="1">IFERROR(__xludf.DUMMYFUNCTION("""COMPUTED_VALUE"""),"LTGANTI50")</f>
        <v>LTGANTI50</v>
      </c>
      <c r="F1544" s="25">
        <f ca="1">IFERROR(__xludf.DUMMYFUNCTION("""COMPUTED_VALUE"""),51057266)</f>
        <v>51057266</v>
      </c>
      <c r="G1544" s="25" t="str">
        <f ca="1">IFERROR(__xludf.DUMMYFUNCTION("""COMPUTED_VALUE"""),"IGEM079H")</f>
        <v>IGEM079H</v>
      </c>
      <c r="H1544" s="26">
        <f ca="1">IFERROR(__xludf.DUMMYFUNCTION("""COMPUTED_VALUE"""),899)</f>
        <v>899</v>
      </c>
      <c r="I1544" s="27">
        <f ca="1">IFERROR(__xludf.DUMMYFUNCTION("""COMPUTED_VALUE"""),790)</f>
        <v>790</v>
      </c>
      <c r="J1544" s="29">
        <f ca="1">IFERROR(__xludf.DUMMYFUNCTION("""COMPUTED_VALUE"""),45083)</f>
        <v>45083</v>
      </c>
      <c r="K1544" s="25" t="str">
        <f ca="1">IFERROR(__xludf.DUMMYFUNCTION("""COMPUTED_VALUE"""),"新機上架")</f>
        <v>新機上架</v>
      </c>
      <c r="L1544" s="26" t="str">
        <f ca="1">IFERROR(__xludf.DUMMYFUNCTION("""COMPUTED_VALUE"""),"上架中")</f>
        <v>上架中</v>
      </c>
      <c r="M1544" s="25"/>
      <c r="N1544" s="25" t="str">
        <f ca="1">IFERROR(__xludf.DUMMYFUNCTION("""COMPUTED_VALUE"""),"濕紙巾")</f>
        <v>濕紙巾</v>
      </c>
      <c r="O1544" s="25" t="str">
        <f ca="1">IFERROR(__xludf.DUMMYFUNCTION("""COMPUTED_VALUE"""),"白金")</f>
        <v>白金</v>
      </c>
      <c r="P1544" s="25" t="str">
        <f ca="1">IFERROR(__xludf.DUMMYFUNCTION("""COMPUTED_VALUE"""),"50抽/包*10")</f>
        <v>50抽/包*10</v>
      </c>
      <c r="Q1544" s="25"/>
      <c r="R1544" s="25" t="str">
        <f ca="1">IFERROR(__xludf.DUMMYFUNCTION("""COMPUTED_VALUE"""),"越南")</f>
        <v>越南</v>
      </c>
      <c r="S1544" s="25" t="str">
        <f ca="1">IFERROR(__xludf.DUMMYFUNCTION("""COMPUTED_VALUE"""),"V-SNO")</f>
        <v>V-SNO</v>
      </c>
      <c r="T1544" s="25"/>
      <c r="U1544" s="25"/>
      <c r="V1544" s="25"/>
      <c r="W1544" s="25"/>
      <c r="X1544" s="25"/>
      <c r="Y1544" s="25"/>
      <c r="Z1544" s="27"/>
      <c r="AA1544" s="28" t="str">
        <f ca="1">IFERROR(__xludf.DUMMYFUNCTION("""COMPUTED_VALUE"""),"*國家品質獎、防疫產品認證*頂尖醫學中心實證有效抑制冠狀病毒、腸病毒、諾羅病毒、A型流感、B型流感，抗菌99.9%*無酒精、無香料成分")</f>
        <v>*國家品質獎、防疫產品認證*頂尖醫學中心實證有效抑制冠狀病毒、腸病毒、諾羅病毒、A型流感、B型流感，抗菌99.9%*無酒精、無香料成分</v>
      </c>
    </row>
    <row r="1545" spans="1:27" ht="12.75">
      <c r="A1545" s="25" t="str">
        <f ca="1">IFERROR(__xludf.DUMMYFUNCTION("""COMPUTED_VALUE"""),"居家生活用品")</f>
        <v>居家生活用品</v>
      </c>
      <c r="B1545" s="25" t="str">
        <f ca="1">IFERROR(__xludf.DUMMYFUNCTION("""COMPUTED_VALUE"""),"衛利")</f>
        <v>衛利</v>
      </c>
      <c r="C1545" s="25" t="str">
        <f ca="1">IFERROR(__xludf.DUMMYFUNCTION("""COMPUTED_VALUE"""),"立得清")</f>
        <v>立得清</v>
      </c>
      <c r="D1545" s="25" t="str">
        <f ca="1">IFERROR(__xludf.DUMMYFUNCTION("""COMPUTED_VALUE"""),"居家_【立得清】廚房去污濕巾(30抽)-12包")</f>
        <v>居家_【立得清】廚房去污濕巾(30抽)-12包</v>
      </c>
      <c r="E1545" s="25" t="str">
        <f ca="1">IFERROR(__xludf.DUMMYFUNCTION("""COMPUTED_VALUE"""),"LTGKTCL30")</f>
        <v>LTGKTCL30</v>
      </c>
      <c r="F1545" s="25">
        <f ca="1">IFERROR(__xludf.DUMMYFUNCTION("""COMPUTED_VALUE"""),51057267)</f>
        <v>51057267</v>
      </c>
      <c r="G1545" s="25" t="str">
        <f ca="1">IFERROR(__xludf.DUMMYFUNCTION("""COMPUTED_VALUE"""),"IGEM079I")</f>
        <v>IGEM079I</v>
      </c>
      <c r="H1545" s="26">
        <f ca="1">IFERROR(__xludf.DUMMYFUNCTION("""COMPUTED_VALUE"""),960)</f>
        <v>960</v>
      </c>
      <c r="I1545" s="27">
        <f ca="1">IFERROR(__xludf.DUMMYFUNCTION("""COMPUTED_VALUE"""),870)</f>
        <v>870</v>
      </c>
      <c r="J1545" s="29">
        <f ca="1">IFERROR(__xludf.DUMMYFUNCTION("""COMPUTED_VALUE"""),45083)</f>
        <v>45083</v>
      </c>
      <c r="K1545" s="25" t="str">
        <f ca="1">IFERROR(__xludf.DUMMYFUNCTION("""COMPUTED_VALUE"""),"新機上架")</f>
        <v>新機上架</v>
      </c>
      <c r="L1545" s="26" t="str">
        <f ca="1">IFERROR(__xludf.DUMMYFUNCTION("""COMPUTED_VALUE"""),"上架中")</f>
        <v>上架中</v>
      </c>
      <c r="M1545" s="25"/>
      <c r="N1545" s="25" t="str">
        <f ca="1">IFERROR(__xludf.DUMMYFUNCTION("""COMPUTED_VALUE"""),"濕紙巾")</f>
        <v>濕紙巾</v>
      </c>
      <c r="O1545" s="25" t="str">
        <f ca="1">IFERROR(__xludf.DUMMYFUNCTION("""COMPUTED_VALUE"""),"橘")</f>
        <v>橘</v>
      </c>
      <c r="P1545" s="25" t="str">
        <f ca="1">IFERROR(__xludf.DUMMYFUNCTION("""COMPUTED_VALUE"""),"30抽/包*12")</f>
        <v>30抽/包*12</v>
      </c>
      <c r="Q1545" s="25"/>
      <c r="R1545" s="25" t="str">
        <f ca="1">IFERROR(__xludf.DUMMYFUNCTION("""COMPUTED_VALUE"""),"越南")</f>
        <v>越南</v>
      </c>
      <c r="S1545" s="25"/>
      <c r="T1545" s="25"/>
      <c r="U1545" s="25"/>
      <c r="V1545" s="25"/>
      <c r="W1545" s="25"/>
      <c r="X1545" s="25"/>
      <c r="Y1545" s="25"/>
      <c r="Z1545" s="27"/>
      <c r="AA1545" s="28" t="str">
        <f ca="1">IFERROR(__xludf.DUMMYFUNCTION("""COMPUTED_VALUE"""),"*三大功效一次搞定，去油汙+抗菌+抗病毒*加大加厚不咬手*抗菌99.%，有效對抗大腸桿菌、金黃色葡萄球菌、綠膿桿菌、克雷伯氏肺炎菌、制冠狀病毒、諾羅病毒、腸病毒71型、H1N1、H3N2、B型流感")</f>
        <v>*三大功效一次搞定，去油汙+抗菌+抗病毒*加大加厚不咬手*抗菌99.%，有效對抗大腸桿菌、金黃色葡萄球菌、綠膿桿菌、克雷伯氏肺炎菌、制冠狀病毒、諾羅病毒、腸病毒71型、H1N1、H3N2、B型流感</v>
      </c>
    </row>
    <row r="1546" spans="1:27" ht="12.75">
      <c r="A1546" s="25" t="str">
        <f ca="1">IFERROR(__xludf.DUMMYFUNCTION("""COMPUTED_VALUE"""),"居家生活用品")</f>
        <v>居家生活用品</v>
      </c>
      <c r="B1546" s="25" t="str">
        <f ca="1">IFERROR(__xludf.DUMMYFUNCTION("""COMPUTED_VALUE"""),"衛利")</f>
        <v>衛利</v>
      </c>
      <c r="C1546" s="25" t="str">
        <f ca="1">IFERROR(__xludf.DUMMYFUNCTION("""COMPUTED_VALUE"""),"Anriea艾黎亞")</f>
        <v>Anriea艾黎亞</v>
      </c>
      <c r="D1546" s="25" t="str">
        <f ca="1">IFERROR(__xludf.DUMMYFUNCTION("""COMPUTED_VALUE"""),"居家_【Anriea艾黎亞】加濃泡橄欖液態皂(1L)+萬用天然鹼粉(500g)超值組")</f>
        <v>居家_【Anriea艾黎亞】加濃泡橄欖液態皂(1L)+萬用天然鹼粉(500g)超值組</v>
      </c>
      <c r="E1546" s="25" t="str">
        <f ca="1">IFERROR(__xludf.DUMMYFUNCTION("""COMPUTED_VALUE"""),"ANRC1000")</f>
        <v>ANRC1000</v>
      </c>
      <c r="F1546" s="25">
        <f ca="1">IFERROR(__xludf.DUMMYFUNCTION("""COMPUTED_VALUE"""),51057268)</f>
        <v>51057268</v>
      </c>
      <c r="G1546" s="25" t="str">
        <f ca="1">IFERROR(__xludf.DUMMYFUNCTION("""COMPUTED_VALUE"""),"IGEM079J")</f>
        <v>IGEM079J</v>
      </c>
      <c r="H1546" s="26">
        <f ca="1">IFERROR(__xludf.DUMMYFUNCTION("""COMPUTED_VALUE"""),880)</f>
        <v>880</v>
      </c>
      <c r="I1546" s="27">
        <f ca="1">IFERROR(__xludf.DUMMYFUNCTION("""COMPUTED_VALUE"""),650)</f>
        <v>650</v>
      </c>
      <c r="J1546" s="29">
        <f ca="1">IFERROR(__xludf.DUMMYFUNCTION("""COMPUTED_VALUE"""),45083)</f>
        <v>45083</v>
      </c>
      <c r="K1546" s="25" t="str">
        <f ca="1">IFERROR(__xludf.DUMMYFUNCTION("""COMPUTED_VALUE"""),"新機上架")</f>
        <v>新機上架</v>
      </c>
      <c r="L1546" s="26" t="str">
        <f ca="1">IFERROR(__xludf.DUMMYFUNCTION("""COMPUTED_VALUE"""),"上架中")</f>
        <v>上架中</v>
      </c>
      <c r="M1546" s="25"/>
      <c r="N1546" s="25" t="str">
        <f ca="1">IFERROR(__xludf.DUMMYFUNCTION("""COMPUTED_VALUE"""),"廚房清潔")</f>
        <v>廚房清潔</v>
      </c>
      <c r="O1546" s="25" t="str">
        <f ca="1">IFERROR(__xludf.DUMMYFUNCTION("""COMPUTED_VALUE"""),"皂：黃
 粉：白")</f>
        <v>皂：黃
 粉：白</v>
      </c>
      <c r="P1546" s="25" t="str">
        <f ca="1">IFERROR(__xludf.DUMMYFUNCTION("""COMPUTED_VALUE"""),"1L/罐*1
 500g/包*1")</f>
        <v>1L/罐*1
 500g/包*1</v>
      </c>
      <c r="Q1546" s="25"/>
      <c r="R1546" s="25" t="str">
        <f ca="1">IFERROR(__xludf.DUMMYFUNCTION("""COMPUTED_VALUE"""),"台灣")</f>
        <v>台灣</v>
      </c>
      <c r="S1546" s="25" t="str">
        <f ca="1">IFERROR(__xludf.DUMMYFUNCTION("""COMPUTED_VALUE"""),"V-COSMOS
 ECOCERT")</f>
        <v>V-COSMOS
 ECOCERT</v>
      </c>
      <c r="T1546" s="25"/>
      <c r="U1546" s="25"/>
      <c r="V1546" s="25"/>
      <c r="W1546" s="25"/>
      <c r="X1546" s="25"/>
      <c r="Y1546" s="25"/>
      <c r="Z1546" s="27"/>
      <c r="AA1546" s="28" t="str">
        <f ca="1">IFERROR(__xludf.DUMMYFUNCTION("""COMPUTED_VALUE"""),"*萬用多效，可廣泛用於居家清潔保養等家清類型，一瓶可抵多瓶使用*純天然原料，成分單純不含其他香精或化學物，原料來自義大利冷萃橄欖油*皂化徹底/清潔力強，對抗頑強油漬汙垢特別有效*溫和不刺激，不傷皮膚")</f>
        <v>*萬用多效，可廣泛用於居家清潔保養等家清類型，一瓶可抵多瓶使用*純天然原料，成分單純不含其他香精或化學物，原料來自義大利冷萃橄欖油*皂化徹底/清潔力強，對抗頑強油漬汙垢特別有效*溫和不刺激，不傷皮膚</v>
      </c>
    </row>
    <row r="1547" spans="1:27" ht="12.75">
      <c r="A1547" s="25" t="str">
        <f ca="1">IFERROR(__xludf.DUMMYFUNCTION("""COMPUTED_VALUE"""),"居家生活用品")</f>
        <v>居家生活用品</v>
      </c>
      <c r="B1547" s="25" t="str">
        <f ca="1">IFERROR(__xludf.DUMMYFUNCTION("""COMPUTED_VALUE"""),"衛利")</f>
        <v>衛利</v>
      </c>
      <c r="C1547" s="25" t="str">
        <f ca="1">IFERROR(__xludf.DUMMYFUNCTION("""COMPUTED_VALUE"""),"Anriea艾黎亞")</f>
        <v>Anriea艾黎亞</v>
      </c>
      <c r="D1547" s="25" t="str">
        <f ca="1">IFERROR(__xludf.DUMMYFUNCTION("""COMPUTED_VALUE"""),"居家_【Anriea艾黎亞】加濃泡萬用天然鹼粉(500g)-4包")</f>
        <v>居家_【Anriea艾黎亞】加濃泡萬用天然鹼粉(500g)-4包</v>
      </c>
      <c r="E1547" s="25" t="str">
        <f ca="1">IFERROR(__xludf.DUMMYFUNCTION("""COMPUTED_VALUE"""),"ANRD500")</f>
        <v>ANRD500</v>
      </c>
      <c r="F1547" s="25">
        <f ca="1">IFERROR(__xludf.DUMMYFUNCTION("""COMPUTED_VALUE"""),51057269)</f>
        <v>51057269</v>
      </c>
      <c r="G1547" s="25" t="str">
        <f ca="1">IFERROR(__xludf.DUMMYFUNCTION("""COMPUTED_VALUE"""),"IGEM079K")</f>
        <v>IGEM079K</v>
      </c>
      <c r="H1547" s="26">
        <f ca="1">IFERROR(__xludf.DUMMYFUNCTION("""COMPUTED_VALUE"""),780)</f>
        <v>780</v>
      </c>
      <c r="I1547" s="27">
        <f ca="1">IFERROR(__xludf.DUMMYFUNCTION("""COMPUTED_VALUE"""),560)</f>
        <v>560</v>
      </c>
      <c r="J1547" s="29">
        <f ca="1">IFERROR(__xludf.DUMMYFUNCTION("""COMPUTED_VALUE"""),45083)</f>
        <v>45083</v>
      </c>
      <c r="K1547" s="25" t="str">
        <f ca="1">IFERROR(__xludf.DUMMYFUNCTION("""COMPUTED_VALUE"""),"新機上架")</f>
        <v>新機上架</v>
      </c>
      <c r="L1547" s="26" t="str">
        <f ca="1">IFERROR(__xludf.DUMMYFUNCTION("""COMPUTED_VALUE"""),"上架中")</f>
        <v>上架中</v>
      </c>
      <c r="M1547" s="25"/>
      <c r="N1547" s="25" t="str">
        <f ca="1">IFERROR(__xludf.DUMMYFUNCTION("""COMPUTED_VALUE"""),"廚房清潔")</f>
        <v>廚房清潔</v>
      </c>
      <c r="O1547" s="25" t="str">
        <f ca="1">IFERROR(__xludf.DUMMYFUNCTION("""COMPUTED_VALUE"""),"白")</f>
        <v>白</v>
      </c>
      <c r="P1547" s="25" t="str">
        <f ca="1">IFERROR(__xludf.DUMMYFUNCTION("""COMPUTED_VALUE"""),"500g/包*4")</f>
        <v>500g/包*4</v>
      </c>
      <c r="Q1547" s="25"/>
      <c r="R1547" s="25" t="str">
        <f ca="1">IFERROR(__xludf.DUMMYFUNCTION("""COMPUTED_VALUE"""),"台灣")</f>
        <v>台灣</v>
      </c>
      <c r="S1547" s="25"/>
      <c r="T1547" s="25"/>
      <c r="U1547" s="25"/>
      <c r="V1547" s="25"/>
      <c r="W1547" s="25"/>
      <c r="X1547" s="25"/>
      <c r="Y1547" s="25"/>
      <c r="Z1547" s="27"/>
      <c r="AA1547" s="28" t="str">
        <f ca="1">IFERROR(__xludf.DUMMYFUNCTION("""COMPUTED_VALUE"""),"*萬用多效，清潔力勝過小蘇打粉*純天然成分，不含其他化學物質，原料來自美國綠河天然萃取的100%倍半碳酸鈉*可用於浸泡/清洗蔬果、貼身衣物等，洗淨效果佳*通過OMRI美國有機材料審查機構/OU KOSHER猶太認證/NSF 美國全國衛生基金會/AWWA美國自來水工程協會/HALAL 哈拉認證")</f>
        <v>*萬用多效，清潔力勝過小蘇打粉*純天然成分，不含其他化學物質，原料來自美國綠河天然萃取的100%倍半碳酸鈉*可用於浸泡/清洗蔬果、貼身衣物等，洗淨效果佳*通過OMRI美國有機材料審查機構/OU KOSHER猶太認證/NSF 美國全國衛生基金會/AWWA美國自來水工程協會/HALAL 哈拉認證</v>
      </c>
    </row>
    <row r="1548" spans="1:27" ht="12.75">
      <c r="A1548" s="25" t="str">
        <f ca="1">IFERROR(__xludf.DUMMYFUNCTION("""COMPUTED_VALUE"""),"居家生活用品")</f>
        <v>居家生活用品</v>
      </c>
      <c r="B1548" s="25" t="str">
        <f ca="1">IFERROR(__xludf.DUMMYFUNCTION("""COMPUTED_VALUE"""),"視博網訊")</f>
        <v>視博網訊</v>
      </c>
      <c r="C1548" s="25" t="str">
        <f ca="1">IFERROR(__xludf.DUMMYFUNCTION("""COMPUTED_VALUE"""),"SpotCam")</f>
        <v>SpotCam</v>
      </c>
      <c r="D1548" s="25" t="str">
        <f ca="1">IFERROR(__xludf.DUMMYFUNCTION("""COMPUTED_VALUE"""),"居家_全景魚眼雲端網路攝影機_SpotCam Pano2")</f>
        <v>居家_全景魚眼雲端網路攝影機_SpotCam Pano2</v>
      </c>
      <c r="E1548" s="25" t="str">
        <f ca="1">IFERROR(__xludf.DUMMYFUNCTION("""COMPUTED_VALUE"""),"Pano 2")</f>
        <v>Pano 2</v>
      </c>
      <c r="F1548" s="25">
        <f ca="1">IFERROR(__xludf.DUMMYFUNCTION("""COMPUTED_VALUE"""),51057320)</f>
        <v>51057320</v>
      </c>
      <c r="G1548" s="25" t="str">
        <f ca="1">IFERROR(__xludf.DUMMYFUNCTION("""COMPUTED_VALUE"""),"IGEM0871")</f>
        <v>IGEM0871</v>
      </c>
      <c r="H1548" s="26">
        <f ca="1">IFERROR(__xludf.DUMMYFUNCTION("""COMPUTED_VALUE"""),2590)</f>
        <v>2590</v>
      </c>
      <c r="I1548" s="27">
        <f ca="1">IFERROR(__xludf.DUMMYFUNCTION("""COMPUTED_VALUE"""),1590)</f>
        <v>1590</v>
      </c>
      <c r="J1548" s="29">
        <f ca="1">IFERROR(__xludf.DUMMYFUNCTION("""COMPUTED_VALUE"""),45184)</f>
        <v>45184</v>
      </c>
      <c r="K1548" s="25" t="str">
        <f ca="1">IFERROR(__xludf.DUMMYFUNCTION("""COMPUTED_VALUE"""),"永久降價")</f>
        <v>永久降價</v>
      </c>
      <c r="L1548" s="26" t="str">
        <f ca="1">IFERROR(__xludf.DUMMYFUNCTION("""COMPUTED_VALUE"""),"上架中")</f>
        <v>上架中</v>
      </c>
      <c r="M1548" s="25"/>
      <c r="N1548" s="25" t="str">
        <f ca="1">IFERROR(__xludf.DUMMYFUNCTION("""COMPUTED_VALUE"""),"網路攝影機")</f>
        <v>網路攝影機</v>
      </c>
      <c r="O1548" s="25" t="str">
        <f ca="1">IFERROR(__xludf.DUMMYFUNCTION("""COMPUTED_VALUE"""),"黑色")</f>
        <v>黑色</v>
      </c>
      <c r="P1548" s="25"/>
      <c r="Q1548" s="25"/>
      <c r="R1548" s="25" t="str">
        <f ca="1">IFERROR(__xludf.DUMMYFUNCTION("""COMPUTED_VALUE"""),"台灣")</f>
        <v>台灣</v>
      </c>
      <c r="S1548" s="25" t="str">
        <f ca="1">IFERROR(__xludf.DUMMYFUNCTION("""COMPUTED_VALUE"""),"NCC:CCAR21LP1930T9")</f>
        <v>NCC:CCAR21LP1930T9</v>
      </c>
      <c r="T1548" s="25"/>
      <c r="U1548" s="25" t="str">
        <f ca="1">IFERROR(__xludf.DUMMYFUNCTION("""COMPUTED_VALUE"""),"1年")</f>
        <v>1年</v>
      </c>
      <c r="V1548" s="25"/>
      <c r="W1548" s="25"/>
      <c r="X1548" s="25"/>
      <c r="Y1548" s="25"/>
      <c r="Z1548" s="27"/>
      <c r="AA1548" s="28" t="str">
        <f ca="1">IFERROR(__xludf.DUMMYFUNCTION("""COMPUTED_VALUE"""),"*內建人類偵測及昏倒偵測*聚焦數位追蹤放大移動物體*全景180度超廣視角*台灣雲端免費全時錄影方案")</f>
        <v>*內建人類偵測及昏倒偵測*聚焦數位追蹤放大移動物體*全景180度超廣視角*台灣雲端免費全時錄影方案</v>
      </c>
    </row>
    <row r="1549" spans="1:27" ht="12.75">
      <c r="A1549" s="25" t="str">
        <f ca="1">IFERROR(__xludf.DUMMYFUNCTION("""COMPUTED_VALUE"""),"居家生活用品")</f>
        <v>居家生活用品</v>
      </c>
      <c r="B1549" s="25" t="str">
        <f ca="1">IFERROR(__xludf.DUMMYFUNCTION("""COMPUTED_VALUE"""),"視博網訊")</f>
        <v>視博網訊</v>
      </c>
      <c r="C1549" s="25" t="str">
        <f ca="1">IFERROR(__xludf.DUMMYFUNCTION("""COMPUTED_VALUE"""),"SpotCam")</f>
        <v>SpotCam</v>
      </c>
      <c r="D1549" s="25" t="str">
        <f ca="1">IFERROR(__xludf.DUMMYFUNCTION("""COMPUTED_VALUE"""),"居家_無線智慧雲端寶寶攝影機_SpotCam BabyCam")</f>
        <v>居家_無線智慧雲端寶寶攝影機_SpotCam BabyCam</v>
      </c>
      <c r="E1549" s="25" t="str">
        <f ca="1">IFERROR(__xludf.DUMMYFUNCTION("""COMPUTED_VALUE"""),"BabyCam")</f>
        <v>BabyCam</v>
      </c>
      <c r="F1549" s="25">
        <f ca="1">IFERROR(__xludf.DUMMYFUNCTION("""COMPUTED_VALUE"""),51057321)</f>
        <v>51057321</v>
      </c>
      <c r="G1549" s="25" t="str">
        <f ca="1">IFERROR(__xludf.DUMMYFUNCTION("""COMPUTED_VALUE"""),"IGEM0872")</f>
        <v>IGEM0872</v>
      </c>
      <c r="H1549" s="26">
        <f ca="1">IFERROR(__xludf.DUMMYFUNCTION("""COMPUTED_VALUE"""),2990)</f>
        <v>2990</v>
      </c>
      <c r="I1549" s="27">
        <f ca="1">IFERROR(__xludf.DUMMYFUNCTION("""COMPUTED_VALUE"""),1950)</f>
        <v>1950</v>
      </c>
      <c r="J1549" s="29">
        <f ca="1">IFERROR(__xludf.DUMMYFUNCTION("""COMPUTED_VALUE"""),45184)</f>
        <v>45184</v>
      </c>
      <c r="K1549" s="25" t="str">
        <f ca="1">IFERROR(__xludf.DUMMYFUNCTION("""COMPUTED_VALUE"""),"永久降價")</f>
        <v>永久降價</v>
      </c>
      <c r="L1549" s="26" t="str">
        <f ca="1">IFERROR(__xludf.DUMMYFUNCTION("""COMPUTED_VALUE"""),"上架中")</f>
        <v>上架中</v>
      </c>
      <c r="M1549" s="25"/>
      <c r="N1549" s="25" t="str">
        <f ca="1">IFERROR(__xludf.DUMMYFUNCTION("""COMPUTED_VALUE"""),"網路攝影機")</f>
        <v>網路攝影機</v>
      </c>
      <c r="O1549" s="25" t="str">
        <f ca="1">IFERROR(__xludf.DUMMYFUNCTION("""COMPUTED_VALUE"""),"白色")</f>
        <v>白色</v>
      </c>
      <c r="P1549" s="25"/>
      <c r="Q1549" s="25"/>
      <c r="R1549" s="25" t="str">
        <f ca="1">IFERROR(__xludf.DUMMYFUNCTION("""COMPUTED_VALUE"""),"中國")</f>
        <v>中國</v>
      </c>
      <c r="S1549" s="25" t="str">
        <f ca="1">IFERROR(__xludf.DUMMYFUNCTION("""COMPUTED_VALUE"""),"NCC:CCAH21LP1521T9")</f>
        <v>NCC:CCAH21LP1521T9</v>
      </c>
      <c r="T1549" s="25"/>
      <c r="U1549" s="25" t="str">
        <f ca="1">IFERROR(__xludf.DUMMYFUNCTION("""COMPUTED_VALUE"""),"1年")</f>
        <v>1年</v>
      </c>
      <c r="V1549" s="25"/>
      <c r="W1549" s="25"/>
      <c r="X1549" s="25"/>
      <c r="Y1549" s="25"/>
      <c r="Z1549" s="27"/>
      <c r="AA1549" s="28" t="str">
        <f ca="1">IFERROR(__xludf.DUMMYFUNCTION("""COMPUTED_VALUE"""),"*可擺頭360度旋轉無死角*危險區域偵測為您守候寶寶*內建搖籃曲與白噪音陪寶寶入睡*免費雲端錄影匯出寶寶影片")</f>
        <v>*可擺頭360度旋轉無死角*危險區域偵測為您守候寶寶*內建搖籃曲與白噪音陪寶寶入睡*免費雲端錄影匯出寶寶影片</v>
      </c>
    </row>
    <row r="1550" spans="1:27" ht="12.75">
      <c r="A1550" s="25" t="str">
        <f ca="1">IFERROR(__xludf.DUMMYFUNCTION("""COMPUTED_VALUE"""),"居家生活用品")</f>
        <v>居家生活用品</v>
      </c>
      <c r="B1550" s="25" t="str">
        <f ca="1">IFERROR(__xludf.DUMMYFUNCTION("""COMPUTED_VALUE"""),"視博網訊")</f>
        <v>視博網訊</v>
      </c>
      <c r="C1550" s="25" t="str">
        <f ca="1">IFERROR(__xludf.DUMMYFUNCTION("""COMPUTED_VALUE"""),"SpotCam")</f>
        <v>SpotCam</v>
      </c>
      <c r="D1550" s="25" t="str">
        <f ca="1">IFERROR(__xludf.DUMMYFUNCTION("""COMPUTED_VALUE"""),"居家_2K智慧雲端寵物攝影機_SpotCam Mibo")</f>
        <v>居家_2K智慧雲端寵物攝影機_SpotCam Mibo</v>
      </c>
      <c r="E1550" s="25" t="str">
        <f ca="1">IFERROR(__xludf.DUMMYFUNCTION("""COMPUTED_VALUE"""),"Mibo")</f>
        <v>Mibo</v>
      </c>
      <c r="F1550" s="25">
        <f ca="1">IFERROR(__xludf.DUMMYFUNCTION("""COMPUTED_VALUE"""),51057322)</f>
        <v>51057322</v>
      </c>
      <c r="G1550" s="25" t="str">
        <f ca="1">IFERROR(__xludf.DUMMYFUNCTION("""COMPUTED_VALUE"""),"IGEM0873")</f>
        <v>IGEM0873</v>
      </c>
      <c r="H1550" s="26">
        <f ca="1">IFERROR(__xludf.DUMMYFUNCTION("""COMPUTED_VALUE"""),3190)</f>
        <v>3190</v>
      </c>
      <c r="I1550" s="27">
        <f ca="1">IFERROR(__xludf.DUMMYFUNCTION("""COMPUTED_VALUE"""),2490)</f>
        <v>2490</v>
      </c>
      <c r="J1550" s="29">
        <f ca="1">IFERROR(__xludf.DUMMYFUNCTION("""COMPUTED_VALUE"""),45184)</f>
        <v>45184</v>
      </c>
      <c r="K1550" s="25" t="str">
        <f ca="1">IFERROR(__xludf.DUMMYFUNCTION("""COMPUTED_VALUE"""),"永久降價")</f>
        <v>永久降價</v>
      </c>
      <c r="L1550" s="26" t="str">
        <f ca="1">IFERROR(__xludf.DUMMYFUNCTION("""COMPUTED_VALUE"""),"上架中")</f>
        <v>上架中</v>
      </c>
      <c r="M1550" s="25"/>
      <c r="N1550" s="25" t="str">
        <f ca="1">IFERROR(__xludf.DUMMYFUNCTION("""COMPUTED_VALUE"""),"網路攝影機")</f>
        <v>網路攝影機</v>
      </c>
      <c r="O1550" s="25" t="str">
        <f ca="1">IFERROR(__xludf.DUMMYFUNCTION("""COMPUTED_VALUE"""),"白色")</f>
        <v>白色</v>
      </c>
      <c r="P1550" s="25"/>
      <c r="Q1550" s="25"/>
      <c r="R1550" s="25" t="str">
        <f ca="1">IFERROR(__xludf.DUMMYFUNCTION("""COMPUTED_VALUE"""),"中國")</f>
        <v>中國</v>
      </c>
      <c r="S1550" s="25" t="str">
        <f ca="1">IFERROR(__xludf.DUMMYFUNCTION("""COMPUTED_VALUE"""),"NCC:CCAH22LP9610T4")</f>
        <v>NCC:CCAH22LP9610T4</v>
      </c>
      <c r="T1550" s="25"/>
      <c r="U1550" s="25" t="str">
        <f ca="1">IFERROR(__xludf.DUMMYFUNCTION("""COMPUTED_VALUE"""),"1年")</f>
        <v>1年</v>
      </c>
      <c r="V1550" s="25"/>
      <c r="W1550" s="25"/>
      <c r="X1550" s="25"/>
      <c r="Y1550" s="25"/>
      <c r="Z1550" s="27"/>
      <c r="AA1550" s="28" t="str">
        <f ca="1">IFERROR(__xludf.DUMMYFUNCTION("""COMPUTED_VALUE"""),"*高清2K畫質360度擺頭無死角*智能寵物追蹤，尋找寵物沒煩惱*支援無線和有線網路，安裝更方便*全時段錄影，提供回放與事件紀錄")</f>
        <v>*高清2K畫質360度擺頭無死角*智能寵物追蹤，尋找寵物沒煩惱*支援無線和有線網路，安裝更方便*全時段錄影，提供回放與事件紀錄</v>
      </c>
    </row>
    <row r="1551" spans="1:27" ht="12.75">
      <c r="A1551" s="25" t="str">
        <f ca="1">IFERROR(__xludf.DUMMYFUNCTION("""COMPUTED_VALUE"""),"居家生活用品")</f>
        <v>居家生活用品</v>
      </c>
      <c r="B1551" s="25" t="str">
        <f ca="1">IFERROR(__xludf.DUMMYFUNCTION("""COMPUTED_VALUE"""),"飛樂")</f>
        <v>飛樂</v>
      </c>
      <c r="C1551" s="25" t="str">
        <f ca="1">IFERROR(__xludf.DUMMYFUNCTION("""COMPUTED_VALUE"""),"arlink")</f>
        <v>arlink</v>
      </c>
      <c r="D1551" s="25" t="str">
        <f ca="1">IFERROR(__xludf.DUMMYFUNCTION("""COMPUTED_VALUE"""),"居家_【Arlink】Carry系列 20吋多功能前開式 鋁框純PC行李L1020-月光白")</f>
        <v>居家_【Arlink】Carry系列 20吋多功能前開式 鋁框純PC行李L1020-月光白</v>
      </c>
      <c r="E1551" s="25" t="str">
        <f ca="1">IFERROR(__xludf.DUMMYFUNCTION("""COMPUTED_VALUE"""),"L1020W")</f>
        <v>L1020W</v>
      </c>
      <c r="F1551" s="25">
        <f ca="1">IFERROR(__xludf.DUMMYFUNCTION("""COMPUTED_VALUE"""),51080039)</f>
        <v>51080039</v>
      </c>
      <c r="G1551" s="25" t="str">
        <f ca="1">IFERROR(__xludf.DUMMYFUNCTION("""COMPUTED_VALUE"""),"IGEM112U")</f>
        <v>IGEM112U</v>
      </c>
      <c r="H1551" s="26">
        <f ca="1">IFERROR(__xludf.DUMMYFUNCTION("""COMPUTED_VALUE"""),4980)</f>
        <v>4980</v>
      </c>
      <c r="I1551" s="27">
        <f ca="1">IFERROR(__xludf.DUMMYFUNCTION("""COMPUTED_VALUE"""),3990)</f>
        <v>3990</v>
      </c>
      <c r="J1551" s="25"/>
      <c r="K1551" s="25" t="str">
        <f ca="1">IFERROR(__xludf.DUMMYFUNCTION("""COMPUTED_VALUE"""),"新機上架")</f>
        <v>新機上架</v>
      </c>
      <c r="L1551" s="26" t="str">
        <f ca="1">IFERROR(__xludf.DUMMYFUNCTION("""COMPUTED_VALUE"""),"上架中")</f>
        <v>上架中</v>
      </c>
      <c r="M1551" s="25"/>
      <c r="N1551" s="25" t="str">
        <f ca="1">IFERROR(__xludf.DUMMYFUNCTION("""COMPUTED_VALUE"""),"行李箱")</f>
        <v>行李箱</v>
      </c>
      <c r="O1551" s="25" t="str">
        <f ca="1">IFERROR(__xludf.DUMMYFUNCTION("""COMPUTED_VALUE"""),"月光白")</f>
        <v>月光白</v>
      </c>
      <c r="P1551" s="25" t="str">
        <f ca="1">IFERROR(__xludf.DUMMYFUNCTION("""COMPUTED_VALUE"""),"20吋")</f>
        <v>20吋</v>
      </c>
      <c r="Q1551" s="25"/>
      <c r="R1551" s="25" t="str">
        <f ca="1">IFERROR(__xludf.DUMMYFUNCTION("""COMPUTED_VALUE"""),"中國")</f>
        <v>中國</v>
      </c>
      <c r="S1551" s="25"/>
      <c r="T1551" s="25"/>
      <c r="U1551"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1" s="25"/>
      <c r="W1551" s="25"/>
      <c r="X1551" s="25"/>
      <c r="Y1551" s="25"/>
      <c r="Z1551" s="27"/>
      <c r="AA1551"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2" spans="1:27" ht="12.75">
      <c r="A1552" s="25" t="str">
        <f ca="1">IFERROR(__xludf.DUMMYFUNCTION("""COMPUTED_VALUE"""),"居家生活用品")</f>
        <v>居家生活用品</v>
      </c>
      <c r="B1552" s="25" t="str">
        <f ca="1">IFERROR(__xludf.DUMMYFUNCTION("""COMPUTED_VALUE"""),"飛樂")</f>
        <v>飛樂</v>
      </c>
      <c r="C1552" s="25" t="str">
        <f ca="1">IFERROR(__xludf.DUMMYFUNCTION("""COMPUTED_VALUE"""),"arlink")</f>
        <v>arlink</v>
      </c>
      <c r="D1552" s="25" t="str">
        <f ca="1">IFERROR(__xludf.DUMMYFUNCTION("""COMPUTED_VALUE"""),"居家_【Arlink】Carry系列 20吋多功能前開式 鋁框純PC行李箱L1020-鋰石灰")</f>
        <v>居家_【Arlink】Carry系列 20吋多功能前開式 鋁框純PC行李箱L1020-鋰石灰</v>
      </c>
      <c r="E1552" s="25" t="str">
        <f ca="1">IFERROR(__xludf.DUMMYFUNCTION("""COMPUTED_VALUE"""),"L1020G")</f>
        <v>L1020G</v>
      </c>
      <c r="F1552" s="25">
        <f ca="1">IFERROR(__xludf.DUMMYFUNCTION("""COMPUTED_VALUE"""),51080040)</f>
        <v>51080040</v>
      </c>
      <c r="G1552" s="25" t="str">
        <f ca="1">IFERROR(__xludf.DUMMYFUNCTION("""COMPUTED_VALUE"""),"IGEM112V")</f>
        <v>IGEM112V</v>
      </c>
      <c r="H1552" s="26">
        <f ca="1">IFERROR(__xludf.DUMMYFUNCTION("""COMPUTED_VALUE"""),4980)</f>
        <v>4980</v>
      </c>
      <c r="I1552" s="27">
        <f ca="1">IFERROR(__xludf.DUMMYFUNCTION("""COMPUTED_VALUE"""),3990)</f>
        <v>3990</v>
      </c>
      <c r="J1552" s="25"/>
      <c r="K1552" s="25" t="str">
        <f ca="1">IFERROR(__xludf.DUMMYFUNCTION("""COMPUTED_VALUE"""),"新機上架")</f>
        <v>新機上架</v>
      </c>
      <c r="L1552" s="26" t="str">
        <f ca="1">IFERROR(__xludf.DUMMYFUNCTION("""COMPUTED_VALUE"""),"上架中")</f>
        <v>上架中</v>
      </c>
      <c r="M1552" s="25"/>
      <c r="N1552" s="25" t="str">
        <f ca="1">IFERROR(__xludf.DUMMYFUNCTION("""COMPUTED_VALUE"""),"行李箱")</f>
        <v>行李箱</v>
      </c>
      <c r="O1552" s="25" t="str">
        <f ca="1">IFERROR(__xludf.DUMMYFUNCTION("""COMPUTED_VALUE"""),"鋰石灰")</f>
        <v>鋰石灰</v>
      </c>
      <c r="P1552" s="25" t="str">
        <f ca="1">IFERROR(__xludf.DUMMYFUNCTION("""COMPUTED_VALUE"""),"20吋")</f>
        <v>20吋</v>
      </c>
      <c r="Q1552" s="25"/>
      <c r="R1552" s="25" t="str">
        <f ca="1">IFERROR(__xludf.DUMMYFUNCTION("""COMPUTED_VALUE"""),"中國")</f>
        <v>中國</v>
      </c>
      <c r="S1552" s="25"/>
      <c r="T1552" s="25"/>
      <c r="U1552"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2" s="25"/>
      <c r="W1552" s="25"/>
      <c r="X1552" s="25"/>
      <c r="Y1552" s="25"/>
      <c r="Z1552" s="27"/>
      <c r="AA1552"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3" spans="1:27" ht="12.75">
      <c r="A1553" s="25" t="str">
        <f ca="1">IFERROR(__xludf.DUMMYFUNCTION("""COMPUTED_VALUE"""),"居家生活用品")</f>
        <v>居家生活用品</v>
      </c>
      <c r="B1553" s="25" t="str">
        <f ca="1">IFERROR(__xludf.DUMMYFUNCTION("""COMPUTED_VALUE"""),"飛樂")</f>
        <v>飛樂</v>
      </c>
      <c r="C1553" s="25" t="str">
        <f ca="1">IFERROR(__xludf.DUMMYFUNCTION("""COMPUTED_VALUE"""),"arlink")</f>
        <v>arlink</v>
      </c>
      <c r="D1553" s="25" t="str">
        <f ca="1">IFERROR(__xludf.DUMMYFUNCTION("""COMPUTED_VALUE"""),"居家_【Arlink】Carry系列 20吋多功能前開式 鋁框純PC行李箱L1020-曜石銀")</f>
        <v>居家_【Arlink】Carry系列 20吋多功能前開式 鋁框純PC行李箱L1020-曜石銀</v>
      </c>
      <c r="E1553" s="25" t="str">
        <f ca="1">IFERROR(__xludf.DUMMYFUNCTION("""COMPUTED_VALUE"""),"L1020S")</f>
        <v>L1020S</v>
      </c>
      <c r="F1553" s="25">
        <f ca="1">IFERROR(__xludf.DUMMYFUNCTION("""COMPUTED_VALUE"""),51080041)</f>
        <v>51080041</v>
      </c>
      <c r="G1553" s="25" t="str">
        <f ca="1">IFERROR(__xludf.DUMMYFUNCTION("""COMPUTED_VALUE"""),"IGEM112W")</f>
        <v>IGEM112W</v>
      </c>
      <c r="H1553" s="26">
        <f ca="1">IFERROR(__xludf.DUMMYFUNCTION("""COMPUTED_VALUE"""),4980)</f>
        <v>4980</v>
      </c>
      <c r="I1553" s="27">
        <f ca="1">IFERROR(__xludf.DUMMYFUNCTION("""COMPUTED_VALUE"""),3990)</f>
        <v>3990</v>
      </c>
      <c r="J1553" s="25"/>
      <c r="K1553" s="25" t="str">
        <f ca="1">IFERROR(__xludf.DUMMYFUNCTION("""COMPUTED_VALUE"""),"新機上架")</f>
        <v>新機上架</v>
      </c>
      <c r="L1553" s="26" t="str">
        <f ca="1">IFERROR(__xludf.DUMMYFUNCTION("""COMPUTED_VALUE"""),"上架中")</f>
        <v>上架中</v>
      </c>
      <c r="M1553" s="25"/>
      <c r="N1553" s="25" t="str">
        <f ca="1">IFERROR(__xludf.DUMMYFUNCTION("""COMPUTED_VALUE"""),"行李箱")</f>
        <v>行李箱</v>
      </c>
      <c r="O1553" s="25" t="str">
        <f ca="1">IFERROR(__xludf.DUMMYFUNCTION("""COMPUTED_VALUE"""),"曜石銀")</f>
        <v>曜石銀</v>
      </c>
      <c r="P1553" s="25" t="str">
        <f ca="1">IFERROR(__xludf.DUMMYFUNCTION("""COMPUTED_VALUE"""),"20吋")</f>
        <v>20吋</v>
      </c>
      <c r="Q1553" s="25"/>
      <c r="R1553" s="25" t="str">
        <f ca="1">IFERROR(__xludf.DUMMYFUNCTION("""COMPUTED_VALUE"""),"中國")</f>
        <v>中國</v>
      </c>
      <c r="S1553" s="25"/>
      <c r="T1553" s="25"/>
      <c r="U1553"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3" s="25"/>
      <c r="W1553" s="25"/>
      <c r="X1553" s="25"/>
      <c r="Y1553" s="25"/>
      <c r="Z1553" s="27"/>
      <c r="AA1553"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4" spans="1:27" ht="12.75">
      <c r="A1554" s="25" t="str">
        <f ca="1">IFERROR(__xludf.DUMMYFUNCTION("""COMPUTED_VALUE"""),"居家生活用品")</f>
        <v>居家生活用品</v>
      </c>
      <c r="B1554" s="25" t="str">
        <f ca="1">IFERROR(__xludf.DUMMYFUNCTION("""COMPUTED_VALUE"""),"飛樂")</f>
        <v>飛樂</v>
      </c>
      <c r="C1554" s="25" t="str">
        <f ca="1">IFERROR(__xludf.DUMMYFUNCTION("""COMPUTED_VALUE"""),"arlink")</f>
        <v>arlink</v>
      </c>
      <c r="D1554" s="25" t="str">
        <f ca="1">IFERROR(__xludf.DUMMYFUNCTION("""COMPUTED_VALUE"""),"居家_【Arlink】Carry系列 20吋多功能前開式 鋁框純PC行李箱L1020-粉桃")</f>
        <v>居家_【Arlink】Carry系列 20吋多功能前開式 鋁框純PC行李箱L1020-粉桃</v>
      </c>
      <c r="E1554" s="25" t="str">
        <f ca="1">IFERROR(__xludf.DUMMYFUNCTION("""COMPUTED_VALUE"""),"L1020P")</f>
        <v>L1020P</v>
      </c>
      <c r="F1554" s="25">
        <f ca="1">IFERROR(__xludf.DUMMYFUNCTION("""COMPUTED_VALUE"""),51080042)</f>
        <v>51080042</v>
      </c>
      <c r="G1554" s="25" t="str">
        <f ca="1">IFERROR(__xludf.DUMMYFUNCTION("""COMPUTED_VALUE"""),"IGEM112X")</f>
        <v>IGEM112X</v>
      </c>
      <c r="H1554" s="26">
        <f ca="1">IFERROR(__xludf.DUMMYFUNCTION("""COMPUTED_VALUE"""),4980)</f>
        <v>4980</v>
      </c>
      <c r="I1554" s="27">
        <f ca="1">IFERROR(__xludf.DUMMYFUNCTION("""COMPUTED_VALUE"""),3990)</f>
        <v>3990</v>
      </c>
      <c r="J1554" s="25"/>
      <c r="K1554" s="25" t="str">
        <f ca="1">IFERROR(__xludf.DUMMYFUNCTION("""COMPUTED_VALUE"""),"新機上架")</f>
        <v>新機上架</v>
      </c>
      <c r="L1554" s="26" t="str">
        <f ca="1">IFERROR(__xludf.DUMMYFUNCTION("""COMPUTED_VALUE"""),"上架中")</f>
        <v>上架中</v>
      </c>
      <c r="M1554" s="25"/>
      <c r="N1554" s="25" t="str">
        <f ca="1">IFERROR(__xludf.DUMMYFUNCTION("""COMPUTED_VALUE"""),"行李箱")</f>
        <v>行李箱</v>
      </c>
      <c r="O1554" s="25" t="str">
        <f ca="1">IFERROR(__xludf.DUMMYFUNCTION("""COMPUTED_VALUE"""),"粉桃")</f>
        <v>粉桃</v>
      </c>
      <c r="P1554" s="25" t="str">
        <f ca="1">IFERROR(__xludf.DUMMYFUNCTION("""COMPUTED_VALUE"""),"20吋")</f>
        <v>20吋</v>
      </c>
      <c r="Q1554" s="25"/>
      <c r="R1554" s="25" t="str">
        <f ca="1">IFERROR(__xludf.DUMMYFUNCTION("""COMPUTED_VALUE"""),"中國")</f>
        <v>中國</v>
      </c>
      <c r="S1554" s="25"/>
      <c r="T1554" s="25"/>
      <c r="U1554"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4" s="25"/>
      <c r="W1554" s="25"/>
      <c r="X1554" s="25"/>
      <c r="Y1554" s="25"/>
      <c r="Z1554" s="27"/>
      <c r="AA1554"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5" spans="1:27" ht="12.75">
      <c r="A1555" s="25" t="str">
        <f ca="1">IFERROR(__xludf.DUMMYFUNCTION("""COMPUTED_VALUE"""),"居家生活用品")</f>
        <v>居家生活用品</v>
      </c>
      <c r="B1555" s="25" t="str">
        <f ca="1">IFERROR(__xludf.DUMMYFUNCTION("""COMPUTED_VALUE"""),"飛樂")</f>
        <v>飛樂</v>
      </c>
      <c r="C1555" s="25" t="str">
        <f ca="1">IFERROR(__xludf.DUMMYFUNCTION("""COMPUTED_VALUE"""),"arlink")</f>
        <v>arlink</v>
      </c>
      <c r="D1555" s="25" t="str">
        <f ca="1">IFERROR(__xludf.DUMMYFUNCTION("""COMPUTED_VALUE"""),"居家_【Arlink】Carry系列 24吋多功能前開式 鋁框純PC行李箱L1024-月光白")</f>
        <v>居家_【Arlink】Carry系列 24吋多功能前開式 鋁框純PC行李箱L1024-月光白</v>
      </c>
      <c r="E1555" s="25" t="str">
        <f ca="1">IFERROR(__xludf.DUMMYFUNCTION("""COMPUTED_VALUE"""),"L1024W")</f>
        <v>L1024W</v>
      </c>
      <c r="F1555" s="25">
        <f ca="1">IFERROR(__xludf.DUMMYFUNCTION("""COMPUTED_VALUE"""),51080043)</f>
        <v>51080043</v>
      </c>
      <c r="G1555" s="25" t="str">
        <f ca="1">IFERROR(__xludf.DUMMYFUNCTION("""COMPUTED_VALUE"""),"IGEM112Y")</f>
        <v>IGEM112Y</v>
      </c>
      <c r="H1555" s="26">
        <f ca="1">IFERROR(__xludf.DUMMYFUNCTION("""COMPUTED_VALUE"""),5490)</f>
        <v>5490</v>
      </c>
      <c r="I1555" s="27">
        <f ca="1">IFERROR(__xludf.DUMMYFUNCTION("""COMPUTED_VALUE"""),4480)</f>
        <v>4480</v>
      </c>
      <c r="J1555" s="25"/>
      <c r="K1555" s="25" t="str">
        <f ca="1">IFERROR(__xludf.DUMMYFUNCTION("""COMPUTED_VALUE"""),"新機上架")</f>
        <v>新機上架</v>
      </c>
      <c r="L1555" s="26" t="str">
        <f ca="1">IFERROR(__xludf.DUMMYFUNCTION("""COMPUTED_VALUE"""),"上架中")</f>
        <v>上架中</v>
      </c>
      <c r="M1555" s="25"/>
      <c r="N1555" s="25" t="str">
        <f ca="1">IFERROR(__xludf.DUMMYFUNCTION("""COMPUTED_VALUE"""),"行李箱")</f>
        <v>行李箱</v>
      </c>
      <c r="O1555" s="25" t="str">
        <f ca="1">IFERROR(__xludf.DUMMYFUNCTION("""COMPUTED_VALUE"""),"月光白")</f>
        <v>月光白</v>
      </c>
      <c r="P1555" s="25" t="str">
        <f ca="1">IFERROR(__xludf.DUMMYFUNCTION("""COMPUTED_VALUE"""),"24吋")</f>
        <v>24吋</v>
      </c>
      <c r="Q1555" s="25"/>
      <c r="R1555" s="25" t="str">
        <f ca="1">IFERROR(__xludf.DUMMYFUNCTION("""COMPUTED_VALUE"""),"中國")</f>
        <v>中國</v>
      </c>
      <c r="S1555" s="25"/>
      <c r="T1555" s="25"/>
      <c r="U1555"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5" s="25"/>
      <c r="W1555" s="25"/>
      <c r="X1555" s="25"/>
      <c r="Y1555" s="25"/>
      <c r="Z1555" s="27"/>
      <c r="AA1555"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6" spans="1:27" ht="12.75">
      <c r="A1556" s="25" t="str">
        <f ca="1">IFERROR(__xludf.DUMMYFUNCTION("""COMPUTED_VALUE"""),"居家生活用品")</f>
        <v>居家生活用品</v>
      </c>
      <c r="B1556" s="25" t="str">
        <f ca="1">IFERROR(__xludf.DUMMYFUNCTION("""COMPUTED_VALUE"""),"飛樂")</f>
        <v>飛樂</v>
      </c>
      <c r="C1556" s="25" t="str">
        <f ca="1">IFERROR(__xludf.DUMMYFUNCTION("""COMPUTED_VALUE"""),"arlink")</f>
        <v>arlink</v>
      </c>
      <c r="D1556" s="25" t="str">
        <f ca="1">IFERROR(__xludf.DUMMYFUNCTION("""COMPUTED_VALUE"""),"居家_【Arlink】Carry系列 24吋多功能前開式 鋁框純PC行李箱L1024-鋰石灰")</f>
        <v>居家_【Arlink】Carry系列 24吋多功能前開式 鋁框純PC行李箱L1024-鋰石灰</v>
      </c>
      <c r="E1556" s="25" t="str">
        <f ca="1">IFERROR(__xludf.DUMMYFUNCTION("""COMPUTED_VALUE"""),"L1024G")</f>
        <v>L1024G</v>
      </c>
      <c r="F1556" s="25">
        <f ca="1">IFERROR(__xludf.DUMMYFUNCTION("""COMPUTED_VALUE"""),51080044)</f>
        <v>51080044</v>
      </c>
      <c r="G1556" s="25" t="str">
        <f ca="1">IFERROR(__xludf.DUMMYFUNCTION("""COMPUTED_VALUE"""),"IGEM112Z")</f>
        <v>IGEM112Z</v>
      </c>
      <c r="H1556" s="26">
        <f ca="1">IFERROR(__xludf.DUMMYFUNCTION("""COMPUTED_VALUE"""),5490)</f>
        <v>5490</v>
      </c>
      <c r="I1556" s="27">
        <f ca="1">IFERROR(__xludf.DUMMYFUNCTION("""COMPUTED_VALUE"""),4480)</f>
        <v>4480</v>
      </c>
      <c r="J1556" s="25"/>
      <c r="K1556" s="25" t="str">
        <f ca="1">IFERROR(__xludf.DUMMYFUNCTION("""COMPUTED_VALUE"""),"新機上架")</f>
        <v>新機上架</v>
      </c>
      <c r="L1556" s="26" t="str">
        <f ca="1">IFERROR(__xludf.DUMMYFUNCTION("""COMPUTED_VALUE"""),"上架中")</f>
        <v>上架中</v>
      </c>
      <c r="M1556" s="25"/>
      <c r="N1556" s="25" t="str">
        <f ca="1">IFERROR(__xludf.DUMMYFUNCTION("""COMPUTED_VALUE"""),"行李箱")</f>
        <v>行李箱</v>
      </c>
      <c r="O1556" s="25" t="str">
        <f ca="1">IFERROR(__xludf.DUMMYFUNCTION("""COMPUTED_VALUE"""),"鋰石灰")</f>
        <v>鋰石灰</v>
      </c>
      <c r="P1556" s="25" t="str">
        <f ca="1">IFERROR(__xludf.DUMMYFUNCTION("""COMPUTED_VALUE"""),"24吋")</f>
        <v>24吋</v>
      </c>
      <c r="Q1556" s="25"/>
      <c r="R1556" s="25" t="str">
        <f ca="1">IFERROR(__xludf.DUMMYFUNCTION("""COMPUTED_VALUE"""),"中國")</f>
        <v>中國</v>
      </c>
      <c r="S1556" s="25"/>
      <c r="T1556" s="25"/>
      <c r="U1556"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6" s="25"/>
      <c r="W1556" s="25"/>
      <c r="X1556" s="25"/>
      <c r="Y1556" s="25"/>
      <c r="Z1556" s="27"/>
      <c r="AA1556"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7" spans="1:27" ht="12.75">
      <c r="A1557" s="25" t="str">
        <f ca="1">IFERROR(__xludf.DUMMYFUNCTION("""COMPUTED_VALUE"""),"居家生活用品")</f>
        <v>居家生活用品</v>
      </c>
      <c r="B1557" s="25" t="str">
        <f ca="1">IFERROR(__xludf.DUMMYFUNCTION("""COMPUTED_VALUE"""),"飛樂")</f>
        <v>飛樂</v>
      </c>
      <c r="C1557" s="25" t="str">
        <f ca="1">IFERROR(__xludf.DUMMYFUNCTION("""COMPUTED_VALUE"""),"arlink")</f>
        <v>arlink</v>
      </c>
      <c r="D1557" s="25" t="str">
        <f ca="1">IFERROR(__xludf.DUMMYFUNCTION("""COMPUTED_VALUE"""),"居家_【Arlink】Carry系列 28吋多功能前開式 鋁框純PC行李箱L1028-月光白")</f>
        <v>居家_【Arlink】Carry系列 28吋多功能前開式 鋁框純PC行李箱L1028-月光白</v>
      </c>
      <c r="E1557" s="25" t="str">
        <f ca="1">IFERROR(__xludf.DUMMYFUNCTION("""COMPUTED_VALUE"""),"L1028W")</f>
        <v>L1028W</v>
      </c>
      <c r="F1557" s="25">
        <f ca="1">IFERROR(__xludf.DUMMYFUNCTION("""COMPUTED_VALUE"""),51080045)</f>
        <v>51080045</v>
      </c>
      <c r="G1557" s="25" t="str">
        <f ca="1">IFERROR(__xludf.DUMMYFUNCTION("""COMPUTED_VALUE"""),"IGEM1131")</f>
        <v>IGEM1131</v>
      </c>
      <c r="H1557" s="26">
        <f ca="1">IFERROR(__xludf.DUMMYFUNCTION("""COMPUTED_VALUE"""),6490)</f>
        <v>6490</v>
      </c>
      <c r="I1557" s="27">
        <f ca="1">IFERROR(__xludf.DUMMYFUNCTION("""COMPUTED_VALUE"""),5490)</f>
        <v>5490</v>
      </c>
      <c r="J1557" s="25"/>
      <c r="K1557" s="25" t="str">
        <f ca="1">IFERROR(__xludf.DUMMYFUNCTION("""COMPUTED_VALUE"""),"新機上架")</f>
        <v>新機上架</v>
      </c>
      <c r="L1557" s="26" t="str">
        <f ca="1">IFERROR(__xludf.DUMMYFUNCTION("""COMPUTED_VALUE"""),"上架中")</f>
        <v>上架中</v>
      </c>
      <c r="M1557" s="25"/>
      <c r="N1557" s="25" t="str">
        <f ca="1">IFERROR(__xludf.DUMMYFUNCTION("""COMPUTED_VALUE"""),"行李箱")</f>
        <v>行李箱</v>
      </c>
      <c r="O1557" s="25" t="str">
        <f ca="1">IFERROR(__xludf.DUMMYFUNCTION("""COMPUTED_VALUE"""),"月光白")</f>
        <v>月光白</v>
      </c>
      <c r="P1557" s="25" t="str">
        <f ca="1">IFERROR(__xludf.DUMMYFUNCTION("""COMPUTED_VALUE"""),"28吋")</f>
        <v>28吋</v>
      </c>
      <c r="Q1557" s="25"/>
      <c r="R1557" s="25" t="str">
        <f ca="1">IFERROR(__xludf.DUMMYFUNCTION("""COMPUTED_VALUE"""),"中國")</f>
        <v>中國</v>
      </c>
      <c r="S1557" s="25"/>
      <c r="T1557" s="25"/>
      <c r="U1557"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7" s="25"/>
      <c r="W1557" s="25"/>
      <c r="X1557" s="25"/>
      <c r="Y1557" s="25"/>
      <c r="Z1557" s="27"/>
      <c r="AA1557"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8" spans="1:27" ht="12.75">
      <c r="A1558" s="25" t="str">
        <f ca="1">IFERROR(__xludf.DUMMYFUNCTION("""COMPUTED_VALUE"""),"居家生活用品")</f>
        <v>居家生活用品</v>
      </c>
      <c r="B1558" s="25" t="str">
        <f ca="1">IFERROR(__xludf.DUMMYFUNCTION("""COMPUTED_VALUE"""),"飛樂")</f>
        <v>飛樂</v>
      </c>
      <c r="C1558" s="25" t="str">
        <f ca="1">IFERROR(__xludf.DUMMYFUNCTION("""COMPUTED_VALUE"""),"arlink")</f>
        <v>arlink</v>
      </c>
      <c r="D1558" s="25" t="str">
        <f ca="1">IFERROR(__xludf.DUMMYFUNCTION("""COMPUTED_VALUE"""),"居家_【Arlink】Carry系列 28吋多功能前開式 鋁框純PC行李箱L1028-鋰石灰")</f>
        <v>居家_【Arlink】Carry系列 28吋多功能前開式 鋁框純PC行李箱L1028-鋰石灰</v>
      </c>
      <c r="E1558" s="25" t="str">
        <f ca="1">IFERROR(__xludf.DUMMYFUNCTION("""COMPUTED_VALUE"""),"L1028G")</f>
        <v>L1028G</v>
      </c>
      <c r="F1558" s="25">
        <f ca="1">IFERROR(__xludf.DUMMYFUNCTION("""COMPUTED_VALUE"""),51080046)</f>
        <v>51080046</v>
      </c>
      <c r="G1558" s="25" t="str">
        <f ca="1">IFERROR(__xludf.DUMMYFUNCTION("""COMPUTED_VALUE"""),"IGEM1132")</f>
        <v>IGEM1132</v>
      </c>
      <c r="H1558" s="26">
        <f ca="1">IFERROR(__xludf.DUMMYFUNCTION("""COMPUTED_VALUE"""),6490)</f>
        <v>6490</v>
      </c>
      <c r="I1558" s="27">
        <f ca="1">IFERROR(__xludf.DUMMYFUNCTION("""COMPUTED_VALUE"""),5490)</f>
        <v>5490</v>
      </c>
      <c r="J1558" s="25"/>
      <c r="K1558" s="25" t="str">
        <f ca="1">IFERROR(__xludf.DUMMYFUNCTION("""COMPUTED_VALUE"""),"新機上架")</f>
        <v>新機上架</v>
      </c>
      <c r="L1558" s="26" t="str">
        <f ca="1">IFERROR(__xludf.DUMMYFUNCTION("""COMPUTED_VALUE"""),"上架中")</f>
        <v>上架中</v>
      </c>
      <c r="M1558" s="25"/>
      <c r="N1558" s="25" t="str">
        <f ca="1">IFERROR(__xludf.DUMMYFUNCTION("""COMPUTED_VALUE"""),"行李箱")</f>
        <v>行李箱</v>
      </c>
      <c r="O1558" s="25" t="str">
        <f ca="1">IFERROR(__xludf.DUMMYFUNCTION("""COMPUTED_VALUE"""),"鋰石灰")</f>
        <v>鋰石灰</v>
      </c>
      <c r="P1558" s="25" t="str">
        <f ca="1">IFERROR(__xludf.DUMMYFUNCTION("""COMPUTED_VALUE"""),"28吋")</f>
        <v>28吋</v>
      </c>
      <c r="Q1558" s="25"/>
      <c r="R1558" s="25" t="str">
        <f ca="1">IFERROR(__xludf.DUMMYFUNCTION("""COMPUTED_VALUE"""),"中國")</f>
        <v>中國</v>
      </c>
      <c r="S1558" s="25"/>
      <c r="T1558" s="25"/>
      <c r="U1558"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8" s="25"/>
      <c r="W1558" s="25"/>
      <c r="X1558" s="25"/>
      <c r="Y1558" s="25"/>
      <c r="Z1558" s="27"/>
      <c r="AA1558"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59" spans="1:27" ht="12.75">
      <c r="A1559" s="25" t="str">
        <f ca="1">IFERROR(__xludf.DUMMYFUNCTION("""COMPUTED_VALUE"""),"居家生活用品")</f>
        <v>居家生活用品</v>
      </c>
      <c r="B1559" s="25" t="str">
        <f ca="1">IFERROR(__xludf.DUMMYFUNCTION("""COMPUTED_VALUE"""),"飛樂")</f>
        <v>飛樂</v>
      </c>
      <c r="C1559" s="25" t="str">
        <f ca="1">IFERROR(__xludf.DUMMYFUNCTION("""COMPUTED_VALUE"""),"arlink")</f>
        <v>arlink</v>
      </c>
      <c r="D1559" s="25" t="str">
        <f ca="1">IFERROR(__xludf.DUMMYFUNCTION("""COMPUTED_VALUE"""),"居家_【Arlink】Carry系列 30吋多功能前開式 鋁框純PC行李箱L2030-月光白")</f>
        <v>居家_【Arlink】Carry系列 30吋多功能前開式 鋁框純PC行李箱L2030-月光白</v>
      </c>
      <c r="E1559" s="25" t="str">
        <f ca="1">IFERROR(__xludf.DUMMYFUNCTION("""COMPUTED_VALUE"""),"L2030W")</f>
        <v>L2030W</v>
      </c>
      <c r="F1559" s="25">
        <f ca="1">IFERROR(__xludf.DUMMYFUNCTION("""COMPUTED_VALUE"""),51080047)</f>
        <v>51080047</v>
      </c>
      <c r="G1559" s="25" t="str">
        <f ca="1">IFERROR(__xludf.DUMMYFUNCTION("""COMPUTED_VALUE"""),"IGEM1133")</f>
        <v>IGEM1133</v>
      </c>
      <c r="H1559" s="26">
        <f ca="1">IFERROR(__xludf.DUMMYFUNCTION("""COMPUTED_VALUE"""),6990)</f>
        <v>6990</v>
      </c>
      <c r="I1559" s="27">
        <f ca="1">IFERROR(__xludf.DUMMYFUNCTION("""COMPUTED_VALUE"""),5990)</f>
        <v>5990</v>
      </c>
      <c r="J1559" s="25"/>
      <c r="K1559" s="25" t="str">
        <f ca="1">IFERROR(__xludf.DUMMYFUNCTION("""COMPUTED_VALUE"""),"新機上架")</f>
        <v>新機上架</v>
      </c>
      <c r="L1559" s="26" t="str">
        <f ca="1">IFERROR(__xludf.DUMMYFUNCTION("""COMPUTED_VALUE"""),"上架中")</f>
        <v>上架中</v>
      </c>
      <c r="M1559" s="25"/>
      <c r="N1559" s="25" t="str">
        <f ca="1">IFERROR(__xludf.DUMMYFUNCTION("""COMPUTED_VALUE"""),"行李箱")</f>
        <v>行李箱</v>
      </c>
      <c r="O1559" s="25" t="str">
        <f ca="1">IFERROR(__xludf.DUMMYFUNCTION("""COMPUTED_VALUE"""),"月光白")</f>
        <v>月光白</v>
      </c>
      <c r="P1559" s="25" t="str">
        <f ca="1">IFERROR(__xludf.DUMMYFUNCTION("""COMPUTED_VALUE"""),"30吋")</f>
        <v>30吋</v>
      </c>
      <c r="Q1559" s="25"/>
      <c r="R1559" s="25" t="str">
        <f ca="1">IFERROR(__xludf.DUMMYFUNCTION("""COMPUTED_VALUE"""),"中國")</f>
        <v>中國</v>
      </c>
      <c r="S1559" s="25"/>
      <c r="T1559" s="25"/>
      <c r="U1559"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59" s="25"/>
      <c r="W1559" s="25"/>
      <c r="X1559" s="25"/>
      <c r="Y1559" s="25"/>
      <c r="Z1559" s="27"/>
      <c r="AA1559"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0" spans="1:27" ht="12.75">
      <c r="A1560" s="25" t="str">
        <f ca="1">IFERROR(__xludf.DUMMYFUNCTION("""COMPUTED_VALUE"""),"居家生活用品")</f>
        <v>居家生活用品</v>
      </c>
      <c r="B1560" s="25" t="str">
        <f ca="1">IFERROR(__xludf.DUMMYFUNCTION("""COMPUTED_VALUE"""),"飛樂")</f>
        <v>飛樂</v>
      </c>
      <c r="C1560" s="25" t="str">
        <f ca="1">IFERROR(__xludf.DUMMYFUNCTION("""COMPUTED_VALUE"""),"arlink")</f>
        <v>arlink</v>
      </c>
      <c r="D1560" s="25" t="str">
        <f ca="1">IFERROR(__xludf.DUMMYFUNCTION("""COMPUTED_VALUE"""),"居家_【Arlink】Carry系列 30吋多功能前開式 鋁框純PC行李箱L2030-鋰石灰")</f>
        <v>居家_【Arlink】Carry系列 30吋多功能前開式 鋁框純PC行李箱L2030-鋰石灰</v>
      </c>
      <c r="E1560" s="25" t="str">
        <f ca="1">IFERROR(__xludf.DUMMYFUNCTION("""COMPUTED_VALUE"""),"L2030G")</f>
        <v>L2030G</v>
      </c>
      <c r="F1560" s="25">
        <f ca="1">IFERROR(__xludf.DUMMYFUNCTION("""COMPUTED_VALUE"""),51080048)</f>
        <v>51080048</v>
      </c>
      <c r="G1560" s="25" t="str">
        <f ca="1">IFERROR(__xludf.DUMMYFUNCTION("""COMPUTED_VALUE"""),"IGEM1134")</f>
        <v>IGEM1134</v>
      </c>
      <c r="H1560" s="26">
        <f ca="1">IFERROR(__xludf.DUMMYFUNCTION("""COMPUTED_VALUE"""),6990)</f>
        <v>6990</v>
      </c>
      <c r="I1560" s="27">
        <f ca="1">IFERROR(__xludf.DUMMYFUNCTION("""COMPUTED_VALUE"""),5990)</f>
        <v>5990</v>
      </c>
      <c r="J1560" s="25"/>
      <c r="K1560" s="25" t="str">
        <f ca="1">IFERROR(__xludf.DUMMYFUNCTION("""COMPUTED_VALUE"""),"新機上架")</f>
        <v>新機上架</v>
      </c>
      <c r="L1560" s="26" t="str">
        <f ca="1">IFERROR(__xludf.DUMMYFUNCTION("""COMPUTED_VALUE"""),"上架中")</f>
        <v>上架中</v>
      </c>
      <c r="M1560" s="25"/>
      <c r="N1560" s="25" t="str">
        <f ca="1">IFERROR(__xludf.DUMMYFUNCTION("""COMPUTED_VALUE"""),"行李箱")</f>
        <v>行李箱</v>
      </c>
      <c r="O1560" s="25" t="str">
        <f ca="1">IFERROR(__xludf.DUMMYFUNCTION("""COMPUTED_VALUE"""),"鋰石灰")</f>
        <v>鋰石灰</v>
      </c>
      <c r="P1560" s="25" t="str">
        <f ca="1">IFERROR(__xludf.DUMMYFUNCTION("""COMPUTED_VALUE"""),"30吋")</f>
        <v>30吋</v>
      </c>
      <c r="Q1560" s="25"/>
      <c r="R1560" s="25" t="str">
        <f ca="1">IFERROR(__xludf.DUMMYFUNCTION("""COMPUTED_VALUE"""),"中國")</f>
        <v>中國</v>
      </c>
      <c r="S1560" s="25"/>
      <c r="T1560" s="25"/>
      <c r="U1560" s="25" t="str">
        <f ca="1">IFERROR(__xludf.DUMMYFUNCTION("""COMPUTED_VALUE"""),"*購買起一年內破箱，並附上航空公司開立的「行李破箱證明」，即可免費換新箱。*購買起三年內，可維修之零組件，包含輪子、拉桿、密碼鎖、提把等消耗品，完全不收取維修費及零件費。")</f>
        <v>*購買起一年內破箱，並附上航空公司開立的「行李破箱證明」，即可免費換新箱。*購買起三年內，可維修之零組件，包含輪子、拉桿、密碼鎖、提把等消耗品，完全不收取維修費及零件費。</v>
      </c>
      <c r="V1560" s="25"/>
      <c r="W1560" s="25"/>
      <c r="X1560" s="25"/>
      <c r="Y1560" s="25"/>
      <c r="Z1560" s="27"/>
      <c r="AA1560"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1" spans="1:27" ht="12.75">
      <c r="A1561" s="25" t="str">
        <f ca="1">IFERROR(__xludf.DUMMYFUNCTION("""COMPUTED_VALUE"""),"居家生活用品")</f>
        <v>居家生活用品</v>
      </c>
      <c r="B1561" s="25" t="str">
        <f ca="1">IFERROR(__xludf.DUMMYFUNCTION("""COMPUTED_VALUE"""),"飛樂")</f>
        <v>飛樂</v>
      </c>
      <c r="C1561" s="25" t="str">
        <f ca="1">IFERROR(__xludf.DUMMYFUNCTION("""COMPUTED_VALUE"""),"arlink")</f>
        <v>arlink</v>
      </c>
      <c r="D1561" s="25" t="str">
        <f ca="1">IFERROR(__xludf.DUMMYFUNCTION("""COMPUTED_VALUE"""),"居家_【Arlink】CUBE系列 多功能防水防爆 胖胖行李箱(26吋)-奶油白")</f>
        <v>居家_【Arlink】CUBE系列 多功能防水防爆 胖胖行李箱(26吋)-奶油白</v>
      </c>
      <c r="E1561" s="25" t="str">
        <f ca="1">IFERROR(__xludf.DUMMYFUNCTION("""COMPUTED_VALUE"""),"L3726W")</f>
        <v>L3726W</v>
      </c>
      <c r="F1561" s="25">
        <f ca="1">IFERROR(__xludf.DUMMYFUNCTION("""COMPUTED_VALUE"""),51080050)</f>
        <v>51080050</v>
      </c>
      <c r="G1561" s="25" t="str">
        <f ca="1">IFERROR(__xludf.DUMMYFUNCTION("""COMPUTED_VALUE"""),"IGEM1136")</f>
        <v>IGEM1136</v>
      </c>
      <c r="H1561" s="26">
        <f ca="1">IFERROR(__xludf.DUMMYFUNCTION("""COMPUTED_VALUE"""),5280)</f>
        <v>5280</v>
      </c>
      <c r="I1561" s="27">
        <f ca="1">IFERROR(__xludf.DUMMYFUNCTION("""COMPUTED_VALUE"""),4280)</f>
        <v>4280</v>
      </c>
      <c r="J1561" s="25"/>
      <c r="K1561" s="25" t="str">
        <f ca="1">IFERROR(__xludf.DUMMYFUNCTION("""COMPUTED_VALUE"""),"新機上架")</f>
        <v>新機上架</v>
      </c>
      <c r="L1561" s="26" t="str">
        <f ca="1">IFERROR(__xludf.DUMMYFUNCTION("""COMPUTED_VALUE"""),"上架中")</f>
        <v>上架中</v>
      </c>
      <c r="M1561" s="25"/>
      <c r="N1561" s="25" t="str">
        <f ca="1">IFERROR(__xludf.DUMMYFUNCTION("""COMPUTED_VALUE"""),"行李箱")</f>
        <v>行李箱</v>
      </c>
      <c r="O1561" s="25" t="str">
        <f ca="1">IFERROR(__xludf.DUMMYFUNCTION("""COMPUTED_VALUE"""),"奶油白")</f>
        <v>奶油白</v>
      </c>
      <c r="P1561" s="25" t="str">
        <f ca="1">IFERROR(__xludf.DUMMYFUNCTION("""COMPUTED_VALUE"""),"26吋")</f>
        <v>26吋</v>
      </c>
      <c r="Q1561" s="25"/>
      <c r="R1561" s="25" t="str">
        <f ca="1">IFERROR(__xludf.DUMMYFUNCTION("""COMPUTED_VALUE"""),"中國")</f>
        <v>中國</v>
      </c>
      <c r="S1561" s="25"/>
      <c r="T1561" s="25"/>
      <c r="U1561" s="25" t="str">
        <f ca="1">IFERROR(__xludf.DUMMYFUNCTION("""COMPUTED_VALUE"""),"*購買起一年內破箱，並附上航空公司開立的「行李破箱證明」，即可免費換新箱。*購買起二年內，可維修之零組件，包含輪子、拉桿、密碼鎖、提把等消耗品，完全不收取維修費及零件費。")</f>
        <v>*購買起一年內破箱，並附上航空公司開立的「行李破箱證明」，即可免費換新箱。*購買起二年內，可維修之零組件，包含輪子、拉桿、密碼鎖、提把等消耗品，完全不收取維修費及零件費。</v>
      </c>
      <c r="V1561" s="25"/>
      <c r="W1561" s="25"/>
      <c r="X1561" s="25"/>
      <c r="Y1561" s="25"/>
      <c r="Z1561" s="27"/>
      <c r="AA1561"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2" spans="1:27" ht="12.75">
      <c r="A1562" s="25" t="str">
        <f ca="1">IFERROR(__xludf.DUMMYFUNCTION("""COMPUTED_VALUE"""),"居家生活用品")</f>
        <v>居家生活用品</v>
      </c>
      <c r="B1562" s="25" t="str">
        <f ca="1">IFERROR(__xludf.DUMMYFUNCTION("""COMPUTED_VALUE"""),"飛樂")</f>
        <v>飛樂</v>
      </c>
      <c r="C1562" s="25" t="str">
        <f ca="1">IFERROR(__xludf.DUMMYFUNCTION("""COMPUTED_VALUE"""),"arlink")</f>
        <v>arlink</v>
      </c>
      <c r="D1562" s="25" t="str">
        <f ca="1">IFERROR(__xludf.DUMMYFUNCTION("""COMPUTED_VALUE"""),"居家_【Arlink】CUBE系列 多功能防水防爆 胖胖行李箱(26吋)-冰晶藍")</f>
        <v>居家_【Arlink】CUBE系列 多功能防水防爆 胖胖行李箱(26吋)-冰晶藍</v>
      </c>
      <c r="E1562" s="25" t="str">
        <f ca="1">IFERROR(__xludf.DUMMYFUNCTION("""COMPUTED_VALUE"""),"L3726B")</f>
        <v>L3726B</v>
      </c>
      <c r="F1562" s="25">
        <f ca="1">IFERROR(__xludf.DUMMYFUNCTION("""COMPUTED_VALUE"""),51080051)</f>
        <v>51080051</v>
      </c>
      <c r="G1562" s="25" t="str">
        <f ca="1">IFERROR(__xludf.DUMMYFUNCTION("""COMPUTED_VALUE"""),"IGEM1137")</f>
        <v>IGEM1137</v>
      </c>
      <c r="H1562" s="26">
        <f ca="1">IFERROR(__xludf.DUMMYFUNCTION("""COMPUTED_VALUE"""),5280)</f>
        <v>5280</v>
      </c>
      <c r="I1562" s="27">
        <f ca="1">IFERROR(__xludf.DUMMYFUNCTION("""COMPUTED_VALUE"""),4280)</f>
        <v>4280</v>
      </c>
      <c r="J1562" s="25"/>
      <c r="K1562" s="25" t="str">
        <f ca="1">IFERROR(__xludf.DUMMYFUNCTION("""COMPUTED_VALUE"""),"新機上架")</f>
        <v>新機上架</v>
      </c>
      <c r="L1562" s="26" t="str">
        <f ca="1">IFERROR(__xludf.DUMMYFUNCTION("""COMPUTED_VALUE"""),"上架中")</f>
        <v>上架中</v>
      </c>
      <c r="M1562" s="25"/>
      <c r="N1562" s="25" t="str">
        <f ca="1">IFERROR(__xludf.DUMMYFUNCTION("""COMPUTED_VALUE"""),"行李箱")</f>
        <v>行李箱</v>
      </c>
      <c r="O1562" s="25" t="str">
        <f ca="1">IFERROR(__xludf.DUMMYFUNCTION("""COMPUTED_VALUE"""),"冰晶藍")</f>
        <v>冰晶藍</v>
      </c>
      <c r="P1562" s="25" t="str">
        <f ca="1">IFERROR(__xludf.DUMMYFUNCTION("""COMPUTED_VALUE"""),"26吋")</f>
        <v>26吋</v>
      </c>
      <c r="Q1562" s="25"/>
      <c r="R1562" s="25" t="str">
        <f ca="1">IFERROR(__xludf.DUMMYFUNCTION("""COMPUTED_VALUE"""),"中國")</f>
        <v>中國</v>
      </c>
      <c r="S1562" s="25"/>
      <c r="T1562" s="25"/>
      <c r="U1562" s="25" t="str">
        <f ca="1">IFERROR(__xludf.DUMMYFUNCTION("""COMPUTED_VALUE"""),"*購買起一年內破箱，並附上航空公司開立的「行李破箱證明」，即可免費換新箱。*購買起二年內，可維修之零組件，包含輪子、拉桿、密碼鎖、提把等消耗品，完全不收取維修費及零件費。")</f>
        <v>*購買起一年內破箱，並附上航空公司開立的「行李破箱證明」，即可免費換新箱。*購買起二年內，可維修之零組件，包含輪子、拉桿、密碼鎖、提把等消耗品，完全不收取維修費及零件費。</v>
      </c>
      <c r="V1562" s="25"/>
      <c r="W1562" s="25"/>
      <c r="X1562" s="25"/>
      <c r="Y1562" s="25"/>
      <c r="Z1562" s="27"/>
      <c r="AA1562"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3" spans="1:27" ht="12.75">
      <c r="A1563" s="25" t="str">
        <f ca="1">IFERROR(__xludf.DUMMYFUNCTION("""COMPUTED_VALUE"""),"居家生活用品")</f>
        <v>居家生活用品</v>
      </c>
      <c r="B1563" s="25" t="str">
        <f ca="1">IFERROR(__xludf.DUMMYFUNCTION("""COMPUTED_VALUE"""),"飛樂")</f>
        <v>飛樂</v>
      </c>
      <c r="C1563" s="25" t="str">
        <f ca="1">IFERROR(__xludf.DUMMYFUNCTION("""COMPUTED_VALUE"""),"arlink")</f>
        <v>arlink</v>
      </c>
      <c r="D1563" s="25" t="str">
        <f ca="1">IFERROR(__xludf.DUMMYFUNCTION("""COMPUTED_VALUE"""),"居家_【Arlink】CUBE系列 多功能防水防爆 胖胖行李箱(28吋)-奶油白")</f>
        <v>居家_【Arlink】CUBE系列 多功能防水防爆 胖胖行李箱(28吋)-奶油白</v>
      </c>
      <c r="E1563" s="25" t="str">
        <f ca="1">IFERROR(__xludf.DUMMYFUNCTION("""COMPUTED_VALUE"""),"L3728W")</f>
        <v>L3728W</v>
      </c>
      <c r="F1563" s="25">
        <f ca="1">IFERROR(__xludf.DUMMYFUNCTION("""COMPUTED_VALUE"""),51080052)</f>
        <v>51080052</v>
      </c>
      <c r="G1563" s="25" t="str">
        <f ca="1">IFERROR(__xludf.DUMMYFUNCTION("""COMPUTED_VALUE"""),"IGEM1138")</f>
        <v>IGEM1138</v>
      </c>
      <c r="H1563" s="26">
        <f ca="1">IFERROR(__xludf.DUMMYFUNCTION("""COMPUTED_VALUE"""),5680)</f>
        <v>5680</v>
      </c>
      <c r="I1563" s="27">
        <f ca="1">IFERROR(__xludf.DUMMYFUNCTION("""COMPUTED_VALUE"""),4680)</f>
        <v>4680</v>
      </c>
      <c r="J1563" s="25"/>
      <c r="K1563" s="25" t="str">
        <f ca="1">IFERROR(__xludf.DUMMYFUNCTION("""COMPUTED_VALUE"""),"新機上架")</f>
        <v>新機上架</v>
      </c>
      <c r="L1563" s="26" t="str">
        <f ca="1">IFERROR(__xludf.DUMMYFUNCTION("""COMPUTED_VALUE"""),"上架中")</f>
        <v>上架中</v>
      </c>
      <c r="M1563" s="25"/>
      <c r="N1563" s="25" t="str">
        <f ca="1">IFERROR(__xludf.DUMMYFUNCTION("""COMPUTED_VALUE"""),"行李箱")</f>
        <v>行李箱</v>
      </c>
      <c r="O1563" s="25" t="str">
        <f ca="1">IFERROR(__xludf.DUMMYFUNCTION("""COMPUTED_VALUE"""),"奶油白")</f>
        <v>奶油白</v>
      </c>
      <c r="P1563" s="25" t="str">
        <f ca="1">IFERROR(__xludf.DUMMYFUNCTION("""COMPUTED_VALUE"""),"28吋")</f>
        <v>28吋</v>
      </c>
      <c r="Q1563" s="25"/>
      <c r="R1563" s="25" t="str">
        <f ca="1">IFERROR(__xludf.DUMMYFUNCTION("""COMPUTED_VALUE"""),"中國")</f>
        <v>中國</v>
      </c>
      <c r="S1563" s="25"/>
      <c r="T1563" s="25"/>
      <c r="U1563" s="25" t="str">
        <f ca="1">IFERROR(__xludf.DUMMYFUNCTION("""COMPUTED_VALUE"""),"*購買起一年內破箱，並附上航空公司開立的「行李破箱證明」，即可免費換新箱。*購買起二年內，可維修之零組件，包含輪子、拉桿、密碼鎖、提把等消耗品，完全不收取維修費及零件費。")</f>
        <v>*購買起一年內破箱，並附上航空公司開立的「行李破箱證明」，即可免費換新箱。*購買起二年內，可維修之零組件，包含輪子、拉桿、密碼鎖、提把等消耗品，完全不收取維修費及零件費。</v>
      </c>
      <c r="V1563" s="25"/>
      <c r="W1563" s="25"/>
      <c r="X1563" s="25"/>
      <c r="Y1563" s="25"/>
      <c r="Z1563" s="27"/>
      <c r="AA1563"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4" spans="1:27" ht="12.75">
      <c r="A1564" s="25" t="str">
        <f ca="1">IFERROR(__xludf.DUMMYFUNCTION("""COMPUTED_VALUE"""),"居家生活用品")</f>
        <v>居家生活用品</v>
      </c>
      <c r="B1564" s="25" t="str">
        <f ca="1">IFERROR(__xludf.DUMMYFUNCTION("""COMPUTED_VALUE"""),"飛樂")</f>
        <v>飛樂</v>
      </c>
      <c r="C1564" s="25" t="str">
        <f ca="1">IFERROR(__xludf.DUMMYFUNCTION("""COMPUTED_VALUE"""),"arlink")</f>
        <v>arlink</v>
      </c>
      <c r="D1564" s="25" t="str">
        <f ca="1">IFERROR(__xludf.DUMMYFUNCTION("""COMPUTED_VALUE"""),"居家_【Arlink】CUBE系列 多功能防水防爆 胖胖行李箱(28吋)-冰晶藍")</f>
        <v>居家_【Arlink】CUBE系列 多功能防水防爆 胖胖行李箱(28吋)-冰晶藍</v>
      </c>
      <c r="E1564" s="25" t="str">
        <f ca="1">IFERROR(__xludf.DUMMYFUNCTION("""COMPUTED_VALUE"""),"L3728B")</f>
        <v>L3728B</v>
      </c>
      <c r="F1564" s="25">
        <f ca="1">IFERROR(__xludf.DUMMYFUNCTION("""COMPUTED_VALUE"""),51080053)</f>
        <v>51080053</v>
      </c>
      <c r="G1564" s="25" t="str">
        <f ca="1">IFERROR(__xludf.DUMMYFUNCTION("""COMPUTED_VALUE"""),"IGEM1139")</f>
        <v>IGEM1139</v>
      </c>
      <c r="H1564" s="26">
        <f ca="1">IFERROR(__xludf.DUMMYFUNCTION("""COMPUTED_VALUE"""),5680)</f>
        <v>5680</v>
      </c>
      <c r="I1564" s="27">
        <f ca="1">IFERROR(__xludf.DUMMYFUNCTION("""COMPUTED_VALUE"""),4680)</f>
        <v>4680</v>
      </c>
      <c r="J1564" s="25"/>
      <c r="K1564" s="25" t="str">
        <f ca="1">IFERROR(__xludf.DUMMYFUNCTION("""COMPUTED_VALUE"""),"新機上架")</f>
        <v>新機上架</v>
      </c>
      <c r="L1564" s="26" t="str">
        <f ca="1">IFERROR(__xludf.DUMMYFUNCTION("""COMPUTED_VALUE"""),"上架中")</f>
        <v>上架中</v>
      </c>
      <c r="M1564" s="25"/>
      <c r="N1564" s="25" t="str">
        <f ca="1">IFERROR(__xludf.DUMMYFUNCTION("""COMPUTED_VALUE"""),"行李箱")</f>
        <v>行李箱</v>
      </c>
      <c r="O1564" s="25" t="str">
        <f ca="1">IFERROR(__xludf.DUMMYFUNCTION("""COMPUTED_VALUE"""),"冰晶藍")</f>
        <v>冰晶藍</v>
      </c>
      <c r="P1564" s="25" t="str">
        <f ca="1">IFERROR(__xludf.DUMMYFUNCTION("""COMPUTED_VALUE"""),"28吋")</f>
        <v>28吋</v>
      </c>
      <c r="Q1564" s="25"/>
      <c r="R1564" s="25" t="str">
        <f ca="1">IFERROR(__xludf.DUMMYFUNCTION("""COMPUTED_VALUE"""),"中國")</f>
        <v>中國</v>
      </c>
      <c r="S1564" s="25"/>
      <c r="T1564" s="25"/>
      <c r="U1564" s="25" t="str">
        <f ca="1">IFERROR(__xludf.DUMMYFUNCTION("""COMPUTED_VALUE"""),"*購買起一年內破箱，並附上航空公司開立的「行李破箱證明」，即可免費換新箱。*購買起二年內，可維修之零組件，包含輪子、拉桿、密碼鎖、提把等消耗品，完全不收取維修費及零件費。")</f>
        <v>*購買起一年內破箱，並附上航空公司開立的「行李破箱證明」，即可免費換新箱。*購買起二年內，可維修之零組件，包含輪子、拉桿、密碼鎖、提把等消耗品，完全不收取維修費及零件費。</v>
      </c>
      <c r="V1564" s="25"/>
      <c r="W1564" s="25"/>
      <c r="X1564" s="25"/>
      <c r="Y1564" s="25"/>
      <c r="Z1564" s="27"/>
      <c r="AA1564"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5" spans="1:27" ht="12.75">
      <c r="A1565" s="25" t="str">
        <f ca="1">IFERROR(__xludf.DUMMYFUNCTION("""COMPUTED_VALUE"""),"居家生活用品")</f>
        <v>居家生活用品</v>
      </c>
      <c r="B1565" s="25" t="str">
        <f ca="1">IFERROR(__xludf.DUMMYFUNCTION("""COMPUTED_VALUE"""),"飛樂")</f>
        <v>飛樂</v>
      </c>
      <c r="C1565" s="25" t="str">
        <f ca="1">IFERROR(__xludf.DUMMYFUNCTION("""COMPUTED_VALUE"""),"arlink")</f>
        <v>arlink</v>
      </c>
      <c r="D1565" s="25" t="str">
        <f ca="1">IFERROR(__xludf.DUMMYFUNCTION("""COMPUTED_VALUE"""),"居家_【Arlink】CUBE系列 多功能防水防爆 胖胖行李箱(30吋)-奶油白")</f>
        <v>居家_【Arlink】CUBE系列 多功能防水防爆 胖胖行李箱(30吋)-奶油白</v>
      </c>
      <c r="E1565" s="25" t="str">
        <f ca="1">IFERROR(__xludf.DUMMYFUNCTION("""COMPUTED_VALUE"""),"L3730W")</f>
        <v>L3730W</v>
      </c>
      <c r="F1565" s="25">
        <f ca="1">IFERROR(__xludf.DUMMYFUNCTION("""COMPUTED_VALUE"""),51080054)</f>
        <v>51080054</v>
      </c>
      <c r="G1565" s="25" t="str">
        <f ca="1">IFERROR(__xludf.DUMMYFUNCTION("""COMPUTED_VALUE"""),"IGEM113A")</f>
        <v>IGEM113A</v>
      </c>
      <c r="H1565" s="26">
        <f ca="1">IFERROR(__xludf.DUMMYFUNCTION("""COMPUTED_VALUE"""),6080)</f>
        <v>6080</v>
      </c>
      <c r="I1565" s="27">
        <f ca="1">IFERROR(__xludf.DUMMYFUNCTION("""COMPUTED_VALUE"""),5080)</f>
        <v>5080</v>
      </c>
      <c r="J1565" s="25"/>
      <c r="K1565" s="25" t="str">
        <f ca="1">IFERROR(__xludf.DUMMYFUNCTION("""COMPUTED_VALUE"""),"新機上架")</f>
        <v>新機上架</v>
      </c>
      <c r="L1565" s="26" t="str">
        <f ca="1">IFERROR(__xludf.DUMMYFUNCTION("""COMPUTED_VALUE"""),"上架中")</f>
        <v>上架中</v>
      </c>
      <c r="M1565" s="25"/>
      <c r="N1565" s="25" t="str">
        <f ca="1">IFERROR(__xludf.DUMMYFUNCTION("""COMPUTED_VALUE"""),"行李箱")</f>
        <v>行李箱</v>
      </c>
      <c r="O1565" s="25" t="str">
        <f ca="1">IFERROR(__xludf.DUMMYFUNCTION("""COMPUTED_VALUE"""),"奶油白")</f>
        <v>奶油白</v>
      </c>
      <c r="P1565" s="25" t="str">
        <f ca="1">IFERROR(__xludf.DUMMYFUNCTION("""COMPUTED_VALUE"""),"30吋")</f>
        <v>30吋</v>
      </c>
      <c r="Q1565" s="25"/>
      <c r="R1565" s="25" t="str">
        <f ca="1">IFERROR(__xludf.DUMMYFUNCTION("""COMPUTED_VALUE"""),"中國")</f>
        <v>中國</v>
      </c>
      <c r="S1565" s="25"/>
      <c r="T1565" s="25"/>
      <c r="U1565" s="25" t="str">
        <f ca="1">IFERROR(__xludf.DUMMYFUNCTION("""COMPUTED_VALUE"""),"*購買起一年內破箱，並附上航空公司開立的「行李破箱證明」，即可免費換新箱。*購買起二年內，可維修之零組件，包含輪子、拉桿、密碼鎖、提把等消耗品，完全不收取維修費及零件費。")</f>
        <v>*購買起一年內破箱，並附上航空公司開立的「行李破箱證明」，即可免費換新箱。*購買起二年內，可維修之零組件，包含輪子、拉桿、密碼鎖、提把等消耗品，完全不收取維修費及零件費。</v>
      </c>
      <c r="V1565" s="25"/>
      <c r="W1565" s="25"/>
      <c r="X1565" s="25"/>
      <c r="Y1565" s="25"/>
      <c r="Z1565" s="27"/>
      <c r="AA1565"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6" spans="1:27" ht="12.75">
      <c r="A1566" s="25" t="str">
        <f ca="1">IFERROR(__xludf.DUMMYFUNCTION("""COMPUTED_VALUE"""),"居家生活用品")</f>
        <v>居家生活用品</v>
      </c>
      <c r="B1566" s="25" t="str">
        <f ca="1">IFERROR(__xludf.DUMMYFUNCTION("""COMPUTED_VALUE"""),"飛樂")</f>
        <v>飛樂</v>
      </c>
      <c r="C1566" s="25" t="str">
        <f ca="1">IFERROR(__xludf.DUMMYFUNCTION("""COMPUTED_VALUE"""),"arlink")</f>
        <v>arlink</v>
      </c>
      <c r="D1566" s="25" t="str">
        <f ca="1">IFERROR(__xludf.DUMMYFUNCTION("""COMPUTED_VALUE"""),"居家_【Arlink】CUBE系列 多功能防水防爆 胖胖行李箱(30吋)-冰晶藍")</f>
        <v>居家_【Arlink】CUBE系列 多功能防水防爆 胖胖行李箱(30吋)-冰晶藍</v>
      </c>
      <c r="E1566" s="25" t="str">
        <f ca="1">IFERROR(__xludf.DUMMYFUNCTION("""COMPUTED_VALUE"""),"L3730B")</f>
        <v>L3730B</v>
      </c>
      <c r="F1566" s="25">
        <f ca="1">IFERROR(__xludf.DUMMYFUNCTION("""COMPUTED_VALUE"""),51080055)</f>
        <v>51080055</v>
      </c>
      <c r="G1566" s="25" t="str">
        <f ca="1">IFERROR(__xludf.DUMMYFUNCTION("""COMPUTED_VALUE"""),"IGEM113B")</f>
        <v>IGEM113B</v>
      </c>
      <c r="H1566" s="26">
        <f ca="1">IFERROR(__xludf.DUMMYFUNCTION("""COMPUTED_VALUE"""),6080)</f>
        <v>6080</v>
      </c>
      <c r="I1566" s="27">
        <f ca="1">IFERROR(__xludf.DUMMYFUNCTION("""COMPUTED_VALUE"""),5080)</f>
        <v>5080</v>
      </c>
      <c r="J1566" s="25"/>
      <c r="K1566" s="25" t="str">
        <f ca="1">IFERROR(__xludf.DUMMYFUNCTION("""COMPUTED_VALUE"""),"新機上架")</f>
        <v>新機上架</v>
      </c>
      <c r="L1566" s="26" t="str">
        <f ca="1">IFERROR(__xludf.DUMMYFUNCTION("""COMPUTED_VALUE"""),"上架中")</f>
        <v>上架中</v>
      </c>
      <c r="M1566" s="25"/>
      <c r="N1566" s="25" t="str">
        <f ca="1">IFERROR(__xludf.DUMMYFUNCTION("""COMPUTED_VALUE"""),"行李箱")</f>
        <v>行李箱</v>
      </c>
      <c r="O1566" s="25" t="str">
        <f ca="1">IFERROR(__xludf.DUMMYFUNCTION("""COMPUTED_VALUE"""),"冰晶藍")</f>
        <v>冰晶藍</v>
      </c>
      <c r="P1566" s="25" t="str">
        <f ca="1">IFERROR(__xludf.DUMMYFUNCTION("""COMPUTED_VALUE"""),"30吋")</f>
        <v>30吋</v>
      </c>
      <c r="Q1566" s="25"/>
      <c r="R1566" s="25" t="str">
        <f ca="1">IFERROR(__xludf.DUMMYFUNCTION("""COMPUTED_VALUE"""),"中國")</f>
        <v>中國</v>
      </c>
      <c r="S1566" s="25"/>
      <c r="T1566" s="25"/>
      <c r="U1566" s="25" t="str">
        <f ca="1">IFERROR(__xludf.DUMMYFUNCTION("""COMPUTED_VALUE"""),"*購買起一年內破箱，並附上航空公司開立的「行李破箱證明」，即可免費換新箱。*購買起二年內，可維修之零組件，包含輪子、拉桿、密碼鎖、提把等消耗品，完全不收取維修費及零件費。")</f>
        <v>*購買起一年內破箱，並附上航空公司開立的「行李破箱證明」，即可免費換新箱。*購買起二年內，可維修之零組件，包含輪子、拉桿、密碼鎖、提把等消耗品，完全不收取維修費及零件費。</v>
      </c>
      <c r="V1566" s="25"/>
      <c r="W1566" s="25"/>
      <c r="X1566" s="25"/>
      <c r="Y1566" s="25"/>
      <c r="Z1566" s="27"/>
      <c r="AA1566" s="28" t="str">
        <f ca="1">IFERROR(__xludf.DUMMYFUNCTION("""COMPUTED_VALUE"""),"*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f>
        <v>*摺疊杯架設計，飲料、水壺、雨傘都能放*專屬手機支架，旅途中放手機追劇、放鏡子化妝都方便*貼心雙掛勾設計，能掛提袋解放雙手*將行動電源接在行李箱內建的USB線上，可直接從行李箱外的雙充電孔充電*TSA海關三碼密碼鎖，登機無損安檢快速通過*鋁合金邊框，相較拉鍊行李箱更加防水、耐摔耐撞、安全不易被撬開</v>
      </c>
    </row>
    <row r="1567" spans="1:27" ht="12.75">
      <c r="A1567" s="25" t="str">
        <f ca="1">IFERROR(__xludf.DUMMYFUNCTION("""COMPUTED_VALUE"""),"居家生活用品")</f>
        <v>居家生活用品</v>
      </c>
      <c r="B1567" s="25" t="str">
        <f ca="1">IFERROR(__xludf.DUMMYFUNCTION("""COMPUTED_VALUE"""),"飛樂")</f>
        <v>飛樂</v>
      </c>
      <c r="C1567" s="25" t="str">
        <f ca="1">IFERROR(__xludf.DUMMYFUNCTION("""COMPUTED_VALUE"""),"arlink")</f>
        <v>arlink</v>
      </c>
      <c r="D1567" s="25" t="str">
        <f ca="1">IFERROR(__xludf.DUMMYFUNCTION("""COMPUTED_VALUE"""),"居家_【Arlink】神奈莊【神耐裝】 55L多功能折疊收納手推車｜餐桌版 TL55")</f>
        <v>居家_【Arlink】神奈莊【神耐裝】 55L多功能折疊收納手推車｜餐桌版 TL55</v>
      </c>
      <c r="E1567" s="25" t="str">
        <f ca="1">IFERROR(__xludf.DUMMYFUNCTION("""COMPUTED_VALUE"""),"TL55")</f>
        <v>TL55</v>
      </c>
      <c r="F1567" s="25">
        <f ca="1">IFERROR(__xludf.DUMMYFUNCTION("""COMPUTED_VALUE"""),51080049)</f>
        <v>51080049</v>
      </c>
      <c r="G1567" s="25" t="str">
        <f ca="1">IFERROR(__xludf.DUMMYFUNCTION("""COMPUTED_VALUE"""),"IGEM1135")</f>
        <v>IGEM1135</v>
      </c>
      <c r="H1567" s="26">
        <f ca="1">IFERROR(__xludf.DUMMYFUNCTION("""COMPUTED_VALUE"""),2980)</f>
        <v>2980</v>
      </c>
      <c r="I1567" s="27">
        <f ca="1">IFERROR(__xludf.DUMMYFUNCTION("""COMPUTED_VALUE"""),1980)</f>
        <v>1980</v>
      </c>
      <c r="J1567" s="25"/>
      <c r="K1567" s="25" t="str">
        <f ca="1">IFERROR(__xludf.DUMMYFUNCTION("""COMPUTED_VALUE"""),"新機上架")</f>
        <v>新機上架</v>
      </c>
      <c r="L1567" s="26" t="str">
        <f ca="1">IFERROR(__xludf.DUMMYFUNCTION("""COMPUTED_VALUE"""),"上架中")</f>
        <v>上架中</v>
      </c>
      <c r="M1567" s="25"/>
      <c r="N1567" s="25" t="str">
        <f ca="1">IFERROR(__xludf.DUMMYFUNCTION("""COMPUTED_VALUE"""),"手推車")</f>
        <v>手推車</v>
      </c>
      <c r="O1567" s="25" t="str">
        <f ca="1">IFERROR(__xludf.DUMMYFUNCTION("""COMPUTED_VALUE"""),"淺灰")</f>
        <v>淺灰</v>
      </c>
      <c r="P1567" s="25" t="str">
        <f ca="1">IFERROR(__xludf.DUMMYFUNCTION("""COMPUTED_VALUE"""),"55公升")</f>
        <v>55公升</v>
      </c>
      <c r="Q1567" s="25"/>
      <c r="R1567" s="25" t="str">
        <f ca="1">IFERROR(__xludf.DUMMYFUNCTION("""COMPUTED_VALUE"""),"中國")</f>
        <v>中國</v>
      </c>
      <c r="S1567" s="25"/>
      <c r="T1567" s="25"/>
      <c r="U1567" s="25" t="str">
        <f ca="1">IFERROR(__xludf.DUMMYFUNCTION("""COMPUTED_VALUE"""),"1年")</f>
        <v>1年</v>
      </c>
      <c r="V1567" s="25"/>
      <c r="W1567" s="25"/>
      <c r="X1567" s="25"/>
      <c r="Y1567" s="25"/>
      <c r="Z1567" s="27"/>
      <c r="AA1567" s="28" t="str">
        <f ca="1">IFERROR(__xludf.DUMMYFUNCTION("""COMPUTED_VALUE"""),"*5秒快速折疊收納手推車，折起來時寬度只有12.5公分，可放在家中夾縫不占空間*打開時有55L超大容量，連小孩都能裝* 多段式不鏽鋼拉桿，輕鬆伸縮堅固耐用*承重高達60公斤，坐、站在上面都不是問題。另外一塊可拿出來放在拉桿上，延伸出來當作野餐桌使用*超滑順靜音萬向輪，四個輪子皆有獨立煞車裝置*具有折疊杯架與兩側收納空間設計，可放置水壺、雨傘、衛生紙、環保筷...等")</f>
        <v>*5秒快速折疊收納手推車，折起來時寬度只有12.5公分，可放在家中夾縫不占空間*打開時有55L超大容量，連小孩都能裝* 多段式不鏽鋼拉桿，輕鬆伸縮堅固耐用*承重高達60公斤，坐、站在上面都不是問題。另外一塊可拿出來放在拉桿上，延伸出來當作野餐桌使用*超滑順靜音萬向輪，四個輪子皆有獨立煞車裝置*具有折疊杯架與兩側收納空間設計，可放置水壺、雨傘、衛生紙、環保筷...等</v>
      </c>
    </row>
    <row r="1568" spans="1:27" ht="12.75">
      <c r="A1568" s="25" t="str">
        <f ca="1">IFERROR(__xludf.DUMMYFUNCTION("""COMPUTED_VALUE"""),"電話機")</f>
        <v>電話機</v>
      </c>
      <c r="B1568" s="25" t="str">
        <f ca="1">IFERROR(__xludf.DUMMYFUNCTION("""COMPUTED_VALUE"""),"聯穎國際")</f>
        <v>聯穎國際</v>
      </c>
      <c r="C1568" s="25" t="str">
        <f ca="1">IFERROR(__xludf.DUMMYFUNCTION("""COMPUTED_VALUE"""),"ALCATEL")</f>
        <v>ALCATEL</v>
      </c>
      <c r="D1568" s="25" t="str">
        <f ca="1">IFERROR(__xludf.DUMMYFUNCTION("""COMPUTED_VALUE"""),"(白)Alcatel XL575TW無線助聽電話機")</f>
        <v>(白)Alcatel XL575TW無線助聽電話機</v>
      </c>
      <c r="E1568" s="25" t="str">
        <f ca="1">IFERROR(__xludf.DUMMYFUNCTION("""COMPUTED_VALUE"""),"XL575 TW(白)")</f>
        <v>XL575 TW(白)</v>
      </c>
      <c r="F1568" s="25">
        <f ca="1">IFERROR(__xludf.DUMMYFUNCTION("""COMPUTED_VALUE"""),51057297)</f>
        <v>51057297</v>
      </c>
      <c r="G1568" s="25" t="str">
        <f ca="1">IFERROR(__xludf.DUMMYFUNCTION("""COMPUTED_VALUE"""),"EHOM0006")</f>
        <v>EHOM0006</v>
      </c>
      <c r="H1568" s="26">
        <f ca="1">IFERROR(__xludf.DUMMYFUNCTION("""COMPUTED_VALUE"""),1310)</f>
        <v>1310</v>
      </c>
      <c r="I1568" s="27">
        <f ca="1">IFERROR(__xludf.DUMMYFUNCTION("""COMPUTED_VALUE"""),1290)</f>
        <v>1290</v>
      </c>
      <c r="J1568" s="25"/>
      <c r="K1568" s="25" t="str">
        <f ca="1">IFERROR(__xludf.DUMMYFUNCTION("""COMPUTED_VALUE"""),"新機上架")</f>
        <v>新機上架</v>
      </c>
      <c r="L1568" s="26" t="str">
        <f ca="1">IFERROR(__xludf.DUMMYFUNCTION("""COMPUTED_VALUE"""),"上架中")</f>
        <v>上架中</v>
      </c>
      <c r="M1568" s="25"/>
      <c r="N1568" s="25" t="str">
        <f ca="1">IFERROR(__xludf.DUMMYFUNCTION("""COMPUTED_VALUE"""),"電話機")</f>
        <v>電話機</v>
      </c>
      <c r="O1568" s="25" t="str">
        <f ca="1">IFERROR(__xludf.DUMMYFUNCTION("""COMPUTED_VALUE"""),"白")</f>
        <v>白</v>
      </c>
      <c r="P1568" s="25" t="str">
        <f ca="1">IFERROR(__xludf.DUMMYFUNCTION("""COMPUTED_VALUE"""),"額定電壓/頻率：110V/60Hz")</f>
        <v>額定電壓/頻率：110V/60Hz</v>
      </c>
      <c r="Q1568" s="25" t="str">
        <f ca="1">IFERROR(__xludf.DUMMYFUNCTION("""COMPUTED_VALUE"""),"高188 x 寬116 x 深83mm")</f>
        <v>高188 x 寬116 x 深83mm</v>
      </c>
      <c r="R1568" s="25" t="str">
        <f ca="1">IFERROR(__xludf.DUMMYFUNCTION("""COMPUTED_VALUE"""),"中國")</f>
        <v>中國</v>
      </c>
      <c r="S1568" s="25"/>
      <c r="T1568" s="25"/>
      <c r="U1568" s="25" t="str">
        <f ca="1">IFERROR(__xludf.DUMMYFUNCTION("""COMPUTED_VALUE"""),"有")</f>
        <v>有</v>
      </c>
      <c r="V1568" s="25"/>
      <c r="W1568" s="25"/>
      <c r="X1568" s="25"/>
      <c r="Y1568" s="25"/>
      <c r="Z1568" s="27"/>
      <c r="AA1568" s="28" t="str">
        <f ca="1">IFERROR(__xludf.DUMMYFUNCTION("""COMPUTED_VALUE"""),"*全中文顯示功能表 *智慧增音功能，音量5段式調整*5組快速記憶鍵*50組電話簿功能 / 20組來電紀錄／10組去電紀錄*10組來電鈴聲選擇 *內部通話 / 三方通話*螢幕背光 / 來電指示燈 / 低電量提醒")</f>
        <v>*全中文顯示功能表 *智慧增音功能，音量5段式調整*5組快速記憶鍵*50組電話簿功能 / 20組來電紀錄／10組去電紀錄*10組來電鈴聲選擇 *內部通話 / 三方通話*螢幕背光 / 來電指示燈 / 低電量提醒</v>
      </c>
    </row>
    <row r="1569" spans="1:27" ht="12.75">
      <c r="A1569" s="25" t="str">
        <f ca="1">IFERROR(__xludf.DUMMYFUNCTION("""COMPUTED_VALUE"""),"電話機")</f>
        <v>電話機</v>
      </c>
      <c r="B1569" s="25" t="str">
        <f ca="1">IFERROR(__xludf.DUMMYFUNCTION("""COMPUTED_VALUE"""),"聯穎國際")</f>
        <v>聯穎國際</v>
      </c>
      <c r="C1569" s="25" t="str">
        <f ca="1">IFERROR(__xludf.DUMMYFUNCTION("""COMPUTED_VALUE"""),"ALCATEL")</f>
        <v>ALCATEL</v>
      </c>
      <c r="D1569" s="25" t="str">
        <f ca="1">IFERROR(__xludf.DUMMYFUNCTION("""COMPUTED_VALUE"""),"(黑)Alcatel XL575TW無線助聽電話機")</f>
        <v>(黑)Alcatel XL575TW無線助聽電話機</v>
      </c>
      <c r="E1569" s="25" t="str">
        <f ca="1">IFERROR(__xludf.DUMMYFUNCTION("""COMPUTED_VALUE"""),"XL575 TW(黑)")</f>
        <v>XL575 TW(黑)</v>
      </c>
      <c r="F1569" s="25">
        <f ca="1">IFERROR(__xludf.DUMMYFUNCTION("""COMPUTED_VALUE"""),51057298)</f>
        <v>51057298</v>
      </c>
      <c r="G1569" s="25" t="str">
        <f ca="1">IFERROR(__xludf.DUMMYFUNCTION("""COMPUTED_VALUE"""),"EHOM0007")</f>
        <v>EHOM0007</v>
      </c>
      <c r="H1569" s="26">
        <f ca="1">IFERROR(__xludf.DUMMYFUNCTION("""COMPUTED_VALUE"""),1310)</f>
        <v>1310</v>
      </c>
      <c r="I1569" s="27">
        <f ca="1">IFERROR(__xludf.DUMMYFUNCTION("""COMPUTED_VALUE"""),1290)</f>
        <v>1290</v>
      </c>
      <c r="J1569" s="25"/>
      <c r="K1569" s="25" t="str">
        <f ca="1">IFERROR(__xludf.DUMMYFUNCTION("""COMPUTED_VALUE"""),"新機上架")</f>
        <v>新機上架</v>
      </c>
      <c r="L1569" s="26" t="str">
        <f ca="1">IFERROR(__xludf.DUMMYFUNCTION("""COMPUTED_VALUE"""),"上架中")</f>
        <v>上架中</v>
      </c>
      <c r="M1569" s="25"/>
      <c r="N1569" s="25" t="str">
        <f ca="1">IFERROR(__xludf.DUMMYFUNCTION("""COMPUTED_VALUE"""),"電話機")</f>
        <v>電話機</v>
      </c>
      <c r="O1569" s="25" t="str">
        <f ca="1">IFERROR(__xludf.DUMMYFUNCTION("""COMPUTED_VALUE"""),"黑")</f>
        <v>黑</v>
      </c>
      <c r="P1569" s="25" t="str">
        <f ca="1">IFERROR(__xludf.DUMMYFUNCTION("""COMPUTED_VALUE"""),"額定電壓/頻率：110V/60Hz")</f>
        <v>額定電壓/頻率：110V/60Hz</v>
      </c>
      <c r="Q1569" s="25" t="str">
        <f ca="1">IFERROR(__xludf.DUMMYFUNCTION("""COMPUTED_VALUE"""),"高188 x 寬116 x 深83mm")</f>
        <v>高188 x 寬116 x 深83mm</v>
      </c>
      <c r="R1569" s="25" t="str">
        <f ca="1">IFERROR(__xludf.DUMMYFUNCTION("""COMPUTED_VALUE"""),"中國")</f>
        <v>中國</v>
      </c>
      <c r="S1569" s="25"/>
      <c r="T1569" s="25"/>
      <c r="U1569" s="25" t="str">
        <f ca="1">IFERROR(__xludf.DUMMYFUNCTION("""COMPUTED_VALUE"""),"有")</f>
        <v>有</v>
      </c>
      <c r="V1569" s="25"/>
      <c r="W1569" s="25"/>
      <c r="X1569" s="25"/>
      <c r="Y1569" s="25"/>
      <c r="Z1569" s="27"/>
      <c r="AA1569" s="28" t="str">
        <f ca="1">IFERROR(__xludf.DUMMYFUNCTION("""COMPUTED_VALUE"""),"*全中文顯示功能表 *智慧增音功能，音量5段式調整*5組快速記憶鍵*50組電話簿功能 / 20組來電紀錄／10組去電紀錄*10組來電鈴聲選擇 *內部通話 / 三方通話*螢幕背光 / 來電指示燈 / 低電量提醒")</f>
        <v>*全中文顯示功能表 *智慧增音功能，音量5段式調整*5組快速記憶鍵*50組電話簿功能 / 20組來電紀錄／10組去電紀錄*10組來電鈴聲選擇 *內部通話 / 三方通話*螢幕背光 / 來電指示燈 / 低電量提醒</v>
      </c>
    </row>
    <row r="1570" spans="1:27" ht="12.75">
      <c r="A1570" s="25" t="str">
        <f ca="1">IFERROR(__xludf.DUMMYFUNCTION("""COMPUTED_VALUE"""),"電話機")</f>
        <v>電話機</v>
      </c>
      <c r="B1570" s="25" t="str">
        <f ca="1">IFERROR(__xludf.DUMMYFUNCTION("""COMPUTED_VALUE"""),"聯穎國際")</f>
        <v>聯穎國際</v>
      </c>
      <c r="C1570" s="25" t="str">
        <f ca="1">IFERROR(__xludf.DUMMYFUNCTION("""COMPUTED_VALUE"""),"VTECH")</f>
        <v>VTECH</v>
      </c>
      <c r="D1570" s="25" t="str">
        <f ca="1">IFERROR(__xludf.DUMMYFUNCTION("""COMPUTED_VALUE"""),"(黛安娜)Vtech CL6217TW_全中文無線助聽電話機")</f>
        <v>(黛安娜)Vtech CL6217TW_全中文無線助聽電話機</v>
      </c>
      <c r="E1570" s="25" t="str">
        <f ca="1">IFERROR(__xludf.DUMMYFUNCTION("""COMPUTED_VALUE"""),"CL6217 TW(黛安娜)")</f>
        <v>CL6217 TW(黛安娜)</v>
      </c>
      <c r="F1570" s="25">
        <f ca="1">IFERROR(__xludf.DUMMYFUNCTION("""COMPUTED_VALUE"""),51057299)</f>
        <v>51057299</v>
      </c>
      <c r="G1570" s="25" t="str">
        <f ca="1">IFERROR(__xludf.DUMMYFUNCTION("""COMPUTED_VALUE"""),"EHOM0008")</f>
        <v>EHOM0008</v>
      </c>
      <c r="H1570" s="26">
        <f ca="1">IFERROR(__xludf.DUMMYFUNCTION("""COMPUTED_VALUE"""),1750)</f>
        <v>1750</v>
      </c>
      <c r="I1570" s="27">
        <f ca="1">IFERROR(__xludf.DUMMYFUNCTION("""COMPUTED_VALUE"""),1490)</f>
        <v>1490</v>
      </c>
      <c r="J1570" s="25"/>
      <c r="K1570" s="25" t="str">
        <f ca="1">IFERROR(__xludf.DUMMYFUNCTION("""COMPUTED_VALUE"""),"新機上架")</f>
        <v>新機上架</v>
      </c>
      <c r="L1570" s="26" t="str">
        <f ca="1">IFERROR(__xludf.DUMMYFUNCTION("""COMPUTED_VALUE"""),"上架中")</f>
        <v>上架中</v>
      </c>
      <c r="M1570" s="25"/>
      <c r="N1570" s="25" t="str">
        <f ca="1">IFERROR(__xludf.DUMMYFUNCTION("""COMPUTED_VALUE"""),"電話機")</f>
        <v>電話機</v>
      </c>
      <c r="O1570" s="25" t="str">
        <f ca="1">IFERROR(__xludf.DUMMYFUNCTION("""COMPUTED_VALUE"""),"玫瑰金")</f>
        <v>玫瑰金</v>
      </c>
      <c r="P1570" s="25" t="str">
        <f ca="1">IFERROR(__xludf.DUMMYFUNCTION("""COMPUTED_VALUE"""),"額定電壓/頻率：110V/60Hz")</f>
        <v>額定電壓/頻率：110V/60Hz</v>
      </c>
      <c r="Q1570" s="25" t="str">
        <f ca="1">IFERROR(__xludf.DUMMYFUNCTION("""COMPUTED_VALUE"""),"高185 x 寬128 x 深84mm")</f>
        <v>高185 x 寬128 x 深84mm</v>
      </c>
      <c r="R1570" s="25" t="str">
        <f ca="1">IFERROR(__xludf.DUMMYFUNCTION("""COMPUTED_VALUE"""),"中國")</f>
        <v>中國</v>
      </c>
      <c r="S1570" s="25"/>
      <c r="T1570" s="25"/>
      <c r="U1570" s="25" t="str">
        <f ca="1">IFERROR(__xludf.DUMMYFUNCTION("""COMPUTED_VALUE"""),"有")</f>
        <v>有</v>
      </c>
      <c r="V1570" s="25"/>
      <c r="W1570" s="25"/>
      <c r="X1570" s="25"/>
      <c r="Y1570" s="25"/>
      <c r="Z1570" s="27"/>
      <c r="AA1570" s="28" t="str">
        <f ca="1">IFERROR(__xludf.DUMMYFUNCTION("""COMPUTED_VALUE"""),"*全中文操作介面*2吋超大螢幕與按鍵燈*智慧增音功能*黑名單紀錄 / 來電過濾功能*50組電話簿 *20組來電紀錄 / 10組去電紀錄*10首來電鈴聲選擇*5段聽筒音量調整*內部通話 / 三方通話")</f>
        <v>*全中文操作介面*2吋超大螢幕與按鍵燈*智慧增音功能*黑名單紀錄 / 來電過濾功能*50組電話簿 *20組來電紀錄 / 10組去電紀錄*10首來電鈴聲選擇*5段聽筒音量調整*內部通話 / 三方通話</v>
      </c>
    </row>
    <row r="1571" spans="1:27" ht="12.75">
      <c r="A1571" s="25" t="str">
        <f ca="1">IFERROR(__xludf.DUMMYFUNCTION("""COMPUTED_VALUE"""),"電話機")</f>
        <v>電話機</v>
      </c>
      <c r="B1571" s="25" t="str">
        <f ca="1">IFERROR(__xludf.DUMMYFUNCTION("""COMPUTED_VALUE"""),"聯穎國際")</f>
        <v>聯穎國際</v>
      </c>
      <c r="C1571" s="25" t="str">
        <f ca="1">IFERROR(__xludf.DUMMYFUNCTION("""COMPUTED_VALUE"""),"VTECH")</f>
        <v>VTECH</v>
      </c>
      <c r="D1571" s="25" t="str">
        <f ca="1">IFERROR(__xludf.DUMMYFUNCTION("""COMPUTED_VALUE"""),"(白)Vtech MS1100TW_中文增音無線電話機(伯爵機)")</f>
        <v>(白)Vtech MS1100TW_中文增音無線電話機(伯爵機)</v>
      </c>
      <c r="E1571" s="25" t="str">
        <f ca="1">IFERROR(__xludf.DUMMYFUNCTION("""COMPUTED_VALUE"""),"MS1100 TW(白)")</f>
        <v>MS1100 TW(白)</v>
      </c>
      <c r="F1571" s="25">
        <f ca="1">IFERROR(__xludf.DUMMYFUNCTION("""COMPUTED_VALUE"""),51057300)</f>
        <v>51057300</v>
      </c>
      <c r="G1571" s="25" t="str">
        <f ca="1">IFERROR(__xludf.DUMMYFUNCTION("""COMPUTED_VALUE"""),"EHOM0009")</f>
        <v>EHOM0009</v>
      </c>
      <c r="H1571" s="26">
        <f ca="1">IFERROR(__xludf.DUMMYFUNCTION("""COMPUTED_VALUE"""),1499)</f>
        <v>1499</v>
      </c>
      <c r="I1571" s="27">
        <f ca="1">IFERROR(__xludf.DUMMYFUNCTION("""COMPUTED_VALUE"""),1250)</f>
        <v>1250</v>
      </c>
      <c r="J1571" s="25"/>
      <c r="K1571" s="25" t="str">
        <f ca="1">IFERROR(__xludf.DUMMYFUNCTION("""COMPUTED_VALUE"""),"新機上架")</f>
        <v>新機上架</v>
      </c>
      <c r="L1571" s="26" t="str">
        <f ca="1">IFERROR(__xludf.DUMMYFUNCTION("""COMPUTED_VALUE"""),"上架中")</f>
        <v>上架中</v>
      </c>
      <c r="M1571" s="25"/>
      <c r="N1571" s="25" t="str">
        <f ca="1">IFERROR(__xludf.DUMMYFUNCTION("""COMPUTED_VALUE"""),"電話機")</f>
        <v>電話機</v>
      </c>
      <c r="O1571" s="25" t="str">
        <f ca="1">IFERROR(__xludf.DUMMYFUNCTION("""COMPUTED_VALUE"""),"白")</f>
        <v>白</v>
      </c>
      <c r="P1571" s="25" t="str">
        <f ca="1">IFERROR(__xludf.DUMMYFUNCTION("""COMPUTED_VALUE"""),"額定電壓/頻率：110V/60Hz")</f>
        <v>額定電壓/頻率：110V/60Hz</v>
      </c>
      <c r="Q1571" s="25" t="str">
        <f ca="1">IFERROR(__xludf.DUMMYFUNCTION("""COMPUTED_VALUE"""),"高181 x 寬99 x 深92mm")</f>
        <v>高181 x 寬99 x 深92mm</v>
      </c>
      <c r="R1571" s="25" t="str">
        <f ca="1">IFERROR(__xludf.DUMMYFUNCTION("""COMPUTED_VALUE"""),"中國")</f>
        <v>中國</v>
      </c>
      <c r="S1571" s="25"/>
      <c r="T1571" s="25"/>
      <c r="U1571" s="25" t="str">
        <f ca="1">IFERROR(__xludf.DUMMYFUNCTION("""COMPUTED_VALUE"""),"有")</f>
        <v>有</v>
      </c>
      <c r="V1571" s="25"/>
      <c r="W1571" s="25"/>
      <c r="X1571" s="25"/>
      <c r="Y1571" s="25"/>
      <c r="Z1571" s="27"/>
      <c r="AA1571" s="28" t="str">
        <f ca="1">IFERROR(__xludf.DUMMYFUNCTION("""COMPUTED_VALUE"""),"*智慧增音設計 (3段增音調整)*全中文操作介面*黑名單過濾功能*超大顯示螢幕/ 超大來電鈴聲*15 種鈴聲選擇*100組電話簿記憶 /  40組來電記憶 /  15組去電記憶*免持對講 / 來電靜音 / 按鍵鎖功能")</f>
        <v>*智慧增音設計 (3段增音調整)*全中文操作介面*黑名單過濾功能*超大顯示螢幕/ 超大來電鈴聲*15 種鈴聲選擇*100組電話簿記憶 /  40組來電記憶 /  15組去電記憶*免持對講 / 來電靜音 / 按鍵鎖功能</v>
      </c>
    </row>
    <row r="1572" spans="1:27" ht="12.75">
      <c r="A1572" s="25" t="str">
        <f ca="1">IFERROR(__xludf.DUMMYFUNCTION("""COMPUTED_VALUE"""),"電話機")</f>
        <v>電話機</v>
      </c>
      <c r="B1572" s="25" t="str">
        <f ca="1">IFERROR(__xludf.DUMMYFUNCTION("""COMPUTED_VALUE"""),"聯穎國際")</f>
        <v>聯穎國際</v>
      </c>
      <c r="C1572" s="25" t="str">
        <f ca="1">IFERROR(__xludf.DUMMYFUNCTION("""COMPUTED_VALUE"""),"ALCATEL")</f>
        <v>ALCATEL</v>
      </c>
      <c r="D1572" s="25" t="str">
        <f ca="1">IFERROR(__xludf.DUMMYFUNCTION("""COMPUTED_VALUE"""),"(紅)Alcatel TA500 TW (典雅)中文介面無線電話答錄機")</f>
        <v>(紅)Alcatel TA500 TW (典雅)中文介面無線電話答錄機</v>
      </c>
      <c r="E1572" s="25" t="str">
        <f ca="1">IFERROR(__xludf.DUMMYFUNCTION("""COMPUTED_VALUE"""),"TA500 TW(紅)")</f>
        <v>TA500 TW(紅)</v>
      </c>
      <c r="F1572" s="25">
        <f ca="1">IFERROR(__xludf.DUMMYFUNCTION("""COMPUTED_VALUE"""),51057301)</f>
        <v>51057301</v>
      </c>
      <c r="G1572" s="25" t="str">
        <f ca="1">IFERROR(__xludf.DUMMYFUNCTION("""COMPUTED_VALUE"""),"EHOM000A")</f>
        <v>EHOM000A</v>
      </c>
      <c r="H1572" s="26">
        <f ca="1">IFERROR(__xludf.DUMMYFUNCTION("""COMPUTED_VALUE"""),1849)</f>
        <v>1849</v>
      </c>
      <c r="I1572" s="27">
        <f ca="1">IFERROR(__xludf.DUMMYFUNCTION("""COMPUTED_VALUE"""),1580)</f>
        <v>1580</v>
      </c>
      <c r="J1572" s="25"/>
      <c r="K1572" s="25" t="str">
        <f ca="1">IFERROR(__xludf.DUMMYFUNCTION("""COMPUTED_VALUE"""),"新機上架")</f>
        <v>新機上架</v>
      </c>
      <c r="L1572" s="26" t="str">
        <f ca="1">IFERROR(__xludf.DUMMYFUNCTION("""COMPUTED_VALUE"""),"上架中")</f>
        <v>上架中</v>
      </c>
      <c r="M1572" s="25"/>
      <c r="N1572" s="25" t="str">
        <f ca="1">IFERROR(__xludf.DUMMYFUNCTION("""COMPUTED_VALUE"""),"電話機")</f>
        <v>電話機</v>
      </c>
      <c r="O1572" s="25" t="str">
        <f ca="1">IFERROR(__xludf.DUMMYFUNCTION("""COMPUTED_VALUE"""),"紅")</f>
        <v>紅</v>
      </c>
      <c r="P1572" s="25" t="str">
        <f ca="1">IFERROR(__xludf.DUMMYFUNCTION("""COMPUTED_VALUE"""),"額定電壓/頻率：110V/60Hz")</f>
        <v>額定電壓/頻率：110V/60Hz</v>
      </c>
      <c r="Q1572" s="25" t="str">
        <f ca="1">IFERROR(__xludf.DUMMYFUNCTION("""COMPUTED_VALUE"""),"高184 x 寬119 x 深77mm")</f>
        <v>高184 x 寬119 x 深77mm</v>
      </c>
      <c r="R1572" s="25" t="str">
        <f ca="1">IFERROR(__xludf.DUMMYFUNCTION("""COMPUTED_VALUE"""),"中國")</f>
        <v>中國</v>
      </c>
      <c r="S1572" s="25"/>
      <c r="T1572" s="25"/>
      <c r="U1572" s="25" t="str">
        <f ca="1">IFERROR(__xludf.DUMMYFUNCTION("""COMPUTED_VALUE"""),"有")</f>
        <v>有</v>
      </c>
      <c r="V1572" s="25"/>
      <c r="W1572" s="25"/>
      <c r="X1572" s="25"/>
      <c r="Y1572" s="25"/>
      <c r="Z1572" s="27"/>
      <c r="AA1572" s="28" t="str">
        <f ca="1">IFERROR(__xludf.DUMMYFUNCTION("""COMPUTED_VALUE"""),"*全中文顯示功能*50組電話簿*20組來電記錄*10組去電記錄*答錄機功能 可連續錄音達30分鐘*超亮螢幕背光*可適用於TD036 TW的擴充子機*內部通話 / 三方通話")</f>
        <v>*全中文顯示功能*50組電話簿*20組來電記錄*10組去電記錄*答錄機功能 可連續錄音達30分鐘*超亮螢幕背光*可適用於TD036 TW的擴充子機*內部通話 / 三方通話</v>
      </c>
    </row>
    <row r="1573" spans="1:27" ht="12.75">
      <c r="A1573" s="25" t="str">
        <f ca="1">IFERROR(__xludf.DUMMYFUNCTION("""COMPUTED_VALUE"""),"電話機")</f>
        <v>電話機</v>
      </c>
      <c r="B1573" s="25" t="str">
        <f ca="1">IFERROR(__xludf.DUMMYFUNCTION("""COMPUTED_VALUE"""),"聯穎國際")</f>
        <v>聯穎國際</v>
      </c>
      <c r="C1573" s="25" t="str">
        <f ca="1">IFERROR(__xludf.DUMMYFUNCTION("""COMPUTED_VALUE"""),"ALCATEL")</f>
        <v>ALCATEL</v>
      </c>
      <c r="D1573" s="25" t="str">
        <f ca="1">IFERROR(__xludf.DUMMYFUNCTION("""COMPUTED_VALUE"""),"(黑)Alcatel TA500 TW (典雅)中文介面無線電話答錄機")</f>
        <v>(黑)Alcatel TA500 TW (典雅)中文介面無線電話答錄機</v>
      </c>
      <c r="E1573" s="25" t="str">
        <f ca="1">IFERROR(__xludf.DUMMYFUNCTION("""COMPUTED_VALUE"""),"TA500 TW(黑)")</f>
        <v>TA500 TW(黑)</v>
      </c>
      <c r="F1573" s="25">
        <f ca="1">IFERROR(__xludf.DUMMYFUNCTION("""COMPUTED_VALUE"""),51057302)</f>
        <v>51057302</v>
      </c>
      <c r="G1573" s="25" t="str">
        <f ca="1">IFERROR(__xludf.DUMMYFUNCTION("""COMPUTED_VALUE"""),"EHOM000B")</f>
        <v>EHOM000B</v>
      </c>
      <c r="H1573" s="26">
        <f ca="1">IFERROR(__xludf.DUMMYFUNCTION("""COMPUTED_VALUE"""),1849)</f>
        <v>1849</v>
      </c>
      <c r="I1573" s="27">
        <f ca="1">IFERROR(__xludf.DUMMYFUNCTION("""COMPUTED_VALUE"""),1580)</f>
        <v>1580</v>
      </c>
      <c r="J1573" s="25"/>
      <c r="K1573" s="25" t="str">
        <f ca="1">IFERROR(__xludf.DUMMYFUNCTION("""COMPUTED_VALUE"""),"新機上架")</f>
        <v>新機上架</v>
      </c>
      <c r="L1573" s="26" t="str">
        <f ca="1">IFERROR(__xludf.DUMMYFUNCTION("""COMPUTED_VALUE"""),"上架中")</f>
        <v>上架中</v>
      </c>
      <c r="M1573" s="25"/>
      <c r="N1573" s="25" t="str">
        <f ca="1">IFERROR(__xludf.DUMMYFUNCTION("""COMPUTED_VALUE"""),"電話機")</f>
        <v>電話機</v>
      </c>
      <c r="O1573" s="25" t="str">
        <f ca="1">IFERROR(__xludf.DUMMYFUNCTION("""COMPUTED_VALUE"""),"黑")</f>
        <v>黑</v>
      </c>
      <c r="P1573" s="25" t="str">
        <f ca="1">IFERROR(__xludf.DUMMYFUNCTION("""COMPUTED_VALUE"""),"額定電壓/頻率：110V/60Hz")</f>
        <v>額定電壓/頻率：110V/60Hz</v>
      </c>
      <c r="Q1573" s="25" t="str">
        <f ca="1">IFERROR(__xludf.DUMMYFUNCTION("""COMPUTED_VALUE"""),"高184 x 寬119 x 深77mm")</f>
        <v>高184 x 寬119 x 深77mm</v>
      </c>
      <c r="R1573" s="25" t="str">
        <f ca="1">IFERROR(__xludf.DUMMYFUNCTION("""COMPUTED_VALUE"""),"中國")</f>
        <v>中國</v>
      </c>
      <c r="S1573" s="25"/>
      <c r="T1573" s="25"/>
      <c r="U1573" s="25" t="str">
        <f ca="1">IFERROR(__xludf.DUMMYFUNCTION("""COMPUTED_VALUE"""),"有")</f>
        <v>有</v>
      </c>
      <c r="V1573" s="25"/>
      <c r="W1573" s="25"/>
      <c r="X1573" s="25"/>
      <c r="Y1573" s="25"/>
      <c r="Z1573" s="27"/>
      <c r="AA1573" s="28" t="str">
        <f ca="1">IFERROR(__xludf.DUMMYFUNCTION("""COMPUTED_VALUE"""),"*全中文顯示功能*50組電話簿*20組來電記錄*10組去電記錄*答錄機功能 可連續錄音達30分鐘*超亮螢幕背光*可適用於TD036 TW的擴充子機*內部通話 / 三方通話")</f>
        <v>*全中文顯示功能*50組電話簿*20組來電記錄*10組去電記錄*答錄機功能 可連續錄音達30分鐘*超亮螢幕背光*可適用於TD036 TW的擴充子機*內部通話 / 三方通話</v>
      </c>
    </row>
    <row r="1574" spans="1:27" ht="12.75">
      <c r="A1574" s="25" t="str">
        <f ca="1">IFERROR(__xludf.DUMMYFUNCTION("""COMPUTED_VALUE"""),"電話機")</f>
        <v>電話機</v>
      </c>
      <c r="B1574" s="25" t="str">
        <f ca="1">IFERROR(__xludf.DUMMYFUNCTION("""COMPUTED_VALUE"""),"聯穎國際")</f>
        <v>聯穎國際</v>
      </c>
      <c r="C1574" s="25" t="str">
        <f ca="1">IFERROR(__xludf.DUMMYFUNCTION("""COMPUTED_VALUE"""),"VTECH")</f>
        <v>VTECH</v>
      </c>
      <c r="D1574" s="25" t="str">
        <f ca="1">IFERROR(__xludf.DUMMYFUNCTION("""COMPUTED_VALUE"""),"(香檳金)Vtech LS6191TW 天秤座 行動整合無線市話")</f>
        <v>(香檳金)Vtech LS6191TW 天秤座 行動整合無線市話</v>
      </c>
      <c r="E1574" s="25" t="str">
        <f ca="1">IFERROR(__xludf.DUMMYFUNCTION("""COMPUTED_VALUE"""),"LS6191 TW(香檳金)")</f>
        <v>LS6191 TW(香檳金)</v>
      </c>
      <c r="F1574" s="25">
        <f ca="1">IFERROR(__xludf.DUMMYFUNCTION("""COMPUTED_VALUE"""),51057303)</f>
        <v>51057303</v>
      </c>
      <c r="G1574" s="25" t="str">
        <f ca="1">IFERROR(__xludf.DUMMYFUNCTION("""COMPUTED_VALUE"""),"EHOM000C")</f>
        <v>EHOM000C</v>
      </c>
      <c r="H1574" s="26">
        <f ca="1">IFERROR(__xludf.DUMMYFUNCTION("""COMPUTED_VALUE"""),2800)</f>
        <v>2800</v>
      </c>
      <c r="I1574" s="27">
        <f ca="1">IFERROR(__xludf.DUMMYFUNCTION("""COMPUTED_VALUE"""),2588)</f>
        <v>2588</v>
      </c>
      <c r="J1574" s="25"/>
      <c r="K1574" s="25" t="str">
        <f ca="1">IFERROR(__xludf.DUMMYFUNCTION("""COMPUTED_VALUE"""),"新機上架")</f>
        <v>新機上架</v>
      </c>
      <c r="L1574" s="26" t="str">
        <f ca="1">IFERROR(__xludf.DUMMYFUNCTION("""COMPUTED_VALUE"""),"上架中")</f>
        <v>上架中</v>
      </c>
      <c r="M1574" s="25"/>
      <c r="N1574" s="25" t="str">
        <f ca="1">IFERROR(__xludf.DUMMYFUNCTION("""COMPUTED_VALUE"""),"電話機")</f>
        <v>電話機</v>
      </c>
      <c r="O1574" s="25" t="str">
        <f ca="1">IFERROR(__xludf.DUMMYFUNCTION("""COMPUTED_VALUE"""),"香檳金")</f>
        <v>香檳金</v>
      </c>
      <c r="P1574" s="25" t="str">
        <f ca="1">IFERROR(__xludf.DUMMYFUNCTION("""COMPUTED_VALUE"""),"額定電壓/頻率：110V/60Hz")</f>
        <v>額定電壓/頻率：110V/60Hz</v>
      </c>
      <c r="Q1574" s="25" t="str">
        <f ca="1">IFERROR(__xludf.DUMMYFUNCTION("""COMPUTED_VALUE"""),"高106 x 寬213 x 深171mm")</f>
        <v>高106 x 寬213 x 深171mm</v>
      </c>
      <c r="R1574" s="25" t="str">
        <f ca="1">IFERROR(__xludf.DUMMYFUNCTION("""COMPUTED_VALUE"""),"中國")</f>
        <v>中國</v>
      </c>
      <c r="S1574" s="25"/>
      <c r="T1574" s="25"/>
      <c r="U1574" s="25" t="str">
        <f ca="1">IFERROR(__xludf.DUMMYFUNCTION("""COMPUTED_VALUE"""),"有")</f>
        <v>有</v>
      </c>
      <c r="V1574" s="25"/>
      <c r="W1574" s="25"/>
      <c r="X1574" s="25"/>
      <c r="Y1574" s="25"/>
      <c r="Z1574" s="27"/>
      <c r="AA1574" s="28" t="str">
        <f ca="1">IFERROR(__xludf.DUMMYFUNCTION("""COMPUTED_VALUE"""),"*專利藍芽整合家用無線話機 *可連接2支不同門號手機*免持對講功能*螢幕背光 / 中文印刷字鍵 *整合數位答錄機功能 可錄30分鐘*50組來電記憶 / 10組去電記憶*10組和弦鈴聲選擇")</f>
        <v>*專利藍芽整合家用無線話機 *可連接2支不同門號手機*免持對講功能*螢幕背光 / 中文印刷字鍵 *整合數位答錄機功能 可錄30分鐘*50組來電記憶 / 10組去電記憶*10組和弦鈴聲選擇</v>
      </c>
    </row>
    <row r="1575" spans="1:27" ht="12.75">
      <c r="A1575" s="25" t="str">
        <f ca="1">IFERROR(__xludf.DUMMYFUNCTION("""COMPUTED_VALUE"""),"電話機")</f>
        <v>電話機</v>
      </c>
      <c r="B1575" s="25" t="str">
        <f ca="1">IFERROR(__xludf.DUMMYFUNCTION("""COMPUTED_VALUE"""),"聯穎國際")</f>
        <v>聯穎國際</v>
      </c>
      <c r="C1575" s="25" t="str">
        <f ca="1">IFERROR(__xludf.DUMMYFUNCTION("""COMPUTED_VALUE"""),"VTECH")</f>
        <v>VTECH</v>
      </c>
      <c r="D1575" s="25" t="str">
        <f ca="1">IFERROR(__xludf.DUMMYFUNCTION("""COMPUTED_VALUE"""),"(白)Vtech LS6191TW 天秤座 行動整合無線市話")</f>
        <v>(白)Vtech LS6191TW 天秤座 行動整合無線市話</v>
      </c>
      <c r="E1575" s="25" t="str">
        <f ca="1">IFERROR(__xludf.DUMMYFUNCTION("""COMPUTED_VALUE"""),"LS6191 TW(白)")</f>
        <v>LS6191 TW(白)</v>
      </c>
      <c r="F1575" s="25">
        <f ca="1">IFERROR(__xludf.DUMMYFUNCTION("""COMPUTED_VALUE"""),51057304)</f>
        <v>51057304</v>
      </c>
      <c r="G1575" s="25" t="str">
        <f ca="1">IFERROR(__xludf.DUMMYFUNCTION("""COMPUTED_VALUE"""),"EHOM000D")</f>
        <v>EHOM000D</v>
      </c>
      <c r="H1575" s="26">
        <f ca="1">IFERROR(__xludf.DUMMYFUNCTION("""COMPUTED_VALUE"""),2800)</f>
        <v>2800</v>
      </c>
      <c r="I1575" s="27">
        <f ca="1">IFERROR(__xludf.DUMMYFUNCTION("""COMPUTED_VALUE"""),2588)</f>
        <v>2588</v>
      </c>
      <c r="J1575" s="25"/>
      <c r="K1575" s="25" t="str">
        <f ca="1">IFERROR(__xludf.DUMMYFUNCTION("""COMPUTED_VALUE"""),"新機上架")</f>
        <v>新機上架</v>
      </c>
      <c r="L1575" s="26" t="str">
        <f ca="1">IFERROR(__xludf.DUMMYFUNCTION("""COMPUTED_VALUE"""),"上架中")</f>
        <v>上架中</v>
      </c>
      <c r="M1575" s="25"/>
      <c r="N1575" s="25" t="str">
        <f ca="1">IFERROR(__xludf.DUMMYFUNCTION("""COMPUTED_VALUE"""),"電話機")</f>
        <v>電話機</v>
      </c>
      <c r="O1575" s="25" t="str">
        <f ca="1">IFERROR(__xludf.DUMMYFUNCTION("""COMPUTED_VALUE"""),"白")</f>
        <v>白</v>
      </c>
      <c r="P1575" s="25" t="str">
        <f ca="1">IFERROR(__xludf.DUMMYFUNCTION("""COMPUTED_VALUE"""),"額定電壓/頻率：110V/60Hz")</f>
        <v>額定電壓/頻率：110V/60Hz</v>
      </c>
      <c r="Q1575" s="25" t="str">
        <f ca="1">IFERROR(__xludf.DUMMYFUNCTION("""COMPUTED_VALUE"""),"高106 x 寬213 x 深171mm")</f>
        <v>高106 x 寬213 x 深171mm</v>
      </c>
      <c r="R1575" s="25" t="str">
        <f ca="1">IFERROR(__xludf.DUMMYFUNCTION("""COMPUTED_VALUE"""),"中國")</f>
        <v>中國</v>
      </c>
      <c r="S1575" s="25"/>
      <c r="T1575" s="25"/>
      <c r="U1575" s="25" t="str">
        <f ca="1">IFERROR(__xludf.DUMMYFUNCTION("""COMPUTED_VALUE"""),"有")</f>
        <v>有</v>
      </c>
      <c r="V1575" s="25"/>
      <c r="W1575" s="25"/>
      <c r="X1575" s="25"/>
      <c r="Y1575" s="25"/>
      <c r="Z1575" s="27"/>
      <c r="AA1575" s="28" t="str">
        <f ca="1">IFERROR(__xludf.DUMMYFUNCTION("""COMPUTED_VALUE"""),"*專利藍芽整合家用無線話機 *可連接2支不同門號手機*免持對講功能*螢幕背光 / 中文印刷字鍵 *整合數位答錄機功能 可錄30分鐘*50組來電記憶 / 10組去電記憶*10組和弦鈴聲選擇")</f>
        <v>*專利藍芽整合家用無線話機 *可連接2支不同門號手機*免持對講功能*螢幕背光 / 中文印刷字鍵 *整合數位答錄機功能 可錄30分鐘*50組來電記憶 / 10組去電記憶*10組和弦鈴聲選擇</v>
      </c>
    </row>
    <row r="1576" spans="1:27" ht="12.75">
      <c r="A1576" s="25" t="str">
        <f ca="1">IFERROR(__xludf.DUMMYFUNCTION("""COMPUTED_VALUE"""),"電話機")</f>
        <v>電話機</v>
      </c>
      <c r="B1576" s="25" t="str">
        <f ca="1">IFERROR(__xludf.DUMMYFUNCTION("""COMPUTED_VALUE"""),"聯穎國際")</f>
        <v>聯穎國際</v>
      </c>
      <c r="C1576" s="25" t="str">
        <f ca="1">IFERROR(__xludf.DUMMYFUNCTION("""COMPUTED_VALUE"""),"VTECH")</f>
        <v>VTECH</v>
      </c>
      <c r="D1576" s="25" t="str">
        <f ca="1">IFERROR(__xludf.DUMMYFUNCTION("""COMPUTED_VALUE"""),"(黑)Vtech VC7151-202 TW數位無線雙子機-整合 VSMART無線居家安防")</f>
        <v>(黑)Vtech VC7151-202 TW數位無線雙子機-整合 VSMART無線居家安防</v>
      </c>
      <c r="E1576" s="25" t="str">
        <f ca="1">IFERROR(__xludf.DUMMYFUNCTION("""COMPUTED_VALUE"""),"VC7151-202 TW(黑)")</f>
        <v>VC7151-202 TW(黑)</v>
      </c>
      <c r="F1576" s="25">
        <f ca="1">IFERROR(__xludf.DUMMYFUNCTION("""COMPUTED_VALUE"""),51057305)</f>
        <v>51057305</v>
      </c>
      <c r="G1576" s="25" t="str">
        <f ca="1">IFERROR(__xludf.DUMMYFUNCTION("""COMPUTED_VALUE"""),"EHOM000E")</f>
        <v>EHOM000E</v>
      </c>
      <c r="H1576" s="26">
        <f ca="1">IFERROR(__xludf.DUMMYFUNCTION("""COMPUTED_VALUE"""),4990)</f>
        <v>4990</v>
      </c>
      <c r="I1576" s="27">
        <f ca="1">IFERROR(__xludf.DUMMYFUNCTION("""COMPUTED_VALUE"""),4980)</f>
        <v>4980</v>
      </c>
      <c r="J1576" s="25"/>
      <c r="K1576" s="25" t="str">
        <f ca="1">IFERROR(__xludf.DUMMYFUNCTION("""COMPUTED_VALUE"""),"新機上架")</f>
        <v>新機上架</v>
      </c>
      <c r="L1576" s="26" t="str">
        <f ca="1">IFERROR(__xludf.DUMMYFUNCTION("""COMPUTED_VALUE"""),"上架中")</f>
        <v>上架中</v>
      </c>
      <c r="M1576" s="25"/>
      <c r="N1576" s="25" t="str">
        <f ca="1">IFERROR(__xludf.DUMMYFUNCTION("""COMPUTED_VALUE"""),"電話機")</f>
        <v>電話機</v>
      </c>
      <c r="O1576" s="25" t="str">
        <f ca="1">IFERROR(__xludf.DUMMYFUNCTION("""COMPUTED_VALUE"""),"黑")</f>
        <v>黑</v>
      </c>
      <c r="P1576" s="25" t="str">
        <f ca="1">IFERROR(__xludf.DUMMYFUNCTION("""COMPUTED_VALUE"""),"額定電壓/頻率：110V/60Hz")</f>
        <v>額定電壓/頻率：110V/60Hz</v>
      </c>
      <c r="Q1576" s="25" t="str">
        <f ca="1">IFERROR(__xludf.DUMMYFUNCTION("""COMPUTED_VALUE"""),"母機:高173 x 寬189 x 深129mm 
 子機: 高181 x 寬73 x 深82mm
 磁簧: 高23 x 寬73 x 深11mm")</f>
        <v>母機:高173 x 寬189 x 深129mm 
 子機: 高181 x 寬73 x 深82mm
 磁簧: 高23 x 寬73 x 深11mm</v>
      </c>
      <c r="R1576" s="25" t="str">
        <f ca="1">IFERROR(__xludf.DUMMYFUNCTION("""COMPUTED_VALUE"""),"中國")</f>
        <v>中國</v>
      </c>
      <c r="S1576" s="25"/>
      <c r="T1576" s="25"/>
      <c r="U1576" s="25" t="str">
        <f ca="1">IFERROR(__xludf.DUMMYFUNCTION("""COMPUTED_VALUE"""),"有")</f>
        <v>有</v>
      </c>
      <c r="V1576" s="25"/>
      <c r="W1576" s="25"/>
      <c r="X1576" s="25"/>
      <c r="Y1576" s="25"/>
      <c r="Z1576" s="27"/>
      <c r="AA1576" s="28" t="str">
        <f ca="1">IFERROR(__xludf.DUMMYFUNCTION("""COMPUTED_VALUE"""),"* V-Smart安防功能*簡易安裝 免拉線無須工程費用*黑名單過濾功能*安防感應器 (內附2組) 可遠端監聽*全中文顯示功能表*中文答錄機 (總長27分鐘) / 對講機功能*全機廣播功能*內部對講 / 來電轉接 / 三方通話")</f>
        <v>* V-Smart安防功能*簡易安裝 免拉線無須工程費用*黑名單過濾功能*安防感應器 (內附2組) 可遠端監聽*全中文顯示功能表*中文答錄機 (總長27分鐘) / 對講機功能*全機廣播功能*內部對講 / 來電轉接 / 三方通話</v>
      </c>
    </row>
    <row r="1577" spans="1:27" ht="12.75">
      <c r="A1577" s="25" t="str">
        <f ca="1">IFERROR(__xludf.DUMMYFUNCTION("""COMPUTED_VALUE"""),"電話機")</f>
        <v>電話機</v>
      </c>
      <c r="B1577" s="25" t="str">
        <f ca="1">IFERROR(__xludf.DUMMYFUNCTION("""COMPUTED_VALUE"""),"聯穎國際")</f>
        <v>聯穎國際</v>
      </c>
      <c r="C1577" s="25" t="str">
        <f ca="1">IFERROR(__xludf.DUMMYFUNCTION("""COMPUTED_VALUE"""),"VTECH")</f>
        <v>VTECH</v>
      </c>
      <c r="D1577" s="25" t="str">
        <f ca="1">IFERROR(__xludf.DUMMYFUNCTION("""COMPUTED_VALUE"""),"(黑)Vtech VC7151-202 TW整合 VSMART無線居家安防-擴充子機(加價購)")</f>
        <v>(黑)Vtech VC7151-202 TW整合 VSMART無線居家安防-擴充子機(加價購)</v>
      </c>
      <c r="E1577" s="25" t="str">
        <f ca="1">IFERROR(__xludf.DUMMYFUNCTION("""COMPUTED_VALUE"""),"VC7151-202 TW(擴充子機)")</f>
        <v>VC7151-202 TW(擴充子機)</v>
      </c>
      <c r="F1577" s="25">
        <f ca="1">IFERROR(__xludf.DUMMYFUNCTION("""COMPUTED_VALUE"""),51057306)</f>
        <v>51057306</v>
      </c>
      <c r="G1577" s="25" t="str">
        <f ca="1">IFERROR(__xludf.DUMMYFUNCTION("""COMPUTED_VALUE"""),"EHOM000F")</f>
        <v>EHOM000F</v>
      </c>
      <c r="H1577" s="26">
        <f ca="1">IFERROR(__xludf.DUMMYFUNCTION("""COMPUTED_VALUE"""),1800)</f>
        <v>1800</v>
      </c>
      <c r="I1577" s="27">
        <f ca="1">IFERROR(__xludf.DUMMYFUNCTION("""COMPUTED_VALUE"""),1800)</f>
        <v>1800</v>
      </c>
      <c r="J1577" s="25"/>
      <c r="K1577" s="25" t="str">
        <f ca="1">IFERROR(__xludf.DUMMYFUNCTION("""COMPUTED_VALUE"""),"新機上架")</f>
        <v>新機上架</v>
      </c>
      <c r="L1577" s="26" t="str">
        <f ca="1">IFERROR(__xludf.DUMMYFUNCTION("""COMPUTED_VALUE"""),"上架中")</f>
        <v>上架中</v>
      </c>
      <c r="M1577" s="25"/>
      <c r="N1577" s="25" t="str">
        <f ca="1">IFERROR(__xludf.DUMMYFUNCTION("""COMPUTED_VALUE"""),"電話機")</f>
        <v>電話機</v>
      </c>
      <c r="O1577" s="25" t="str">
        <f ca="1">IFERROR(__xludf.DUMMYFUNCTION("""COMPUTED_VALUE"""),"黑")</f>
        <v>黑</v>
      </c>
      <c r="P1577" s="25" t="str">
        <f ca="1">IFERROR(__xludf.DUMMYFUNCTION("""COMPUTED_VALUE"""),"額定電壓/頻率：110V/60Hz")</f>
        <v>額定電壓/頻率：110V/60Hz</v>
      </c>
      <c r="Q1577" s="25" t="str">
        <f ca="1">IFERROR(__xludf.DUMMYFUNCTION("""COMPUTED_VALUE"""),"高181 x 寬73 x 深82mm")</f>
        <v>高181 x 寬73 x 深82mm</v>
      </c>
      <c r="R1577" s="25" t="str">
        <f ca="1">IFERROR(__xludf.DUMMYFUNCTION("""COMPUTED_VALUE"""),"中國")</f>
        <v>中國</v>
      </c>
      <c r="S1577" s="25"/>
      <c r="T1577" s="25"/>
      <c r="U1577" s="25" t="str">
        <f ca="1">IFERROR(__xludf.DUMMYFUNCTION("""COMPUTED_VALUE"""),"有")</f>
        <v>有</v>
      </c>
      <c r="V1577" s="25"/>
      <c r="W1577" s="25"/>
      <c r="X1577" s="25"/>
      <c r="Y1577" s="25"/>
      <c r="Z1577" s="27"/>
      <c r="AA1577" s="28" t="str">
        <f ca="1">IFERROR(__xludf.DUMMYFUNCTION("""COMPUTED_VALUE"""),"* V-Smart安防功能*簡易安裝 免拉線無須工程費用*黑名單過濾功能*安防感應器 (內附2組) 可遠端監聽*全中文顯示功能表*中文答錄機 (總長27分鐘) / 對講機功能*全機廣播功能*內部對講 / 來電轉接 / 三方通話")</f>
        <v>* V-Smart安防功能*簡易安裝 免拉線無須工程費用*黑名單過濾功能*安防感應器 (內附2組) 可遠端監聽*全中文顯示功能表*中文答錄機 (總長27分鐘) / 對講機功能*全機廣播功能*內部對講 / 來電轉接 / 三方通話</v>
      </c>
    </row>
    <row r="1578" spans="1:27" ht="12.75">
      <c r="A1578" s="25" t="str">
        <f ca="1">IFERROR(__xludf.DUMMYFUNCTION("""COMPUTED_VALUE"""),"電話機")</f>
        <v>電話機</v>
      </c>
      <c r="B1578" s="25" t="str">
        <f ca="1">IFERROR(__xludf.DUMMYFUNCTION("""COMPUTED_VALUE"""),"聯穎國際")</f>
        <v>聯穎國際</v>
      </c>
      <c r="C1578" s="25" t="str">
        <f ca="1">IFERROR(__xludf.DUMMYFUNCTION("""COMPUTED_VALUE"""),"VTECH")</f>
        <v>VTECH</v>
      </c>
      <c r="D1578" s="25" t="str">
        <f ca="1">IFERROR(__xludf.DUMMYFUNCTION("""COMPUTED_VALUE"""),"(白)Vtech VC7151-202 TW整合 VSMART無線居家安防-感應磁簧(加價購)")</f>
        <v>(白)Vtech VC7151-202 TW整合 VSMART無線居家安防-感應磁簧(加價購)</v>
      </c>
      <c r="E1578" s="25" t="str">
        <f ca="1">IFERROR(__xludf.DUMMYFUNCTION("""COMPUTED_VALUE"""),"VC7151-202 TW(感應磁簧)")</f>
        <v>VC7151-202 TW(感應磁簧)</v>
      </c>
      <c r="F1578" s="25">
        <f ca="1">IFERROR(__xludf.DUMMYFUNCTION("""COMPUTED_VALUE"""),51057307)</f>
        <v>51057307</v>
      </c>
      <c r="G1578" s="25" t="str">
        <f ca="1">IFERROR(__xludf.DUMMYFUNCTION("""COMPUTED_VALUE"""),"EHOM000G")</f>
        <v>EHOM000G</v>
      </c>
      <c r="H1578" s="26">
        <f ca="1">IFERROR(__xludf.DUMMYFUNCTION("""COMPUTED_VALUE"""),890)</f>
        <v>890</v>
      </c>
      <c r="I1578" s="27">
        <f ca="1">IFERROR(__xludf.DUMMYFUNCTION("""COMPUTED_VALUE"""),890)</f>
        <v>890</v>
      </c>
      <c r="J1578" s="25"/>
      <c r="K1578" s="25" t="str">
        <f ca="1">IFERROR(__xludf.DUMMYFUNCTION("""COMPUTED_VALUE"""),"新機上架")</f>
        <v>新機上架</v>
      </c>
      <c r="L1578" s="26" t="str">
        <f ca="1">IFERROR(__xludf.DUMMYFUNCTION("""COMPUTED_VALUE"""),"上架中")</f>
        <v>上架中</v>
      </c>
      <c r="M1578" s="25"/>
      <c r="N1578" s="25" t="str">
        <f ca="1">IFERROR(__xludf.DUMMYFUNCTION("""COMPUTED_VALUE"""),"電話機")</f>
        <v>電話機</v>
      </c>
      <c r="O1578" s="25" t="str">
        <f ca="1">IFERROR(__xludf.DUMMYFUNCTION("""COMPUTED_VALUE"""),"白")</f>
        <v>白</v>
      </c>
      <c r="P1578" s="25" t="str">
        <f ca="1">IFERROR(__xludf.DUMMYFUNCTION("""COMPUTED_VALUE"""),"額定電壓/頻率：110V/60Hz")</f>
        <v>額定電壓/頻率：110V/60Hz</v>
      </c>
      <c r="Q1578" s="25" t="str">
        <f ca="1">IFERROR(__xludf.DUMMYFUNCTION("""COMPUTED_VALUE"""),"高23 x 寬73 x 深11mm")</f>
        <v>高23 x 寬73 x 深11mm</v>
      </c>
      <c r="R1578" s="25" t="str">
        <f ca="1">IFERROR(__xludf.DUMMYFUNCTION("""COMPUTED_VALUE"""),"中國")</f>
        <v>中國</v>
      </c>
      <c r="S1578" s="25"/>
      <c r="T1578" s="25"/>
      <c r="U1578" s="25" t="str">
        <f ca="1">IFERROR(__xludf.DUMMYFUNCTION("""COMPUTED_VALUE"""),"有")</f>
        <v>有</v>
      </c>
      <c r="V1578" s="25"/>
      <c r="W1578" s="25"/>
      <c r="X1578" s="25"/>
      <c r="Y1578" s="25"/>
      <c r="Z1578" s="27"/>
      <c r="AA1578" s="28" t="str">
        <f ca="1">IFERROR(__xludf.DUMMYFUNCTION("""COMPUTED_VALUE"""),"* V-Smart安防功能*簡易安裝 免拉線無須工程費用*黑名單過濾功能*安防感應器 (內附2組) 可遠端監聽*全中文顯示功能表*中文答錄機 (總長27分鐘) / 對講機功能*全機廣播功能*內部對講 / 來電轉接 / 三方通話")</f>
        <v>* V-Smart安防功能*簡易安裝 免拉線無須工程費用*黑名單過濾功能*安防感應器 (內附2組) 可遠端監聽*全中文顯示功能表*中文答錄機 (總長27分鐘) / 對講機功能*全機廣播功能*內部對講 / 來電轉接 / 三方通話</v>
      </c>
    </row>
    <row r="1579" spans="1:27" ht="12.75">
      <c r="A1579" s="25" t="str">
        <f ca="1">IFERROR(__xludf.DUMMYFUNCTION("""COMPUTED_VALUE"""),"電話機")</f>
        <v>電話機</v>
      </c>
      <c r="B1579" s="25" t="str">
        <f ca="1">IFERROR(__xludf.DUMMYFUNCTION("""COMPUTED_VALUE"""),"聯穎國際")</f>
        <v>聯穎國際</v>
      </c>
      <c r="C1579" s="25" t="str">
        <f ca="1">IFERROR(__xludf.DUMMYFUNCTION("""COMPUTED_VALUE"""),"ALCATEL")</f>
        <v>ALCATEL</v>
      </c>
      <c r="D1579" s="25" t="str">
        <f ca="1">IFERROR(__xludf.DUMMYFUNCTION("""COMPUTED_VALUE"""),"(黑)Alcatel TD036 TW 全中文介面無線子母機-子機(加價購)")</f>
        <v>(黑)Alcatel TD036 TW 全中文介面無線子母機-子機(加價購)</v>
      </c>
      <c r="E1579" s="25" t="str">
        <f ca="1">IFERROR(__xludf.DUMMYFUNCTION("""COMPUTED_VALUE"""),"TD036 TW(黑-子機)")</f>
        <v>TD036 TW(黑-子機)</v>
      </c>
      <c r="F1579" s="25">
        <f ca="1">IFERROR(__xludf.DUMMYFUNCTION("""COMPUTED_VALUE"""),51057308)</f>
        <v>51057308</v>
      </c>
      <c r="G1579" s="25" t="str">
        <f ca="1">IFERROR(__xludf.DUMMYFUNCTION("""COMPUTED_VALUE"""),"EHOM000H")</f>
        <v>EHOM000H</v>
      </c>
      <c r="H1579" s="26">
        <f ca="1">IFERROR(__xludf.DUMMYFUNCTION("""COMPUTED_VALUE"""),1500)</f>
        <v>1500</v>
      </c>
      <c r="I1579" s="27">
        <f ca="1">IFERROR(__xludf.DUMMYFUNCTION("""COMPUTED_VALUE"""),1500)</f>
        <v>1500</v>
      </c>
      <c r="J1579" s="25"/>
      <c r="K1579" s="25" t="str">
        <f ca="1">IFERROR(__xludf.DUMMYFUNCTION("""COMPUTED_VALUE"""),"新機上架")</f>
        <v>新機上架</v>
      </c>
      <c r="L1579" s="26" t="str">
        <f ca="1">IFERROR(__xludf.DUMMYFUNCTION("""COMPUTED_VALUE"""),"上架中")</f>
        <v>上架中</v>
      </c>
      <c r="M1579" s="25"/>
      <c r="N1579" s="25" t="str">
        <f ca="1">IFERROR(__xludf.DUMMYFUNCTION("""COMPUTED_VALUE"""),"電話機")</f>
        <v>電話機</v>
      </c>
      <c r="O1579" s="25" t="str">
        <f ca="1">IFERROR(__xludf.DUMMYFUNCTION("""COMPUTED_VALUE"""),"黑")</f>
        <v>黑</v>
      </c>
      <c r="P1579" s="25" t="str">
        <f ca="1">IFERROR(__xludf.DUMMYFUNCTION("""COMPUTED_VALUE"""),"額定電壓/頻率：110V/60Hz")</f>
        <v>額定電壓/頻率：110V/60Hz</v>
      </c>
      <c r="Q1579" s="25" t="str">
        <f ca="1">IFERROR(__xludf.DUMMYFUNCTION("""COMPUTED_VALUE"""),"高180 x 寬79 x 深73mm")</f>
        <v>高180 x 寬79 x 深73mm</v>
      </c>
      <c r="R1579" s="25" t="str">
        <f ca="1">IFERROR(__xludf.DUMMYFUNCTION("""COMPUTED_VALUE"""),"中國")</f>
        <v>中國</v>
      </c>
      <c r="S1579" s="25"/>
      <c r="T1579" s="25"/>
      <c r="U1579" s="25" t="str">
        <f ca="1">IFERROR(__xludf.DUMMYFUNCTION("""COMPUTED_VALUE"""),"有")</f>
        <v>有</v>
      </c>
      <c r="V1579" s="25"/>
      <c r="W1579" s="25"/>
      <c r="X1579" s="25"/>
      <c r="Y1579" s="25"/>
      <c r="Z1579" s="27"/>
      <c r="AA1579" s="28" t="str">
        <f ca="1">IFERROR(__xludf.DUMMYFUNCTION("""COMPUTED_VALUE"""),"*全中文顯示功能*50組電話簿*20組來電記錄 / 10組去電記錄*超亮螢幕背光*內部通話 / 三方通話*須搭配主機做使用")</f>
        <v>*全中文顯示功能*50組電話簿*20組來電記錄 / 10組去電記錄*超亮螢幕背光*內部通話 / 三方通話*須搭配主機做使用</v>
      </c>
    </row>
    <row r="1580" spans="1:27" ht="12.75">
      <c r="A1580" s="25" t="str">
        <f ca="1">IFERROR(__xludf.DUMMYFUNCTION("""COMPUTED_VALUE"""),"電話機")</f>
        <v>電話機</v>
      </c>
      <c r="B1580" s="25" t="str">
        <f ca="1">IFERROR(__xludf.DUMMYFUNCTION("""COMPUTED_VALUE"""),"聯穎國際")</f>
        <v>聯穎國際</v>
      </c>
      <c r="C1580" s="25" t="str">
        <f ca="1">IFERROR(__xludf.DUMMYFUNCTION("""COMPUTED_VALUE"""),"ALCATEL")</f>
        <v>ALCATEL</v>
      </c>
      <c r="D1580" s="25" t="str">
        <f ca="1">IFERROR(__xludf.DUMMYFUNCTION("""COMPUTED_VALUE"""),"(白)Alcatel TD036 TW 全中文介面無線子母機-子機(加價購)")</f>
        <v>(白)Alcatel TD036 TW 全中文介面無線子母機-子機(加價購)</v>
      </c>
      <c r="E1580" s="25" t="str">
        <f ca="1">IFERROR(__xludf.DUMMYFUNCTION("""COMPUTED_VALUE"""),"TD036 TW(白-子機)")</f>
        <v>TD036 TW(白-子機)</v>
      </c>
      <c r="F1580" s="25">
        <f ca="1">IFERROR(__xludf.DUMMYFUNCTION("""COMPUTED_VALUE"""),51057309)</f>
        <v>51057309</v>
      </c>
      <c r="G1580" s="25" t="str">
        <f ca="1">IFERROR(__xludf.DUMMYFUNCTION("""COMPUTED_VALUE"""),"EHOM000I")</f>
        <v>EHOM000I</v>
      </c>
      <c r="H1580" s="26">
        <f ca="1">IFERROR(__xludf.DUMMYFUNCTION("""COMPUTED_VALUE"""),1500)</f>
        <v>1500</v>
      </c>
      <c r="I1580" s="27">
        <f ca="1">IFERROR(__xludf.DUMMYFUNCTION("""COMPUTED_VALUE"""),1500)</f>
        <v>1500</v>
      </c>
      <c r="J1580" s="25"/>
      <c r="K1580" s="25" t="str">
        <f ca="1">IFERROR(__xludf.DUMMYFUNCTION("""COMPUTED_VALUE"""),"新機上架")</f>
        <v>新機上架</v>
      </c>
      <c r="L1580" s="26" t="str">
        <f ca="1">IFERROR(__xludf.DUMMYFUNCTION("""COMPUTED_VALUE"""),"上架中")</f>
        <v>上架中</v>
      </c>
      <c r="M1580" s="25"/>
      <c r="N1580" s="25" t="str">
        <f ca="1">IFERROR(__xludf.DUMMYFUNCTION("""COMPUTED_VALUE"""),"電話機")</f>
        <v>電話機</v>
      </c>
      <c r="O1580" s="25" t="str">
        <f ca="1">IFERROR(__xludf.DUMMYFUNCTION("""COMPUTED_VALUE"""),"白")</f>
        <v>白</v>
      </c>
      <c r="P1580" s="25" t="str">
        <f ca="1">IFERROR(__xludf.DUMMYFUNCTION("""COMPUTED_VALUE"""),"額定電壓/頻率：110V/60Hz")</f>
        <v>額定電壓/頻率：110V/60Hz</v>
      </c>
      <c r="Q1580" s="25" t="str">
        <f ca="1">IFERROR(__xludf.DUMMYFUNCTION("""COMPUTED_VALUE"""),"高180 x 寬79 x 深73mm")</f>
        <v>高180 x 寬79 x 深73mm</v>
      </c>
      <c r="R1580" s="25" t="str">
        <f ca="1">IFERROR(__xludf.DUMMYFUNCTION("""COMPUTED_VALUE"""),"中國")</f>
        <v>中國</v>
      </c>
      <c r="S1580" s="25"/>
      <c r="T1580" s="25"/>
      <c r="U1580" s="25" t="str">
        <f ca="1">IFERROR(__xludf.DUMMYFUNCTION("""COMPUTED_VALUE"""),"有")</f>
        <v>有</v>
      </c>
      <c r="V1580" s="25"/>
      <c r="W1580" s="25"/>
      <c r="X1580" s="25"/>
      <c r="Y1580" s="25"/>
      <c r="Z1580" s="27"/>
      <c r="AA1580" s="28" t="str">
        <f ca="1">IFERROR(__xludf.DUMMYFUNCTION("""COMPUTED_VALUE"""),"*全中文顯示功能*50組電話簿*20組來電記錄 / 10組去電記錄*超亮螢幕背光*內部通話 / 三方通話*須搭配主機做使用")</f>
        <v>*全中文顯示功能*50組電話簿*20組來電記錄 / 10組去電記錄*超亮螢幕背光*內部通話 / 三方通話*須搭配主機做使用</v>
      </c>
    </row>
    <row r="1581" spans="1:27" ht="12.75">
      <c r="A1581" s="25" t="str">
        <f ca="1">IFERROR(__xludf.DUMMYFUNCTION("""COMPUTED_VALUE"""),"電話機")</f>
        <v>電話機</v>
      </c>
      <c r="B1581" s="25" t="str">
        <f ca="1">IFERROR(__xludf.DUMMYFUNCTION("""COMPUTED_VALUE"""),"聯穎國際")</f>
        <v>聯穎國際</v>
      </c>
      <c r="C1581" s="25" t="str">
        <f ca="1">IFERROR(__xludf.DUMMYFUNCTION("""COMPUTED_VALUE"""),"VTECH")</f>
        <v>VTECH</v>
      </c>
      <c r="D1581" s="25" t="str">
        <f ca="1">IFERROR(__xludf.DUMMYFUNCTION("""COMPUTED_VALUE"""),"(白)Vtech CL6547 TW全中文智慧居家子母機_全家福")</f>
        <v>(白)Vtech CL6547 TW全中文智慧居家子母機_全家福</v>
      </c>
      <c r="E1581" s="25" t="str">
        <f ca="1">IFERROR(__xludf.DUMMYFUNCTION("""COMPUTED_VALUE"""),"CL6547 TW(白)")</f>
        <v>CL6547 TW(白)</v>
      </c>
      <c r="F1581" s="25">
        <f ca="1">IFERROR(__xludf.DUMMYFUNCTION("""COMPUTED_VALUE"""),51057311)</f>
        <v>51057311</v>
      </c>
      <c r="G1581" s="25" t="str">
        <f ca="1">IFERROR(__xludf.DUMMYFUNCTION("""COMPUTED_VALUE"""),"EHOM000K")</f>
        <v>EHOM000K</v>
      </c>
      <c r="H1581" s="26">
        <f ca="1">IFERROR(__xludf.DUMMYFUNCTION("""COMPUTED_VALUE"""),3500)</f>
        <v>3500</v>
      </c>
      <c r="I1581" s="27">
        <f ca="1">IFERROR(__xludf.DUMMYFUNCTION("""COMPUTED_VALUE"""),2650)</f>
        <v>2650</v>
      </c>
      <c r="J1581" s="25"/>
      <c r="K1581" s="25" t="str">
        <f ca="1">IFERROR(__xludf.DUMMYFUNCTION("""COMPUTED_VALUE"""),"新機上架")</f>
        <v>新機上架</v>
      </c>
      <c r="L1581" s="26" t="str">
        <f ca="1">IFERROR(__xludf.DUMMYFUNCTION("""COMPUTED_VALUE"""),"上架中")</f>
        <v>上架中</v>
      </c>
      <c r="M1581" s="25"/>
      <c r="N1581" s="25" t="str">
        <f ca="1">IFERROR(__xludf.DUMMYFUNCTION("""COMPUTED_VALUE"""),"電話機")</f>
        <v>電話機</v>
      </c>
      <c r="O1581" s="25" t="str">
        <f ca="1">IFERROR(__xludf.DUMMYFUNCTION("""COMPUTED_VALUE"""),"白")</f>
        <v>白</v>
      </c>
      <c r="P1581" s="25" t="str">
        <f ca="1">IFERROR(__xludf.DUMMYFUNCTION("""COMPUTED_VALUE"""),"額定電壓/頻率：110V/60Hz")</f>
        <v>額定電壓/頻率：110V/60Hz</v>
      </c>
      <c r="Q1581" s="25" t="str">
        <f ca="1">IFERROR(__xludf.DUMMYFUNCTION("""COMPUTED_VALUE"""),"母機:高140 x 寬197 x 深285mm 
 子機: 高206 x 寬96 x 深101mm
 一指通: 高175 x 寬66 x 深81mm")</f>
        <v>母機:高140 x 寬197 x 深285mm 
 子機: 高206 x 寬96 x 深101mm
 一指通: 高175 x 寬66 x 深81mm</v>
      </c>
      <c r="R1581" s="25" t="str">
        <f ca="1">IFERROR(__xludf.DUMMYFUNCTION("""COMPUTED_VALUE"""),"中國")</f>
        <v>中國</v>
      </c>
      <c r="S1581" s="25"/>
      <c r="T1581" s="25"/>
      <c r="U1581" s="25" t="str">
        <f ca="1">IFERROR(__xludf.DUMMYFUNCTION("""COMPUTED_VALUE"""),"有")</f>
        <v>有</v>
      </c>
      <c r="V1581" s="25"/>
      <c r="W1581" s="25"/>
      <c r="X1581" s="25"/>
      <c r="Y1581" s="25"/>
      <c r="Z1581" s="27"/>
      <c r="AA1581" s="28" t="str">
        <f ca="1">IFERROR(__xludf.DUMMYFUNCTION("""COMPUTED_VALUE"""),"*全中文操作介面*三種高低智慧音頻選擇*智慧增音功能*主機8組 / 子機4組照片速撥鍵*8組預設來電報號*超亮來電提示燈，超大響鈴*去電報號: 撥電話不失誤*過濾來電黑名單*數位電話答錄機功能 可錄20分鐘 可慢速播放*內線呼叫 / 對講功能")</f>
        <v>*全中文操作介面*三種高低智慧音頻選擇*智慧增音功能*主機8組 / 子機4組照片速撥鍵*8組預設來電報號*超亮來電提示燈，超大響鈴*去電報號: 撥電話不失誤*過濾來電黑名單*數位電話答錄機功能 可錄20分鐘 可慢速播放*內線呼叫 / 對講功能</v>
      </c>
    </row>
    <row r="1582" spans="1:27" ht="12.75">
      <c r="A1582" s="25" t="str">
        <f ca="1">IFERROR(__xludf.DUMMYFUNCTION("""COMPUTED_VALUE"""),"電話機")</f>
        <v>電話機</v>
      </c>
      <c r="B1582" s="25" t="str">
        <f ca="1">IFERROR(__xludf.DUMMYFUNCTION("""COMPUTED_VALUE"""),"聯穎國際")</f>
        <v>聯穎國際</v>
      </c>
      <c r="C1582" s="25" t="str">
        <f ca="1">IFERROR(__xludf.DUMMYFUNCTION("""COMPUTED_VALUE"""),"VTECH")</f>
        <v>VTECH</v>
      </c>
      <c r="D1582" s="25" t="str">
        <f ca="1">IFERROR(__xludf.DUMMYFUNCTION("""COMPUTED_VALUE"""),"(黑)Vtech CL6547 TW全中文智慧居家子母機_全家福")</f>
        <v>(黑)Vtech CL6547 TW全中文智慧居家子母機_全家福</v>
      </c>
      <c r="E1582" s="25" t="str">
        <f ca="1">IFERROR(__xludf.DUMMYFUNCTION("""COMPUTED_VALUE"""),"CL6547 TW(黑)")</f>
        <v>CL6547 TW(黑)</v>
      </c>
      <c r="F1582" s="25">
        <f ca="1">IFERROR(__xludf.DUMMYFUNCTION("""COMPUTED_VALUE"""),51057312)</f>
        <v>51057312</v>
      </c>
      <c r="G1582" s="25" t="str">
        <f ca="1">IFERROR(__xludf.DUMMYFUNCTION("""COMPUTED_VALUE"""),"EHOM000L")</f>
        <v>EHOM000L</v>
      </c>
      <c r="H1582" s="26">
        <f ca="1">IFERROR(__xludf.DUMMYFUNCTION("""COMPUTED_VALUE"""),3500)</f>
        <v>3500</v>
      </c>
      <c r="I1582" s="27">
        <f ca="1">IFERROR(__xludf.DUMMYFUNCTION("""COMPUTED_VALUE"""),2650)</f>
        <v>2650</v>
      </c>
      <c r="J1582" s="25"/>
      <c r="K1582" s="25" t="str">
        <f ca="1">IFERROR(__xludf.DUMMYFUNCTION("""COMPUTED_VALUE"""),"新機上架")</f>
        <v>新機上架</v>
      </c>
      <c r="L1582" s="26" t="str">
        <f ca="1">IFERROR(__xludf.DUMMYFUNCTION("""COMPUTED_VALUE"""),"上架中")</f>
        <v>上架中</v>
      </c>
      <c r="M1582" s="25"/>
      <c r="N1582" s="25" t="str">
        <f ca="1">IFERROR(__xludf.DUMMYFUNCTION("""COMPUTED_VALUE"""),"電話機")</f>
        <v>電話機</v>
      </c>
      <c r="O1582" s="25" t="str">
        <f ca="1">IFERROR(__xludf.DUMMYFUNCTION("""COMPUTED_VALUE"""),"黑")</f>
        <v>黑</v>
      </c>
      <c r="P1582" s="25" t="str">
        <f ca="1">IFERROR(__xludf.DUMMYFUNCTION("""COMPUTED_VALUE"""),"額定電壓/頻率：110V/60Hz")</f>
        <v>額定電壓/頻率：110V/60Hz</v>
      </c>
      <c r="Q1582" s="25" t="str">
        <f ca="1">IFERROR(__xludf.DUMMYFUNCTION("""COMPUTED_VALUE"""),"母機:高140 x 寬197 x 深285mm 
 子機: 高206 x 寬96 x 深101mm
 一指通: 高175 x 寬66 x 深81mm")</f>
        <v>母機:高140 x 寬197 x 深285mm 
 子機: 高206 x 寬96 x 深101mm
 一指通: 高175 x 寬66 x 深81mm</v>
      </c>
      <c r="R1582" s="25" t="str">
        <f ca="1">IFERROR(__xludf.DUMMYFUNCTION("""COMPUTED_VALUE"""),"中國")</f>
        <v>中國</v>
      </c>
      <c r="S1582" s="25"/>
      <c r="T1582" s="25"/>
      <c r="U1582" s="25" t="str">
        <f ca="1">IFERROR(__xludf.DUMMYFUNCTION("""COMPUTED_VALUE"""),"有")</f>
        <v>有</v>
      </c>
      <c r="V1582" s="25"/>
      <c r="W1582" s="25"/>
      <c r="X1582" s="25"/>
      <c r="Y1582" s="25"/>
      <c r="Z1582" s="27"/>
      <c r="AA1582" s="28" t="str">
        <f ca="1">IFERROR(__xludf.DUMMYFUNCTION("""COMPUTED_VALUE"""),"*全中文操作介面*三種高低智慧音頻選擇*智慧增音功能*主機8組 / 子機4組照片速撥鍵*8組預設來電報號*超亮來電提示燈，超大響鈴*去電報號: 撥電話不失誤*過濾來電黑名單*數位電話答錄機功能 可錄20分鐘 可慢速播放*內線呼叫 / 對講功能")</f>
        <v>*全中文操作介面*三種高低智慧音頻選擇*智慧增音功能*主機8組 / 子機4組照片速撥鍵*8組預設來電報號*超亮來電提示燈，超大響鈴*去電報號: 撥電話不失誤*過濾來電黑名單*數位電話答錄機功能 可錄20分鐘 可慢速播放*內線呼叫 / 對講功能</v>
      </c>
    </row>
    <row r="1583" spans="1:27" ht="12.75">
      <c r="A1583" s="25" t="str">
        <f ca="1">IFERROR(__xludf.DUMMYFUNCTION("""COMPUTED_VALUE"""),"電話機")</f>
        <v>電話機</v>
      </c>
      <c r="B1583" s="25" t="str">
        <f ca="1">IFERROR(__xludf.DUMMYFUNCTION("""COMPUTED_VALUE"""),"聯穎國際")</f>
        <v>聯穎國際</v>
      </c>
      <c r="C1583" s="25" t="str">
        <f ca="1">IFERROR(__xludf.DUMMYFUNCTION("""COMPUTED_VALUE"""),"VTECH")</f>
        <v>VTECH</v>
      </c>
      <c r="D1583" s="25" t="str">
        <f ca="1">IFERROR(__xludf.DUMMYFUNCTION("""COMPUTED_VALUE"""),"(銀)Vtech CS5119 TW全中文無線助聽電話機")</f>
        <v>(銀)Vtech CS5119 TW全中文無線助聽電話機</v>
      </c>
      <c r="E1583" s="25" t="str">
        <f ca="1">IFERROR(__xludf.DUMMYFUNCTION("""COMPUTED_VALUE"""),"CS5119 TW(銀)")</f>
        <v>CS5119 TW(銀)</v>
      </c>
      <c r="F1583" s="25">
        <f ca="1">IFERROR(__xludf.DUMMYFUNCTION("""COMPUTED_VALUE"""),51057313)</f>
        <v>51057313</v>
      </c>
      <c r="G1583" s="25" t="str">
        <f ca="1">IFERROR(__xludf.DUMMYFUNCTION("""COMPUTED_VALUE"""),"EHOM000M")</f>
        <v>EHOM000M</v>
      </c>
      <c r="H1583" s="26">
        <f ca="1">IFERROR(__xludf.DUMMYFUNCTION("""COMPUTED_VALUE"""),1590)</f>
        <v>1590</v>
      </c>
      <c r="I1583" s="27">
        <f ca="1">IFERROR(__xludf.DUMMYFUNCTION("""COMPUTED_VALUE"""),1470)</f>
        <v>1470</v>
      </c>
      <c r="J1583" s="25"/>
      <c r="K1583" s="25" t="str">
        <f ca="1">IFERROR(__xludf.DUMMYFUNCTION("""COMPUTED_VALUE"""),"新機上架")</f>
        <v>新機上架</v>
      </c>
      <c r="L1583" s="26" t="str">
        <f ca="1">IFERROR(__xludf.DUMMYFUNCTION("""COMPUTED_VALUE"""),"上架中")</f>
        <v>上架中</v>
      </c>
      <c r="M1583" s="25"/>
      <c r="N1583" s="25" t="str">
        <f ca="1">IFERROR(__xludf.DUMMYFUNCTION("""COMPUTED_VALUE"""),"電話機")</f>
        <v>電話機</v>
      </c>
      <c r="O1583" s="25" t="str">
        <f ca="1">IFERROR(__xludf.DUMMYFUNCTION("""COMPUTED_VALUE"""),"銀")</f>
        <v>銀</v>
      </c>
      <c r="P1583" s="25" t="str">
        <f ca="1">IFERROR(__xludf.DUMMYFUNCTION("""COMPUTED_VALUE"""),"額定電壓/頻率：110V/60Hz")</f>
        <v>額定電壓/頻率：110V/60Hz</v>
      </c>
      <c r="Q1583" s="25" t="str">
        <f ca="1">IFERROR(__xludf.DUMMYFUNCTION("""COMPUTED_VALUE"""),"高184 x 寬116 x 深92mm")</f>
        <v>高184 x 寬116 x 深92mm</v>
      </c>
      <c r="R1583" s="25" t="str">
        <f ca="1">IFERROR(__xludf.DUMMYFUNCTION("""COMPUTED_VALUE"""),"中國")</f>
        <v>中國</v>
      </c>
      <c r="S1583" s="25"/>
      <c r="T1583" s="25"/>
      <c r="U1583" s="25" t="str">
        <f ca="1">IFERROR(__xludf.DUMMYFUNCTION("""COMPUTED_VALUE"""),"有")</f>
        <v>有</v>
      </c>
      <c r="V1583" s="25"/>
      <c r="W1583" s="25"/>
      <c r="X1583" s="25"/>
      <c r="Y1583" s="25"/>
      <c r="Z1583" s="27"/>
      <c r="AA1583" s="28" t="str">
        <f ca="1">IFERROR(__xludf.DUMMYFUNCTION("""COMPUTED_VALUE"""),"*全中文操作介面*智慧增音助聽設計、聽筒音量5段調節*黑名單 / 免干擾 / 來電過濾功能*1.5吋超大背光螢幕 / 超大背光字鍵*高音質免持對講*單鍵尋呼子機功能 / 可另擴充4支子機*50組電話簿 / 20組來電記憶 / 10組去電記憶*10組和弦鈴聲選擇")</f>
        <v>*全中文操作介面*智慧增音助聽設計、聽筒音量5段調節*黑名單 / 免干擾 / 來電過濾功能*1.5吋超大背光螢幕 / 超大背光字鍵*高音質免持對講*單鍵尋呼子機功能 / 可另擴充4支子機*50組電話簿 / 20組來電記憶 / 10組去電記憶*10組和弦鈴聲選擇</v>
      </c>
    </row>
    <row r="1584" spans="1:27" ht="12.75">
      <c r="A1584" s="25" t="str">
        <f ca="1">IFERROR(__xludf.DUMMYFUNCTION("""COMPUTED_VALUE"""),"電話機")</f>
        <v>電話機</v>
      </c>
      <c r="B1584" s="25" t="str">
        <f ca="1">IFERROR(__xludf.DUMMYFUNCTION("""COMPUTED_VALUE"""),"聯穎國際")</f>
        <v>聯穎國際</v>
      </c>
      <c r="C1584" s="25" t="str">
        <f ca="1">IFERROR(__xludf.DUMMYFUNCTION("""COMPUTED_VALUE"""),"VTECH")</f>
        <v>VTECH</v>
      </c>
      <c r="D1584" s="25" t="str">
        <f ca="1">IFERROR(__xludf.DUMMYFUNCTION("""COMPUTED_VALUE"""),"(紅)Vtech CS5119 TW全中文無線助聽電話機")</f>
        <v>(紅)Vtech CS5119 TW全中文無線助聽電話機</v>
      </c>
      <c r="E1584" s="25" t="str">
        <f ca="1">IFERROR(__xludf.DUMMYFUNCTION("""COMPUTED_VALUE"""),"CS5119 TW(紅)")</f>
        <v>CS5119 TW(紅)</v>
      </c>
      <c r="F1584" s="25">
        <f ca="1">IFERROR(__xludf.DUMMYFUNCTION("""COMPUTED_VALUE"""),51057314)</f>
        <v>51057314</v>
      </c>
      <c r="G1584" s="25" t="str">
        <f ca="1">IFERROR(__xludf.DUMMYFUNCTION("""COMPUTED_VALUE"""),"EHOM000N")</f>
        <v>EHOM000N</v>
      </c>
      <c r="H1584" s="26">
        <f ca="1">IFERROR(__xludf.DUMMYFUNCTION("""COMPUTED_VALUE"""),1590)</f>
        <v>1590</v>
      </c>
      <c r="I1584" s="27">
        <f ca="1">IFERROR(__xludf.DUMMYFUNCTION("""COMPUTED_VALUE"""),1470)</f>
        <v>1470</v>
      </c>
      <c r="J1584" s="25"/>
      <c r="K1584" s="25" t="str">
        <f ca="1">IFERROR(__xludf.DUMMYFUNCTION("""COMPUTED_VALUE"""),"新機上架")</f>
        <v>新機上架</v>
      </c>
      <c r="L1584" s="26" t="str">
        <f ca="1">IFERROR(__xludf.DUMMYFUNCTION("""COMPUTED_VALUE"""),"上架中")</f>
        <v>上架中</v>
      </c>
      <c r="M1584" s="25"/>
      <c r="N1584" s="25" t="str">
        <f ca="1">IFERROR(__xludf.DUMMYFUNCTION("""COMPUTED_VALUE"""),"電話機")</f>
        <v>電話機</v>
      </c>
      <c r="O1584" s="25" t="str">
        <f ca="1">IFERROR(__xludf.DUMMYFUNCTION("""COMPUTED_VALUE"""),"紅")</f>
        <v>紅</v>
      </c>
      <c r="P1584" s="25" t="str">
        <f ca="1">IFERROR(__xludf.DUMMYFUNCTION("""COMPUTED_VALUE"""),"額定電壓/頻率：110V/60Hz")</f>
        <v>額定電壓/頻率：110V/60Hz</v>
      </c>
      <c r="Q1584" s="25" t="str">
        <f ca="1">IFERROR(__xludf.DUMMYFUNCTION("""COMPUTED_VALUE"""),"高184 x 寬116 x 深92mm")</f>
        <v>高184 x 寬116 x 深92mm</v>
      </c>
      <c r="R1584" s="25" t="str">
        <f ca="1">IFERROR(__xludf.DUMMYFUNCTION("""COMPUTED_VALUE"""),"中國")</f>
        <v>中國</v>
      </c>
      <c r="S1584" s="25"/>
      <c r="T1584" s="25"/>
      <c r="U1584" s="25" t="str">
        <f ca="1">IFERROR(__xludf.DUMMYFUNCTION("""COMPUTED_VALUE"""),"有")</f>
        <v>有</v>
      </c>
      <c r="V1584" s="25"/>
      <c r="W1584" s="25"/>
      <c r="X1584" s="25"/>
      <c r="Y1584" s="25"/>
      <c r="Z1584" s="27"/>
      <c r="AA1584" s="28" t="str">
        <f ca="1">IFERROR(__xludf.DUMMYFUNCTION("""COMPUTED_VALUE"""),"*全中文操作介面*智慧增音助聽設計、聽筒音量5段調節*黑名單 / 免干擾 / 來電過濾功能*1.5吋超大背光螢幕 / 超大背光字鍵*高音質免持對講*單鍵尋呼子機功能 / 可另擴充4支子機*50組電話簿 / 20組來電記憶 / 10組去電記憶*10組和弦鈴聲選擇")</f>
        <v>*全中文操作介面*智慧增音助聽設計、聽筒音量5段調節*黑名單 / 免干擾 / 來電過濾功能*1.5吋超大背光螢幕 / 超大背光字鍵*高音質免持對講*單鍵尋呼子機功能 / 可另擴充4支子機*50組電話簿 / 20組來電記憶 / 10組去電記憶*10組和弦鈴聲選擇</v>
      </c>
    </row>
    <row r="1585" spans="1:27" ht="12.75">
      <c r="A1585" s="25" t="str">
        <f ca="1">IFERROR(__xludf.DUMMYFUNCTION("""COMPUTED_VALUE"""),"電話機")</f>
        <v>電話機</v>
      </c>
      <c r="B1585" s="25" t="str">
        <f ca="1">IFERROR(__xludf.DUMMYFUNCTION("""COMPUTED_VALUE"""),"聯穎國際")</f>
        <v>聯穎國際</v>
      </c>
      <c r="C1585" s="25" t="str">
        <f ca="1">IFERROR(__xludf.DUMMYFUNCTION("""COMPUTED_VALUE"""),"VTECH")</f>
        <v>VTECH</v>
      </c>
      <c r="D1585" s="25" t="str">
        <f ca="1">IFERROR(__xludf.DUMMYFUNCTION("""COMPUTED_VALUE"""),"(黑)Vtech CRL51102TW _無線助聽電話機")</f>
        <v>(黑)Vtech CRL51102TW _無線助聽電話機</v>
      </c>
      <c r="E1585" s="25" t="str">
        <f ca="1">IFERROR(__xludf.DUMMYFUNCTION("""COMPUTED_VALUE"""),"CRL51102 TW(黑)")</f>
        <v>CRL51102 TW(黑)</v>
      </c>
      <c r="F1585" s="25">
        <f ca="1">IFERROR(__xludf.DUMMYFUNCTION("""COMPUTED_VALUE"""),51057315)</f>
        <v>51057315</v>
      </c>
      <c r="G1585" s="25" t="str">
        <f ca="1">IFERROR(__xludf.DUMMYFUNCTION("""COMPUTED_VALUE"""),"EHOM000O")</f>
        <v>EHOM000O</v>
      </c>
      <c r="H1585" s="26">
        <f ca="1">IFERROR(__xludf.DUMMYFUNCTION("""COMPUTED_VALUE"""),2180)</f>
        <v>2180</v>
      </c>
      <c r="I1585" s="27">
        <f ca="1">IFERROR(__xludf.DUMMYFUNCTION("""COMPUTED_VALUE"""),1480)</f>
        <v>1480</v>
      </c>
      <c r="J1585" s="25"/>
      <c r="K1585" s="25" t="str">
        <f ca="1">IFERROR(__xludf.DUMMYFUNCTION("""COMPUTED_VALUE"""),"新機上架")</f>
        <v>新機上架</v>
      </c>
      <c r="L1585" s="26" t="str">
        <f ca="1">IFERROR(__xludf.DUMMYFUNCTION("""COMPUTED_VALUE"""),"上架中")</f>
        <v>上架中</v>
      </c>
      <c r="M1585" s="25"/>
      <c r="N1585" s="25" t="str">
        <f ca="1">IFERROR(__xludf.DUMMYFUNCTION("""COMPUTED_VALUE"""),"電話機")</f>
        <v>電話機</v>
      </c>
      <c r="O1585" s="25" t="str">
        <f ca="1">IFERROR(__xludf.DUMMYFUNCTION("""COMPUTED_VALUE"""),"黑")</f>
        <v>黑</v>
      </c>
      <c r="P1585" s="25" t="str">
        <f ca="1">IFERROR(__xludf.DUMMYFUNCTION("""COMPUTED_VALUE"""),"額定電壓/頻率：110V/60Hz")</f>
        <v>額定電壓/頻率：110V/60Hz</v>
      </c>
      <c r="Q1585" s="25" t="str">
        <f ca="1">IFERROR(__xludf.DUMMYFUNCTION("""COMPUTED_VALUE"""),"高185 x 寬128 x 深84mm")</f>
        <v>高185 x 寬128 x 深84mm</v>
      </c>
      <c r="R1585" s="25" t="str">
        <f ca="1">IFERROR(__xludf.DUMMYFUNCTION("""COMPUTED_VALUE"""),"中國")</f>
        <v>中國</v>
      </c>
      <c r="S1585" s="25"/>
      <c r="T1585" s="25"/>
      <c r="U1585" s="25" t="str">
        <f ca="1">IFERROR(__xludf.DUMMYFUNCTION("""COMPUTED_VALUE"""),"有")</f>
        <v>有</v>
      </c>
      <c r="V1585" s="25"/>
      <c r="W1585" s="25"/>
      <c r="X1585" s="25"/>
      <c r="Y1585" s="25"/>
      <c r="Z1585" s="27"/>
      <c r="AA1585" s="28" t="str">
        <f ca="1">IFERROR(__xludf.DUMMYFUNCTION("""COMPUTED_VALUE"""),"*智慧增音設計*中文印刷字鍵*免持對講功能*超大顯示螢幕*20組電話簿記憶 *10組來電記憶 / 5組去電記憶*來電靜音 / 按鍵鎖功能*內部通話 / 三方通話")</f>
        <v>*智慧增音設計*中文印刷字鍵*免持對講功能*超大顯示螢幕*20組電話簿記憶 *10組來電記憶 / 5組去電記憶*來電靜音 / 按鍵鎖功能*內部通話 / 三方通話</v>
      </c>
    </row>
    <row r="1586" spans="1:27" ht="12.75">
      <c r="A1586" s="25" t="str">
        <f ca="1">IFERROR(__xludf.DUMMYFUNCTION("""COMPUTED_VALUE"""),"電話機")</f>
        <v>電話機</v>
      </c>
      <c r="B1586" s="25" t="str">
        <f ca="1">IFERROR(__xludf.DUMMYFUNCTION("""COMPUTED_VALUE"""),"聯穎國際")</f>
        <v>聯穎國際</v>
      </c>
      <c r="C1586" s="25" t="str">
        <f ca="1">IFERROR(__xludf.DUMMYFUNCTION("""COMPUTED_VALUE"""),"VTECH")</f>
        <v>VTECH</v>
      </c>
      <c r="D1586" s="25" t="str">
        <f ca="1">IFERROR(__xludf.DUMMYFUNCTION("""COMPUTED_VALUE"""),"(白)Vtech CRL51102TW _無線助聽電話機")</f>
        <v>(白)Vtech CRL51102TW _無線助聽電話機</v>
      </c>
      <c r="E1586" s="25" t="str">
        <f ca="1">IFERROR(__xludf.DUMMYFUNCTION("""COMPUTED_VALUE"""),"CRL51102 TW(白)")</f>
        <v>CRL51102 TW(白)</v>
      </c>
      <c r="F1586" s="25">
        <f ca="1">IFERROR(__xludf.DUMMYFUNCTION("""COMPUTED_VALUE"""),51057316)</f>
        <v>51057316</v>
      </c>
      <c r="G1586" s="25" t="str">
        <f ca="1">IFERROR(__xludf.DUMMYFUNCTION("""COMPUTED_VALUE"""),"EHOM000P")</f>
        <v>EHOM000P</v>
      </c>
      <c r="H1586" s="26">
        <f ca="1">IFERROR(__xludf.DUMMYFUNCTION("""COMPUTED_VALUE"""),2180)</f>
        <v>2180</v>
      </c>
      <c r="I1586" s="27">
        <f ca="1">IFERROR(__xludf.DUMMYFUNCTION("""COMPUTED_VALUE"""),1480)</f>
        <v>1480</v>
      </c>
      <c r="J1586" s="25"/>
      <c r="K1586" s="25" t="str">
        <f ca="1">IFERROR(__xludf.DUMMYFUNCTION("""COMPUTED_VALUE"""),"新機上架")</f>
        <v>新機上架</v>
      </c>
      <c r="L1586" s="26" t="str">
        <f ca="1">IFERROR(__xludf.DUMMYFUNCTION("""COMPUTED_VALUE"""),"上架中")</f>
        <v>上架中</v>
      </c>
      <c r="M1586" s="25"/>
      <c r="N1586" s="25" t="str">
        <f ca="1">IFERROR(__xludf.DUMMYFUNCTION("""COMPUTED_VALUE"""),"電話機")</f>
        <v>電話機</v>
      </c>
      <c r="O1586" s="25" t="str">
        <f ca="1">IFERROR(__xludf.DUMMYFUNCTION("""COMPUTED_VALUE"""),"白")</f>
        <v>白</v>
      </c>
      <c r="P1586" s="25" t="str">
        <f ca="1">IFERROR(__xludf.DUMMYFUNCTION("""COMPUTED_VALUE"""),"額定電壓/頻率：110V/60Hz")</f>
        <v>額定電壓/頻率：110V/60Hz</v>
      </c>
      <c r="Q1586" s="25" t="str">
        <f ca="1">IFERROR(__xludf.DUMMYFUNCTION("""COMPUTED_VALUE"""),"高185 x 寬128 x 深84mm")</f>
        <v>高185 x 寬128 x 深84mm</v>
      </c>
      <c r="R1586" s="25" t="str">
        <f ca="1">IFERROR(__xludf.DUMMYFUNCTION("""COMPUTED_VALUE"""),"中國")</f>
        <v>中國</v>
      </c>
      <c r="S1586" s="25"/>
      <c r="T1586" s="25"/>
      <c r="U1586" s="25" t="str">
        <f ca="1">IFERROR(__xludf.DUMMYFUNCTION("""COMPUTED_VALUE"""),"有")</f>
        <v>有</v>
      </c>
      <c r="V1586" s="25"/>
      <c r="W1586" s="25"/>
      <c r="X1586" s="25"/>
      <c r="Y1586" s="25"/>
      <c r="Z1586" s="27"/>
      <c r="AA1586" s="28" t="str">
        <f ca="1">IFERROR(__xludf.DUMMYFUNCTION("""COMPUTED_VALUE"""),"*智慧增音設計*中文印刷字鍵*免持對講功能*超大顯示螢幕*20組電話簿記憶 *10組來電記憶 / 5組去電記憶*來電靜音 / 按鍵鎖功能*內部通話 / 三方通話")</f>
        <v>*智慧增音設計*中文印刷字鍵*免持對講功能*超大顯示螢幕*20組電話簿記憶 *10組來電記憶 / 5組去電記憶*來電靜音 / 按鍵鎖功能*內部通話 / 三方通話</v>
      </c>
    </row>
    <row r="1587" spans="1:27" ht="12.75">
      <c r="A1587" s="25" t="str">
        <f ca="1">IFERROR(__xludf.DUMMYFUNCTION("""COMPUTED_VALUE"""),"電話機")</f>
        <v>電話機</v>
      </c>
      <c r="B1587" s="25" t="str">
        <f ca="1">IFERROR(__xludf.DUMMYFUNCTION("""COMPUTED_VALUE"""),"聯穎國際")</f>
        <v>聯穎國際</v>
      </c>
      <c r="C1587" s="25" t="str">
        <f ca="1">IFERROR(__xludf.DUMMYFUNCTION("""COMPUTED_VALUE"""),"ALCATEL")</f>
        <v>ALCATEL</v>
      </c>
      <c r="D1587" s="25" t="str">
        <f ca="1">IFERROR(__xludf.DUMMYFUNCTION("""COMPUTED_VALUE"""),"(黑)Alcatel T218TW大字鍵有線電話機")</f>
        <v>(黑)Alcatel T218TW大字鍵有線電話機</v>
      </c>
      <c r="E1587" s="25" t="str">
        <f ca="1">IFERROR(__xludf.DUMMYFUNCTION("""COMPUTED_VALUE"""),"T218 TW(黑)")</f>
        <v>T218 TW(黑)</v>
      </c>
      <c r="F1587" s="25">
        <f ca="1">IFERROR(__xludf.DUMMYFUNCTION("""COMPUTED_VALUE"""),51057317)</f>
        <v>51057317</v>
      </c>
      <c r="G1587" s="25" t="str">
        <f ca="1">IFERROR(__xludf.DUMMYFUNCTION("""COMPUTED_VALUE"""),"EHOM000Q")</f>
        <v>EHOM000Q</v>
      </c>
      <c r="H1587" s="26">
        <f ca="1">IFERROR(__xludf.DUMMYFUNCTION("""COMPUTED_VALUE"""),650)</f>
        <v>650</v>
      </c>
      <c r="I1587" s="27">
        <f ca="1">IFERROR(__xludf.DUMMYFUNCTION("""COMPUTED_VALUE"""),639)</f>
        <v>639</v>
      </c>
      <c r="J1587" s="25"/>
      <c r="K1587" s="25" t="str">
        <f ca="1">IFERROR(__xludf.DUMMYFUNCTION("""COMPUTED_VALUE"""),"新機上架")</f>
        <v>新機上架</v>
      </c>
      <c r="L1587" s="26" t="str">
        <f ca="1">IFERROR(__xludf.DUMMYFUNCTION("""COMPUTED_VALUE"""),"上架中")</f>
        <v>上架中</v>
      </c>
      <c r="M1587" s="25"/>
      <c r="N1587" s="25" t="str">
        <f ca="1">IFERROR(__xludf.DUMMYFUNCTION("""COMPUTED_VALUE"""),"電話機")</f>
        <v>電話機</v>
      </c>
      <c r="O1587" s="25" t="str">
        <f ca="1">IFERROR(__xludf.DUMMYFUNCTION("""COMPUTED_VALUE"""),"黑")</f>
        <v>黑</v>
      </c>
      <c r="P1587" s="25" t="str">
        <f ca="1">IFERROR(__xludf.DUMMYFUNCTION("""COMPUTED_VALUE"""),"額定電壓/頻率：110V/60Hz")</f>
        <v>額定電壓/頻率：110V/60Hz</v>
      </c>
      <c r="Q1587" s="25" t="str">
        <f ca="1">IFERROR(__xludf.DUMMYFUNCTION("""COMPUTED_VALUE"""),"高60 x 寬190 x 深230mm")</f>
        <v>高60 x 寬190 x 深230mm</v>
      </c>
      <c r="R1587" s="25" t="str">
        <f ca="1">IFERROR(__xludf.DUMMYFUNCTION("""COMPUTED_VALUE"""),"中國")</f>
        <v>中國</v>
      </c>
      <c r="S1587" s="25"/>
      <c r="T1587" s="25"/>
      <c r="U1587" s="25" t="str">
        <f ca="1">IFERROR(__xludf.DUMMYFUNCTION("""COMPUTED_VALUE"""),"有")</f>
        <v>有</v>
      </c>
      <c r="V1587" s="25"/>
      <c r="W1587" s="25"/>
      <c r="X1587" s="25"/>
      <c r="Y1587" s="25"/>
      <c r="Z1587" s="27"/>
      <c r="AA1587" s="28" t="str">
        <f ca="1">IFERROR(__xludf.DUMMYFUNCTION("""COMPUTED_VALUE"""),"*大字鍵、大螢幕*來電&amp;去電報號 *32組來電記錄*9組去電記錄*兩組記憶鍵*10種來電鈴聲選擇")</f>
        <v>*大字鍵、大螢幕*來電&amp;去電報號 *32組來電記錄*9組去電記錄*兩組記憶鍵*10種來電鈴聲選擇</v>
      </c>
    </row>
    <row r="1588" spans="1:27" ht="12.75">
      <c r="A1588" s="25" t="str">
        <f ca="1">IFERROR(__xludf.DUMMYFUNCTION("""COMPUTED_VALUE"""),"電話機")</f>
        <v>電話機</v>
      </c>
      <c r="B1588" s="25" t="str">
        <f ca="1">IFERROR(__xludf.DUMMYFUNCTION("""COMPUTED_VALUE"""),"聯穎國際")</f>
        <v>聯穎國際</v>
      </c>
      <c r="C1588" s="25" t="str">
        <f ca="1">IFERROR(__xludf.DUMMYFUNCTION("""COMPUTED_VALUE"""),"ALCATEL")</f>
        <v>ALCATEL</v>
      </c>
      <c r="D1588" s="25" t="str">
        <f ca="1">IFERROR(__xludf.DUMMYFUNCTION("""COMPUTED_VALUE"""),"(紅)Alcatel T218TW大字鍵有線電話機")</f>
        <v>(紅)Alcatel T218TW大字鍵有線電話機</v>
      </c>
      <c r="E1588" s="25" t="str">
        <f ca="1">IFERROR(__xludf.DUMMYFUNCTION("""COMPUTED_VALUE"""),"T218 TW(紅)")</f>
        <v>T218 TW(紅)</v>
      </c>
      <c r="F1588" s="25">
        <f ca="1">IFERROR(__xludf.DUMMYFUNCTION("""COMPUTED_VALUE"""),51057318)</f>
        <v>51057318</v>
      </c>
      <c r="G1588" s="25" t="str">
        <f ca="1">IFERROR(__xludf.DUMMYFUNCTION("""COMPUTED_VALUE"""),"EHOM000R")</f>
        <v>EHOM000R</v>
      </c>
      <c r="H1588" s="26">
        <f ca="1">IFERROR(__xludf.DUMMYFUNCTION("""COMPUTED_VALUE"""),650)</f>
        <v>650</v>
      </c>
      <c r="I1588" s="27">
        <f ca="1">IFERROR(__xludf.DUMMYFUNCTION("""COMPUTED_VALUE"""),639)</f>
        <v>639</v>
      </c>
      <c r="J1588" s="25"/>
      <c r="K1588" s="25" t="str">
        <f ca="1">IFERROR(__xludf.DUMMYFUNCTION("""COMPUTED_VALUE"""),"新機上架")</f>
        <v>新機上架</v>
      </c>
      <c r="L1588" s="26" t="str">
        <f ca="1">IFERROR(__xludf.DUMMYFUNCTION("""COMPUTED_VALUE"""),"上架中")</f>
        <v>上架中</v>
      </c>
      <c r="M1588" s="25"/>
      <c r="N1588" s="25" t="str">
        <f ca="1">IFERROR(__xludf.DUMMYFUNCTION("""COMPUTED_VALUE"""),"電話機")</f>
        <v>電話機</v>
      </c>
      <c r="O1588" s="25" t="str">
        <f ca="1">IFERROR(__xludf.DUMMYFUNCTION("""COMPUTED_VALUE"""),"紅")</f>
        <v>紅</v>
      </c>
      <c r="P1588" s="25" t="str">
        <f ca="1">IFERROR(__xludf.DUMMYFUNCTION("""COMPUTED_VALUE"""),"額定電壓/頻率：110V/60Hz")</f>
        <v>額定電壓/頻率：110V/60Hz</v>
      </c>
      <c r="Q1588" s="25" t="str">
        <f ca="1">IFERROR(__xludf.DUMMYFUNCTION("""COMPUTED_VALUE"""),"高60 x 寬190 x 深230mm")</f>
        <v>高60 x 寬190 x 深230mm</v>
      </c>
      <c r="R1588" s="25" t="str">
        <f ca="1">IFERROR(__xludf.DUMMYFUNCTION("""COMPUTED_VALUE"""),"中國")</f>
        <v>中國</v>
      </c>
      <c r="S1588" s="25"/>
      <c r="T1588" s="25"/>
      <c r="U1588" s="25" t="str">
        <f ca="1">IFERROR(__xludf.DUMMYFUNCTION("""COMPUTED_VALUE"""),"有")</f>
        <v>有</v>
      </c>
      <c r="V1588" s="25"/>
      <c r="W1588" s="25"/>
      <c r="X1588" s="25"/>
      <c r="Y1588" s="25"/>
      <c r="Z1588" s="27"/>
      <c r="AA1588" s="28" t="str">
        <f ca="1">IFERROR(__xludf.DUMMYFUNCTION("""COMPUTED_VALUE"""),"*大字鍵、大螢幕*來電&amp;去電報號 *32組來電記錄*9組去電記錄*兩組記憶鍵*10種來電鈴聲選擇")</f>
        <v>*大字鍵、大螢幕*來電&amp;去電報號 *32組來電記錄*9組去電記錄*兩組記憶鍵*10種來電鈴聲選擇</v>
      </c>
    </row>
    <row r="1589" spans="1:27" ht="12.75">
      <c r="A1589" s="25" t="str">
        <f ca="1">IFERROR(__xludf.DUMMYFUNCTION("""COMPUTED_VALUE"""),"電話機")</f>
        <v>電話機</v>
      </c>
      <c r="B1589" s="25" t="str">
        <f ca="1">IFERROR(__xludf.DUMMYFUNCTION("""COMPUTED_VALUE"""),"聯穎國際")</f>
        <v>聯穎國際</v>
      </c>
      <c r="C1589" s="25" t="str">
        <f ca="1">IFERROR(__xludf.DUMMYFUNCTION("""COMPUTED_VALUE"""),"ALCATEL")</f>
        <v>ALCATEL</v>
      </c>
      <c r="D1589" s="25" t="str">
        <f ca="1">IFERROR(__xludf.DUMMYFUNCTION("""COMPUTED_VALUE"""),"(白)Alcatel T218TW大字鍵有線電話機")</f>
        <v>(白)Alcatel T218TW大字鍵有線電話機</v>
      </c>
      <c r="E1589" s="25" t="str">
        <f ca="1">IFERROR(__xludf.DUMMYFUNCTION("""COMPUTED_VALUE"""),"T218 TW(白)")</f>
        <v>T218 TW(白)</v>
      </c>
      <c r="F1589" s="25">
        <f ca="1">IFERROR(__xludf.DUMMYFUNCTION("""COMPUTED_VALUE"""),51057319)</f>
        <v>51057319</v>
      </c>
      <c r="G1589" s="25" t="str">
        <f ca="1">IFERROR(__xludf.DUMMYFUNCTION("""COMPUTED_VALUE"""),"EHOM000S")</f>
        <v>EHOM000S</v>
      </c>
      <c r="H1589" s="26">
        <f ca="1">IFERROR(__xludf.DUMMYFUNCTION("""COMPUTED_VALUE"""),650)</f>
        <v>650</v>
      </c>
      <c r="I1589" s="27">
        <f ca="1">IFERROR(__xludf.DUMMYFUNCTION("""COMPUTED_VALUE"""),639)</f>
        <v>639</v>
      </c>
      <c r="J1589" s="25"/>
      <c r="K1589" s="25" t="str">
        <f ca="1">IFERROR(__xludf.DUMMYFUNCTION("""COMPUTED_VALUE"""),"新機上架")</f>
        <v>新機上架</v>
      </c>
      <c r="L1589" s="26" t="str">
        <f ca="1">IFERROR(__xludf.DUMMYFUNCTION("""COMPUTED_VALUE"""),"上架中")</f>
        <v>上架中</v>
      </c>
      <c r="M1589" s="25"/>
      <c r="N1589" s="25" t="str">
        <f ca="1">IFERROR(__xludf.DUMMYFUNCTION("""COMPUTED_VALUE"""),"電話機")</f>
        <v>電話機</v>
      </c>
      <c r="O1589" s="25" t="str">
        <f ca="1">IFERROR(__xludf.DUMMYFUNCTION("""COMPUTED_VALUE"""),"白")</f>
        <v>白</v>
      </c>
      <c r="P1589" s="25" t="str">
        <f ca="1">IFERROR(__xludf.DUMMYFUNCTION("""COMPUTED_VALUE"""),"額定電壓/頻率：110V/60Hz")</f>
        <v>額定電壓/頻率：110V/60Hz</v>
      </c>
      <c r="Q1589" s="25" t="str">
        <f ca="1">IFERROR(__xludf.DUMMYFUNCTION("""COMPUTED_VALUE"""),"高60 x 寬190 x 深230mm")</f>
        <v>高60 x 寬190 x 深230mm</v>
      </c>
      <c r="R1589" s="25" t="str">
        <f ca="1">IFERROR(__xludf.DUMMYFUNCTION("""COMPUTED_VALUE"""),"中國")</f>
        <v>中國</v>
      </c>
      <c r="S1589" s="25"/>
      <c r="T1589" s="25"/>
      <c r="U1589" s="25" t="str">
        <f ca="1">IFERROR(__xludf.DUMMYFUNCTION("""COMPUTED_VALUE"""),"有")</f>
        <v>有</v>
      </c>
      <c r="V1589" s="25"/>
      <c r="W1589" s="25"/>
      <c r="X1589" s="25"/>
      <c r="Y1589" s="25"/>
      <c r="Z1589" s="27"/>
      <c r="AA1589" s="28" t="str">
        <f ca="1">IFERROR(__xludf.DUMMYFUNCTION("""COMPUTED_VALUE"""),"*大字鍵、大螢幕*來電&amp;去電報號 *32組來電記錄*9組去電記錄*兩組記憶鍵*10種來電鈴聲選擇")</f>
        <v>*大字鍵、大螢幕*來電&amp;去電報號 *32組來電記錄*9組去電記錄*兩組記憶鍵*10種來電鈴聲選擇</v>
      </c>
    </row>
    <row r="1590" spans="1:27" ht="12.75">
      <c r="A1590" s="25" t="str">
        <f ca="1">IFERROR(__xludf.DUMMYFUNCTION("""COMPUTED_VALUE"""),"電話機")</f>
        <v>電話機</v>
      </c>
      <c r="B1590" s="25" t="str">
        <f ca="1">IFERROR(__xludf.DUMMYFUNCTION("""COMPUTED_VALUE"""),"聯穎國際")</f>
        <v>聯穎國際</v>
      </c>
      <c r="C1590" s="25" t="str">
        <f ca="1">IFERROR(__xludf.DUMMYFUNCTION("""COMPUTED_VALUE"""),"ALCATEL")</f>
        <v>ALCATEL</v>
      </c>
      <c r="D1590" s="25" t="str">
        <f ca="1">IFERROR(__xludf.DUMMYFUNCTION("""COMPUTED_VALUE"""),"(鐵灰)Alcatel阿爾卡特Smile D1 TW 微笑造型無線電話")</f>
        <v>(鐵灰)Alcatel阿爾卡特Smile D1 TW 微笑造型無線電話</v>
      </c>
      <c r="E1590" s="25" t="str">
        <f ca="1">IFERROR(__xludf.DUMMYFUNCTION("""COMPUTED_VALUE"""),"Smile D1 TW(鐵灰)")</f>
        <v>Smile D1 TW(鐵灰)</v>
      </c>
      <c r="F1590" s="25">
        <f ca="1">IFERROR(__xludf.DUMMYFUNCTION("""COMPUTED_VALUE"""),51074006)</f>
        <v>51074006</v>
      </c>
      <c r="G1590" s="25" t="str">
        <f ca="1">IFERROR(__xludf.DUMMYFUNCTION("""COMPUTED_VALUE"""),"EHOM001R")</f>
        <v>EHOM001R</v>
      </c>
      <c r="H1590" s="25">
        <f ca="1">IFERROR(__xludf.DUMMYFUNCTION("""COMPUTED_VALUE"""),1190)</f>
        <v>1190</v>
      </c>
      <c r="I1590" s="27">
        <f ca="1">IFERROR(__xludf.DUMMYFUNCTION("""COMPUTED_VALUE"""),1190)</f>
        <v>1190</v>
      </c>
      <c r="J1590" s="25"/>
      <c r="K1590" s="25"/>
      <c r="L1590" s="26" t="str">
        <f ca="1">IFERROR(__xludf.DUMMYFUNCTION("""COMPUTED_VALUE"""),"上架中")</f>
        <v>上架中</v>
      </c>
      <c r="M1590" s="25"/>
      <c r="N1590" s="25" t="str">
        <f ca="1">IFERROR(__xludf.DUMMYFUNCTION("""COMPUTED_VALUE"""),"電話機")</f>
        <v>電話機</v>
      </c>
      <c r="O1590" s="25" t="str">
        <f ca="1">IFERROR(__xludf.DUMMYFUNCTION("""COMPUTED_VALUE"""),"鐵灰")</f>
        <v>鐵灰</v>
      </c>
      <c r="P1590" s="25" t="str">
        <f ca="1">IFERROR(__xludf.DUMMYFUNCTION("""COMPUTED_VALUE"""),"1. 微笑完美弧形 造型搶眼
 2. 螢幕背光 超亮來電指示燈
 3. 50組電話簿 
 4. 20組來電記憶 
 5. 10去電記憶
 6. 3組內置式按鍵記憶
 7. 10種來電鈴聲選擇
 8. 可依需求最多擴充5支無線子機
 9. 子機轉接 / 內部通話 / 三方通話
 10. 連續通話10小時 / 待機100小時
 11. 接收範圍: 可達300 公尺 (戶外); 80-100坪 (室內)")</f>
        <v>1. 微笑完美弧形 造型搶眼
 2. 螢幕背光 超亮來電指示燈
 3. 50組電話簿 
 4. 20組來電記憶 
 5. 10去電記憶
 6. 3組內置式按鍵記憶
 7. 10種來電鈴聲選擇
 8. 可依需求最多擴充5支無線子機
 9. 子機轉接 / 內部通話 / 三方通話
 10. 連續通話10小時 / 待機100小時
 11. 接收範圍: 可達300 公尺 (戶外); 80-100坪 (室內)</v>
      </c>
      <c r="Q1590" s="25" t="str">
        <f ca="1">IFERROR(__xludf.DUMMYFUNCTION("""COMPUTED_VALUE"""),"高240 x 寬65x 深50mm")</f>
        <v>高240 x 寬65x 深50mm</v>
      </c>
      <c r="R1590" s="25" t="str">
        <f ca="1">IFERROR(__xludf.DUMMYFUNCTION("""COMPUTED_VALUE"""),"中國")</f>
        <v>中國</v>
      </c>
      <c r="S1590" s="25"/>
      <c r="T1590" s="25"/>
      <c r="U1590" s="25"/>
      <c r="V1590" s="25"/>
      <c r="W1590" s="25"/>
      <c r="X1590" s="25"/>
      <c r="Y1590" s="25"/>
      <c r="Z1590" s="27"/>
      <c r="AA1590" s="28" t="str">
        <f ca="1">IFERROR(__xludf.DUMMYFUNCTION("""COMPUTED_VALUE"""),"*大型點陣背光顯示螢幕*可調整聲音（5 個等級）的免持功能*50組電話目錄、20組未接顯示*中文按鍵")</f>
        <v>*大型點陣背光顯示螢幕*可調整聲音（5 個等級）的免持功能*50組電話目錄、20組未接顯示*中文按鍵</v>
      </c>
    </row>
    <row r="1591" spans="1:27" ht="12.75">
      <c r="A1591" s="25" t="str">
        <f ca="1">IFERROR(__xludf.DUMMYFUNCTION("""COMPUTED_VALUE"""),"電話機")</f>
        <v>電話機</v>
      </c>
      <c r="B1591" s="25" t="str">
        <f ca="1">IFERROR(__xludf.DUMMYFUNCTION("""COMPUTED_VALUE"""),"聯穎國際")</f>
        <v>聯穎國際</v>
      </c>
      <c r="C1591" s="25" t="str">
        <f ca="1">IFERROR(__xludf.DUMMYFUNCTION("""COMPUTED_VALUE"""),"ALCATEL")</f>
        <v>ALCATEL</v>
      </c>
      <c r="D1591" s="25" t="str">
        <f ca="1">IFERROR(__xludf.DUMMYFUNCTION("""COMPUTED_VALUE"""),"(紅)Alcatel阿爾卡特Smile D1 TW 微笑造型無線電話")</f>
        <v>(紅)Alcatel阿爾卡特Smile D1 TW 微笑造型無線電話</v>
      </c>
      <c r="E1591" s="25" t="str">
        <f ca="1">IFERROR(__xludf.DUMMYFUNCTION("""COMPUTED_VALUE"""),"Smile D1 TW(紅)")</f>
        <v>Smile D1 TW(紅)</v>
      </c>
      <c r="F1591" s="25">
        <f ca="1">IFERROR(__xludf.DUMMYFUNCTION("""COMPUTED_VALUE"""),51074007)</f>
        <v>51074007</v>
      </c>
      <c r="G1591" s="25" t="str">
        <f ca="1">IFERROR(__xludf.DUMMYFUNCTION("""COMPUTED_VALUE"""),"EHOM001S")</f>
        <v>EHOM001S</v>
      </c>
      <c r="H1591" s="25">
        <f ca="1">IFERROR(__xludf.DUMMYFUNCTION("""COMPUTED_VALUE"""),1190)</f>
        <v>1190</v>
      </c>
      <c r="I1591" s="27">
        <f ca="1">IFERROR(__xludf.DUMMYFUNCTION("""COMPUTED_VALUE"""),1190)</f>
        <v>1190</v>
      </c>
      <c r="J1591" s="25"/>
      <c r="K1591" s="25"/>
      <c r="L1591" s="26" t="str">
        <f ca="1">IFERROR(__xludf.DUMMYFUNCTION("""COMPUTED_VALUE"""),"專案")</f>
        <v>專案</v>
      </c>
      <c r="M1591" s="25"/>
      <c r="N1591" s="25" t="str">
        <f ca="1">IFERROR(__xludf.DUMMYFUNCTION("""COMPUTED_VALUE"""),"電話機")</f>
        <v>電話機</v>
      </c>
      <c r="O1591" s="25" t="str">
        <f ca="1">IFERROR(__xludf.DUMMYFUNCTION("""COMPUTED_VALUE"""),"紅")</f>
        <v>紅</v>
      </c>
      <c r="P1591" s="25" t="str">
        <f ca="1">IFERROR(__xludf.DUMMYFUNCTION("""COMPUTED_VALUE"""),"1. 微笑完美弧形 造型搶眼
 2. 螢幕背光 超亮來電指示燈
 3. 50組電話簿 
 4. 20組來電記憶 
 5. 10去電記憶
 6. 3組內置式按鍵記憶
 7. 10種來電鈴聲選擇
 8. 可依需求最多擴充5支無線子機
 9. 子機轉接 / 內部通話 / 三方通話
 10. 連續通話10小時 / 待機100小時
 11. 接收範圍: 可達300 公尺 (戶外); 80-100坪 (室內)")</f>
        <v>1. 微笑完美弧形 造型搶眼
 2. 螢幕背光 超亮來電指示燈
 3. 50組電話簿 
 4. 20組來電記憶 
 5. 10去電記憶
 6. 3組內置式按鍵記憶
 7. 10種來電鈴聲選擇
 8. 可依需求最多擴充5支無線子機
 9. 子機轉接 / 內部通話 / 三方通話
 10. 連續通話10小時 / 待機100小時
 11. 接收範圍: 可達300 公尺 (戶外); 80-100坪 (室內)</v>
      </c>
      <c r="Q1591" s="25" t="str">
        <f ca="1">IFERROR(__xludf.DUMMYFUNCTION("""COMPUTED_VALUE"""),"高240 x 寬65x 深50mm")</f>
        <v>高240 x 寬65x 深50mm</v>
      </c>
      <c r="R1591" s="25" t="str">
        <f ca="1">IFERROR(__xludf.DUMMYFUNCTION("""COMPUTED_VALUE"""),"中國")</f>
        <v>中國</v>
      </c>
      <c r="S1591" s="25"/>
      <c r="T1591" s="25"/>
      <c r="U1591" s="25"/>
      <c r="V1591" s="25"/>
      <c r="W1591" s="25"/>
      <c r="X1591" s="25"/>
      <c r="Y1591" s="25"/>
      <c r="Z1591" s="27"/>
      <c r="AA1591" s="28" t="str">
        <f ca="1">IFERROR(__xludf.DUMMYFUNCTION("""COMPUTED_VALUE"""),"*大型點陣背光顯示螢幕*可調整聲音（5 個等級）的免持功能*50組電話目錄、20組未接顯示*中文按鍵")</f>
        <v>*大型點陣背光顯示螢幕*可調整聲音（5 個等級）的免持功能*50組電話目錄、20組未接顯示*中文按鍵</v>
      </c>
    </row>
    <row r="1592" spans="1:27" ht="12.75">
      <c r="A1592" s="25" t="str">
        <f ca="1">IFERROR(__xludf.DUMMYFUNCTION("""COMPUTED_VALUE"""),"電話機")</f>
        <v>電話機</v>
      </c>
      <c r="B1592" s="25" t="str">
        <f ca="1">IFERROR(__xludf.DUMMYFUNCTION("""COMPUTED_VALUE"""),"聯穎國際")</f>
        <v>聯穎國際</v>
      </c>
      <c r="C1592" s="25" t="str">
        <f ca="1">IFERROR(__xludf.DUMMYFUNCTION("""COMPUTED_VALUE"""),"ALCATEL")</f>
        <v>ALCATEL</v>
      </c>
      <c r="D1592" s="25" t="str">
        <f ca="1">IFERROR(__xludf.DUMMYFUNCTION("""COMPUTED_VALUE"""),"(粉紅)Alcatel阿爾卡特Smile D1 TW 微笑造型無線電話")</f>
        <v>(粉紅)Alcatel阿爾卡特Smile D1 TW 微笑造型無線電話</v>
      </c>
      <c r="E1592" s="25" t="str">
        <f ca="1">IFERROR(__xludf.DUMMYFUNCTION("""COMPUTED_VALUE"""),"Smile D1 TW(粉紅)")</f>
        <v>Smile D1 TW(粉紅)</v>
      </c>
      <c r="F1592" s="25">
        <f ca="1">IFERROR(__xludf.DUMMYFUNCTION("""COMPUTED_VALUE"""),51074008)</f>
        <v>51074008</v>
      </c>
      <c r="G1592" s="25" t="str">
        <f ca="1">IFERROR(__xludf.DUMMYFUNCTION("""COMPUTED_VALUE"""),"EHOM001T")</f>
        <v>EHOM001T</v>
      </c>
      <c r="H1592" s="25">
        <f ca="1">IFERROR(__xludf.DUMMYFUNCTION("""COMPUTED_VALUE"""),1190)</f>
        <v>1190</v>
      </c>
      <c r="I1592" s="27">
        <f ca="1">IFERROR(__xludf.DUMMYFUNCTION("""COMPUTED_VALUE"""),1190)</f>
        <v>1190</v>
      </c>
      <c r="J1592" s="25"/>
      <c r="K1592" s="25"/>
      <c r="L1592" s="26" t="str">
        <f ca="1">IFERROR(__xludf.DUMMYFUNCTION("""COMPUTED_VALUE"""),"上架中")</f>
        <v>上架中</v>
      </c>
      <c r="M1592" s="25"/>
      <c r="N1592" s="25" t="str">
        <f ca="1">IFERROR(__xludf.DUMMYFUNCTION("""COMPUTED_VALUE"""),"電話機")</f>
        <v>電話機</v>
      </c>
      <c r="O1592" s="25" t="str">
        <f ca="1">IFERROR(__xludf.DUMMYFUNCTION("""COMPUTED_VALUE"""),"粉紅")</f>
        <v>粉紅</v>
      </c>
      <c r="P1592" s="25" t="str">
        <f ca="1">IFERROR(__xludf.DUMMYFUNCTION("""COMPUTED_VALUE"""),"1. 微笑完美弧形 造型搶眼
 2. 螢幕背光 超亮來電指示燈
 3. 50組電話簿 
 4. 20組來電記憶 
 5. 10去電記憶
 6. 3組內置式按鍵記憶
 7. 10種來電鈴聲選擇
 8. 可依需求最多擴充5支無線子機
 9. 子機轉接 / 內部通話 / 三方通話
 10. 連續通話10小時 / 待機100小時
 11. 接收範圍: 可達300 公尺 (戶外); 80-100坪 (室內)")</f>
        <v>1. 微笑完美弧形 造型搶眼
 2. 螢幕背光 超亮來電指示燈
 3. 50組電話簿 
 4. 20組來電記憶 
 5. 10去電記憶
 6. 3組內置式按鍵記憶
 7. 10種來電鈴聲選擇
 8. 可依需求最多擴充5支無線子機
 9. 子機轉接 / 內部通話 / 三方通話
 10. 連續通話10小時 / 待機100小時
 11. 接收範圍: 可達300 公尺 (戶外); 80-100坪 (室內)</v>
      </c>
      <c r="Q1592" s="25" t="str">
        <f ca="1">IFERROR(__xludf.DUMMYFUNCTION("""COMPUTED_VALUE"""),"高240 x 寬65x 深50mm")</f>
        <v>高240 x 寬65x 深50mm</v>
      </c>
      <c r="R1592" s="25" t="str">
        <f ca="1">IFERROR(__xludf.DUMMYFUNCTION("""COMPUTED_VALUE"""),"中國")</f>
        <v>中國</v>
      </c>
      <c r="S1592" s="25"/>
      <c r="T1592" s="25"/>
      <c r="U1592" s="25"/>
      <c r="V1592" s="25"/>
      <c r="W1592" s="25"/>
      <c r="X1592" s="25"/>
      <c r="Y1592" s="25"/>
      <c r="Z1592" s="27"/>
      <c r="AA1592" s="28" t="str">
        <f ca="1">IFERROR(__xludf.DUMMYFUNCTION("""COMPUTED_VALUE"""),"*大型點陣背光顯示螢幕*可調整聲音（5 個等級）的免持功能*50組電話目錄、20組未接顯示*中文按鍵")</f>
        <v>*大型點陣背光顯示螢幕*可調整聲音（5 個等級）的免持功能*50組電話目錄、20組未接顯示*中文按鍵</v>
      </c>
    </row>
    <row r="1593" spans="1:27" ht="12.75">
      <c r="A1593" s="25" t="str">
        <f ca="1">IFERROR(__xludf.DUMMYFUNCTION("""COMPUTED_VALUE"""),"電話機")</f>
        <v>電話機</v>
      </c>
      <c r="B1593" s="25" t="str">
        <f ca="1">IFERROR(__xludf.DUMMYFUNCTION("""COMPUTED_VALUE"""),"聯穎國際")</f>
        <v>聯穎國際</v>
      </c>
      <c r="C1593" s="25" t="str">
        <f ca="1">IFERROR(__xludf.DUMMYFUNCTION("""COMPUTED_VALUE"""),"ALCATEL")</f>
        <v>ALCATEL</v>
      </c>
      <c r="D1593" s="25" t="str">
        <f ca="1">IFERROR(__xludf.DUMMYFUNCTION("""COMPUTED_VALUE"""),"(黑)Alcatel阿爾卡特TD036 TW 全中文介面無線子母機-桂冠")</f>
        <v>(黑)Alcatel阿爾卡特TD036 TW 全中文介面無線子母機-桂冠</v>
      </c>
      <c r="E1593" s="25" t="str">
        <f ca="1">IFERROR(__xludf.DUMMYFUNCTION("""COMPUTED_VALUE"""),"TD036 TW(黑)")</f>
        <v>TD036 TW(黑)</v>
      </c>
      <c r="F1593" s="25">
        <f ca="1">IFERROR(__xludf.DUMMYFUNCTION("""COMPUTED_VALUE"""),51074009)</f>
        <v>51074009</v>
      </c>
      <c r="G1593" s="25" t="str">
        <f ca="1">IFERROR(__xludf.DUMMYFUNCTION("""COMPUTED_VALUE"""),"EHOM001U")</f>
        <v>EHOM001U</v>
      </c>
      <c r="H1593" s="25">
        <f ca="1">IFERROR(__xludf.DUMMYFUNCTION("""COMPUTED_VALUE"""),1880)</f>
        <v>1880</v>
      </c>
      <c r="I1593" s="27">
        <f ca="1">IFERROR(__xludf.DUMMYFUNCTION("""COMPUTED_VALUE"""),1880)</f>
        <v>1880</v>
      </c>
      <c r="J1593" s="25"/>
      <c r="K1593" s="25"/>
      <c r="L1593" s="26" t="str">
        <f ca="1">IFERROR(__xludf.DUMMYFUNCTION("""COMPUTED_VALUE"""),"專案")</f>
        <v>專案</v>
      </c>
      <c r="M1593" s="25"/>
      <c r="N1593" s="25" t="str">
        <f ca="1">IFERROR(__xludf.DUMMYFUNCTION("""COMPUTED_VALUE"""),"電話機")</f>
        <v>電話機</v>
      </c>
      <c r="O1593" s="25" t="str">
        <f ca="1">IFERROR(__xludf.DUMMYFUNCTION("""COMPUTED_VALUE"""),"黑")</f>
        <v>黑</v>
      </c>
      <c r="P1593" s="25" t="str">
        <f ca="1">IFERROR(__xludf.DUMMYFUNCTION("""COMPUTED_VALUE"""),"全中文顯示功能表
 座機與子機均有高音質免持對講功能
 高解析度背光顯示
 FSK / DTMF 雙制式來電顯示
 主機30組電話簿 / 子機50組電話簿
 主機5組去電記錄 / 子機10組去電記錄
 主機20組來電記錄 / 子機20組來電記錄
 子機轉接 / 內部通話 / 三方通話 / 呼叫子機功能
 連續通話:10 小時 / 待機時間:100小時
 通話距離:40 - 80 坪(庢內) / 300公尺(室外)")</f>
        <v>全中文顯示功能表
 座機與子機均有高音質免持對講功能
 高解析度背光顯示
 FSK / DTMF 雙制式來電顯示
 主機30組電話簿 / 子機50組電話簿
 主機5組去電記錄 / 子機10組去電記錄
 主機20組來電記錄 / 子機20組來電記錄
 子機轉接 / 內部通話 / 三方通話 / 呼叫子機功能
 連續通話:10 小時 / 待機時間:100小時
 通話距離:40 - 80 坪(庢內) / 300公尺(室外)</v>
      </c>
      <c r="Q1593" s="25" t="str">
        <f ca="1">IFERROR(__xludf.DUMMYFUNCTION("""COMPUTED_VALUE"""),"高180 x 寬79 x 深73mm")</f>
        <v>高180 x 寬79 x 深73mm</v>
      </c>
      <c r="R1593" s="25" t="str">
        <f ca="1">IFERROR(__xludf.DUMMYFUNCTION("""COMPUTED_VALUE"""),"中國")</f>
        <v>中國</v>
      </c>
      <c r="S1593" s="25"/>
      <c r="T1593" s="25"/>
      <c r="U1593" s="25"/>
      <c r="V1593" s="25"/>
      <c r="W1593" s="25"/>
      <c r="X1593" s="25"/>
      <c r="Y1593" s="25"/>
      <c r="Z1593" s="27"/>
      <c r="AA1593" s="28" t="str">
        <f ca="1">IFERROR(__xludf.DUMMYFUNCTION("""COMPUTED_VALUE"""),"*全中文顯示功能表*高解析度背光顯示*子機轉接 / 內部通話 / 三方通話 / 呼叫子機功能*通話距離:40 - 80 坪(庢內) / 300公尺(室外)")</f>
        <v>*全中文顯示功能表*高解析度背光顯示*子機轉接 / 內部通話 / 三方通話 / 呼叫子機功能*通話距離:40 - 80 坪(庢內) / 300公尺(室外)</v>
      </c>
    </row>
    <row r="1594" spans="1:27" ht="12.75">
      <c r="A1594" s="25" t="str">
        <f ca="1">IFERROR(__xludf.DUMMYFUNCTION("""COMPUTED_VALUE"""),"電話機")</f>
        <v>電話機</v>
      </c>
      <c r="B1594" s="25" t="str">
        <f ca="1">IFERROR(__xludf.DUMMYFUNCTION("""COMPUTED_VALUE"""),"聯穎國際")</f>
        <v>聯穎國際</v>
      </c>
      <c r="C1594" s="25" t="str">
        <f ca="1">IFERROR(__xludf.DUMMYFUNCTION("""COMPUTED_VALUE"""),"ALCATEL")</f>
        <v>ALCATEL</v>
      </c>
      <c r="D1594" s="25" t="str">
        <f ca="1">IFERROR(__xludf.DUMMYFUNCTION("""COMPUTED_VALUE"""),"(白)Alcatel阿爾卡特TD036 TW 全中文介面無線子母機-桂冠")</f>
        <v>(白)Alcatel阿爾卡特TD036 TW 全中文介面無線子母機-桂冠</v>
      </c>
      <c r="E1594" s="25" t="str">
        <f ca="1">IFERROR(__xludf.DUMMYFUNCTION("""COMPUTED_VALUE"""),"TD036 TW(白)")</f>
        <v>TD036 TW(白)</v>
      </c>
      <c r="F1594" s="25">
        <f ca="1">IFERROR(__xludf.DUMMYFUNCTION("""COMPUTED_VALUE"""),51074010)</f>
        <v>51074010</v>
      </c>
      <c r="G1594" s="25" t="str">
        <f ca="1">IFERROR(__xludf.DUMMYFUNCTION("""COMPUTED_VALUE"""),"EHOM001V")</f>
        <v>EHOM001V</v>
      </c>
      <c r="H1594" s="25">
        <f ca="1">IFERROR(__xludf.DUMMYFUNCTION("""COMPUTED_VALUE"""),1880)</f>
        <v>1880</v>
      </c>
      <c r="I1594" s="27">
        <f ca="1">IFERROR(__xludf.DUMMYFUNCTION("""COMPUTED_VALUE"""),1880)</f>
        <v>1880</v>
      </c>
      <c r="J1594" s="25"/>
      <c r="K1594" s="25"/>
      <c r="L1594" s="26" t="str">
        <f ca="1">IFERROR(__xludf.DUMMYFUNCTION("""COMPUTED_VALUE"""),"專案")</f>
        <v>專案</v>
      </c>
      <c r="M1594" s="25"/>
      <c r="N1594" s="25" t="str">
        <f ca="1">IFERROR(__xludf.DUMMYFUNCTION("""COMPUTED_VALUE"""),"電話機")</f>
        <v>電話機</v>
      </c>
      <c r="O1594" s="25" t="str">
        <f ca="1">IFERROR(__xludf.DUMMYFUNCTION("""COMPUTED_VALUE"""),"白")</f>
        <v>白</v>
      </c>
      <c r="P1594" s="25" t="str">
        <f ca="1">IFERROR(__xludf.DUMMYFUNCTION("""COMPUTED_VALUE"""),"全中文顯示功能表
 座機與子機均有高音質免持對講功能
 高解析度背光顯示
 FSK / DTMF 雙制式來電顯示
 主機30組電話簿 / 子機50組電話簿
 主機5組去電記錄 / 子機10組去電記錄
 主機20組來電記錄 / 子機20組來電記錄
 子機轉接 / 內部通話 / 三方通話 / 呼叫子機功能
 連續通話:10 小時 / 待機時間:100小時
 通話距離:40 - 80 坪(庢內) / 300公尺(室外)")</f>
        <v>全中文顯示功能表
 座機與子機均有高音質免持對講功能
 高解析度背光顯示
 FSK / DTMF 雙制式來電顯示
 主機30組電話簿 / 子機50組電話簿
 主機5組去電記錄 / 子機10組去電記錄
 主機20組來電記錄 / 子機20組來電記錄
 子機轉接 / 內部通話 / 三方通話 / 呼叫子機功能
 連續通話:10 小時 / 待機時間:100小時
 通話距離:40 - 80 坪(庢內) / 300公尺(室外)</v>
      </c>
      <c r="Q1594" s="25" t="str">
        <f ca="1">IFERROR(__xludf.DUMMYFUNCTION("""COMPUTED_VALUE"""),"高180 x 寬79 x 深73mm")</f>
        <v>高180 x 寬79 x 深73mm</v>
      </c>
      <c r="R1594" s="25" t="str">
        <f ca="1">IFERROR(__xludf.DUMMYFUNCTION("""COMPUTED_VALUE"""),"中國")</f>
        <v>中國</v>
      </c>
      <c r="S1594" s="25"/>
      <c r="T1594" s="25"/>
      <c r="U1594" s="25"/>
      <c r="V1594" s="25"/>
      <c r="W1594" s="25"/>
      <c r="X1594" s="25"/>
      <c r="Y1594" s="25"/>
      <c r="Z1594" s="27"/>
      <c r="AA1594" s="28" t="str">
        <f ca="1">IFERROR(__xludf.DUMMYFUNCTION("""COMPUTED_VALUE"""),"*全中文顯示功能表*高解析度背光顯示*子機轉接 / 內部通話 / 三方通話 / 呼叫子機功能*通話距離:40 - 80 坪(庢內) / 300公尺(室外)")</f>
        <v>*全中文顯示功能表*高解析度背光顯示*子機轉接 / 內部通話 / 三方通話 / 呼叫子機功能*通話距離:40 - 80 坪(庢內) / 300公尺(室外)</v>
      </c>
    </row>
    <row r="1595" spans="1:27" ht="12.75">
      <c r="A1595" s="25" t="str">
        <f ca="1">IFERROR(__xludf.DUMMYFUNCTION("""COMPUTED_VALUE"""),"電話機")</f>
        <v>電話機</v>
      </c>
      <c r="B1595" s="25" t="str">
        <f ca="1">IFERROR(__xludf.DUMMYFUNCTION("""COMPUTED_VALUE"""),"聯穎國際")</f>
        <v>聯穎國際</v>
      </c>
      <c r="C1595" s="25" t="str">
        <f ca="1">IFERROR(__xludf.DUMMYFUNCTION("""COMPUTED_VALUE"""),"ALCATEL")</f>
        <v>ALCATEL</v>
      </c>
      <c r="D1595" s="25" t="str">
        <f ca="1">IFERROR(__xludf.DUMMYFUNCTION("""COMPUTED_VALUE"""),"(紅)Alcatel阿爾卡特TD036 TW 全中文介面無線子母機-桂冠")</f>
        <v>(紅)Alcatel阿爾卡特TD036 TW 全中文介面無線子母機-桂冠</v>
      </c>
      <c r="E1595" s="25" t="str">
        <f ca="1">IFERROR(__xludf.DUMMYFUNCTION("""COMPUTED_VALUE"""),"TD036 TW(紅)")</f>
        <v>TD036 TW(紅)</v>
      </c>
      <c r="F1595" s="25">
        <f ca="1">IFERROR(__xludf.DUMMYFUNCTION("""COMPUTED_VALUE"""),51074011)</f>
        <v>51074011</v>
      </c>
      <c r="G1595" s="25" t="str">
        <f ca="1">IFERROR(__xludf.DUMMYFUNCTION("""COMPUTED_VALUE"""),"EHOM001W")</f>
        <v>EHOM001W</v>
      </c>
      <c r="H1595" s="25">
        <f ca="1">IFERROR(__xludf.DUMMYFUNCTION("""COMPUTED_VALUE"""),1880)</f>
        <v>1880</v>
      </c>
      <c r="I1595" s="27">
        <f ca="1">IFERROR(__xludf.DUMMYFUNCTION("""COMPUTED_VALUE"""),1880)</f>
        <v>1880</v>
      </c>
      <c r="J1595" s="25"/>
      <c r="K1595" s="25"/>
      <c r="L1595" s="26" t="str">
        <f ca="1">IFERROR(__xludf.DUMMYFUNCTION("""COMPUTED_VALUE"""),"專案")</f>
        <v>專案</v>
      </c>
      <c r="M1595" s="25"/>
      <c r="N1595" s="25" t="str">
        <f ca="1">IFERROR(__xludf.DUMMYFUNCTION("""COMPUTED_VALUE"""),"電話機")</f>
        <v>電話機</v>
      </c>
      <c r="O1595" s="25" t="str">
        <f ca="1">IFERROR(__xludf.DUMMYFUNCTION("""COMPUTED_VALUE"""),"紅")</f>
        <v>紅</v>
      </c>
      <c r="P1595" s="25" t="str">
        <f ca="1">IFERROR(__xludf.DUMMYFUNCTION("""COMPUTED_VALUE"""),"全中文顯示功能表
 座機與子機均有高音質免持對講功能
 高解析度背光顯示
 FSK / DTMF 雙制式來電顯示
 主機30組電話簿 / 子機50組電話簿
 主機5組去電記錄 / 子機10組去電記錄
 主機20組來電記錄 / 子機20組來電記錄
 子機轉接 / 內部通話 / 三方通話 / 呼叫子機功能
 連續通話:10 小時 / 待機時間:100小時
 通話距離:40 - 80 坪(庢內) / 300公尺(室外)")</f>
        <v>全中文顯示功能表
 座機與子機均有高音質免持對講功能
 高解析度背光顯示
 FSK / DTMF 雙制式來電顯示
 主機30組電話簿 / 子機50組電話簿
 主機5組去電記錄 / 子機10組去電記錄
 主機20組來電記錄 / 子機20組來電記錄
 子機轉接 / 內部通話 / 三方通話 / 呼叫子機功能
 連續通話:10 小時 / 待機時間:100小時
 通話距離:40 - 80 坪(庢內) / 300公尺(室外)</v>
      </c>
      <c r="Q1595" s="25" t="str">
        <f ca="1">IFERROR(__xludf.DUMMYFUNCTION("""COMPUTED_VALUE"""),"高180 x 寬79 x 深73mm")</f>
        <v>高180 x 寬79 x 深73mm</v>
      </c>
      <c r="R1595" s="25" t="str">
        <f ca="1">IFERROR(__xludf.DUMMYFUNCTION("""COMPUTED_VALUE"""),"中國")</f>
        <v>中國</v>
      </c>
      <c r="S1595" s="25"/>
      <c r="T1595" s="25"/>
      <c r="U1595" s="25"/>
      <c r="V1595" s="25"/>
      <c r="W1595" s="25"/>
      <c r="X1595" s="25"/>
      <c r="Y1595" s="25"/>
      <c r="Z1595" s="27"/>
      <c r="AA1595" s="28" t="str">
        <f ca="1">IFERROR(__xludf.DUMMYFUNCTION("""COMPUTED_VALUE"""),"*全中文顯示功能表*高解析度背光顯示*子機轉接 / 內部通話 / 三方通話 / 呼叫子機功能*通話距離:40 - 80 坪(庢內) / 300公尺(室外)")</f>
        <v>*全中文顯示功能表*高解析度背光顯示*子機轉接 / 內部通話 / 三方通話 / 呼叫子機功能*通話距離:40 - 80 坪(庢內) / 300公尺(室外)</v>
      </c>
    </row>
    <row r="1596" spans="1:27" ht="12.75">
      <c r="A1596" s="25" t="str">
        <f ca="1">IFERROR(__xludf.DUMMYFUNCTION("""COMPUTED_VALUE"""),"生活家電")</f>
        <v>生活家電</v>
      </c>
      <c r="B1596" s="25" t="str">
        <f ca="1">IFERROR(__xludf.DUMMYFUNCTION("""COMPUTED_VALUE"""),"丞閈")</f>
        <v>丞閈</v>
      </c>
      <c r="C1596" s="25" t="str">
        <f ca="1">IFERROR(__xludf.DUMMYFUNCTION("""COMPUTED_VALUE"""),"recolte")</f>
        <v>recolte</v>
      </c>
      <c r="D1596" s="25" t="str">
        <f ca="1">IFERROR(__xludf.DUMMYFUNCTION("""COMPUTED_VALUE"""),"recolte麗克特 Festino Tsuya Moist 負離子吹風機SMHB-029(白)")</f>
        <v>recolte麗克特 Festino Tsuya Moist 負離子吹風機SMHB-029(白)</v>
      </c>
      <c r="E1596" s="25" t="str">
        <f ca="1">IFERROR(__xludf.DUMMYFUNCTION("""COMPUTED_VALUE"""),"SMHB-029(W)")</f>
        <v>SMHB-029(W)</v>
      </c>
      <c r="F1596" s="25">
        <f ca="1">IFERROR(__xludf.DUMMYFUNCTION("""COMPUTED_VALUE"""),51097070)</f>
        <v>51097070</v>
      </c>
      <c r="G1596" s="25" t="str">
        <f ca="1">IFERROR(__xludf.DUMMYFUNCTION("""COMPUTED_VALUE"""),"IGEM091L")</f>
        <v>IGEM091L</v>
      </c>
      <c r="H1596" s="25">
        <f ca="1">IFERROR(__xludf.DUMMYFUNCTION("""COMPUTED_VALUE"""),8990)</f>
        <v>8990</v>
      </c>
      <c r="I1596" s="27">
        <f ca="1">IFERROR(__xludf.DUMMYFUNCTION("""COMPUTED_VALUE"""),4980)</f>
        <v>4980</v>
      </c>
      <c r="J1596" s="29">
        <f ca="1">IFERROR(__xludf.DUMMYFUNCTION("""COMPUTED_VALUE"""),45560)</f>
        <v>45560</v>
      </c>
      <c r="K1596" s="25" t="str">
        <f ca="1">IFERROR(__xludf.DUMMYFUNCTION("""COMPUTED_VALUE"""),"永久降價")</f>
        <v>永久降價</v>
      </c>
      <c r="L1596" s="26" t="str">
        <f ca="1">IFERROR(__xludf.DUMMYFUNCTION("""COMPUTED_VALUE"""),"上架中")</f>
        <v>上架中</v>
      </c>
      <c r="M1596" s="25" t="str">
        <f ca="1">IFERROR(__xludf.DUMMYFUNCTION("""COMPUTED_VALUE"""),"113/9/25調降，10/20新機上架")</f>
        <v>113/9/25調降，10/20新機上架</v>
      </c>
      <c r="N1596" s="25" t="str">
        <f ca="1">IFERROR(__xludf.DUMMYFUNCTION("""COMPUTED_VALUE"""),"吹風機/造型整髮器")</f>
        <v>吹風機/造型整髮器</v>
      </c>
      <c r="O1596" s="25" t="str">
        <f ca="1">IFERROR(__xludf.DUMMYFUNCTION("""COMPUTED_VALUE"""),"白")</f>
        <v>白</v>
      </c>
      <c r="P1596" s="25" t="str">
        <f ca="1">IFERROR(__xludf.DUMMYFUNCTION("""COMPUTED_VALUE"""),"110V/60Hz/1000W")</f>
        <v>110V/60Hz/1000W</v>
      </c>
      <c r="Q1596" s="25" t="str">
        <f ca="1">IFERROR(__xludf.DUMMYFUNCTION("""COMPUTED_VALUE"""),"185x155x44mm")</f>
        <v>185x155x44mm</v>
      </c>
      <c r="R1596" s="25" t="str">
        <f ca="1">IFERROR(__xludf.DUMMYFUNCTION("""COMPUTED_VALUE"""),"中國")</f>
        <v>中國</v>
      </c>
      <c r="S1596" s="25"/>
      <c r="T1596" s="25"/>
      <c r="U1596" s="25" t="str">
        <f ca="1">IFERROR(__xludf.DUMMYFUNCTION("""COMPUTED_VALUE"""),"1年")</f>
        <v>1年</v>
      </c>
      <c r="V1596" s="25" t="str">
        <f ca="1">IFERROR(__xludf.DUMMYFUNCTION("""COMPUTED_VALUE"""),"1年")</f>
        <v>1年</v>
      </c>
      <c r="W1596" s="25"/>
      <c r="X1596" s="25"/>
      <c r="Y1596" s="25"/>
      <c r="Z1596" s="27"/>
      <c r="AA1596" s="28" t="str">
        <f ca="1">IFERROR(__xludf.DUMMYFUNCTION("""COMPUTED_VALUE"""),"*機身僅約270g。*提升秀髮光澤1.2倍*負離子x遠紅外線雙重技術*減少吹乾時間35%，最大風速47m/s")</f>
        <v>*機身僅約270g。*提升秀髮光澤1.2倍*負離子x遠紅外線雙重技術*減少吹乾時間35%，最大風速47m/s</v>
      </c>
    </row>
    <row r="1597" spans="1:27" ht="12.75">
      <c r="A1597" s="25" t="str">
        <f ca="1">IFERROR(__xludf.DUMMYFUNCTION("""COMPUTED_VALUE"""),"生活家電")</f>
        <v>生活家電</v>
      </c>
      <c r="B1597" s="25" t="str">
        <f ca="1">IFERROR(__xludf.DUMMYFUNCTION("""COMPUTED_VALUE"""),"丞閈")</f>
        <v>丞閈</v>
      </c>
      <c r="C1597" s="25" t="str">
        <f ca="1">IFERROR(__xludf.DUMMYFUNCTION("""COMPUTED_VALUE"""),"recolte")</f>
        <v>recolte</v>
      </c>
      <c r="D1597" s="25" t="str">
        <f ca="1">IFERROR(__xludf.DUMMYFUNCTION("""COMPUTED_VALUE"""),"recolte麗克特 Festino 直捲髮造型器 35mm SMHB-021(白)")</f>
        <v>recolte麗克特 Festino 直捲髮造型器 35mm SMHB-021(白)</v>
      </c>
      <c r="E1597" s="25" t="str">
        <f ca="1">IFERROR(__xludf.DUMMYFUNCTION("""COMPUTED_VALUE"""),"SMHB-021(W)")</f>
        <v>SMHB-021(W)</v>
      </c>
      <c r="F1597" s="25">
        <f ca="1">IFERROR(__xludf.DUMMYFUNCTION("""COMPUTED_VALUE"""),51097075)</f>
        <v>51097075</v>
      </c>
      <c r="G1597" s="25" t="str">
        <f ca="1">IFERROR(__xludf.DUMMYFUNCTION("""COMPUTED_VALUE"""),"IGEM091Q")</f>
        <v>IGEM091Q</v>
      </c>
      <c r="H1597" s="26">
        <f ca="1">IFERROR(__xludf.DUMMYFUNCTION("""COMPUTED_VALUE"""),3990)</f>
        <v>3990</v>
      </c>
      <c r="I1597" s="27">
        <f ca="1">IFERROR(__xludf.DUMMYFUNCTION("""COMPUTED_VALUE"""),2980)</f>
        <v>2980</v>
      </c>
      <c r="J1597" s="29">
        <f ca="1">IFERROR(__xludf.DUMMYFUNCTION("""COMPUTED_VALUE"""),45413)</f>
        <v>45413</v>
      </c>
      <c r="K1597" s="25" t="str">
        <f ca="1">IFERROR(__xludf.DUMMYFUNCTION("""COMPUTED_VALUE"""),"短促")</f>
        <v>短促</v>
      </c>
      <c r="L1597" s="26" t="str">
        <f ca="1">IFERROR(__xludf.DUMMYFUNCTION("""COMPUTED_VALUE"""),"上架中")</f>
        <v>上架中</v>
      </c>
      <c r="M1597" s="25" t="str">
        <f ca="1">IFERROR(__xludf.DUMMYFUNCTION("""COMPUTED_VALUE"""),"2024/5/1短促，10/20新機上架")</f>
        <v>2024/5/1短促，10/20新機上架</v>
      </c>
      <c r="N1597" s="25" t="str">
        <f ca="1">IFERROR(__xludf.DUMMYFUNCTION("""COMPUTED_VALUE"""),"吹風機/造型整髮器")</f>
        <v>吹風機/造型整髮器</v>
      </c>
      <c r="O1597" s="25" t="str">
        <f ca="1">IFERROR(__xludf.DUMMYFUNCTION("""COMPUTED_VALUE"""),"白")</f>
        <v>白</v>
      </c>
      <c r="P1597" s="25" t="str">
        <f ca="1">IFERROR(__xludf.DUMMYFUNCTION("""COMPUTED_VALUE"""),"100V~240V/50~60Hz/50W")</f>
        <v>100V~240V/50~60Hz/50W</v>
      </c>
      <c r="Q1597" s="25" t="str">
        <f ca="1">IFERROR(__xludf.DUMMYFUNCTION("""COMPUTED_VALUE"""),"38x263x40mm")</f>
        <v>38x263x40mm</v>
      </c>
      <c r="R1597" s="25" t="str">
        <f ca="1">IFERROR(__xludf.DUMMYFUNCTION("""COMPUTED_VALUE"""),"中國")</f>
        <v>中國</v>
      </c>
      <c r="S1597" s="25"/>
      <c r="T1597" s="25"/>
      <c r="U1597" s="25" t="str">
        <f ca="1">IFERROR(__xludf.DUMMYFUNCTION("""COMPUTED_VALUE"""),"1年")</f>
        <v>1年</v>
      </c>
      <c r="V1597" s="25" t="str">
        <f ca="1">IFERROR(__xludf.DUMMYFUNCTION("""COMPUTED_VALUE"""),"1年")</f>
        <v>1年</v>
      </c>
      <c r="W1597" s="25"/>
      <c r="X1597" s="25"/>
      <c r="Y1597" s="25"/>
      <c r="Z1597" s="27"/>
      <c r="AA1597" s="28" t="str">
        <f ca="1">IFERROR(__xludf.DUMMYFUNCTION("""COMPUTED_VALUE"""),"*35mm陶瓷加熱板可以增加頭髮的水分約1.7倍，保濕率達97%*專利陶瓷加熱板設計，減少在造型過程中摩擦對頭髮造成的壓力和損傷*國際電壓旅行攜帶方便*降低摩擦對頭髮的損傷達到80%的效果")</f>
        <v>*35mm陶瓷加熱板可以增加頭髮的水分約1.7倍，保濕率達97%*專利陶瓷加熱板設計，減少在造型過程中摩擦對頭髮造成的壓力和損傷*國際電壓旅行攜帶方便*降低摩擦對頭髮的損傷達到80%的效果</v>
      </c>
    </row>
    <row r="1598" spans="1:27" ht="12.75">
      <c r="A1598" s="25" t="str">
        <f ca="1">IFERROR(__xludf.DUMMYFUNCTION("""COMPUTED_VALUE"""),"電話機")</f>
        <v>電話機</v>
      </c>
      <c r="B1598" s="25" t="str">
        <f ca="1">IFERROR(__xludf.DUMMYFUNCTION("""COMPUTED_VALUE"""),"中華大雄")</f>
        <v>中華大雄</v>
      </c>
      <c r="C1598" s="25" t="str">
        <f ca="1">IFERROR(__xludf.DUMMYFUNCTION("""COMPUTED_VALUE"""),"PANASONIC")</f>
        <v>PANASONIC</v>
      </c>
      <c r="D1598" s="25" t="str">
        <f ca="1">IFERROR(__xludf.DUMMYFUNCTION("""COMPUTED_VALUE"""),"(銀白)KX-TGC210TW Panasonic 免持對講數位無線電話")</f>
        <v>(銀白)KX-TGC210TW Panasonic 免持對講數位無線電話</v>
      </c>
      <c r="E1598" s="25" t="str">
        <f ca="1">IFERROR(__xludf.DUMMYFUNCTION("""COMPUTED_VALUE"""),"KX-TGC210TW(銀白)")</f>
        <v>KX-TGC210TW(銀白)</v>
      </c>
      <c r="F1598" s="25">
        <f ca="1">IFERROR(__xludf.DUMMYFUNCTION("""COMPUTED_VALUE"""),51057285)</f>
        <v>51057285</v>
      </c>
      <c r="G1598" s="25" t="str">
        <f ca="1">IFERROR(__xludf.DUMMYFUNCTION("""COMPUTED_VALUE"""),"EHOM000X")</f>
        <v>EHOM000X</v>
      </c>
      <c r="H1598" s="26">
        <f ca="1">IFERROR(__xludf.DUMMYFUNCTION("""COMPUTED_VALUE"""),1480)</f>
        <v>1480</v>
      </c>
      <c r="I1598" s="30">
        <f ca="1">IFERROR(__xludf.DUMMYFUNCTION("""COMPUTED_VALUE"""),1450)</f>
        <v>1450</v>
      </c>
      <c r="J1598" s="25"/>
      <c r="K1598" s="25" t="str">
        <f ca="1">IFERROR(__xludf.DUMMYFUNCTION("""COMPUTED_VALUE"""),"新機上架")</f>
        <v>新機上架</v>
      </c>
      <c r="L1598" s="26" t="str">
        <f ca="1">IFERROR(__xludf.DUMMYFUNCTION("""COMPUTED_VALUE"""),"上架中")</f>
        <v>上架中</v>
      </c>
      <c r="M1598" s="25"/>
      <c r="N1598" s="25" t="str">
        <f ca="1">IFERROR(__xludf.DUMMYFUNCTION("""COMPUTED_VALUE"""),"電話機")</f>
        <v>電話機</v>
      </c>
      <c r="O1598" s="25" t="str">
        <f ca="1">IFERROR(__xludf.DUMMYFUNCTION("""COMPUTED_VALUE"""),"銀白")</f>
        <v>銀白</v>
      </c>
      <c r="P1598" s="25" t="str">
        <f ca="1">IFERROR(__xludf.DUMMYFUNCTION("""COMPUTED_VALUE"""),"額定電壓/頻率：110V/60Hz")</f>
        <v>額定電壓/頻率：110V/60Hz</v>
      </c>
      <c r="Q1598" s="25" t="str">
        <f ca="1">IFERROR(__xludf.DUMMYFUNCTION("""COMPUTED_VALUE"""),"主機77mmx107mmx96mm;子機164mmx47mmx30mm")</f>
        <v>主機77mmx107mmx96mm;子機164mmx47mmx30mm</v>
      </c>
      <c r="R1598" s="25" t="str">
        <f ca="1">IFERROR(__xludf.DUMMYFUNCTION("""COMPUTED_VALUE"""),"馬來西亞")</f>
        <v>馬來西亞</v>
      </c>
      <c r="S1598" s="25"/>
      <c r="T1598" s="25"/>
      <c r="U1598" s="25" t="str">
        <f ca="1">IFERROR(__xludf.DUMMYFUNCTION("""COMPUTED_VALUE"""),"有")</f>
        <v>有</v>
      </c>
      <c r="V1598" s="25"/>
      <c r="W1598" s="25"/>
      <c r="X1598" s="25"/>
      <c r="Y1598" s="25"/>
      <c r="Z1598" s="27"/>
      <c r="AA1598" s="28" t="str">
        <f ca="1">IFERROR(__xludf.DUMMYFUNCTION("""COMPUTED_VALUE"""),"*免持聽筒撥號對講*可設定拒接特定來電*ECO節能模式*螢幕橘色背光顯示*保固2年  *通話距離：室內100坪/樓層1-3樓 *待機/通話時間：200小時/16小時")</f>
        <v>*免持聽筒撥號對講*可設定拒接特定來電*ECO節能模式*螢幕橘色背光顯示*保固2年  *通話距離：室內100坪/樓層1-3樓 *待機/通話時間：200小時/16小時</v>
      </c>
    </row>
    <row r="1599" spans="1:27" ht="12.75">
      <c r="A1599" s="25" t="str">
        <f ca="1">IFERROR(__xludf.DUMMYFUNCTION("""COMPUTED_VALUE"""),"電話機")</f>
        <v>電話機</v>
      </c>
      <c r="B1599" s="25" t="str">
        <f ca="1">IFERROR(__xludf.DUMMYFUNCTION("""COMPUTED_VALUE"""),"中華大雄")</f>
        <v>中華大雄</v>
      </c>
      <c r="C1599" s="25" t="str">
        <f ca="1">IFERROR(__xludf.DUMMYFUNCTION("""COMPUTED_VALUE"""),"台灣三洋")</f>
        <v>台灣三洋</v>
      </c>
      <c r="D1599" s="25" t="str">
        <f ca="1">IFERROR(__xludf.DUMMYFUNCTION("""COMPUTED_VALUE"""),"(紅)DCT-8916_台灣三洋2.4GHz 語音報號數位親子機")</f>
        <v>(紅)DCT-8916_台灣三洋2.4GHz 語音報號數位親子機</v>
      </c>
      <c r="E1599" s="25" t="str">
        <f ca="1">IFERROR(__xludf.DUMMYFUNCTION("""COMPUTED_VALUE"""),"DCT-8916(紅)")</f>
        <v>DCT-8916(紅)</v>
      </c>
      <c r="F1599" s="25">
        <f ca="1">IFERROR(__xludf.DUMMYFUNCTION("""COMPUTED_VALUE"""),51057286)</f>
        <v>51057286</v>
      </c>
      <c r="G1599" s="25" t="str">
        <f ca="1">IFERROR(__xludf.DUMMYFUNCTION("""COMPUTED_VALUE"""),"EHOM000T")</f>
        <v>EHOM000T</v>
      </c>
      <c r="H1599" s="26">
        <f ca="1">IFERROR(__xludf.DUMMYFUNCTION("""COMPUTED_VALUE"""),2380)</f>
        <v>2380</v>
      </c>
      <c r="I1599" s="30">
        <f ca="1">IFERROR(__xludf.DUMMYFUNCTION("""COMPUTED_VALUE"""),1899)</f>
        <v>1899</v>
      </c>
      <c r="J1599" s="25"/>
      <c r="K1599" s="25" t="str">
        <f ca="1">IFERROR(__xludf.DUMMYFUNCTION("""COMPUTED_VALUE"""),"新機上架")</f>
        <v>新機上架</v>
      </c>
      <c r="L1599" s="26" t="str">
        <f ca="1">IFERROR(__xludf.DUMMYFUNCTION("""COMPUTED_VALUE"""),"上架中")</f>
        <v>上架中</v>
      </c>
      <c r="M1599" s="25"/>
      <c r="N1599" s="25" t="str">
        <f ca="1">IFERROR(__xludf.DUMMYFUNCTION("""COMPUTED_VALUE"""),"電話機")</f>
        <v>電話機</v>
      </c>
      <c r="O1599" s="25" t="str">
        <f ca="1">IFERROR(__xludf.DUMMYFUNCTION("""COMPUTED_VALUE"""),"紅")</f>
        <v>紅</v>
      </c>
      <c r="P1599" s="25" t="str">
        <f ca="1">IFERROR(__xludf.DUMMYFUNCTION("""COMPUTED_VALUE"""),"額定電壓/頻率：110V/60Hz")</f>
        <v>額定電壓/頻率：110V/60Hz</v>
      </c>
      <c r="Q1599" s="25" t="str">
        <f ca="1">IFERROR(__xludf.DUMMYFUNCTION("""COMPUTED_VALUE"""),"主機94mm x125mmx175mm;子機175mm x30mmx53mm")</f>
        <v>主機94mm x125mmx175mm;子機175mm x30mmx53mm</v>
      </c>
      <c r="R1599" s="25" t="str">
        <f ca="1">IFERROR(__xludf.DUMMYFUNCTION("""COMPUTED_VALUE"""),"中國")</f>
        <v>中國</v>
      </c>
      <c r="S1599" s="25"/>
      <c r="T1599" s="25"/>
      <c r="U1599" s="25" t="str">
        <f ca="1">IFERROR(__xludf.DUMMYFUNCTION("""COMPUTED_VALUE"""),"有")</f>
        <v>有</v>
      </c>
      <c r="V1599" s="25"/>
      <c r="W1599" s="25"/>
      <c r="X1599" s="25"/>
      <c r="Y1599" s="25"/>
      <c r="Z1599" s="27"/>
      <c r="AA1599" s="28" t="str">
        <f ca="1">IFERROR(__xludf.DUMMYFUNCTION("""COMPUTED_VALUE"""),"*150筆英文電話簿*來電/去電報號,拒接特定來電*3組快速撥號緊急求救*大按鈕大字體,18dB音量調整,助聽功能*通話距離：室內100坪/樓層1-3樓 *待機/通話時間：100小時/10小時")</f>
        <v>*150筆英文電話簿*來電/去電報號,拒接特定來電*3組快速撥號緊急求救*大按鈕大字體,18dB音量調整,助聽功能*通話距離：室內100坪/樓層1-3樓 *待機/通話時間：100小時/10小時</v>
      </c>
    </row>
    <row r="1600" spans="1:27" ht="12.75">
      <c r="A1600" s="25" t="str">
        <f ca="1">IFERROR(__xludf.DUMMYFUNCTION("""COMPUTED_VALUE"""),"電話機")</f>
        <v>電話機</v>
      </c>
      <c r="B1600" s="25" t="str">
        <f ca="1">IFERROR(__xludf.DUMMYFUNCTION("""COMPUTED_VALUE"""),"中華大雄")</f>
        <v>中華大雄</v>
      </c>
      <c r="C1600" s="25" t="str">
        <f ca="1">IFERROR(__xludf.DUMMYFUNCTION("""COMPUTED_VALUE"""),"台灣三洋")</f>
        <v>台灣三洋</v>
      </c>
      <c r="D1600" s="25" t="str">
        <f ca="1">IFERROR(__xludf.DUMMYFUNCTION("""COMPUTED_VALUE"""),"(鐵灰)DCT-8916_台灣三洋2.4GHz 語音報號數位親子機")</f>
        <v>(鐵灰)DCT-8916_台灣三洋2.4GHz 語音報號數位親子機</v>
      </c>
      <c r="E1600" s="25" t="str">
        <f ca="1">IFERROR(__xludf.DUMMYFUNCTION("""COMPUTED_VALUE"""),"DCT-8916(鐵灰)")</f>
        <v>DCT-8916(鐵灰)</v>
      </c>
      <c r="F1600" s="25">
        <f ca="1">IFERROR(__xludf.DUMMYFUNCTION("""COMPUTED_VALUE"""),51057287)</f>
        <v>51057287</v>
      </c>
      <c r="G1600" s="25" t="str">
        <f ca="1">IFERROR(__xludf.DUMMYFUNCTION("""COMPUTED_VALUE"""),"EHOM000U")</f>
        <v>EHOM000U</v>
      </c>
      <c r="H1600" s="26">
        <f ca="1">IFERROR(__xludf.DUMMYFUNCTION("""COMPUTED_VALUE"""),2380)</f>
        <v>2380</v>
      </c>
      <c r="I1600" s="30">
        <f ca="1">IFERROR(__xludf.DUMMYFUNCTION("""COMPUTED_VALUE"""),1899)</f>
        <v>1899</v>
      </c>
      <c r="J1600" s="25"/>
      <c r="K1600" s="25" t="str">
        <f ca="1">IFERROR(__xludf.DUMMYFUNCTION("""COMPUTED_VALUE"""),"新機上架")</f>
        <v>新機上架</v>
      </c>
      <c r="L1600" s="26" t="str">
        <f ca="1">IFERROR(__xludf.DUMMYFUNCTION("""COMPUTED_VALUE"""),"上架中")</f>
        <v>上架中</v>
      </c>
      <c r="M1600" s="25"/>
      <c r="N1600" s="25" t="str">
        <f ca="1">IFERROR(__xludf.DUMMYFUNCTION("""COMPUTED_VALUE"""),"電話機")</f>
        <v>電話機</v>
      </c>
      <c r="O1600" s="25" t="str">
        <f ca="1">IFERROR(__xludf.DUMMYFUNCTION("""COMPUTED_VALUE"""),"鐵灰")</f>
        <v>鐵灰</v>
      </c>
      <c r="P1600" s="25" t="str">
        <f ca="1">IFERROR(__xludf.DUMMYFUNCTION("""COMPUTED_VALUE"""),"額定電壓/頻率：110V/60Hz")</f>
        <v>額定電壓/頻率：110V/60Hz</v>
      </c>
      <c r="Q1600" s="25" t="str">
        <f ca="1">IFERROR(__xludf.DUMMYFUNCTION("""COMPUTED_VALUE"""),"主機94mm x125mmx175mm;子機175mm x30mmx53mm")</f>
        <v>主機94mm x125mmx175mm;子機175mm x30mmx53mm</v>
      </c>
      <c r="R1600" s="25" t="str">
        <f ca="1">IFERROR(__xludf.DUMMYFUNCTION("""COMPUTED_VALUE"""),"中國")</f>
        <v>中國</v>
      </c>
      <c r="S1600" s="25"/>
      <c r="T1600" s="25"/>
      <c r="U1600" s="25" t="str">
        <f ca="1">IFERROR(__xludf.DUMMYFUNCTION("""COMPUTED_VALUE"""),"有")</f>
        <v>有</v>
      </c>
      <c r="V1600" s="25"/>
      <c r="W1600" s="25"/>
      <c r="X1600" s="25"/>
      <c r="Y1600" s="25"/>
      <c r="Z1600" s="27"/>
      <c r="AA1600" s="28" t="str">
        <f ca="1">IFERROR(__xludf.DUMMYFUNCTION("""COMPUTED_VALUE"""),"*150筆英文電話簿*來電/去電報號,拒接特定來電*3組快速撥號緊急求救*大按鈕大字體,18dB音量調整,助聽功能*通話距離：室內100坪/樓層1-3樓 *待機/通話時間：100小時/10小時")</f>
        <v>*150筆英文電話簿*來電/去電報號,拒接特定來電*3組快速撥號緊急求救*大按鈕大字體,18dB音量調整,助聽功能*通話距離：室內100坪/樓層1-3樓 *待機/通話時間：100小時/10小時</v>
      </c>
    </row>
    <row r="1601" spans="1:27" ht="12.75">
      <c r="A1601" s="25" t="str">
        <f ca="1">IFERROR(__xludf.DUMMYFUNCTION("""COMPUTED_VALUE"""),"電話機")</f>
        <v>電話機</v>
      </c>
      <c r="B1601" s="25" t="str">
        <f ca="1">IFERROR(__xludf.DUMMYFUNCTION("""COMPUTED_VALUE"""),"中華大雄")</f>
        <v>中華大雄</v>
      </c>
      <c r="C1601" s="25" t="str">
        <f ca="1">IFERROR(__xludf.DUMMYFUNCTION("""COMPUTED_VALUE"""),"台灣三洋")</f>
        <v>台灣三洋</v>
      </c>
      <c r="D1601" s="25" t="str">
        <f ca="1">IFERROR(__xludf.DUMMYFUNCTION("""COMPUTED_VALUE"""),"(紅)TEL-853_台灣三洋全功能免裝電池有線電話機")</f>
        <v>(紅)TEL-853_台灣三洋全功能免裝電池有線電話機</v>
      </c>
      <c r="E1601" s="25" t="str">
        <f ca="1">IFERROR(__xludf.DUMMYFUNCTION("""COMPUTED_VALUE"""),"TEL-853(紅)")</f>
        <v>TEL-853(紅)</v>
      </c>
      <c r="F1601" s="25">
        <f ca="1">IFERROR(__xludf.DUMMYFUNCTION("""COMPUTED_VALUE"""),51057288)</f>
        <v>51057288</v>
      </c>
      <c r="G1601" s="25" t="str">
        <f ca="1">IFERROR(__xludf.DUMMYFUNCTION("""COMPUTED_VALUE"""),"EHOM000V")</f>
        <v>EHOM000V</v>
      </c>
      <c r="H1601" s="26">
        <f ca="1">IFERROR(__xludf.DUMMYFUNCTION("""COMPUTED_VALUE"""),880)</f>
        <v>880</v>
      </c>
      <c r="I1601" s="27">
        <f ca="1">IFERROR(__xludf.DUMMYFUNCTION("""COMPUTED_VALUE"""),799)</f>
        <v>799</v>
      </c>
      <c r="J1601" s="25"/>
      <c r="K1601" s="25" t="str">
        <f ca="1">IFERROR(__xludf.DUMMYFUNCTION("""COMPUTED_VALUE"""),"新機上架")</f>
        <v>新機上架</v>
      </c>
      <c r="L1601" s="26" t="str">
        <f ca="1">IFERROR(__xludf.DUMMYFUNCTION("""COMPUTED_VALUE"""),"上架中")</f>
        <v>上架中</v>
      </c>
      <c r="M1601" s="25"/>
      <c r="N1601" s="25" t="str">
        <f ca="1">IFERROR(__xludf.DUMMYFUNCTION("""COMPUTED_VALUE"""),"電話機")</f>
        <v>電話機</v>
      </c>
      <c r="O1601" s="25" t="str">
        <f ca="1">IFERROR(__xludf.DUMMYFUNCTION("""COMPUTED_VALUE"""),"紅")</f>
        <v>紅</v>
      </c>
      <c r="P1601" s="25" t="str">
        <f ca="1">IFERROR(__xludf.DUMMYFUNCTION("""COMPUTED_VALUE"""),"額定電壓/頻率：110V/60Hz")</f>
        <v>額定電壓/頻率：110V/60Hz</v>
      </c>
      <c r="Q1601" s="25" t="str">
        <f ca="1">IFERROR(__xludf.DUMMYFUNCTION("""COMPUTED_VALUE"""),"75mmx175mmx215mm")</f>
        <v>75mmx175mmx215mm</v>
      </c>
      <c r="R1601" s="25" t="str">
        <f ca="1">IFERROR(__xludf.DUMMYFUNCTION("""COMPUTED_VALUE"""),"中國")</f>
        <v>中國</v>
      </c>
      <c r="S1601" s="25"/>
      <c r="T1601" s="25"/>
      <c r="U1601" s="25" t="str">
        <f ca="1">IFERROR(__xludf.DUMMYFUNCTION("""COMPUTED_VALUE"""),"有")</f>
        <v>有</v>
      </c>
      <c r="V1601" s="25"/>
      <c r="W1601" s="25"/>
      <c r="X1601" s="25"/>
      <c r="Y1601" s="25"/>
      <c r="Z1601" s="27"/>
      <c r="AA1601" s="28" t="str">
        <f ca="1">IFERROR(__xludf.DUMMYFUNCTION("""COMPUTED_VALUE"""),"*46組來電、16組去電查詢 *來電/去電報號、超大字鍵 *附變壓器免裝電池 *2組單鍵記憶                                                                                                                                                                                                                 "&amp;"                                                                                                                                                                                                                                                            *保固"&amp;":2年 ")</f>
        <v xml:space="preserve">*46組來電、16組去電查詢 *來電/去電報號、超大字鍵 *附變壓器免裝電池 *2組單鍵記憶                                                                                                                                                                                                                                                                                                                                                                                                                                                                             *保固:2年 </v>
      </c>
    </row>
    <row r="1602" spans="1:27" ht="12.75">
      <c r="A1602" s="25" t="str">
        <f ca="1">IFERROR(__xludf.DUMMYFUNCTION("""COMPUTED_VALUE"""),"電話機")</f>
        <v>電話機</v>
      </c>
      <c r="B1602" s="25" t="str">
        <f ca="1">IFERROR(__xludf.DUMMYFUNCTION("""COMPUTED_VALUE"""),"中華大雄")</f>
        <v>中華大雄</v>
      </c>
      <c r="C1602" s="25" t="str">
        <f ca="1">IFERROR(__xludf.DUMMYFUNCTION("""COMPUTED_VALUE"""),"台灣三洋")</f>
        <v>台灣三洋</v>
      </c>
      <c r="D1602" s="25" t="str">
        <f ca="1">IFERROR(__xludf.DUMMYFUNCTION("""COMPUTED_VALUE"""),"(銀)TEL-853_台灣三洋全功能免裝電池有線電話機")</f>
        <v>(銀)TEL-853_台灣三洋全功能免裝電池有線電話機</v>
      </c>
      <c r="E1602" s="25" t="str">
        <f ca="1">IFERROR(__xludf.DUMMYFUNCTION("""COMPUTED_VALUE"""),"TEL-853(銀)")</f>
        <v>TEL-853(銀)</v>
      </c>
      <c r="F1602" s="25">
        <f ca="1">IFERROR(__xludf.DUMMYFUNCTION("""COMPUTED_VALUE"""),51057289)</f>
        <v>51057289</v>
      </c>
      <c r="G1602" s="25" t="str">
        <f ca="1">IFERROR(__xludf.DUMMYFUNCTION("""COMPUTED_VALUE"""),"EHOM000W")</f>
        <v>EHOM000W</v>
      </c>
      <c r="H1602" s="26">
        <f ca="1">IFERROR(__xludf.DUMMYFUNCTION("""COMPUTED_VALUE"""),880)</f>
        <v>880</v>
      </c>
      <c r="I1602" s="27">
        <f ca="1">IFERROR(__xludf.DUMMYFUNCTION("""COMPUTED_VALUE"""),799)</f>
        <v>799</v>
      </c>
      <c r="J1602" s="25"/>
      <c r="K1602" s="25" t="str">
        <f ca="1">IFERROR(__xludf.DUMMYFUNCTION("""COMPUTED_VALUE"""),"新機上架")</f>
        <v>新機上架</v>
      </c>
      <c r="L1602" s="26" t="str">
        <f ca="1">IFERROR(__xludf.DUMMYFUNCTION("""COMPUTED_VALUE"""),"上架中")</f>
        <v>上架中</v>
      </c>
      <c r="M1602" s="25"/>
      <c r="N1602" s="25" t="str">
        <f ca="1">IFERROR(__xludf.DUMMYFUNCTION("""COMPUTED_VALUE"""),"電話機")</f>
        <v>電話機</v>
      </c>
      <c r="O1602" s="25" t="str">
        <f ca="1">IFERROR(__xludf.DUMMYFUNCTION("""COMPUTED_VALUE"""),"銀")</f>
        <v>銀</v>
      </c>
      <c r="P1602" s="25" t="str">
        <f ca="1">IFERROR(__xludf.DUMMYFUNCTION("""COMPUTED_VALUE"""),"額定電壓/頻率：110V/60Hz")</f>
        <v>額定電壓/頻率：110V/60Hz</v>
      </c>
      <c r="Q1602" s="25" t="str">
        <f ca="1">IFERROR(__xludf.DUMMYFUNCTION("""COMPUTED_VALUE"""),"75mmx175mmx215mm")</f>
        <v>75mmx175mmx215mm</v>
      </c>
      <c r="R1602" s="25" t="str">
        <f ca="1">IFERROR(__xludf.DUMMYFUNCTION("""COMPUTED_VALUE"""),"中國")</f>
        <v>中國</v>
      </c>
      <c r="S1602" s="25"/>
      <c r="T1602" s="25"/>
      <c r="U1602" s="25" t="str">
        <f ca="1">IFERROR(__xludf.DUMMYFUNCTION("""COMPUTED_VALUE"""),"有")</f>
        <v>有</v>
      </c>
      <c r="V1602" s="25"/>
      <c r="W1602" s="25"/>
      <c r="X1602" s="25"/>
      <c r="Y1602" s="25"/>
      <c r="Z1602" s="27"/>
      <c r="AA1602" s="28" t="str">
        <f ca="1">IFERROR(__xludf.DUMMYFUNCTION("""COMPUTED_VALUE"""),"*46組來電、16組去電查詢 *來電/去電報號、超大字鍵 *附變壓器免裝電池 *2組單鍵記憶                                                                                                                                                                                                                 "&amp;"                                                                                                                                                                                                                                                            *保固"&amp;":2年 ")</f>
        <v xml:space="preserve">*46組來電、16組去電查詢 *來電/去電報號、超大字鍵 *附變壓器免裝電池 *2組單鍵記憶                                                                                                                                                                                                                                                                                                                                                                                                                                                                             *保固:2年 </v>
      </c>
    </row>
    <row r="1603" spans="1:27" ht="12.75">
      <c r="A1603" s="25" t="str">
        <f ca="1">IFERROR(__xludf.DUMMYFUNCTION("""COMPUTED_VALUE"""),"電話機")</f>
        <v>電話機</v>
      </c>
      <c r="B1603" s="25" t="str">
        <f ca="1">IFERROR(__xludf.DUMMYFUNCTION("""COMPUTED_VALUE"""),"中華大雄")</f>
        <v>中華大雄</v>
      </c>
      <c r="C1603" s="25" t="str">
        <f ca="1">IFERROR(__xludf.DUMMYFUNCTION("""COMPUTED_VALUE"""),"PANASONIC")</f>
        <v>PANASONIC</v>
      </c>
      <c r="D1603" s="25" t="str">
        <f ca="1">IFERROR(__xludf.DUMMYFUNCTION("""COMPUTED_VALUE"""),"(黑)KX-TGE110TW Panasonic 大字鍵數位無線電話機")</f>
        <v>(黑)KX-TGE110TW Panasonic 大字鍵數位無線電話機</v>
      </c>
      <c r="E1603" s="25" t="str">
        <f ca="1">IFERROR(__xludf.DUMMYFUNCTION("""COMPUTED_VALUE"""),"KX-TGE110TW(黑)")</f>
        <v>KX-TGE110TW(黑)</v>
      </c>
      <c r="F1603" s="25">
        <f ca="1">IFERROR(__xludf.DUMMYFUNCTION("""COMPUTED_VALUE"""),51057290)</f>
        <v>51057290</v>
      </c>
      <c r="G1603" s="25" t="str">
        <f ca="1">IFERROR(__xludf.DUMMYFUNCTION("""COMPUTED_VALUE"""),"EHOM000Y")</f>
        <v>EHOM000Y</v>
      </c>
      <c r="H1603" s="26">
        <f ca="1">IFERROR(__xludf.DUMMYFUNCTION("""COMPUTED_VALUE"""),1880)</f>
        <v>1880</v>
      </c>
      <c r="I1603" s="30">
        <f ca="1">IFERROR(__xludf.DUMMYFUNCTION("""COMPUTED_VALUE"""),1480)</f>
        <v>1480</v>
      </c>
      <c r="J1603" s="25"/>
      <c r="K1603" s="25" t="str">
        <f ca="1">IFERROR(__xludf.DUMMYFUNCTION("""COMPUTED_VALUE"""),"新機上架")</f>
        <v>新機上架</v>
      </c>
      <c r="L1603" s="26" t="str">
        <f ca="1">IFERROR(__xludf.DUMMYFUNCTION("""COMPUTED_VALUE"""),"上架中")</f>
        <v>上架中</v>
      </c>
      <c r="M1603" s="25"/>
      <c r="N1603" s="25" t="str">
        <f ca="1">IFERROR(__xludf.DUMMYFUNCTION("""COMPUTED_VALUE"""),"電話機")</f>
        <v>電話機</v>
      </c>
      <c r="O1603" s="25" t="str">
        <f ca="1">IFERROR(__xludf.DUMMYFUNCTION("""COMPUTED_VALUE"""),"黑")</f>
        <v>黑</v>
      </c>
      <c r="P1603" s="25" t="str">
        <f ca="1">IFERROR(__xludf.DUMMYFUNCTION("""COMPUTED_VALUE"""),"額定電壓/頻率：110V/60Hz")</f>
        <v>額定電壓/頻率：110V/60Hz</v>
      </c>
      <c r="Q1603" s="25" t="str">
        <f ca="1">IFERROR(__xludf.DUMMYFUNCTION("""COMPUTED_VALUE"""),"主機:60 mm x 113 mm x 101 mm; 無線聽筒:180 mm x 54 mm x 28 mm")</f>
        <v>主機:60 mm x 113 mm x 101 mm; 無線聽筒:180 mm x 54 mm x 28 mm</v>
      </c>
      <c r="R1603" s="25" t="str">
        <f ca="1">IFERROR(__xludf.DUMMYFUNCTION("""COMPUTED_VALUE"""),"中國")</f>
        <v>中國</v>
      </c>
      <c r="S1603" s="25"/>
      <c r="T1603" s="25"/>
      <c r="U1603" s="25" t="str">
        <f ca="1">IFERROR(__xludf.DUMMYFUNCTION("""COMPUTED_VALUE"""),"有")</f>
        <v>有</v>
      </c>
      <c r="V1603" s="25"/>
      <c r="W1603" s="25"/>
      <c r="X1603" s="25"/>
      <c r="Y1603" s="25"/>
      <c r="Z1603" s="27"/>
      <c r="AA1603" s="28" t="str">
        <f ca="1">IFERROR(__xludf.DUMMYFUNCTION("""COMPUTED_VALUE"""),"*50筆英文電話簿*可設定拒接特定來電*3組快速撥號鍵*大按鈕大字體*保固2年*通話距離：室內100坪/樓層1-3樓*待機/通話時間：200小時/10小時")</f>
        <v>*50筆英文電話簿*可設定拒接特定來電*3組快速撥號鍵*大按鈕大字體*保固2年*通話距離：室內100坪/樓層1-3樓*待機/通話時間：200小時/10小時</v>
      </c>
    </row>
    <row r="1604" spans="1:27" ht="12.75">
      <c r="A1604" s="25" t="str">
        <f ca="1">IFERROR(__xludf.DUMMYFUNCTION("""COMPUTED_VALUE"""),"電話機")</f>
        <v>電話機</v>
      </c>
      <c r="B1604" s="25" t="str">
        <f ca="1">IFERROR(__xludf.DUMMYFUNCTION("""COMPUTED_VALUE"""),"中華大雄")</f>
        <v>中華大雄</v>
      </c>
      <c r="C1604" s="25" t="str">
        <f ca="1">IFERROR(__xludf.DUMMYFUNCTION("""COMPUTED_VALUE"""),"PANASONIC")</f>
        <v>PANASONIC</v>
      </c>
      <c r="D1604" s="25" t="str">
        <f ca="1">IFERROR(__xludf.DUMMYFUNCTION("""COMPUTED_VALUE"""),"(黑)KX-TGE610TWB Panasonic中文數位大字鍵無線電話機")</f>
        <v>(黑)KX-TGE610TWB Panasonic中文數位大字鍵無線電話機</v>
      </c>
      <c r="E1604" s="25" t="str">
        <f ca="1">IFERROR(__xludf.DUMMYFUNCTION("""COMPUTED_VALUE"""),"KX-TGE610TWB(黑)")</f>
        <v>KX-TGE610TWB(黑)</v>
      </c>
      <c r="F1604" s="25">
        <f ca="1">IFERROR(__xludf.DUMMYFUNCTION("""COMPUTED_VALUE"""),51057291)</f>
        <v>51057291</v>
      </c>
      <c r="G1604" s="25" t="str">
        <f ca="1">IFERROR(__xludf.DUMMYFUNCTION("""COMPUTED_VALUE"""),"EHOM000Z")</f>
        <v>EHOM000Z</v>
      </c>
      <c r="H1604" s="26">
        <f ca="1">IFERROR(__xludf.DUMMYFUNCTION("""COMPUTED_VALUE"""),2580)</f>
        <v>2580</v>
      </c>
      <c r="I1604" s="30">
        <f ca="1">IFERROR(__xludf.DUMMYFUNCTION("""COMPUTED_VALUE"""),2480)</f>
        <v>2480</v>
      </c>
      <c r="J1604" s="25"/>
      <c r="K1604" s="25" t="str">
        <f ca="1">IFERROR(__xludf.DUMMYFUNCTION("""COMPUTED_VALUE"""),"新機上架")</f>
        <v>新機上架</v>
      </c>
      <c r="L1604" s="26" t="str">
        <f ca="1">IFERROR(__xludf.DUMMYFUNCTION("""COMPUTED_VALUE"""),"上架中")</f>
        <v>上架中</v>
      </c>
      <c r="M1604" s="25"/>
      <c r="N1604" s="25" t="str">
        <f ca="1">IFERROR(__xludf.DUMMYFUNCTION("""COMPUTED_VALUE"""),"電話機")</f>
        <v>電話機</v>
      </c>
      <c r="O1604" s="25" t="str">
        <f ca="1">IFERROR(__xludf.DUMMYFUNCTION("""COMPUTED_VALUE"""),"黑")</f>
        <v>黑</v>
      </c>
      <c r="P1604" s="25" t="str">
        <f ca="1">IFERROR(__xludf.DUMMYFUNCTION("""COMPUTED_VALUE"""),"額定電壓/頻率：110V/60Hz")</f>
        <v>額定電壓/頻率：110V/60Hz</v>
      </c>
      <c r="Q1604" s="25" t="str">
        <f ca="1">IFERROR(__xludf.DUMMYFUNCTION("""COMPUTED_VALUE"""),"主機: 59 mm x 138 mm x 91 mm;無線聽筒:171 mm x 54 mm x 32 mm")</f>
        <v>主機: 59 mm x 138 mm x 91 mm;無線聽筒:171 mm x 54 mm x 32 mm</v>
      </c>
      <c r="R1604" s="25" t="str">
        <f ca="1">IFERROR(__xludf.DUMMYFUNCTION("""COMPUTED_VALUE"""),"馬來西亞")</f>
        <v>馬來西亞</v>
      </c>
      <c r="S1604" s="25"/>
      <c r="T1604" s="25"/>
      <c r="U1604" s="25" t="str">
        <f ca="1">IFERROR(__xludf.DUMMYFUNCTION("""COMPUTED_VALUE"""),"有")</f>
        <v>有</v>
      </c>
      <c r="V1604" s="25"/>
      <c r="W1604" s="25"/>
      <c r="X1604" s="25"/>
      <c r="Y1604" s="25"/>
      <c r="Z1604" s="27"/>
      <c r="AA1604" s="28" t="str">
        <f ca="1">IFERROR(__xludf.DUMMYFUNCTION("""COMPUTED_VALUE"""),"*中文功能表顯示 *支援電話簿中文輸入*電力備援設計，斷電不斷話 *可設定拒接特定來電*保固2年*通話距離：室內100坪/樓層1-3樓 *待機/通話時間：200小時/18小時")</f>
        <v>*中文功能表顯示 *支援電話簿中文輸入*電力備援設計，斷電不斷話 *可設定拒接特定來電*保固2年*通話距離：室內100坪/樓層1-3樓 *待機/通話時間：200小時/18小時</v>
      </c>
    </row>
    <row r="1605" spans="1:27" ht="12.75">
      <c r="A1605" s="25" t="str">
        <f ca="1">IFERROR(__xludf.DUMMYFUNCTION("""COMPUTED_VALUE"""),"電話機")</f>
        <v>電話機</v>
      </c>
      <c r="B1605" s="25" t="str">
        <f ca="1">IFERROR(__xludf.DUMMYFUNCTION("""COMPUTED_VALUE"""),"中華大雄")</f>
        <v>中華大雄</v>
      </c>
      <c r="C1605" s="25" t="str">
        <f ca="1">IFERROR(__xludf.DUMMYFUNCTION("""COMPUTED_VALUE"""),"PANASONIC")</f>
        <v>PANASONIC</v>
      </c>
      <c r="D1605" s="25" t="str">
        <f ca="1">IFERROR(__xludf.DUMMYFUNCTION("""COMPUTED_VALUE"""),"(黑)Panasonic長輩用數位無線電話雙子機KX-TGE612TWB")</f>
        <v>(黑)Panasonic長輩用數位無線電話雙子機KX-TGE612TWB</v>
      </c>
      <c r="E1605" s="25" t="str">
        <f ca="1">IFERROR(__xludf.DUMMYFUNCTION("""COMPUTED_VALUE"""),"KX-TGE612TWB(黑)")</f>
        <v>KX-TGE612TWB(黑)</v>
      </c>
      <c r="F1605" s="25">
        <f ca="1">IFERROR(__xludf.DUMMYFUNCTION("""COMPUTED_VALUE"""),51057292)</f>
        <v>51057292</v>
      </c>
      <c r="G1605" s="25" t="str">
        <f ca="1">IFERROR(__xludf.DUMMYFUNCTION("""COMPUTED_VALUE"""),"EHOM0011")</f>
        <v>EHOM0011</v>
      </c>
      <c r="H1605" s="26">
        <f ca="1">IFERROR(__xludf.DUMMYFUNCTION("""COMPUTED_VALUE"""),3680)</f>
        <v>3680</v>
      </c>
      <c r="I1605" s="30">
        <f ca="1">IFERROR(__xludf.DUMMYFUNCTION("""COMPUTED_VALUE"""),3480)</f>
        <v>3480</v>
      </c>
      <c r="J1605" s="25"/>
      <c r="K1605" s="25" t="str">
        <f ca="1">IFERROR(__xludf.DUMMYFUNCTION("""COMPUTED_VALUE"""),"新機上架")</f>
        <v>新機上架</v>
      </c>
      <c r="L1605" s="26" t="str">
        <f ca="1">IFERROR(__xludf.DUMMYFUNCTION("""COMPUTED_VALUE"""),"上架中")</f>
        <v>上架中</v>
      </c>
      <c r="M1605" s="25"/>
      <c r="N1605" s="25" t="str">
        <f ca="1">IFERROR(__xludf.DUMMYFUNCTION("""COMPUTED_VALUE"""),"電話機")</f>
        <v>電話機</v>
      </c>
      <c r="O1605" s="25" t="str">
        <f ca="1">IFERROR(__xludf.DUMMYFUNCTION("""COMPUTED_VALUE"""),"黑")</f>
        <v>黑</v>
      </c>
      <c r="P1605" s="25" t="str">
        <f ca="1">IFERROR(__xludf.DUMMYFUNCTION("""COMPUTED_VALUE"""),"額定電壓/頻率：110V/60Hz")</f>
        <v>額定電壓/頻率：110V/60Hz</v>
      </c>
      <c r="Q1605" s="25" t="str">
        <f ca="1">IFERROR(__xludf.DUMMYFUNCTION("""COMPUTED_VALUE"""),"主機: 59 mm x 138 mm x 91 mm;無線聽筒:171 mm x 54 mm x 32 mm")</f>
        <v>主機: 59 mm x 138 mm x 91 mm;無線聽筒:171 mm x 54 mm x 32 mm</v>
      </c>
      <c r="R1605" s="25" t="str">
        <f ca="1">IFERROR(__xludf.DUMMYFUNCTION("""COMPUTED_VALUE"""),"馬來西亞")</f>
        <v>馬來西亞</v>
      </c>
      <c r="S1605" s="25"/>
      <c r="T1605" s="25"/>
      <c r="U1605" s="25" t="str">
        <f ca="1">IFERROR(__xludf.DUMMYFUNCTION("""COMPUTED_VALUE"""),"有")</f>
        <v>有</v>
      </c>
      <c r="V1605" s="25"/>
      <c r="W1605" s="25"/>
      <c r="X1605" s="25"/>
      <c r="Y1605" s="25"/>
      <c r="Z1605" s="27"/>
      <c r="AA1605" s="28" t="str">
        <f ca="1">IFERROR(__xludf.DUMMYFUNCTION("""COMPUTED_VALUE"""),"*中文功能表顯示 *支援電話簿中文輸入*電力備援設計，斷電不斷話 *可設定拒接特定來電*保固2年*通話距離：室內100坪/樓層1-3樓 *待機/通話時間：200小時/18小時")</f>
        <v>*中文功能表顯示 *支援電話簿中文輸入*電力備援設計，斷電不斷話 *可設定拒接特定來電*保固2年*通話距離：室內100坪/樓層1-3樓 *待機/通話時間：200小時/18小時</v>
      </c>
    </row>
    <row r="1606" spans="1:27" ht="12.75">
      <c r="A1606" s="25" t="str">
        <f ca="1">IFERROR(__xludf.DUMMYFUNCTION("""COMPUTED_VALUE"""),"電話機")</f>
        <v>電話機</v>
      </c>
      <c r="B1606" s="25" t="str">
        <f ca="1">IFERROR(__xludf.DUMMYFUNCTION("""COMPUTED_VALUE"""),"中華大雄")</f>
        <v>中華大雄</v>
      </c>
      <c r="C1606" s="25" t="str">
        <f ca="1">IFERROR(__xludf.DUMMYFUNCTION("""COMPUTED_VALUE"""),"aiwa")</f>
        <v>aiwa</v>
      </c>
      <c r="D1606" s="25" t="str">
        <f ca="1">IFERROR(__xludf.DUMMYFUNCTION("""COMPUTED_VALUE"""),"(紅)aiwa ALT-888愛華助聽電話")</f>
        <v>(紅)aiwa ALT-888愛華助聽電話</v>
      </c>
      <c r="E1606" s="25" t="str">
        <f ca="1">IFERROR(__xludf.DUMMYFUNCTION("""COMPUTED_VALUE"""),"ALT-888(紅)")</f>
        <v>ALT-888(紅)</v>
      </c>
      <c r="F1606" s="25">
        <f ca="1">IFERROR(__xludf.DUMMYFUNCTION("""COMPUTED_VALUE"""),51057293)</f>
        <v>51057293</v>
      </c>
      <c r="G1606" s="25" t="str">
        <f ca="1">IFERROR(__xludf.DUMMYFUNCTION("""COMPUTED_VALUE"""),"EHOM0012")</f>
        <v>EHOM0012</v>
      </c>
      <c r="H1606" s="26">
        <f ca="1">IFERROR(__xludf.DUMMYFUNCTION("""COMPUTED_VALUE"""),849)</f>
        <v>849</v>
      </c>
      <c r="I1606" s="27">
        <f ca="1">IFERROR(__xludf.DUMMYFUNCTION("""COMPUTED_VALUE"""),799)</f>
        <v>799</v>
      </c>
      <c r="J1606" s="25"/>
      <c r="K1606" s="25" t="str">
        <f ca="1">IFERROR(__xludf.DUMMYFUNCTION("""COMPUTED_VALUE"""),"新機上架")</f>
        <v>新機上架</v>
      </c>
      <c r="L1606" s="26" t="str">
        <f ca="1">IFERROR(__xludf.DUMMYFUNCTION("""COMPUTED_VALUE"""),"上架中")</f>
        <v>上架中</v>
      </c>
      <c r="M1606" s="25"/>
      <c r="N1606" s="25" t="str">
        <f ca="1">IFERROR(__xludf.DUMMYFUNCTION("""COMPUTED_VALUE"""),"電話機")</f>
        <v>電話機</v>
      </c>
      <c r="O1606" s="25" t="str">
        <f ca="1">IFERROR(__xludf.DUMMYFUNCTION("""COMPUTED_VALUE"""),"紅")</f>
        <v>紅</v>
      </c>
      <c r="P1606" s="25" t="str">
        <f ca="1">IFERROR(__xludf.DUMMYFUNCTION("""COMPUTED_VALUE"""),"額定電壓/頻率：110V/60Hz")</f>
        <v>額定電壓/頻率：110V/60Hz</v>
      </c>
      <c r="Q1606" s="25" t="str">
        <f ca="1">IFERROR(__xludf.DUMMYFUNCTION("""COMPUTED_VALUE"""),"98mm x 172 mm x 218mm")</f>
        <v>98mm x 172 mm x 218mm</v>
      </c>
      <c r="R1606" s="25" t="str">
        <f ca="1">IFERROR(__xludf.DUMMYFUNCTION("""COMPUTED_VALUE"""),"中國")</f>
        <v>中國</v>
      </c>
      <c r="S1606" s="25"/>
      <c r="T1606" s="25"/>
      <c r="U1606" s="25" t="str">
        <f ca="1">IFERROR(__xludf.DUMMYFUNCTION("""COMPUTED_VALUE"""),"有")</f>
        <v>有</v>
      </c>
      <c r="V1606" s="25"/>
      <c r="W1606" s="25"/>
      <c r="X1606" s="25"/>
      <c r="Y1606" s="25"/>
      <c r="Z1606" s="27"/>
      <c r="AA1606" s="28" t="str">
        <f ca="1">IFERROR(__xludf.DUMMYFUNCTION("""COMPUTED_VALUE"""),"*來電/去電報號、超大字鍵 *受話音量三段式調整 *來電鈴聲閃爍(來鈴閃燈)*46組來電、16組去電查詢 *免打擾設定*單音/和弦鈴聲,音量4段調整")</f>
        <v>*來電/去電報號、超大字鍵 *受話音量三段式調整 *來電鈴聲閃爍(來鈴閃燈)*46組來電、16組去電查詢 *免打擾設定*單音/和弦鈴聲,音量4段調整</v>
      </c>
    </row>
    <row r="1607" spans="1:27" ht="12.75">
      <c r="A1607" s="25" t="str">
        <f ca="1">IFERROR(__xludf.DUMMYFUNCTION("""COMPUTED_VALUE"""),"電話機")</f>
        <v>電話機</v>
      </c>
      <c r="B1607" s="25" t="str">
        <f ca="1">IFERROR(__xludf.DUMMYFUNCTION("""COMPUTED_VALUE"""),"中華大雄")</f>
        <v>中華大雄</v>
      </c>
      <c r="C1607" s="25" t="str">
        <f ca="1">IFERROR(__xludf.DUMMYFUNCTION("""COMPUTED_VALUE"""),"aiwa")</f>
        <v>aiwa</v>
      </c>
      <c r="D1607" s="25" t="str">
        <f ca="1">IFERROR(__xludf.DUMMYFUNCTION("""COMPUTED_VALUE"""),"(銀)aiwa ALT-888愛華助聽電話")</f>
        <v>(銀)aiwa ALT-888愛華助聽電話</v>
      </c>
      <c r="E1607" s="25" t="str">
        <f ca="1">IFERROR(__xludf.DUMMYFUNCTION("""COMPUTED_VALUE"""),"ALT-888(銀)")</f>
        <v>ALT-888(銀)</v>
      </c>
      <c r="F1607" s="25">
        <f ca="1">IFERROR(__xludf.DUMMYFUNCTION("""COMPUTED_VALUE"""),51057294)</f>
        <v>51057294</v>
      </c>
      <c r="G1607" s="25" t="str">
        <f ca="1">IFERROR(__xludf.DUMMYFUNCTION("""COMPUTED_VALUE"""),"EHOM0013")</f>
        <v>EHOM0013</v>
      </c>
      <c r="H1607" s="26">
        <f ca="1">IFERROR(__xludf.DUMMYFUNCTION("""COMPUTED_VALUE"""),849)</f>
        <v>849</v>
      </c>
      <c r="I1607" s="27">
        <f ca="1">IFERROR(__xludf.DUMMYFUNCTION("""COMPUTED_VALUE"""),799)</f>
        <v>799</v>
      </c>
      <c r="J1607" s="25"/>
      <c r="K1607" s="25" t="str">
        <f ca="1">IFERROR(__xludf.DUMMYFUNCTION("""COMPUTED_VALUE"""),"新機上架")</f>
        <v>新機上架</v>
      </c>
      <c r="L1607" s="26" t="str">
        <f ca="1">IFERROR(__xludf.DUMMYFUNCTION("""COMPUTED_VALUE"""),"上架中")</f>
        <v>上架中</v>
      </c>
      <c r="M1607" s="25"/>
      <c r="N1607" s="25" t="str">
        <f ca="1">IFERROR(__xludf.DUMMYFUNCTION("""COMPUTED_VALUE"""),"電話機")</f>
        <v>電話機</v>
      </c>
      <c r="O1607" s="25" t="str">
        <f ca="1">IFERROR(__xludf.DUMMYFUNCTION("""COMPUTED_VALUE"""),"銀")</f>
        <v>銀</v>
      </c>
      <c r="P1607" s="25" t="str">
        <f ca="1">IFERROR(__xludf.DUMMYFUNCTION("""COMPUTED_VALUE"""),"額定電壓/頻率：110V/60Hz")</f>
        <v>額定電壓/頻率：110V/60Hz</v>
      </c>
      <c r="Q1607" s="25" t="str">
        <f ca="1">IFERROR(__xludf.DUMMYFUNCTION("""COMPUTED_VALUE"""),"98mm x 172 mm x 218mm")</f>
        <v>98mm x 172 mm x 218mm</v>
      </c>
      <c r="R1607" s="25" t="str">
        <f ca="1">IFERROR(__xludf.DUMMYFUNCTION("""COMPUTED_VALUE"""),"中國")</f>
        <v>中國</v>
      </c>
      <c r="S1607" s="25"/>
      <c r="T1607" s="25"/>
      <c r="U1607" s="25" t="str">
        <f ca="1">IFERROR(__xludf.DUMMYFUNCTION("""COMPUTED_VALUE"""),"有")</f>
        <v>有</v>
      </c>
      <c r="V1607" s="25"/>
      <c r="W1607" s="25"/>
      <c r="X1607" s="25"/>
      <c r="Y1607" s="25"/>
      <c r="Z1607" s="27"/>
      <c r="AA1607" s="28" t="str">
        <f ca="1">IFERROR(__xludf.DUMMYFUNCTION("""COMPUTED_VALUE"""),"*來電/去電報號、超大字鍵 *受話音量三段式調整 *來電鈴聲閃爍(來鈴閃燈)*46組來電、16組去電查詢 *免打擾設定*單音/和弦鈴聲,音量4段調整")</f>
        <v>*來電/去電報號、超大字鍵 *受話音量三段式調整 *來電鈴聲閃爍(來鈴閃燈)*46組來電、16組去電查詢 *免打擾設定*單音/和弦鈴聲,音量4段調整</v>
      </c>
    </row>
    <row r="1608" spans="1:27" ht="12.75">
      <c r="A1608" s="25" t="str">
        <f ca="1">IFERROR(__xludf.DUMMYFUNCTION("""COMPUTED_VALUE"""),"健康保養商品")</f>
        <v>健康保養商品</v>
      </c>
      <c r="B1608" s="25" t="str">
        <f ca="1">IFERROR(__xludf.DUMMYFUNCTION("""COMPUTED_VALUE"""),"神腦")</f>
        <v>神腦</v>
      </c>
      <c r="C1608" s="25" t="str">
        <f ca="1">IFERROR(__xludf.DUMMYFUNCTION("""COMPUTED_VALUE"""),"sakuyo")</f>
        <v>sakuyo</v>
      </c>
      <c r="D1608" s="25" t="str">
        <f ca="1">IFERROR(__xludf.DUMMYFUNCTION("""COMPUTED_VALUE"""),"健康_【sakuyo】比菲德氏菌+乳寡醣(30條入)_宅配限台灣本島")</f>
        <v>健康_【sakuyo】比菲德氏菌+乳寡醣(30條入)_宅配限台灣本島</v>
      </c>
      <c r="E1608" s="25" t="str">
        <f ca="1">IFERROR(__xludf.DUMMYFUNCTION("""COMPUTED_VALUE"""),"HS-0001")</f>
        <v>HS-0001</v>
      </c>
      <c r="F1608" s="25">
        <f ca="1">IFERROR(__xludf.DUMMYFUNCTION("""COMPUTED_VALUE"""),51016170)</f>
        <v>51016170</v>
      </c>
      <c r="G1608" s="25" t="str">
        <f ca="1">IFERROR(__xludf.DUMMYFUNCTION("""COMPUTED_VALUE"""),"IGEM052Z")</f>
        <v>IGEM052Z</v>
      </c>
      <c r="H1608" s="25">
        <f ca="1">IFERROR(__xludf.DUMMYFUNCTION("""COMPUTED_VALUE"""),1400)</f>
        <v>1400</v>
      </c>
      <c r="I1608" s="27">
        <f ca="1">IFERROR(__xludf.DUMMYFUNCTION("""COMPUTED_VALUE"""),1190)</f>
        <v>1190</v>
      </c>
      <c r="J1608" s="25"/>
      <c r="K1608" s="25"/>
      <c r="L1608" s="26" t="str">
        <f ca="1">IFERROR(__xludf.DUMMYFUNCTION("""COMPUTED_VALUE"""),"上架中")</f>
        <v>上架中</v>
      </c>
      <c r="M1608" s="25" t="str">
        <f ca="1">IFERROR(__xludf.DUMMYFUNCTION("""COMPUTED_VALUE"""),"2021/12/30新機上架")</f>
        <v>2021/12/30新機上架</v>
      </c>
      <c r="N1608" s="25" t="str">
        <f ca="1">IFERROR(__xludf.DUMMYFUNCTION("""COMPUTED_VALUE"""),"益生菌")</f>
        <v>益生菌</v>
      </c>
      <c r="O1608" s="25"/>
      <c r="P1608" s="25"/>
      <c r="Q1608" s="25"/>
      <c r="R1608" s="25" t="str">
        <f ca="1">IFERROR(__xludf.DUMMYFUNCTION("""COMPUTED_VALUE"""),"日本")</f>
        <v>日本</v>
      </c>
      <c r="S1608" s="25"/>
      <c r="T1608" s="25"/>
      <c r="U1608" s="25"/>
      <c r="V1608" s="25"/>
      <c r="W1608" s="25"/>
      <c r="X1608" s="25"/>
      <c r="Y1608" s="25"/>
      <c r="Z1608" s="27"/>
      <c r="AA1608" s="28" t="str">
        <f ca="1">IFERROR(__xludf.DUMMYFUNCTION("""COMPUTED_VALUE"""),"*專利龍根菌BB536 *調整腸胃道健康 *增加免疫力*全家人日常保健的常備品*保存期限:2年")</f>
        <v>*專利龍根菌BB536 *調整腸胃道健康 *增加免疫力*全家人日常保健的常備品*保存期限:2年</v>
      </c>
    </row>
    <row r="1609" spans="1:27" ht="12.75">
      <c r="A1609" s="25" t="str">
        <f ca="1">IFERROR(__xludf.DUMMYFUNCTION("""COMPUTED_VALUE"""),"健康保養商品")</f>
        <v>健康保養商品</v>
      </c>
      <c r="B1609" s="25" t="str">
        <f ca="1">IFERROR(__xludf.DUMMYFUNCTION("""COMPUTED_VALUE"""),"神腦")</f>
        <v>神腦</v>
      </c>
      <c r="C1609" s="25" t="str">
        <f ca="1">IFERROR(__xludf.DUMMYFUNCTION("""COMPUTED_VALUE"""),"sakuyo")</f>
        <v>sakuyo</v>
      </c>
      <c r="D1609" s="25" t="str">
        <f ca="1">IFERROR(__xludf.DUMMYFUNCTION("""COMPUTED_VALUE"""),"健康_【sakuyo】每日青汁(30條入)_宅配限台灣本島")</f>
        <v>健康_【sakuyo】每日青汁(30條入)_宅配限台灣本島</v>
      </c>
      <c r="E1609" s="25" t="str">
        <f ca="1">IFERROR(__xludf.DUMMYFUNCTION("""COMPUTED_VALUE"""),"HS-0002")</f>
        <v>HS-0002</v>
      </c>
      <c r="F1609" s="25">
        <f ca="1">IFERROR(__xludf.DUMMYFUNCTION("""COMPUTED_VALUE"""),51016171)</f>
        <v>51016171</v>
      </c>
      <c r="G1609" s="25" t="str">
        <f ca="1">IFERROR(__xludf.DUMMYFUNCTION("""COMPUTED_VALUE"""),"IGEM0530")</f>
        <v>IGEM0530</v>
      </c>
      <c r="H1609" s="25">
        <f ca="1">IFERROR(__xludf.DUMMYFUNCTION("""COMPUTED_VALUE"""),990)</f>
        <v>990</v>
      </c>
      <c r="I1609" s="27">
        <f ca="1">IFERROR(__xludf.DUMMYFUNCTION("""COMPUTED_VALUE"""),840)</f>
        <v>840</v>
      </c>
      <c r="J1609" s="25"/>
      <c r="K1609" s="25"/>
      <c r="L1609" s="26" t="str">
        <f ca="1">IFERROR(__xludf.DUMMYFUNCTION("""COMPUTED_VALUE"""),"上架中")</f>
        <v>上架中</v>
      </c>
      <c r="M1609" s="25" t="str">
        <f ca="1">IFERROR(__xludf.DUMMYFUNCTION("""COMPUTED_VALUE"""),"2021/12/30新機上架")</f>
        <v>2021/12/30新機上架</v>
      </c>
      <c r="N1609" s="25" t="str">
        <f ca="1">IFERROR(__xludf.DUMMYFUNCTION("""COMPUTED_VALUE"""),"青汁")</f>
        <v>青汁</v>
      </c>
      <c r="O1609" s="25"/>
      <c r="P1609" s="25"/>
      <c r="Q1609" s="25"/>
      <c r="R1609" s="25" t="str">
        <f ca="1">IFERROR(__xludf.DUMMYFUNCTION("""COMPUTED_VALUE"""),"日本")</f>
        <v>日本</v>
      </c>
      <c r="S1609" s="25"/>
      <c r="T1609" s="25"/>
      <c r="U1609" s="25"/>
      <c r="V1609" s="25"/>
      <c r="W1609" s="25"/>
      <c r="X1609" s="25"/>
      <c r="Y1609" s="25"/>
      <c r="Z1609" s="27"/>
      <c r="AA1609" s="28" t="str">
        <f ca="1">IFERROR(__xludf.DUMMYFUNCTION("""COMPUTED_VALUE"""),"*富含膳食纖維 *搭配有機羽衣甘藍/桑葉 *無色素無香料無額外添加糖*難消化性麥芽糊精水溶性纖維*保存期限:3年")</f>
        <v>*富含膳食纖維 *搭配有機羽衣甘藍/桑葉 *無色素無香料無額外添加糖*難消化性麥芽糊精水溶性纖維*保存期限:3年</v>
      </c>
    </row>
    <row r="1610" spans="1:27" ht="12.75">
      <c r="A1610" s="25" t="str">
        <f ca="1">IFERROR(__xludf.DUMMYFUNCTION("""COMPUTED_VALUE"""),"健康保養商品")</f>
        <v>健康保養商品</v>
      </c>
      <c r="B1610" s="25" t="str">
        <f ca="1">IFERROR(__xludf.DUMMYFUNCTION("""COMPUTED_VALUE"""),"神腦")</f>
        <v>神腦</v>
      </c>
      <c r="C1610" s="25" t="str">
        <f ca="1">IFERROR(__xludf.DUMMYFUNCTION("""COMPUTED_VALUE"""),"sakuyo")</f>
        <v>sakuyo</v>
      </c>
      <c r="D1610" s="25" t="str">
        <f ca="1">IFERROR(__xludf.DUMMYFUNCTION("""COMPUTED_VALUE"""),"健康_【sakuyo】金盞花萃取(含葉黃素)軟膠囊(30顆入)_宅配限台灣本島")</f>
        <v>健康_【sakuyo】金盞花萃取(含葉黃素)軟膠囊(30顆入)_宅配限台灣本島</v>
      </c>
      <c r="E1610" s="25" t="str">
        <f ca="1">IFERROR(__xludf.DUMMYFUNCTION("""COMPUTED_VALUE"""),"HS-0003")</f>
        <v>HS-0003</v>
      </c>
      <c r="F1610" s="25">
        <f ca="1">IFERROR(__xludf.DUMMYFUNCTION("""COMPUTED_VALUE"""),51016172)</f>
        <v>51016172</v>
      </c>
      <c r="G1610" s="25" t="str">
        <f ca="1">IFERROR(__xludf.DUMMYFUNCTION("""COMPUTED_VALUE"""),"IGEM0531")</f>
        <v>IGEM0531</v>
      </c>
      <c r="H1610" s="25">
        <f ca="1">IFERROR(__xludf.DUMMYFUNCTION("""COMPUTED_VALUE"""),1330)</f>
        <v>1330</v>
      </c>
      <c r="I1610" s="27">
        <f ca="1">IFERROR(__xludf.DUMMYFUNCTION("""COMPUTED_VALUE"""),1130)</f>
        <v>1130</v>
      </c>
      <c r="J1610" s="25"/>
      <c r="K1610" s="25"/>
      <c r="L1610" s="26" t="str">
        <f ca="1">IFERROR(__xludf.DUMMYFUNCTION("""COMPUTED_VALUE"""),"上架中")</f>
        <v>上架中</v>
      </c>
      <c r="M1610" s="25" t="str">
        <f ca="1">IFERROR(__xludf.DUMMYFUNCTION("""COMPUTED_VALUE"""),"2021/12/30新機上架")</f>
        <v>2021/12/30新機上架</v>
      </c>
      <c r="N1610" s="25" t="str">
        <f ca="1">IFERROR(__xludf.DUMMYFUNCTION("""COMPUTED_VALUE"""),"葉黃素")</f>
        <v>葉黃素</v>
      </c>
      <c r="O1610" s="25"/>
      <c r="P1610" s="25"/>
      <c r="Q1610" s="25"/>
      <c r="R1610" s="25" t="str">
        <f ca="1">IFERROR(__xludf.DUMMYFUNCTION("""COMPUTED_VALUE"""),"日本")</f>
        <v>日本</v>
      </c>
      <c r="S1610" s="25"/>
      <c r="T1610" s="25"/>
      <c r="U1610" s="25"/>
      <c r="V1610" s="25"/>
      <c r="W1610" s="25"/>
      <c r="X1610" s="25"/>
      <c r="Y1610" s="25"/>
      <c r="Z1610" s="27"/>
      <c r="AA1610" s="28" t="str">
        <f ca="1">IFERROR(__xludf.DUMMYFUNCTION("""COMPUTED_VALUE"""),"*游離型好吸收 *嚴選北歐山桑子萃取物 *顆粒小好吞食*有感舒緩眼部痠痛乾澀疲勞*保存期限:2年")</f>
        <v>*游離型好吸收 *嚴選北歐山桑子萃取物 *顆粒小好吞食*有感舒緩眼部痠痛乾澀疲勞*保存期限:2年</v>
      </c>
    </row>
    <row r="1611" spans="1:27" ht="12.75">
      <c r="A1611" s="25" t="str">
        <f ca="1">IFERROR(__xludf.DUMMYFUNCTION("""COMPUTED_VALUE"""),"健康保養商品")</f>
        <v>健康保養商品</v>
      </c>
      <c r="B1611" s="25" t="str">
        <f ca="1">IFERROR(__xludf.DUMMYFUNCTION("""COMPUTED_VALUE"""),"神腦")</f>
        <v>神腦</v>
      </c>
      <c r="C1611" s="25" t="str">
        <f ca="1">IFERROR(__xludf.DUMMYFUNCTION("""COMPUTED_VALUE"""),"sakuyo")</f>
        <v>sakuyo</v>
      </c>
      <c r="D1611" s="25" t="str">
        <f ca="1">IFERROR(__xludf.DUMMYFUNCTION("""COMPUTED_VALUE"""),"健康_【sakuyo】魚油軟膠囊(160顆入)_宅配限台灣本島")</f>
        <v>健康_【sakuyo】魚油軟膠囊(160顆入)_宅配限台灣本島</v>
      </c>
      <c r="E1611" s="25" t="str">
        <f ca="1">IFERROR(__xludf.DUMMYFUNCTION("""COMPUTED_VALUE"""),"HS-0004")</f>
        <v>HS-0004</v>
      </c>
      <c r="F1611" s="25">
        <f ca="1">IFERROR(__xludf.DUMMYFUNCTION("""COMPUTED_VALUE"""),51016173)</f>
        <v>51016173</v>
      </c>
      <c r="G1611" s="25" t="str">
        <f ca="1">IFERROR(__xludf.DUMMYFUNCTION("""COMPUTED_VALUE"""),"IGEM0532")</f>
        <v>IGEM0532</v>
      </c>
      <c r="H1611" s="25">
        <f ca="1">IFERROR(__xludf.DUMMYFUNCTION("""COMPUTED_VALUE"""),1500)</f>
        <v>1500</v>
      </c>
      <c r="I1611" s="27">
        <f ca="1">IFERROR(__xludf.DUMMYFUNCTION("""COMPUTED_VALUE"""),1275)</f>
        <v>1275</v>
      </c>
      <c r="J1611" s="25"/>
      <c r="K1611" s="25"/>
      <c r="L1611" s="26" t="str">
        <f ca="1">IFERROR(__xludf.DUMMYFUNCTION("""COMPUTED_VALUE"""),"上架中")</f>
        <v>上架中</v>
      </c>
      <c r="M1611" s="25" t="str">
        <f ca="1">IFERROR(__xludf.DUMMYFUNCTION("""COMPUTED_VALUE"""),"2021/12/30新機上架")</f>
        <v>2021/12/30新機上架</v>
      </c>
      <c r="N1611" s="25" t="str">
        <f ca="1">IFERROR(__xludf.DUMMYFUNCTION("""COMPUTED_VALUE"""),"魚油")</f>
        <v>魚油</v>
      </c>
      <c r="O1611" s="25"/>
      <c r="P1611" s="25"/>
      <c r="Q1611" s="25"/>
      <c r="R1611" s="25" t="str">
        <f ca="1">IFERROR(__xludf.DUMMYFUNCTION("""COMPUTED_VALUE"""),"日本")</f>
        <v>日本</v>
      </c>
      <c r="S1611" s="25"/>
      <c r="T1611" s="25"/>
      <c r="U1611" s="25"/>
      <c r="V1611" s="25"/>
      <c r="W1611" s="25"/>
      <c r="X1611" s="25"/>
      <c r="Y1611" s="25"/>
      <c r="Z1611" s="27"/>
      <c r="AA1611" s="28" t="str">
        <f ca="1">IFERROR(__xludf.DUMMYFUNCTION("""COMPUTED_VALUE"""),"*Omega3 *純淨藻來源蝦紅素+維生素E *顆粒小好吞食4.DHA使思緒靈活，保持專注，增加學習效能*保存期限:2年")</f>
        <v>*Omega3 *純淨藻來源蝦紅素+維生素E *顆粒小好吞食4.DHA使思緒靈活，保持專注，增加學習效能*保存期限:2年</v>
      </c>
    </row>
    <row r="1612" spans="1:27" ht="12.75">
      <c r="A1612" s="25" t="str">
        <f ca="1">IFERROR(__xludf.DUMMYFUNCTION("""COMPUTED_VALUE"""),"健康保養商品")</f>
        <v>健康保養商品</v>
      </c>
      <c r="B1612" s="25" t="str">
        <f ca="1">IFERROR(__xludf.DUMMYFUNCTION("""COMPUTED_VALUE"""),"神腦")</f>
        <v>神腦</v>
      </c>
      <c r="C1612" s="25" t="str">
        <f ca="1">IFERROR(__xludf.DUMMYFUNCTION("""COMPUTED_VALUE"""),"sakuyo")</f>
        <v>sakuyo</v>
      </c>
      <c r="D1612" s="25" t="str">
        <f ca="1">IFERROR(__xludf.DUMMYFUNCTION("""COMPUTED_VALUE"""),"健康_【sakuyo】纖美B3益生菌(30條入)_宅配限台灣本島")</f>
        <v>健康_【sakuyo】纖美B3益生菌(30條入)_宅配限台灣本島</v>
      </c>
      <c r="E1612" s="25" t="str">
        <f ca="1">IFERROR(__xludf.DUMMYFUNCTION("""COMPUTED_VALUE"""),"HS-0006")</f>
        <v>HS-0006</v>
      </c>
      <c r="F1612" s="25">
        <f ca="1">IFERROR(__xludf.DUMMYFUNCTION("""COMPUTED_VALUE"""),51016175)</f>
        <v>51016175</v>
      </c>
      <c r="G1612" s="25" t="str">
        <f ca="1">IFERROR(__xludf.DUMMYFUNCTION("""COMPUTED_VALUE"""),"IGEM0534")</f>
        <v>IGEM0534</v>
      </c>
      <c r="H1612" s="25">
        <f ca="1">IFERROR(__xludf.DUMMYFUNCTION("""COMPUTED_VALUE"""),2000)</f>
        <v>2000</v>
      </c>
      <c r="I1612" s="27">
        <f ca="1">IFERROR(__xludf.DUMMYFUNCTION("""COMPUTED_VALUE"""),1700)</f>
        <v>1700</v>
      </c>
      <c r="J1612" s="25"/>
      <c r="K1612" s="25"/>
      <c r="L1612" s="26" t="str">
        <f ca="1">IFERROR(__xludf.DUMMYFUNCTION("""COMPUTED_VALUE"""),"上架中")</f>
        <v>上架中</v>
      </c>
      <c r="M1612" s="25" t="str">
        <f ca="1">IFERROR(__xludf.DUMMYFUNCTION("""COMPUTED_VALUE"""),"2021/12/30新機上架")</f>
        <v>2021/12/30新機上架</v>
      </c>
      <c r="N1612" s="25" t="str">
        <f ca="1">IFERROR(__xludf.DUMMYFUNCTION("""COMPUTED_VALUE"""),"益生菌")</f>
        <v>益生菌</v>
      </c>
      <c r="O1612" s="25"/>
      <c r="P1612" s="25"/>
      <c r="Q1612" s="25"/>
      <c r="R1612" s="25" t="str">
        <f ca="1">IFERROR(__xludf.DUMMYFUNCTION("""COMPUTED_VALUE"""),"日本")</f>
        <v>日本</v>
      </c>
      <c r="S1612" s="25"/>
      <c r="T1612" s="25"/>
      <c r="U1612" s="25"/>
      <c r="V1612" s="25"/>
      <c r="W1612" s="25"/>
      <c r="X1612" s="25"/>
      <c r="Y1612" s="25"/>
      <c r="Z1612" s="27"/>
      <c r="AA1612" s="28" t="str">
        <f ca="1">IFERROR(__xludf.DUMMYFUNCTION("""COMPUTED_VALUE"""),"*19國功效專利益生菌 *含專利水溶性纖維促進新陳代謝 *100e比菲德氏短雙岐桿菌B-3 *乳糖 [0.5克]促進腸道好菌生長*保存期限:2年")</f>
        <v>*19國功效專利益生菌 *含專利水溶性纖維促進新陳代謝 *100e比菲德氏短雙岐桿菌B-3 *乳糖 [0.5克]促進腸道好菌生長*保存期限:2年</v>
      </c>
    </row>
    <row r="1613" spans="1:27" ht="12.75">
      <c r="A1613" s="25" t="str">
        <f ca="1">IFERROR(__xludf.DUMMYFUNCTION("""COMPUTED_VALUE"""),"健康保養商品")</f>
        <v>健康保養商品</v>
      </c>
      <c r="B1613" s="25" t="str">
        <f ca="1">IFERROR(__xludf.DUMMYFUNCTION("""COMPUTED_VALUE"""),"神腦")</f>
        <v>神腦</v>
      </c>
      <c r="C1613" s="25" t="str">
        <f ca="1">IFERROR(__xludf.DUMMYFUNCTION("""COMPUTED_VALUE"""),"sakuyo")</f>
        <v>sakuyo</v>
      </c>
      <c r="D1613" s="25" t="str">
        <f ca="1">IFERROR(__xludf.DUMMYFUNCTION("""COMPUTED_VALUE"""),"健康_【sakuyo】膠原蛋白胜肽(20條入)_宅配限台灣本島")</f>
        <v>健康_【sakuyo】膠原蛋白胜肽(20條入)_宅配限台灣本島</v>
      </c>
      <c r="E1613" s="25" t="str">
        <f ca="1">IFERROR(__xludf.DUMMYFUNCTION("""COMPUTED_VALUE"""),"HS-0007")</f>
        <v>HS-0007</v>
      </c>
      <c r="F1613" s="25">
        <f ca="1">IFERROR(__xludf.DUMMYFUNCTION("""COMPUTED_VALUE"""),51016176)</f>
        <v>51016176</v>
      </c>
      <c r="G1613" s="25" t="str">
        <f ca="1">IFERROR(__xludf.DUMMYFUNCTION("""COMPUTED_VALUE"""),"IGEM0535")</f>
        <v>IGEM0535</v>
      </c>
      <c r="H1613" s="25">
        <f ca="1">IFERROR(__xludf.DUMMYFUNCTION("""COMPUTED_VALUE"""),1300)</f>
        <v>1300</v>
      </c>
      <c r="I1613" s="27">
        <f ca="1">IFERROR(__xludf.DUMMYFUNCTION("""COMPUTED_VALUE"""),1105)</f>
        <v>1105</v>
      </c>
      <c r="J1613" s="25"/>
      <c r="K1613" s="25"/>
      <c r="L1613" s="26" t="str">
        <f ca="1">IFERROR(__xludf.DUMMYFUNCTION("""COMPUTED_VALUE"""),"上架中")</f>
        <v>上架中</v>
      </c>
      <c r="M1613" s="25" t="str">
        <f ca="1">IFERROR(__xludf.DUMMYFUNCTION("""COMPUTED_VALUE"""),"2021/12/30新機上架")</f>
        <v>2021/12/30新機上架</v>
      </c>
      <c r="N1613" s="25" t="str">
        <f ca="1">IFERROR(__xludf.DUMMYFUNCTION("""COMPUTED_VALUE"""),"膠原蛋白")</f>
        <v>膠原蛋白</v>
      </c>
      <c r="O1613" s="25"/>
      <c r="P1613" s="25"/>
      <c r="Q1613" s="25"/>
      <c r="R1613" s="25" t="str">
        <f ca="1">IFERROR(__xludf.DUMMYFUNCTION("""COMPUTED_VALUE"""),"日本")</f>
        <v>日本</v>
      </c>
      <c r="S1613" s="25"/>
      <c r="T1613" s="25"/>
      <c r="U1613" s="25"/>
      <c r="V1613" s="25"/>
      <c r="W1613" s="25"/>
      <c r="X1613" s="25"/>
      <c r="Y1613" s="25"/>
      <c r="Z1613" s="27"/>
      <c r="AA1613" s="28" t="str">
        <f ca="1">IFERROR(__xludf.DUMMYFUNCTION("""COMPUTED_VALUE"""),"*西印度櫻桃萃取維生素C *日本玄米萃取(賽洛美) *6000mg小分子好吸收*鮭魚鼻軟骨低溫萃取保有非變性二型膠原蛋白及蛋白聚醣*保存期限:2年")</f>
        <v>*西印度櫻桃萃取維生素C *日本玄米萃取(賽洛美) *6000mg小分子好吸收*鮭魚鼻軟骨低溫萃取保有非變性二型膠原蛋白及蛋白聚醣*保存期限:2年</v>
      </c>
    </row>
    <row r="1614" spans="1:27" ht="12.75">
      <c r="A1614" s="25" t="str">
        <f ca="1">IFERROR(__xludf.DUMMYFUNCTION("""COMPUTED_VALUE"""),"健康保養商品")</f>
        <v>健康保養商品</v>
      </c>
      <c r="B1614" s="25" t="str">
        <f ca="1">IFERROR(__xludf.DUMMYFUNCTION("""COMPUTED_VALUE"""),"神腦")</f>
        <v>神腦</v>
      </c>
      <c r="C1614" s="25" t="str">
        <f ca="1">IFERROR(__xludf.DUMMYFUNCTION("""COMPUTED_VALUE"""),"sakuyo")</f>
        <v>sakuyo</v>
      </c>
      <c r="D1614" s="25" t="str">
        <f ca="1">IFERROR(__xludf.DUMMYFUNCTION("""COMPUTED_VALUE"""),"健康_【sakuyo】比菲德氏菌+乳寡醣(30條入)兩入組_宅配限台灣本島")</f>
        <v>健康_【sakuyo】比菲德氏菌+乳寡醣(30條入)兩入組_宅配限台灣本島</v>
      </c>
      <c r="E1614" s="25" t="str">
        <f ca="1">IFERROR(__xludf.DUMMYFUNCTION("""COMPUTED_VALUE"""),"HS-0011")</f>
        <v>HS-0011</v>
      </c>
      <c r="F1614" s="25">
        <f ca="1">IFERROR(__xludf.DUMMYFUNCTION("""COMPUTED_VALUE"""),51057180)</f>
        <v>51057180</v>
      </c>
      <c r="G1614" s="25" t="str">
        <f ca="1">IFERROR(__xludf.DUMMYFUNCTION("""COMPUTED_VALUE"""),"IGEM0685")</f>
        <v>IGEM0685</v>
      </c>
      <c r="H1614" s="25">
        <f ca="1">IFERROR(__xludf.DUMMYFUNCTION("""COMPUTED_VALUE"""),2800)</f>
        <v>2800</v>
      </c>
      <c r="I1614" s="30">
        <f ca="1">IFERROR(__xludf.DUMMYFUNCTION("""COMPUTED_VALUE"""),2100)</f>
        <v>2100</v>
      </c>
      <c r="J1614" s="25"/>
      <c r="K1614" s="25"/>
      <c r="L1614" s="26" t="str">
        <f ca="1">IFERROR(__xludf.DUMMYFUNCTION("""COMPUTED_VALUE"""),"上架中")</f>
        <v>上架中</v>
      </c>
      <c r="M1614" s="25" t="str">
        <f ca="1">IFERROR(__xludf.DUMMYFUNCTION("""COMPUTED_VALUE"""),"2022/9/6新品")</f>
        <v>2022/9/6新品</v>
      </c>
      <c r="N1614" s="25" t="str">
        <f ca="1">IFERROR(__xludf.DUMMYFUNCTION("""COMPUTED_VALUE"""),"益生菌")</f>
        <v>益生菌</v>
      </c>
      <c r="O1614" s="25"/>
      <c r="P1614" s="25"/>
      <c r="Q1614" s="25"/>
      <c r="R1614" s="25" t="str">
        <f ca="1">IFERROR(__xludf.DUMMYFUNCTION("""COMPUTED_VALUE"""),"日本")</f>
        <v>日本</v>
      </c>
      <c r="S1614" s="25"/>
      <c r="T1614" s="25"/>
      <c r="U1614" s="25"/>
      <c r="V1614" s="25"/>
      <c r="W1614" s="25"/>
      <c r="X1614" s="25"/>
      <c r="Y1614" s="25"/>
      <c r="Z1614" s="27"/>
      <c r="AA1614" s="28" t="str">
        <f ca="1">IFERROR(__xludf.DUMMYFUNCTION("""COMPUTED_VALUE"""),"*2入85折優惠*專利龍根菌BB536 *調整腸胃道健康 *增加免疫力*全家人日常保健的常備品*保存期限:2年")</f>
        <v>*2入85折優惠*專利龍根菌BB536 *調整腸胃道健康 *增加免疫力*全家人日常保健的常備品*保存期限:2年</v>
      </c>
    </row>
    <row r="1615" spans="1:27" ht="12.75">
      <c r="A1615" s="25" t="str">
        <f ca="1">IFERROR(__xludf.DUMMYFUNCTION("""COMPUTED_VALUE"""),"健康保養商品")</f>
        <v>健康保養商品</v>
      </c>
      <c r="B1615" s="25" t="str">
        <f ca="1">IFERROR(__xludf.DUMMYFUNCTION("""COMPUTED_VALUE"""),"神腦")</f>
        <v>神腦</v>
      </c>
      <c r="C1615" s="25" t="str">
        <f ca="1">IFERROR(__xludf.DUMMYFUNCTION("""COMPUTED_VALUE"""),"sakuyo")</f>
        <v>sakuyo</v>
      </c>
      <c r="D1615" s="25" t="str">
        <f ca="1">IFERROR(__xludf.DUMMYFUNCTION("""COMPUTED_VALUE"""),"健康_【sakuyo】每日青汁(30條入)兩入組_宅配限台灣本島")</f>
        <v>健康_【sakuyo】每日青汁(30條入)兩入組_宅配限台灣本島</v>
      </c>
      <c r="E1615" s="25" t="str">
        <f ca="1">IFERROR(__xludf.DUMMYFUNCTION("""COMPUTED_VALUE"""),"HS-0012")</f>
        <v>HS-0012</v>
      </c>
      <c r="F1615" s="25">
        <f ca="1">IFERROR(__xludf.DUMMYFUNCTION("""COMPUTED_VALUE"""),51057181)</f>
        <v>51057181</v>
      </c>
      <c r="G1615" s="25" t="str">
        <f ca="1">IFERROR(__xludf.DUMMYFUNCTION("""COMPUTED_VALUE"""),"IGEM0686")</f>
        <v>IGEM0686</v>
      </c>
      <c r="H1615" s="25">
        <f ca="1">IFERROR(__xludf.DUMMYFUNCTION("""COMPUTED_VALUE"""),1980)</f>
        <v>1980</v>
      </c>
      <c r="I1615" s="30">
        <f ca="1">IFERROR(__xludf.DUMMYFUNCTION("""COMPUTED_VALUE"""),1485)</f>
        <v>1485</v>
      </c>
      <c r="J1615" s="25"/>
      <c r="K1615" s="25"/>
      <c r="L1615" s="26" t="str">
        <f ca="1">IFERROR(__xludf.DUMMYFUNCTION("""COMPUTED_VALUE"""),"上架中")</f>
        <v>上架中</v>
      </c>
      <c r="M1615" s="25" t="str">
        <f ca="1">IFERROR(__xludf.DUMMYFUNCTION("""COMPUTED_VALUE"""),"2022/9/6新品")</f>
        <v>2022/9/6新品</v>
      </c>
      <c r="N1615" s="25" t="str">
        <f ca="1">IFERROR(__xludf.DUMMYFUNCTION("""COMPUTED_VALUE"""),"青汁")</f>
        <v>青汁</v>
      </c>
      <c r="O1615" s="25"/>
      <c r="P1615" s="25"/>
      <c r="Q1615" s="25"/>
      <c r="R1615" s="25" t="str">
        <f ca="1">IFERROR(__xludf.DUMMYFUNCTION("""COMPUTED_VALUE"""),"日本")</f>
        <v>日本</v>
      </c>
      <c r="S1615" s="25"/>
      <c r="T1615" s="25"/>
      <c r="U1615" s="25"/>
      <c r="V1615" s="25"/>
      <c r="W1615" s="25"/>
      <c r="X1615" s="25"/>
      <c r="Y1615" s="25"/>
      <c r="Z1615" s="27"/>
      <c r="AA1615" s="28" t="str">
        <f ca="1">IFERROR(__xludf.DUMMYFUNCTION("""COMPUTED_VALUE"""),"*2入85折優惠*富含膳食纖維 *搭配有機羽衣甘藍/桑葉 *無色素無香料無額外添加糖*難消化性麥芽糊精水溶性纖維")</f>
        <v>*2入85折優惠*富含膳食纖維 *搭配有機羽衣甘藍/桑葉 *無色素無香料無額外添加糖*難消化性麥芽糊精水溶性纖維</v>
      </c>
    </row>
    <row r="1616" spans="1:27" ht="12.75">
      <c r="A1616" s="25" t="str">
        <f ca="1">IFERROR(__xludf.DUMMYFUNCTION("""COMPUTED_VALUE"""),"健康保養商品")</f>
        <v>健康保養商品</v>
      </c>
      <c r="B1616" s="25" t="str">
        <f ca="1">IFERROR(__xludf.DUMMYFUNCTION("""COMPUTED_VALUE"""),"神腦")</f>
        <v>神腦</v>
      </c>
      <c r="C1616" s="25" t="str">
        <f ca="1">IFERROR(__xludf.DUMMYFUNCTION("""COMPUTED_VALUE"""),"sakuyo")</f>
        <v>sakuyo</v>
      </c>
      <c r="D1616" s="25" t="str">
        <f ca="1">IFERROR(__xludf.DUMMYFUNCTION("""COMPUTED_VALUE"""),"健康_【sakuyo】金盞花萃取(含葉黃素)軟膠囊(30顆入)兩入組_宅配限台灣本島")</f>
        <v>健康_【sakuyo】金盞花萃取(含葉黃素)軟膠囊(30顆入)兩入組_宅配限台灣本島</v>
      </c>
      <c r="E1616" s="25" t="str">
        <f ca="1">IFERROR(__xludf.DUMMYFUNCTION("""COMPUTED_VALUE"""),"HS-0013")</f>
        <v>HS-0013</v>
      </c>
      <c r="F1616" s="25">
        <f ca="1">IFERROR(__xludf.DUMMYFUNCTION("""COMPUTED_VALUE"""),51057182)</f>
        <v>51057182</v>
      </c>
      <c r="G1616" s="25" t="str">
        <f ca="1">IFERROR(__xludf.DUMMYFUNCTION("""COMPUTED_VALUE"""),"IGEM0687")</f>
        <v>IGEM0687</v>
      </c>
      <c r="H1616" s="25">
        <f ca="1">IFERROR(__xludf.DUMMYFUNCTION("""COMPUTED_VALUE"""),2660)</f>
        <v>2660</v>
      </c>
      <c r="I1616" s="30">
        <f ca="1">IFERROR(__xludf.DUMMYFUNCTION("""COMPUTED_VALUE"""),1995)</f>
        <v>1995</v>
      </c>
      <c r="J1616" s="25"/>
      <c r="K1616" s="25"/>
      <c r="L1616" s="26" t="str">
        <f ca="1">IFERROR(__xludf.DUMMYFUNCTION("""COMPUTED_VALUE"""),"上架中")</f>
        <v>上架中</v>
      </c>
      <c r="M1616" s="25" t="str">
        <f ca="1">IFERROR(__xludf.DUMMYFUNCTION("""COMPUTED_VALUE"""),"2022/9/6新品")</f>
        <v>2022/9/6新品</v>
      </c>
      <c r="N1616" s="25" t="str">
        <f ca="1">IFERROR(__xludf.DUMMYFUNCTION("""COMPUTED_VALUE"""),"葉黃素")</f>
        <v>葉黃素</v>
      </c>
      <c r="O1616" s="25"/>
      <c r="P1616" s="25"/>
      <c r="Q1616" s="25"/>
      <c r="R1616" s="25" t="str">
        <f ca="1">IFERROR(__xludf.DUMMYFUNCTION("""COMPUTED_VALUE"""),"日本")</f>
        <v>日本</v>
      </c>
      <c r="S1616" s="25"/>
      <c r="T1616" s="25"/>
      <c r="U1616" s="25"/>
      <c r="V1616" s="25"/>
      <c r="W1616" s="25"/>
      <c r="X1616" s="25"/>
      <c r="Y1616" s="25"/>
      <c r="Z1616" s="27"/>
      <c r="AA1616" s="28" t="str">
        <f ca="1">IFERROR(__xludf.DUMMYFUNCTION("""COMPUTED_VALUE"""),"*2入85折優惠*游離型好吸收 *嚴選北歐山桑子萃取物 *顆粒小好吞食*有感舒緩眼部痠痛乾澀疲勞*保存期限:3年")</f>
        <v>*2入85折優惠*游離型好吸收 *嚴選北歐山桑子萃取物 *顆粒小好吞食*有感舒緩眼部痠痛乾澀疲勞*保存期限:3年</v>
      </c>
    </row>
    <row r="1617" spans="1:27" ht="12.75">
      <c r="A1617" s="25" t="str">
        <f ca="1">IFERROR(__xludf.DUMMYFUNCTION("""COMPUTED_VALUE"""),"健康保養商品")</f>
        <v>健康保養商品</v>
      </c>
      <c r="B1617" s="25" t="str">
        <f ca="1">IFERROR(__xludf.DUMMYFUNCTION("""COMPUTED_VALUE"""),"神腦")</f>
        <v>神腦</v>
      </c>
      <c r="C1617" s="25" t="str">
        <f ca="1">IFERROR(__xludf.DUMMYFUNCTION("""COMPUTED_VALUE"""),"sakuyo")</f>
        <v>sakuyo</v>
      </c>
      <c r="D1617" s="25" t="str">
        <f ca="1">IFERROR(__xludf.DUMMYFUNCTION("""COMPUTED_VALUE"""),"健康_【sakuyo】魚油軟膠囊(160顆入)兩入組_宅配限台灣本島")</f>
        <v>健康_【sakuyo】魚油軟膠囊(160顆入)兩入組_宅配限台灣本島</v>
      </c>
      <c r="E1617" s="25" t="str">
        <f ca="1">IFERROR(__xludf.DUMMYFUNCTION("""COMPUTED_VALUE"""),"HS-0014")</f>
        <v>HS-0014</v>
      </c>
      <c r="F1617" s="25">
        <f ca="1">IFERROR(__xludf.DUMMYFUNCTION("""COMPUTED_VALUE"""),51057183)</f>
        <v>51057183</v>
      </c>
      <c r="G1617" s="25" t="str">
        <f ca="1">IFERROR(__xludf.DUMMYFUNCTION("""COMPUTED_VALUE"""),"IGEM0688")</f>
        <v>IGEM0688</v>
      </c>
      <c r="H1617" s="25">
        <f ca="1">IFERROR(__xludf.DUMMYFUNCTION("""COMPUTED_VALUE"""),3000)</f>
        <v>3000</v>
      </c>
      <c r="I1617" s="27">
        <f ca="1">IFERROR(__xludf.DUMMYFUNCTION("""COMPUTED_VALUE"""),2250)</f>
        <v>2250</v>
      </c>
      <c r="J1617" s="25"/>
      <c r="K1617" s="25"/>
      <c r="L1617" s="26" t="str">
        <f ca="1">IFERROR(__xludf.DUMMYFUNCTION("""COMPUTED_VALUE"""),"上架中")</f>
        <v>上架中</v>
      </c>
      <c r="M1617" s="25" t="str">
        <f ca="1">IFERROR(__xludf.DUMMYFUNCTION("""COMPUTED_VALUE"""),"2022/9/6新品")</f>
        <v>2022/9/6新品</v>
      </c>
      <c r="N1617" s="25" t="str">
        <f ca="1">IFERROR(__xludf.DUMMYFUNCTION("""COMPUTED_VALUE"""),"魚油")</f>
        <v>魚油</v>
      </c>
      <c r="O1617" s="25"/>
      <c r="P1617" s="25"/>
      <c r="Q1617" s="25"/>
      <c r="R1617" s="25" t="str">
        <f ca="1">IFERROR(__xludf.DUMMYFUNCTION("""COMPUTED_VALUE"""),"日本")</f>
        <v>日本</v>
      </c>
      <c r="S1617" s="25"/>
      <c r="T1617" s="25"/>
      <c r="U1617" s="25"/>
      <c r="V1617" s="25"/>
      <c r="W1617" s="25"/>
      <c r="X1617" s="25"/>
      <c r="Y1617" s="25"/>
      <c r="Z1617" s="27"/>
      <c r="AA1617" s="28" t="str">
        <f ca="1">IFERROR(__xludf.DUMMYFUNCTION("""COMPUTED_VALUE"""),"*2入85折優惠*Omega3 *純淨藻來源蝦紅素+維生素E *顆粒小好吞食4.DHA使思緒靈活，保持專注，增加學習效能*保存期限:2年")</f>
        <v>*2入85折優惠*Omega3 *純淨藻來源蝦紅素+維生素E *顆粒小好吞食4.DHA使思緒靈活，保持專注，增加學習效能*保存期限:2年</v>
      </c>
    </row>
    <row r="1618" spans="1:27" ht="12.75">
      <c r="A1618" s="25" t="str">
        <f ca="1">IFERROR(__xludf.DUMMYFUNCTION("""COMPUTED_VALUE"""),"健康保養商品")</f>
        <v>健康保養商品</v>
      </c>
      <c r="B1618" s="25" t="str">
        <f ca="1">IFERROR(__xludf.DUMMYFUNCTION("""COMPUTED_VALUE"""),"神腦")</f>
        <v>神腦</v>
      </c>
      <c r="C1618" s="25" t="str">
        <f ca="1">IFERROR(__xludf.DUMMYFUNCTION("""COMPUTED_VALUE"""),"sakuyo")</f>
        <v>sakuyo</v>
      </c>
      <c r="D1618" s="25" t="str">
        <f ca="1">IFERROR(__xludf.DUMMYFUNCTION("""COMPUTED_VALUE"""),"健康_【sakuyo】纖美B3益生菌(30條入)兩入組_宅配限台灣本島")</f>
        <v>健康_【sakuyo】纖美B3益生菌(30條入)兩入組_宅配限台灣本島</v>
      </c>
      <c r="E1618" s="25" t="str">
        <f ca="1">IFERROR(__xludf.DUMMYFUNCTION("""COMPUTED_VALUE"""),"HS-0016")</f>
        <v>HS-0016</v>
      </c>
      <c r="F1618" s="25">
        <f ca="1">IFERROR(__xludf.DUMMYFUNCTION("""COMPUTED_VALUE"""),51057185)</f>
        <v>51057185</v>
      </c>
      <c r="G1618" s="25" t="str">
        <f ca="1">IFERROR(__xludf.DUMMYFUNCTION("""COMPUTED_VALUE"""),"IGEM068A")</f>
        <v>IGEM068A</v>
      </c>
      <c r="H1618" s="25">
        <f ca="1">IFERROR(__xludf.DUMMYFUNCTION("""COMPUTED_VALUE"""),4000)</f>
        <v>4000</v>
      </c>
      <c r="I1618" s="27">
        <f ca="1">IFERROR(__xludf.DUMMYFUNCTION("""COMPUTED_VALUE"""),3000)</f>
        <v>3000</v>
      </c>
      <c r="J1618" s="25"/>
      <c r="K1618" s="25"/>
      <c r="L1618" s="26" t="str">
        <f ca="1">IFERROR(__xludf.DUMMYFUNCTION("""COMPUTED_VALUE"""),"上架中")</f>
        <v>上架中</v>
      </c>
      <c r="M1618" s="25" t="str">
        <f ca="1">IFERROR(__xludf.DUMMYFUNCTION("""COMPUTED_VALUE"""),"2022/9/6新品")</f>
        <v>2022/9/6新品</v>
      </c>
      <c r="N1618" s="25" t="str">
        <f ca="1">IFERROR(__xludf.DUMMYFUNCTION("""COMPUTED_VALUE"""),"益生菌")</f>
        <v>益生菌</v>
      </c>
      <c r="O1618" s="25"/>
      <c r="P1618" s="25"/>
      <c r="Q1618" s="25"/>
      <c r="R1618" s="25" t="str">
        <f ca="1">IFERROR(__xludf.DUMMYFUNCTION("""COMPUTED_VALUE"""),"日本")</f>
        <v>日本</v>
      </c>
      <c r="S1618" s="25"/>
      <c r="T1618" s="25"/>
      <c r="U1618" s="25"/>
      <c r="V1618" s="25"/>
      <c r="W1618" s="25"/>
      <c r="X1618" s="25"/>
      <c r="Y1618" s="25"/>
      <c r="Z1618" s="27"/>
      <c r="AA1618" s="28" t="str">
        <f ca="1">IFERROR(__xludf.DUMMYFUNCTION("""COMPUTED_VALUE"""),"*2入85折優惠*19國功效專利益生菌 *含專利水溶性纖維促進新陳代謝 *100e比菲德氏短雙岐桿菌B-3 *.乳糖 [0.5克]促進腸道好菌生長")</f>
        <v>*2入85折優惠*19國功效專利益生菌 *含專利水溶性纖維促進新陳代謝 *100e比菲德氏短雙岐桿菌B-3 *.乳糖 [0.5克]促進腸道好菌生長</v>
      </c>
    </row>
    <row r="1619" spans="1:27" ht="12.75">
      <c r="A1619" s="25" t="str">
        <f ca="1">IFERROR(__xludf.DUMMYFUNCTION("""COMPUTED_VALUE"""),"健康保養商品")</f>
        <v>健康保養商品</v>
      </c>
      <c r="B1619" s="25" t="str">
        <f ca="1">IFERROR(__xludf.DUMMYFUNCTION("""COMPUTED_VALUE"""),"神腦")</f>
        <v>神腦</v>
      </c>
      <c r="C1619" s="25" t="str">
        <f ca="1">IFERROR(__xludf.DUMMYFUNCTION("""COMPUTED_VALUE"""),"sakuyo")</f>
        <v>sakuyo</v>
      </c>
      <c r="D1619" s="25" t="str">
        <f ca="1">IFERROR(__xludf.DUMMYFUNCTION("""COMPUTED_VALUE"""),"健康_【sakuyo】膠原蛋白胜肽(20條入)兩入組_宅配限台灣本島")</f>
        <v>健康_【sakuyo】膠原蛋白胜肽(20條入)兩入組_宅配限台灣本島</v>
      </c>
      <c r="E1619" s="25" t="str">
        <f ca="1">IFERROR(__xludf.DUMMYFUNCTION("""COMPUTED_VALUE"""),"HS-0017")</f>
        <v>HS-0017</v>
      </c>
      <c r="F1619" s="25">
        <f ca="1">IFERROR(__xludf.DUMMYFUNCTION("""COMPUTED_VALUE"""),51057186)</f>
        <v>51057186</v>
      </c>
      <c r="G1619" s="25" t="str">
        <f ca="1">IFERROR(__xludf.DUMMYFUNCTION("""COMPUTED_VALUE"""),"IGEM068B")</f>
        <v>IGEM068B</v>
      </c>
      <c r="H1619" s="25">
        <f ca="1">IFERROR(__xludf.DUMMYFUNCTION("""COMPUTED_VALUE"""),2600)</f>
        <v>2600</v>
      </c>
      <c r="I1619" s="27">
        <f ca="1">IFERROR(__xludf.DUMMYFUNCTION("""COMPUTED_VALUE"""),1950)</f>
        <v>1950</v>
      </c>
      <c r="J1619" s="25"/>
      <c r="K1619" s="25"/>
      <c r="L1619" s="26" t="str">
        <f ca="1">IFERROR(__xludf.DUMMYFUNCTION("""COMPUTED_VALUE"""),"上架中")</f>
        <v>上架中</v>
      </c>
      <c r="M1619" s="25" t="str">
        <f ca="1">IFERROR(__xludf.DUMMYFUNCTION("""COMPUTED_VALUE"""),"2022/9/6新品")</f>
        <v>2022/9/6新品</v>
      </c>
      <c r="N1619" s="25" t="str">
        <f ca="1">IFERROR(__xludf.DUMMYFUNCTION("""COMPUTED_VALUE"""),"膠原蛋白")</f>
        <v>膠原蛋白</v>
      </c>
      <c r="O1619" s="25"/>
      <c r="P1619" s="25"/>
      <c r="Q1619" s="25"/>
      <c r="R1619" s="25" t="str">
        <f ca="1">IFERROR(__xludf.DUMMYFUNCTION("""COMPUTED_VALUE"""),"日本")</f>
        <v>日本</v>
      </c>
      <c r="S1619" s="25"/>
      <c r="T1619" s="25"/>
      <c r="U1619" s="25"/>
      <c r="V1619" s="25"/>
      <c r="W1619" s="25"/>
      <c r="X1619" s="25"/>
      <c r="Y1619" s="25"/>
      <c r="Z1619" s="27"/>
      <c r="AA1619" s="28" t="str">
        <f ca="1">IFERROR(__xludf.DUMMYFUNCTION("""COMPUTED_VALUE"""),"*2入85折優惠*西印度櫻桃萃取維生素C *日本玄米萃取(賽洛美) *6000mg小分子好吸收*鮭魚鼻軟骨低溫萃取保有非變性二型膠原蛋白及蛋白聚醣*保存期限:2年")</f>
        <v>*2入85折優惠*西印度櫻桃萃取維生素C *日本玄米萃取(賽洛美) *6000mg小分子好吸收*鮭魚鼻軟骨低溫萃取保有非變性二型膠原蛋白及蛋白聚醣*保存期限:2年</v>
      </c>
    </row>
    <row r="1620" spans="1:27" ht="12.75">
      <c r="A1620" s="25" t="str">
        <f ca="1">IFERROR(__xludf.DUMMYFUNCTION("""COMPUTED_VALUE"""),"健康保養商品")</f>
        <v>健康保養商品</v>
      </c>
      <c r="B1620" s="25" t="str">
        <f ca="1">IFERROR(__xludf.DUMMYFUNCTION("""COMPUTED_VALUE"""),"神腦")</f>
        <v>神腦</v>
      </c>
      <c r="C1620" s="25" t="str">
        <f ca="1">IFERROR(__xludf.DUMMYFUNCTION("""COMPUTED_VALUE"""),"sakuyo")</f>
        <v>sakuyo</v>
      </c>
      <c r="D1620" s="25" t="str">
        <f ca="1">IFERROR(__xludf.DUMMYFUNCTION("""COMPUTED_VALUE"""),"健康_【sakuyo】經典順順組(益生菌+青汁)_宅配限台灣本島")</f>
        <v>健康_【sakuyo】經典順順組(益生菌+青汁)_宅配限台灣本島</v>
      </c>
      <c r="E1620" s="25" t="str">
        <f ca="1">IFERROR(__xludf.DUMMYFUNCTION("""COMPUTED_VALUE"""),"HS-0025")</f>
        <v>HS-0025</v>
      </c>
      <c r="F1620" s="25">
        <f ca="1">IFERROR(__xludf.DUMMYFUNCTION("""COMPUTED_VALUE"""),51040025)</f>
        <v>51040025</v>
      </c>
      <c r="G1620" s="25" t="str">
        <f ca="1">IFERROR(__xludf.DUMMYFUNCTION("""COMPUTED_VALUE"""),"IGEM096U")</f>
        <v>IGEM096U</v>
      </c>
      <c r="H1620" s="26">
        <f ca="1">IFERROR(__xludf.DUMMYFUNCTION("""COMPUTED_VALUE"""),2390)</f>
        <v>2390</v>
      </c>
      <c r="I1620" s="30">
        <f ca="1">IFERROR(__xludf.DUMMYFUNCTION("""COMPUTED_VALUE"""),1588)</f>
        <v>1588</v>
      </c>
      <c r="J1620" s="29">
        <f ca="1">IFERROR(__xludf.DUMMYFUNCTION("""COMPUTED_VALUE"""),45348)</f>
        <v>45348</v>
      </c>
      <c r="K1620" s="25" t="str">
        <f ca="1">IFERROR(__xludf.DUMMYFUNCTION("""COMPUTED_VALUE"""),"新機上架")</f>
        <v>新機上架</v>
      </c>
      <c r="L1620" s="26" t="str">
        <f ca="1">IFERROR(__xludf.DUMMYFUNCTION("""COMPUTED_VALUE"""),"上架中")</f>
        <v>上架中</v>
      </c>
      <c r="M1620" s="25" t="str">
        <f ca="1">IFERROR(__xludf.DUMMYFUNCTION("""COMPUTED_VALUE"""),"2024/02/26上架")</f>
        <v>2024/02/26上架</v>
      </c>
      <c r="N1620" s="25" t="str">
        <f ca="1">IFERROR(__xludf.DUMMYFUNCTION("""COMPUTED_VALUE"""),"益生菌")</f>
        <v>益生菌</v>
      </c>
      <c r="O1620" s="25"/>
      <c r="P1620" s="25"/>
      <c r="Q1620" s="25"/>
      <c r="R1620" s="25" t="str">
        <f ca="1">IFERROR(__xludf.DUMMYFUNCTION("""COMPUTED_VALUE"""),"日本")</f>
        <v>日本</v>
      </c>
      <c r="S1620" s="25"/>
      <c r="T1620" s="25"/>
      <c r="U1620" s="25"/>
      <c r="V1620" s="25"/>
      <c r="W1620" s="25"/>
      <c r="X1620" s="25"/>
      <c r="Y1620" s="25"/>
      <c r="Z1620" s="27"/>
      <c r="AA1620" s="28" t="str">
        <f ca="1">IFERROR(__xludf.DUMMYFUNCTION("""COMPUTED_VALUE"""),"*組合66折優惠*腸胃保健(調整腸菌叢生態、排便順暢)*調整(過敏)體質*增強免疫力*補充超級蔬菜營養與膳食纖維*促進新陳代謝*控制血糖血脂")</f>
        <v>*組合66折優惠*腸胃保健(調整腸菌叢生態、排便順暢)*調整(過敏)體質*增強免疫力*補充超級蔬菜營養與膳食纖維*促進新陳代謝*控制血糖血脂</v>
      </c>
    </row>
    <row r="1621" spans="1:27" ht="12.75">
      <c r="A1621" s="25" t="str">
        <f ca="1">IFERROR(__xludf.DUMMYFUNCTION("""COMPUTED_VALUE"""),"健康保養商品")</f>
        <v>健康保養商品</v>
      </c>
      <c r="B1621" s="25" t="str">
        <f ca="1">IFERROR(__xludf.DUMMYFUNCTION("""COMPUTED_VALUE"""),"神腦")</f>
        <v>神腦</v>
      </c>
      <c r="C1621" s="25" t="str">
        <f ca="1">IFERROR(__xludf.DUMMYFUNCTION("""COMPUTED_VALUE"""),"sakuyo")</f>
        <v>sakuyo</v>
      </c>
      <c r="D1621" s="25" t="str">
        <f ca="1">IFERROR(__xludf.DUMMYFUNCTION("""COMPUTED_VALUE"""),"健康_【sakuyo】晶亮順暢組(青汁+葉黃素)_宅配限台灣本島")</f>
        <v>健康_【sakuyo】晶亮順暢組(青汁+葉黃素)_宅配限台灣本島</v>
      </c>
      <c r="E1621" s="25" t="str">
        <f ca="1">IFERROR(__xludf.DUMMYFUNCTION("""COMPUTED_VALUE"""),"HS-0026")</f>
        <v>HS-0026</v>
      </c>
      <c r="F1621" s="25">
        <f ca="1">IFERROR(__xludf.DUMMYFUNCTION("""COMPUTED_VALUE"""),51040026)</f>
        <v>51040026</v>
      </c>
      <c r="G1621" s="25" t="str">
        <f ca="1">IFERROR(__xludf.DUMMYFUNCTION("""COMPUTED_VALUE"""),"IGEM096V")</f>
        <v>IGEM096V</v>
      </c>
      <c r="H1621" s="26">
        <f ca="1">IFERROR(__xludf.DUMMYFUNCTION("""COMPUTED_VALUE"""),2320)</f>
        <v>2320</v>
      </c>
      <c r="I1621" s="30">
        <f ca="1">IFERROR(__xludf.DUMMYFUNCTION("""COMPUTED_VALUE"""),1588)</f>
        <v>1588</v>
      </c>
      <c r="J1621" s="29">
        <f ca="1">IFERROR(__xludf.DUMMYFUNCTION("""COMPUTED_VALUE"""),45348)</f>
        <v>45348</v>
      </c>
      <c r="K1621" s="25" t="str">
        <f ca="1">IFERROR(__xludf.DUMMYFUNCTION("""COMPUTED_VALUE"""),"新機上架")</f>
        <v>新機上架</v>
      </c>
      <c r="L1621" s="26" t="str">
        <f ca="1">IFERROR(__xludf.DUMMYFUNCTION("""COMPUTED_VALUE"""),"上架中")</f>
        <v>上架中</v>
      </c>
      <c r="M1621" s="25" t="str">
        <f ca="1">IFERROR(__xludf.DUMMYFUNCTION("""COMPUTED_VALUE"""),"2024/02/26上架")</f>
        <v>2024/02/26上架</v>
      </c>
      <c r="N1621" s="25" t="str">
        <f ca="1">IFERROR(__xludf.DUMMYFUNCTION("""COMPUTED_VALUE"""),"養生禮盒")</f>
        <v>養生禮盒</v>
      </c>
      <c r="O1621" s="25"/>
      <c r="P1621" s="25"/>
      <c r="Q1621" s="25"/>
      <c r="R1621" s="25" t="str">
        <f ca="1">IFERROR(__xludf.DUMMYFUNCTION("""COMPUTED_VALUE"""),"日本")</f>
        <v>日本</v>
      </c>
      <c r="S1621" s="25"/>
      <c r="T1621" s="25"/>
      <c r="U1621" s="25"/>
      <c r="V1621" s="25"/>
      <c r="W1621" s="25"/>
      <c r="X1621" s="25"/>
      <c r="Y1621" s="25"/>
      <c r="Z1621" s="27"/>
      <c r="AA1621" s="28" t="str">
        <f ca="1">IFERROR(__xludf.DUMMYFUNCTION("""COMPUTED_VALUE"""),"*組合68折優惠*補充超級蔬菜營養與膳食纖維*促進新陳代謝*控制血糖血脂*視力保健，預防黃斑部病變*促進眼周血流循環，消除眼睛疲勞")</f>
        <v>*組合68折優惠*補充超級蔬菜營養與膳食纖維*促進新陳代謝*控制血糖血脂*視力保健，預防黃斑部病變*促進眼周血流循環，消除眼睛疲勞</v>
      </c>
    </row>
    <row r="1622" spans="1:27" ht="12.75">
      <c r="A1622" s="25" t="str">
        <f ca="1">IFERROR(__xludf.DUMMYFUNCTION("""COMPUTED_VALUE"""),"健康保養商品")</f>
        <v>健康保養商品</v>
      </c>
      <c r="B1622" s="25" t="str">
        <f ca="1">IFERROR(__xludf.DUMMYFUNCTION("""COMPUTED_VALUE"""),"神腦")</f>
        <v>神腦</v>
      </c>
      <c r="C1622" s="25" t="str">
        <f ca="1">IFERROR(__xludf.DUMMYFUNCTION("""COMPUTED_VALUE"""),"sakuyo")</f>
        <v>sakuyo</v>
      </c>
      <c r="D1622" s="25" t="str">
        <f ca="1">IFERROR(__xludf.DUMMYFUNCTION("""COMPUTED_VALUE"""),"健康_【sakuyo】青春紅顏組(青汁+膠原蛋白)_宅配限台灣本島")</f>
        <v>健康_【sakuyo】青春紅顏組(青汁+膠原蛋白)_宅配限台灣本島</v>
      </c>
      <c r="E1622" s="25" t="str">
        <f ca="1">IFERROR(__xludf.DUMMYFUNCTION("""COMPUTED_VALUE"""),"HS-0027")</f>
        <v>HS-0027</v>
      </c>
      <c r="F1622" s="25">
        <f ca="1">IFERROR(__xludf.DUMMYFUNCTION("""COMPUTED_VALUE"""),51040027)</f>
        <v>51040027</v>
      </c>
      <c r="G1622" s="25" t="str">
        <f ca="1">IFERROR(__xludf.DUMMYFUNCTION("""COMPUTED_VALUE"""),"IGEM096W")</f>
        <v>IGEM096W</v>
      </c>
      <c r="H1622" s="26">
        <f ca="1">IFERROR(__xludf.DUMMYFUNCTION("""COMPUTED_VALUE"""),2290)</f>
        <v>2290</v>
      </c>
      <c r="I1622" s="30">
        <f ca="1">IFERROR(__xludf.DUMMYFUNCTION("""COMPUTED_VALUE"""),1588)</f>
        <v>1588</v>
      </c>
      <c r="J1622" s="29">
        <f ca="1">IFERROR(__xludf.DUMMYFUNCTION("""COMPUTED_VALUE"""),45348)</f>
        <v>45348</v>
      </c>
      <c r="K1622" s="25" t="str">
        <f ca="1">IFERROR(__xludf.DUMMYFUNCTION("""COMPUTED_VALUE"""),"新機上架")</f>
        <v>新機上架</v>
      </c>
      <c r="L1622" s="26" t="str">
        <f ca="1">IFERROR(__xludf.DUMMYFUNCTION("""COMPUTED_VALUE"""),"上架中")</f>
        <v>上架中</v>
      </c>
      <c r="M1622" s="25" t="str">
        <f ca="1">IFERROR(__xludf.DUMMYFUNCTION("""COMPUTED_VALUE"""),"2024/02/26上架")</f>
        <v>2024/02/26上架</v>
      </c>
      <c r="N1622" s="25" t="str">
        <f ca="1">IFERROR(__xludf.DUMMYFUNCTION("""COMPUTED_VALUE"""),"養生禮盒")</f>
        <v>養生禮盒</v>
      </c>
      <c r="O1622" s="25"/>
      <c r="P1622" s="25"/>
      <c r="Q1622" s="25"/>
      <c r="R1622" s="25" t="str">
        <f ca="1">IFERROR(__xludf.DUMMYFUNCTION("""COMPUTED_VALUE"""),"日本")</f>
        <v>日本</v>
      </c>
      <c r="S1622" s="25"/>
      <c r="T1622" s="25"/>
      <c r="U1622" s="25"/>
      <c r="V1622" s="25"/>
      <c r="W1622" s="25"/>
      <c r="X1622" s="25"/>
      <c r="Y1622" s="25"/>
      <c r="Z1622" s="27"/>
      <c r="AA1622" s="28" t="str">
        <f ca="1">IFERROR(__xludf.DUMMYFUNCTION("""COMPUTED_VALUE"""),"*組合66折優惠*補充超級蔬菜營養與膳食纖維*促進新陳代謝*控制血糖血脂*養顏美容- Q彈緊緻*保濕鎖水*美白提亮膚色")</f>
        <v>*組合66折優惠*補充超級蔬菜營養與膳食纖維*促進新陳代謝*控制血糖血脂*養顏美容- Q彈緊緻*保濕鎖水*美白提亮膚色</v>
      </c>
    </row>
    <row r="1623" spans="1:27" ht="12.75">
      <c r="A1623" s="25" t="str">
        <f ca="1">IFERROR(__xludf.DUMMYFUNCTION("""COMPUTED_VALUE"""),"健康保養商品")</f>
        <v>健康保養商品</v>
      </c>
      <c r="B1623" s="25" t="str">
        <f ca="1">IFERROR(__xludf.DUMMYFUNCTION("""COMPUTED_VALUE"""),"神腦")</f>
        <v>神腦</v>
      </c>
      <c r="C1623" s="25" t="str">
        <f ca="1">IFERROR(__xludf.DUMMYFUNCTION("""COMPUTED_VALUE"""),"sakuyo")</f>
        <v>sakuyo</v>
      </c>
      <c r="D1623" s="25" t="str">
        <f ca="1">IFERROR(__xludf.DUMMYFUNCTION("""COMPUTED_VALUE"""),"健康_【sakuyo】晶亮健康組(益生菌+葉黃素)_宅配限台灣本島")</f>
        <v>健康_【sakuyo】晶亮健康組(益生菌+葉黃素)_宅配限台灣本島</v>
      </c>
      <c r="E1623" s="25" t="str">
        <f ca="1">IFERROR(__xludf.DUMMYFUNCTION("""COMPUTED_VALUE"""),"HS-0028")</f>
        <v>HS-0028</v>
      </c>
      <c r="F1623" s="25">
        <f ca="1">IFERROR(__xludf.DUMMYFUNCTION("""COMPUTED_VALUE"""),51040028)</f>
        <v>51040028</v>
      </c>
      <c r="G1623" s="25" t="str">
        <f ca="1">IFERROR(__xludf.DUMMYFUNCTION("""COMPUTED_VALUE"""),"IGEM096X")</f>
        <v>IGEM096X</v>
      </c>
      <c r="H1623" s="26">
        <f ca="1">IFERROR(__xludf.DUMMYFUNCTION("""COMPUTED_VALUE"""),2730)</f>
        <v>2730</v>
      </c>
      <c r="I1623" s="30">
        <f ca="1">IFERROR(__xludf.DUMMYFUNCTION("""COMPUTED_VALUE"""),1888)</f>
        <v>1888</v>
      </c>
      <c r="J1623" s="29">
        <f ca="1">IFERROR(__xludf.DUMMYFUNCTION("""COMPUTED_VALUE"""),45348)</f>
        <v>45348</v>
      </c>
      <c r="K1623" s="25" t="str">
        <f ca="1">IFERROR(__xludf.DUMMYFUNCTION("""COMPUTED_VALUE"""),"新機上架")</f>
        <v>新機上架</v>
      </c>
      <c r="L1623" s="26" t="str">
        <f ca="1">IFERROR(__xludf.DUMMYFUNCTION("""COMPUTED_VALUE"""),"上架中")</f>
        <v>上架中</v>
      </c>
      <c r="M1623" s="25" t="str">
        <f ca="1">IFERROR(__xludf.DUMMYFUNCTION("""COMPUTED_VALUE"""),"2024/02/26上架")</f>
        <v>2024/02/26上架</v>
      </c>
      <c r="N1623" s="25" t="str">
        <f ca="1">IFERROR(__xludf.DUMMYFUNCTION("""COMPUTED_VALUE"""),"益生菌")</f>
        <v>益生菌</v>
      </c>
      <c r="O1623" s="25"/>
      <c r="P1623" s="25"/>
      <c r="Q1623" s="25"/>
      <c r="R1623" s="25" t="str">
        <f ca="1">IFERROR(__xludf.DUMMYFUNCTION("""COMPUTED_VALUE"""),"日本")</f>
        <v>日本</v>
      </c>
      <c r="S1623" s="25"/>
      <c r="T1623" s="25"/>
      <c r="U1623" s="25"/>
      <c r="V1623" s="25"/>
      <c r="W1623" s="25"/>
      <c r="X1623" s="25"/>
      <c r="Y1623" s="25"/>
      <c r="Z1623" s="27"/>
      <c r="AA1623" s="28" t="str">
        <f ca="1">IFERROR(__xludf.DUMMYFUNCTION("""COMPUTED_VALUE"""),"*組合69折優惠*腸胃保健(調整腸菌叢生態、排便順暢)*調整(過敏)體質*增強免疫力*視力保健，預防黃斑部病變*促進眼周血流循環，消除眼睛疲勞")</f>
        <v>*組合69折優惠*腸胃保健(調整腸菌叢生態、排便順暢)*調整(過敏)體質*增強免疫力*視力保健，預防黃斑部病變*促進眼周血流循環，消除眼睛疲勞</v>
      </c>
    </row>
    <row r="1624" spans="1:27" ht="12.75">
      <c r="A1624" s="25" t="str">
        <f ca="1">IFERROR(__xludf.DUMMYFUNCTION("""COMPUTED_VALUE"""),"健康保養商品")</f>
        <v>健康保養商品</v>
      </c>
      <c r="B1624" s="25" t="str">
        <f ca="1">IFERROR(__xludf.DUMMYFUNCTION("""COMPUTED_VALUE"""),"神腦")</f>
        <v>神腦</v>
      </c>
      <c r="C1624" s="25" t="str">
        <f ca="1">IFERROR(__xludf.DUMMYFUNCTION("""COMPUTED_VALUE"""),"sakuyo")</f>
        <v>sakuyo</v>
      </c>
      <c r="D1624" s="25" t="str">
        <f ca="1">IFERROR(__xludf.DUMMYFUNCTION("""COMPUTED_VALUE"""),"健康_【sakuyo】健康活力組(益生菌+魚油)_宅配限台灣本島")</f>
        <v>健康_【sakuyo】健康活力組(益生菌+魚油)_宅配限台灣本島</v>
      </c>
      <c r="E1624" s="25" t="str">
        <f ca="1">IFERROR(__xludf.DUMMYFUNCTION("""COMPUTED_VALUE"""),"HS-0029")</f>
        <v>HS-0029</v>
      </c>
      <c r="F1624" s="25">
        <f ca="1">IFERROR(__xludf.DUMMYFUNCTION("""COMPUTED_VALUE"""),51040029)</f>
        <v>51040029</v>
      </c>
      <c r="G1624" s="25" t="str">
        <f ca="1">IFERROR(__xludf.DUMMYFUNCTION("""COMPUTED_VALUE"""),"IGEM096Y")</f>
        <v>IGEM096Y</v>
      </c>
      <c r="H1624" s="26">
        <f ca="1">IFERROR(__xludf.DUMMYFUNCTION("""COMPUTED_VALUE"""),2900)</f>
        <v>2900</v>
      </c>
      <c r="I1624" s="30">
        <f ca="1">IFERROR(__xludf.DUMMYFUNCTION("""COMPUTED_VALUE"""),1988)</f>
        <v>1988</v>
      </c>
      <c r="J1624" s="29">
        <f ca="1">IFERROR(__xludf.DUMMYFUNCTION("""COMPUTED_VALUE"""),45348)</f>
        <v>45348</v>
      </c>
      <c r="K1624" s="25" t="str">
        <f ca="1">IFERROR(__xludf.DUMMYFUNCTION("""COMPUTED_VALUE"""),"新機上架")</f>
        <v>新機上架</v>
      </c>
      <c r="L1624" s="26" t="str">
        <f ca="1">IFERROR(__xludf.DUMMYFUNCTION("""COMPUTED_VALUE"""),"上架中")</f>
        <v>上架中</v>
      </c>
      <c r="M1624" s="25" t="str">
        <f ca="1">IFERROR(__xludf.DUMMYFUNCTION("""COMPUTED_VALUE"""),"2024/02/26上架")</f>
        <v>2024/02/26上架</v>
      </c>
      <c r="N1624" s="25" t="str">
        <f ca="1">IFERROR(__xludf.DUMMYFUNCTION("""COMPUTED_VALUE"""),"益生菌")</f>
        <v>益生菌</v>
      </c>
      <c r="O1624" s="25"/>
      <c r="P1624" s="25"/>
      <c r="Q1624" s="25"/>
      <c r="R1624" s="25" t="str">
        <f ca="1">IFERROR(__xludf.DUMMYFUNCTION("""COMPUTED_VALUE"""),"日本")</f>
        <v>日本</v>
      </c>
      <c r="S1624" s="25"/>
      <c r="T1624" s="25"/>
      <c r="U1624" s="25"/>
      <c r="V1624" s="25"/>
      <c r="W1624" s="25"/>
      <c r="X1624" s="25"/>
      <c r="Y1624" s="25"/>
      <c r="Z1624" s="27"/>
      <c r="AA1624" s="28" t="str">
        <f ca="1">IFERROR(__xludf.DUMMYFUNCTION("""COMPUTED_VALUE"""),"*組合69折優惠*腸胃保健(調整腸菌叢生態、排便順暢)*調整(過敏)體質*增強免疫力*血液循環順暢(預防血管阻塞)*思緒靈活(預防失智)*改善乾眼症狀")</f>
        <v>*組合69折優惠*腸胃保健(調整腸菌叢生態、排便順暢)*調整(過敏)體質*增強免疫力*血液循環順暢(預防血管阻塞)*思緒靈活(預防失智)*改善乾眼症狀</v>
      </c>
    </row>
    <row r="1625" spans="1:27" ht="12.75">
      <c r="A1625" s="25" t="str">
        <f ca="1">IFERROR(__xludf.DUMMYFUNCTION("""COMPUTED_VALUE"""),"健康保養商品")</f>
        <v>健康保養商品</v>
      </c>
      <c r="B1625" s="25" t="str">
        <f ca="1">IFERROR(__xludf.DUMMYFUNCTION("""COMPUTED_VALUE"""),"神腦")</f>
        <v>神腦</v>
      </c>
      <c r="C1625" s="25" t="str">
        <f ca="1">IFERROR(__xludf.DUMMYFUNCTION("""COMPUTED_VALUE"""),"sakuyo")</f>
        <v>sakuyo</v>
      </c>
      <c r="D1625" s="25" t="str">
        <f ca="1">IFERROR(__xludf.DUMMYFUNCTION("""COMPUTED_VALUE"""),"健康_【sakuyo】比菲德氏菌+乳寡醣三日份(3條)體驗包x5包_宅配限台灣本島")</f>
        <v>健康_【sakuyo】比菲德氏菌+乳寡醣三日份(3條)體驗包x5包_宅配限台灣本島</v>
      </c>
      <c r="E1625" s="25" t="str">
        <f ca="1">IFERROR(__xludf.DUMMYFUNCTION("""COMPUTED_VALUE"""),"HS-0030")</f>
        <v>HS-0030</v>
      </c>
      <c r="F1625" s="25">
        <f ca="1">IFERROR(__xludf.DUMMYFUNCTION("""COMPUTED_VALUE"""),51040030)</f>
        <v>51040030</v>
      </c>
      <c r="G1625" s="25" t="str">
        <f ca="1">IFERROR(__xludf.DUMMYFUNCTION("""COMPUTED_VALUE"""),"IGEM096Z")</f>
        <v>IGEM096Z</v>
      </c>
      <c r="H1625" s="26">
        <f ca="1">IFERROR(__xludf.DUMMYFUNCTION("""COMPUTED_VALUE"""),700)</f>
        <v>700</v>
      </c>
      <c r="I1625" s="30">
        <f ca="1">IFERROR(__xludf.DUMMYFUNCTION("""COMPUTED_VALUE"""),588)</f>
        <v>588</v>
      </c>
      <c r="J1625" s="29">
        <f ca="1">IFERROR(__xludf.DUMMYFUNCTION("""COMPUTED_VALUE"""),45348)</f>
        <v>45348</v>
      </c>
      <c r="K1625" s="25" t="str">
        <f ca="1">IFERROR(__xludf.DUMMYFUNCTION("""COMPUTED_VALUE"""),"新機上架")</f>
        <v>新機上架</v>
      </c>
      <c r="L1625" s="26" t="str">
        <f ca="1">IFERROR(__xludf.DUMMYFUNCTION("""COMPUTED_VALUE"""),"上架中")</f>
        <v>上架中</v>
      </c>
      <c r="M1625" s="25" t="str">
        <f ca="1">IFERROR(__xludf.DUMMYFUNCTION("""COMPUTED_VALUE"""),"2024/02/26上架")</f>
        <v>2024/02/26上架</v>
      </c>
      <c r="N1625" s="25" t="str">
        <f ca="1">IFERROR(__xludf.DUMMYFUNCTION("""COMPUTED_VALUE"""),"益生菌")</f>
        <v>益生菌</v>
      </c>
      <c r="O1625" s="25"/>
      <c r="P1625" s="25"/>
      <c r="Q1625" s="25"/>
      <c r="R1625" s="25" t="str">
        <f ca="1">IFERROR(__xludf.DUMMYFUNCTION("""COMPUTED_VALUE"""),"日本")</f>
        <v>日本</v>
      </c>
      <c r="S1625" s="25"/>
      <c r="T1625" s="25"/>
      <c r="U1625" s="25"/>
      <c r="V1625" s="25"/>
      <c r="W1625" s="25"/>
      <c r="X1625" s="25"/>
      <c r="Y1625" s="25"/>
      <c r="Z1625" s="27"/>
      <c r="AA1625" s="28" t="str">
        <f ca="1">IFERROR(__xludf.DUMMYFUNCTION("""COMPUTED_VALUE"""),"*2週體驗優惠*腸胃保健(調整腸菌叢生態、排便順暢)*調整(過敏)體質*增強免疫力")</f>
        <v>*2週體驗優惠*腸胃保健(調整腸菌叢生態、排便順暢)*調整(過敏)體質*增強免疫力</v>
      </c>
    </row>
    <row r="1626" spans="1:27" ht="12.75">
      <c r="A1626" s="25" t="str">
        <f ca="1">IFERROR(__xludf.DUMMYFUNCTION("""COMPUTED_VALUE"""),"電話機")</f>
        <v>電話機</v>
      </c>
      <c r="B1626" s="25" t="str">
        <f ca="1">IFERROR(__xludf.DUMMYFUNCTION("""COMPUTED_VALUE"""),"旺德電通")</f>
        <v>旺德電通</v>
      </c>
      <c r="C1626" s="25" t="str">
        <f ca="1">IFERROR(__xludf.DUMMYFUNCTION("""COMPUTED_VALUE"""),"聲寶")</f>
        <v>聲寶</v>
      </c>
      <c r="D1626" s="25" t="str">
        <f ca="1">IFERROR(__xludf.DUMMYFUNCTION("""COMPUTED_VALUE"""),"(白)CT-W1103NL_2.4Ghz高頻數位無線電話")</f>
        <v>(白)CT-W1103NL_2.4Ghz高頻數位無線電話</v>
      </c>
      <c r="E1626" s="25" t="str">
        <f ca="1">IFERROR(__xludf.DUMMYFUNCTION("""COMPUTED_VALUE"""),"CT-W1103NL(白)")</f>
        <v>CT-W1103NL(白)</v>
      </c>
      <c r="F1626" s="25">
        <f ca="1">IFERROR(__xludf.DUMMYFUNCTION("""COMPUTED_VALUE"""),51092124)</f>
        <v>51092124</v>
      </c>
      <c r="G1626" s="25" t="str">
        <f ca="1">IFERROR(__xludf.DUMMYFUNCTION("""COMPUTED_VALUE"""),"EHOM001D")</f>
        <v>EHOM001D</v>
      </c>
      <c r="H1626" s="26">
        <f ca="1">IFERROR(__xludf.DUMMYFUNCTION("""COMPUTED_VALUE"""),2290)</f>
        <v>2290</v>
      </c>
      <c r="I1626" s="27">
        <f ca="1">IFERROR(__xludf.DUMMYFUNCTION("""COMPUTED_VALUE"""),1670)</f>
        <v>1670</v>
      </c>
      <c r="J1626" s="25"/>
      <c r="K1626" s="25" t="str">
        <f ca="1">IFERROR(__xludf.DUMMYFUNCTION("""COMPUTED_VALUE"""),"新機上架")</f>
        <v>新機上架</v>
      </c>
      <c r="L1626" s="26" t="str">
        <f ca="1">IFERROR(__xludf.DUMMYFUNCTION("""COMPUTED_VALUE"""),"上架中")</f>
        <v>上架中</v>
      </c>
      <c r="M1626" s="25"/>
      <c r="N1626" s="25" t="str">
        <f ca="1">IFERROR(__xludf.DUMMYFUNCTION("""COMPUTED_VALUE"""),"電話機")</f>
        <v>電話機</v>
      </c>
      <c r="O1626" s="25" t="str">
        <f ca="1">IFERROR(__xludf.DUMMYFUNCTION("""COMPUTED_VALUE"""),"白")</f>
        <v>白</v>
      </c>
      <c r="P1626" s="25" t="str">
        <f ca="1">IFERROR(__xludf.DUMMYFUNCTION("""COMPUTED_VALUE"""),"電源：AC 110V；DC 7.5V/500mA
額定頻率：60Hz
工作頻率：2400~2483.5MHz
消耗功率 : 2.25W")</f>
        <v>電源：AC 110V；DC 7.5V/500mA
額定頻率：60Hz
工作頻率：2400~2483.5MHz
消耗功率 : 2.25W</v>
      </c>
      <c r="Q1626" s="25" t="str">
        <f ca="1">IFERROR(__xludf.DUMMYFUNCTION("""COMPUTED_VALUE"""),"高195 x 寬150 x 深120mm")</f>
        <v>高195 x 寬150 x 深120mm</v>
      </c>
      <c r="R1626" s="25" t="str">
        <f ca="1">IFERROR(__xludf.DUMMYFUNCTION("""COMPUTED_VALUE"""),"中國")</f>
        <v>中國</v>
      </c>
      <c r="S1626" s="25"/>
      <c r="T1626" s="25"/>
      <c r="U1626" s="25" t="str">
        <f ca="1">IFERROR(__xludf.DUMMYFUNCTION("""COMPUTED_VALUE"""),"有")</f>
        <v>有</v>
      </c>
      <c r="V1626" s="25"/>
      <c r="W1626" s="25"/>
      <c r="X1626" s="25"/>
      <c r="Y1626" s="25"/>
      <c r="Z1626" s="27"/>
      <c r="AA1626" s="28" t="str">
        <f ca="1">IFERROR(__xludf.DUMMYFUNCTION("""COMPUTED_VALUE"""),"母機與子機均具重撥、回撥、暫停、暫切、預覽撥號、鬧鐘等功能
母機具三組直撥記憶鍵
子機有鍵盤鎖、靜音功能
鈴聲、免持音量可調整、可關閉鈴聲、聽筒音量4段調整
 保固2年                                                                          
 通話距離：室內1~3樓層                                
 待機/通話時間:200小時 /11小時                              "&amp;"                                                                                                                                                                                                                                                               "&amp;"                                                                                                                                                                                                                                                               "&amp;"                                                                                                                                                                                                                                                               "&amp;"                                                              ")</f>
        <v xml:space="preserve">母機與子機均具重撥、回撥、暫停、暫切、預覽撥號、鬧鐘等功能
母機具三組直撥記憶鍵
子機有鍵盤鎖、靜音功能
鈴聲、免持音量可調整、可關閉鈴聲、聽筒音量4段調整
 保固2年                                                                          
 通話距離：室內1~3樓層                                
 待機/通話時間:200小時 /11小時                                                                                                                                                                                                                                                                                                                                                                                                                                                                                                                                                                                                                                                                                                                                                                                                                                                                                         </v>
      </c>
    </row>
    <row r="1627" spans="1:27" ht="12.75">
      <c r="A1627" s="25" t="str">
        <f ca="1">IFERROR(__xludf.DUMMYFUNCTION("""COMPUTED_VALUE"""),"電話機")</f>
        <v>電話機</v>
      </c>
      <c r="B1627" s="25" t="str">
        <f ca="1">IFERROR(__xludf.DUMMYFUNCTION("""COMPUTED_VALUE"""),"旺德電通")</f>
        <v>旺德電通</v>
      </c>
      <c r="C1627" s="25" t="str">
        <f ca="1">IFERROR(__xludf.DUMMYFUNCTION("""COMPUTED_VALUE"""),"聲寶")</f>
        <v>聲寶</v>
      </c>
      <c r="D1627" s="25" t="str">
        <f ca="1">IFERROR(__xludf.DUMMYFUNCTION("""COMPUTED_VALUE"""),"(藍)CT-W1103NL_2.4Ghz高頻數位無線電話")</f>
        <v>(藍)CT-W1103NL_2.4Ghz高頻數位無線電話</v>
      </c>
      <c r="E1627" s="25" t="str">
        <f ca="1">IFERROR(__xludf.DUMMYFUNCTION("""COMPUTED_VALUE"""),"CT-W1103NL(藍)")</f>
        <v>CT-W1103NL(藍)</v>
      </c>
      <c r="F1627" s="25">
        <f ca="1">IFERROR(__xludf.DUMMYFUNCTION("""COMPUTED_VALUE"""),51092125)</f>
        <v>51092125</v>
      </c>
      <c r="G1627" s="25" t="str">
        <f ca="1">IFERROR(__xludf.DUMMYFUNCTION("""COMPUTED_VALUE"""),"EHOM001E")</f>
        <v>EHOM001E</v>
      </c>
      <c r="H1627" s="26">
        <f ca="1">IFERROR(__xludf.DUMMYFUNCTION("""COMPUTED_VALUE"""),2290)</f>
        <v>2290</v>
      </c>
      <c r="I1627" s="27">
        <f ca="1">IFERROR(__xludf.DUMMYFUNCTION("""COMPUTED_VALUE"""),1670)</f>
        <v>1670</v>
      </c>
      <c r="J1627" s="25"/>
      <c r="K1627" s="25" t="str">
        <f ca="1">IFERROR(__xludf.DUMMYFUNCTION("""COMPUTED_VALUE"""),"新機上架")</f>
        <v>新機上架</v>
      </c>
      <c r="L1627" s="26" t="str">
        <f ca="1">IFERROR(__xludf.DUMMYFUNCTION("""COMPUTED_VALUE"""),"上架中")</f>
        <v>上架中</v>
      </c>
      <c r="M1627" s="25"/>
      <c r="N1627" s="25" t="str">
        <f ca="1">IFERROR(__xludf.DUMMYFUNCTION("""COMPUTED_VALUE"""),"電話機")</f>
        <v>電話機</v>
      </c>
      <c r="O1627" s="25" t="str">
        <f ca="1">IFERROR(__xludf.DUMMYFUNCTION("""COMPUTED_VALUE"""),"藍")</f>
        <v>藍</v>
      </c>
      <c r="P1627" s="25" t="str">
        <f ca="1">IFERROR(__xludf.DUMMYFUNCTION("""COMPUTED_VALUE"""),"電源：AC 110V；DC 7.5V/500mA
額定頻率：60Hz
工作頻率：2400~2483.5MHz
消耗功率 : 2.25W")</f>
        <v>電源：AC 110V；DC 7.5V/500mA
額定頻率：60Hz
工作頻率：2400~2483.5MHz
消耗功率 : 2.25W</v>
      </c>
      <c r="Q1627" s="25" t="str">
        <f ca="1">IFERROR(__xludf.DUMMYFUNCTION("""COMPUTED_VALUE"""),"高195 x 寬150 x 深120mm")</f>
        <v>高195 x 寬150 x 深120mm</v>
      </c>
      <c r="R1627" s="25" t="str">
        <f ca="1">IFERROR(__xludf.DUMMYFUNCTION("""COMPUTED_VALUE"""),"中國")</f>
        <v>中國</v>
      </c>
      <c r="S1627" s="25"/>
      <c r="T1627" s="25"/>
      <c r="U1627" s="25" t="str">
        <f ca="1">IFERROR(__xludf.DUMMYFUNCTION("""COMPUTED_VALUE"""),"有")</f>
        <v>有</v>
      </c>
      <c r="V1627" s="25"/>
      <c r="W1627" s="25"/>
      <c r="X1627" s="25"/>
      <c r="Y1627" s="25"/>
      <c r="Z1627" s="27"/>
      <c r="AA1627" s="28" t="str">
        <f ca="1">IFERROR(__xludf.DUMMYFUNCTION("""COMPUTED_VALUE"""),"母機與子機均具重撥、回撥、暫停、暫切、預覽撥號、鬧鐘等功能
母機具三組直撥記憶鍵
子機有鍵盤鎖、靜音功能
鈴聲、免持音量可調整、可關閉鈴聲、聽筒音量4段調整
 保固2年                                                                          
 通話距離：室內1~3樓層                                
 待機/通話時間:200小時 /11小時                              "&amp;"                                                                                                                                                                                                                                                               "&amp;"                                                                                                                                                                                                                                                               "&amp;"                                                                                                                                                                                                                                                               "&amp;"                                                              ")</f>
        <v xml:space="preserve">母機與子機均具重撥、回撥、暫停、暫切、預覽撥號、鬧鐘等功能
母機具三組直撥記憶鍵
子機有鍵盤鎖、靜音功能
鈴聲、免持音量可調整、可關閉鈴聲、聽筒音量4段調整
 保固2年                                                                          
 通話距離：室內1~3樓層                                
 待機/通話時間:200小時 /11小時                                                                                                                                                                                                                                                                                                                                                                                                                                                                                                                                                                                                                                                                                                                                                                                                                                                                                         </v>
      </c>
    </row>
    <row r="1628" spans="1:27" ht="12.75">
      <c r="A1628" s="25" t="str">
        <f ca="1">IFERROR(__xludf.DUMMYFUNCTION("""COMPUTED_VALUE"""),"電話機")</f>
        <v>電話機</v>
      </c>
      <c r="B1628" s="25" t="str">
        <f ca="1">IFERROR(__xludf.DUMMYFUNCTION("""COMPUTED_VALUE"""),"旺德電通")</f>
        <v>旺德電通</v>
      </c>
      <c r="C1628" s="25" t="str">
        <f ca="1">IFERROR(__xludf.DUMMYFUNCTION("""COMPUTED_VALUE"""),"旺德")</f>
        <v>旺德</v>
      </c>
      <c r="D1628" s="25" t="str">
        <f ca="1">IFERROR(__xludf.DUMMYFUNCTION("""COMPUTED_VALUE"""),"(黑)WT-D05 DECT 數位無線電話")</f>
        <v>(黑)WT-D05 DECT 數位無線電話</v>
      </c>
      <c r="E1628" s="25" t="str">
        <f ca="1">IFERROR(__xludf.DUMMYFUNCTION("""COMPUTED_VALUE"""),"WT-D05(黑)")</f>
        <v>WT-D05(黑)</v>
      </c>
      <c r="F1628" s="25">
        <f ca="1">IFERROR(__xludf.DUMMYFUNCTION("""COMPUTED_VALUE"""),51092126)</f>
        <v>51092126</v>
      </c>
      <c r="G1628" s="25" t="str">
        <f ca="1">IFERROR(__xludf.DUMMYFUNCTION("""COMPUTED_VALUE"""),"EHOM001F")</f>
        <v>EHOM001F</v>
      </c>
      <c r="H1628" s="26">
        <f ca="1">IFERROR(__xludf.DUMMYFUNCTION("""COMPUTED_VALUE"""),1490)</f>
        <v>1490</v>
      </c>
      <c r="I1628" s="27">
        <f ca="1">IFERROR(__xludf.DUMMYFUNCTION("""COMPUTED_VALUE"""),990)</f>
        <v>990</v>
      </c>
      <c r="J1628" s="25"/>
      <c r="K1628" s="25" t="str">
        <f ca="1">IFERROR(__xludf.DUMMYFUNCTION("""COMPUTED_VALUE"""),"新機上架")</f>
        <v>新機上架</v>
      </c>
      <c r="L1628" s="26" t="str">
        <f ca="1">IFERROR(__xludf.DUMMYFUNCTION("""COMPUTED_VALUE"""),"上架中")</f>
        <v>上架中</v>
      </c>
      <c r="M1628" s="25"/>
      <c r="N1628" s="25" t="str">
        <f ca="1">IFERROR(__xludf.DUMMYFUNCTION("""COMPUTED_VALUE"""),"電話機")</f>
        <v>電話機</v>
      </c>
      <c r="O1628" s="25" t="str">
        <f ca="1">IFERROR(__xludf.DUMMYFUNCTION("""COMPUTED_VALUE"""),"黑")</f>
        <v>黑</v>
      </c>
      <c r="P1628" s="25" t="str">
        <f ca="1">IFERROR(__xludf.DUMMYFUNCTION("""COMPUTED_VALUE"""),"使用電源: 100-240V
 6V  300mA  NiMH, 1.2V 400mAh
額定電壓/頻率：AC 110V/60Hz
配件清單: 話機*1,電源變壓器*1,電話線*1,1.2V鎳氫充電電池*2,使用說明書(含保證書)*1")</f>
        <v>使用電源: 100-240V
 6V  300mA  NiMH, 1.2V 400mAh
額定電壓/頻率：AC 110V/60Hz
配件清單: 話機*1,電源變壓器*1,電話線*1,1.2V鎳氫充電電池*2,使用說明書(含保證書)*1</v>
      </c>
      <c r="Q1628" s="25" t="str">
        <f ca="1">IFERROR(__xludf.DUMMYFUNCTION("""COMPUTED_VALUE"""),"高64 x 寬110 x 深115mm")</f>
        <v>高64 x 寬110 x 深115mm</v>
      </c>
      <c r="R1628" s="25" t="str">
        <f ca="1">IFERROR(__xludf.DUMMYFUNCTION("""COMPUTED_VALUE"""),"中國")</f>
        <v>中國</v>
      </c>
      <c r="S1628" s="25"/>
      <c r="T1628" s="25"/>
      <c r="U1628" s="25" t="str">
        <f ca="1">IFERROR(__xludf.DUMMYFUNCTION("""COMPUTED_VALUE"""),"有")</f>
        <v>有</v>
      </c>
      <c r="V1628" s="25"/>
      <c r="W1628" s="25"/>
      <c r="X1628" s="25"/>
      <c r="Y1628" s="25"/>
      <c r="Z1628" s="27"/>
      <c r="AA1628" s="28" t="str">
        <f ca="1">IFERROR(__xludf.DUMMYFUNCTION("""COMPUTED_VALUE"""),"免持通話、鬧鐘、靜音功能
 2個M1,M2快速撥號 
 20個電話（姓名和號碼）記憶及2個預存號碼
 5段聽筒及鈴聲音量控制,音量最高可增加 20dB                                                                                                                                                                                    "&amp;"                                                                                                                                                                                                                              
 保固2年                           "&amp;"                                                                                                                                                                                                                                                               "&amp;"                                                                                                                    
 通話距離：室內1~3樓層                                
 待機/通話時間:100小時 /10小時 ")</f>
        <v xml:space="preserve">免持通話、鬧鐘、靜音功能
 2個M1,M2快速撥號 
 20個電話（姓名和號碼）記憶及2個預存號碼
 5段聽筒及鈴聲音量控制,音量最高可增加 20dB                                                                                                                                                                                                                                                                                                                                                                                                                  
 保固2年                                                                                                                                                                                                                                                                                                                                                                                                              
 通話距離：室內1~3樓層                                
 待機/通話時間:100小時 /10小時 </v>
      </c>
    </row>
    <row r="1629" spans="1:27" ht="12.75">
      <c r="A1629" s="25" t="str">
        <f ca="1">IFERROR(__xludf.DUMMYFUNCTION("""COMPUTED_VALUE"""),"電話機")</f>
        <v>電話機</v>
      </c>
      <c r="B1629" s="25" t="str">
        <f ca="1">IFERROR(__xludf.DUMMYFUNCTION("""COMPUTED_VALUE"""),"旺德電通")</f>
        <v>旺德電通</v>
      </c>
      <c r="C1629" s="25" t="str">
        <f ca="1">IFERROR(__xludf.DUMMYFUNCTION("""COMPUTED_VALUE"""),"聲寶")</f>
        <v>聲寶</v>
      </c>
      <c r="D1629" s="25" t="str">
        <f ca="1">IFERROR(__xludf.DUMMYFUNCTION("""COMPUTED_VALUE"""),"(珍珠白)HT-W1310L 來電顯示電話")</f>
        <v>(珍珠白)HT-W1310L 來電顯示電話</v>
      </c>
      <c r="E1629" s="25" t="str">
        <f ca="1">IFERROR(__xludf.DUMMYFUNCTION("""COMPUTED_VALUE"""),"HT-W1310L(珍珠白)")</f>
        <v>HT-W1310L(珍珠白)</v>
      </c>
      <c r="F1629" s="25">
        <f ca="1">IFERROR(__xludf.DUMMYFUNCTION("""COMPUTED_VALUE"""),51092127)</f>
        <v>51092127</v>
      </c>
      <c r="G1629" s="25" t="str">
        <f ca="1">IFERROR(__xludf.DUMMYFUNCTION("""COMPUTED_VALUE"""),"EHOM001G")</f>
        <v>EHOM001G</v>
      </c>
      <c r="H1629" s="26">
        <f ca="1">IFERROR(__xludf.DUMMYFUNCTION("""COMPUTED_VALUE"""),799)</f>
        <v>799</v>
      </c>
      <c r="I1629" s="27">
        <f ca="1">IFERROR(__xludf.DUMMYFUNCTION("""COMPUTED_VALUE"""),680)</f>
        <v>680</v>
      </c>
      <c r="J1629" s="25"/>
      <c r="K1629" s="25" t="str">
        <f ca="1">IFERROR(__xludf.DUMMYFUNCTION("""COMPUTED_VALUE"""),"新機上架")</f>
        <v>新機上架</v>
      </c>
      <c r="L1629" s="26" t="str">
        <f ca="1">IFERROR(__xludf.DUMMYFUNCTION("""COMPUTED_VALUE"""),"上架中")</f>
        <v>上架中</v>
      </c>
      <c r="M1629" s="25"/>
      <c r="N1629" s="25" t="str">
        <f ca="1">IFERROR(__xludf.DUMMYFUNCTION("""COMPUTED_VALUE"""),"電話機")</f>
        <v>電話機</v>
      </c>
      <c r="O1629" s="25" t="str">
        <f ca="1">IFERROR(__xludf.DUMMYFUNCTION("""COMPUTED_VALUE"""),"珍珠白")</f>
        <v>珍珠白</v>
      </c>
      <c r="P1629" s="25" t="str">
        <f ca="1">IFERROR(__xludf.DUMMYFUNCTION("""COMPUTED_VALUE"""),"額定消耗功率:母機50mW/子機
額定電壓/頻率：AC 110V/60Hz
配件清單:捲線x1,說明書x1")</f>
        <v>額定消耗功率:母機50mW/子機
額定電壓/頻率：AC 110V/60Hz
配件清單:捲線x1,說明書x1</v>
      </c>
      <c r="Q1629" s="25" t="str">
        <f ca="1">IFERROR(__xludf.DUMMYFUNCTION("""COMPUTED_VALUE"""),"高75 x 寬221 x 深171mm")</f>
        <v>高75 x 寬221 x 深171mm</v>
      </c>
      <c r="R1629" s="25" t="str">
        <f ca="1">IFERROR(__xludf.DUMMYFUNCTION("""COMPUTED_VALUE"""),"中國")</f>
        <v>中國</v>
      </c>
      <c r="S1629" s="25"/>
      <c r="T1629" s="25"/>
      <c r="U1629" s="25" t="str">
        <f ca="1">IFERROR(__xludf.DUMMYFUNCTION("""COMPUTED_VALUE"""),"有")</f>
        <v>有</v>
      </c>
      <c r="V1629" s="25"/>
      <c r="W1629" s="25"/>
      <c r="X1629" s="25"/>
      <c r="Y1629" s="25"/>
      <c r="Z1629" s="27"/>
      <c r="AA1629" s="28" t="str">
        <f ca="1">IFERROR(__xludf.DUMMYFUNCTION("""COMPUTED_VALUE"""),"具防併機盜撥及免持對講功能
來電與撥出記錄可查詢、回撥及刪除
儲存50組來電號碼及時間
保固2年")</f>
        <v>具防併機盜撥及免持對講功能
來電與撥出記錄可查詢、回撥及刪除
儲存50組來電號碼及時間
保固2年</v>
      </c>
    </row>
    <row r="1630" spans="1:27" ht="12.75">
      <c r="A1630" s="25" t="str">
        <f ca="1">IFERROR(__xludf.DUMMYFUNCTION("""COMPUTED_VALUE"""),"電話機")</f>
        <v>電話機</v>
      </c>
      <c r="B1630" s="25" t="str">
        <f ca="1">IFERROR(__xludf.DUMMYFUNCTION("""COMPUTED_VALUE"""),"旺德電通")</f>
        <v>旺德電通</v>
      </c>
      <c r="C1630" s="25" t="str">
        <f ca="1">IFERROR(__xludf.DUMMYFUNCTION("""COMPUTED_VALUE"""),"聲寶")</f>
        <v>聲寶</v>
      </c>
      <c r="D1630" s="25" t="str">
        <f ca="1">IFERROR(__xludf.DUMMYFUNCTION("""COMPUTED_VALUE"""),"(金屬紅)HT-W1310L 來電顯示電話")</f>
        <v>(金屬紅)HT-W1310L 來電顯示電話</v>
      </c>
      <c r="E1630" s="25" t="str">
        <f ca="1">IFERROR(__xludf.DUMMYFUNCTION("""COMPUTED_VALUE"""),"HT-W1310L(金屬紅)")</f>
        <v>HT-W1310L(金屬紅)</v>
      </c>
      <c r="F1630" s="25">
        <f ca="1">IFERROR(__xludf.DUMMYFUNCTION("""COMPUTED_VALUE"""),51092128)</f>
        <v>51092128</v>
      </c>
      <c r="G1630" s="25" t="str">
        <f ca="1">IFERROR(__xludf.DUMMYFUNCTION("""COMPUTED_VALUE"""),"EHOM001H")</f>
        <v>EHOM001H</v>
      </c>
      <c r="H1630" s="26">
        <f ca="1">IFERROR(__xludf.DUMMYFUNCTION("""COMPUTED_VALUE"""),799)</f>
        <v>799</v>
      </c>
      <c r="I1630" s="27">
        <f ca="1">IFERROR(__xludf.DUMMYFUNCTION("""COMPUTED_VALUE"""),680)</f>
        <v>680</v>
      </c>
      <c r="J1630" s="25"/>
      <c r="K1630" s="25" t="str">
        <f ca="1">IFERROR(__xludf.DUMMYFUNCTION("""COMPUTED_VALUE"""),"新機上架")</f>
        <v>新機上架</v>
      </c>
      <c r="L1630" s="26" t="str">
        <f ca="1">IFERROR(__xludf.DUMMYFUNCTION("""COMPUTED_VALUE"""),"上架中")</f>
        <v>上架中</v>
      </c>
      <c r="M1630" s="25"/>
      <c r="N1630" s="25" t="str">
        <f ca="1">IFERROR(__xludf.DUMMYFUNCTION("""COMPUTED_VALUE"""),"電話機")</f>
        <v>電話機</v>
      </c>
      <c r="O1630" s="25" t="str">
        <f ca="1">IFERROR(__xludf.DUMMYFUNCTION("""COMPUTED_VALUE"""),"金屬紅")</f>
        <v>金屬紅</v>
      </c>
      <c r="P1630" s="25" t="str">
        <f ca="1">IFERROR(__xludf.DUMMYFUNCTION("""COMPUTED_VALUE"""),"額定消耗功率:母機50mW/子機
額定電壓/頻率：AC 110V/60Hz
配件清單:捲線x1,說明書x1")</f>
        <v>額定消耗功率:母機50mW/子機
額定電壓/頻率：AC 110V/60Hz
配件清單:捲線x1,說明書x1</v>
      </c>
      <c r="Q1630" s="25" t="str">
        <f ca="1">IFERROR(__xludf.DUMMYFUNCTION("""COMPUTED_VALUE"""),"高75 x 寬221 x 深171mm")</f>
        <v>高75 x 寬221 x 深171mm</v>
      </c>
      <c r="R1630" s="25" t="str">
        <f ca="1">IFERROR(__xludf.DUMMYFUNCTION("""COMPUTED_VALUE"""),"中國")</f>
        <v>中國</v>
      </c>
      <c r="S1630" s="25"/>
      <c r="T1630" s="25"/>
      <c r="U1630" s="25" t="str">
        <f ca="1">IFERROR(__xludf.DUMMYFUNCTION("""COMPUTED_VALUE"""),"有")</f>
        <v>有</v>
      </c>
      <c r="V1630" s="25"/>
      <c r="W1630" s="25"/>
      <c r="X1630" s="25"/>
      <c r="Y1630" s="25"/>
      <c r="Z1630" s="27"/>
      <c r="AA1630" s="28" t="str">
        <f ca="1">IFERROR(__xludf.DUMMYFUNCTION("""COMPUTED_VALUE"""),"具防併機盜撥及免持對講功能
來電與撥出記錄可查詢、回撥及刪除
儲存50組來電號碼及時間
保固2年")</f>
        <v>具防併機盜撥及免持對講功能
來電與撥出記錄可查詢、回撥及刪除
儲存50組來電號碼及時間
保固2年</v>
      </c>
    </row>
    <row r="1631" spans="1:27" ht="12.75">
      <c r="A1631" s="25" t="str">
        <f ca="1">IFERROR(__xludf.DUMMYFUNCTION("""COMPUTED_VALUE"""),"電話機")</f>
        <v>電話機</v>
      </c>
      <c r="B1631" s="25" t="str">
        <f ca="1">IFERROR(__xludf.DUMMYFUNCTION("""COMPUTED_VALUE"""),"旺德電通")</f>
        <v>旺德電通</v>
      </c>
      <c r="C1631" s="25" t="str">
        <f ca="1">IFERROR(__xludf.DUMMYFUNCTION("""COMPUTED_VALUE"""),"聲寶")</f>
        <v>聲寶</v>
      </c>
      <c r="D1631" s="25" t="str">
        <f ca="1">IFERROR(__xludf.DUMMYFUNCTION("""COMPUTED_VALUE"""),"(藍) HT-W507L聲寶來電顯示型有線電話")</f>
        <v>(藍) HT-W507L聲寶來電顯示型有線電話</v>
      </c>
      <c r="E1631" s="25" t="str">
        <f ca="1">IFERROR(__xludf.DUMMYFUNCTION("""COMPUTED_VALUE"""),"HT-W507L(藍)")</f>
        <v>HT-W507L(藍)</v>
      </c>
      <c r="F1631" s="25">
        <f ca="1">IFERROR(__xludf.DUMMYFUNCTION("""COMPUTED_VALUE"""),51092129)</f>
        <v>51092129</v>
      </c>
      <c r="G1631" s="25" t="str">
        <f ca="1">IFERROR(__xludf.DUMMYFUNCTION("""COMPUTED_VALUE"""),"EHOM001I")</f>
        <v>EHOM001I</v>
      </c>
      <c r="H1631" s="26">
        <f ca="1">IFERROR(__xludf.DUMMYFUNCTION("""COMPUTED_VALUE"""),699)</f>
        <v>699</v>
      </c>
      <c r="I1631" s="27">
        <f ca="1">IFERROR(__xludf.DUMMYFUNCTION("""COMPUTED_VALUE"""),599)</f>
        <v>599</v>
      </c>
      <c r="J1631" s="25"/>
      <c r="K1631" s="25" t="str">
        <f ca="1">IFERROR(__xludf.DUMMYFUNCTION("""COMPUTED_VALUE"""),"新機上架")</f>
        <v>新機上架</v>
      </c>
      <c r="L1631" s="26" t="str">
        <f ca="1">IFERROR(__xludf.DUMMYFUNCTION("""COMPUTED_VALUE"""),"上架中")</f>
        <v>上架中</v>
      </c>
      <c r="M1631" s="25"/>
      <c r="N1631" s="25" t="str">
        <f ca="1">IFERROR(__xludf.DUMMYFUNCTION("""COMPUTED_VALUE"""),"電話機")</f>
        <v>電話機</v>
      </c>
      <c r="O1631" s="25" t="str">
        <f ca="1">IFERROR(__xludf.DUMMYFUNCTION("""COMPUTED_VALUE"""),"藍")</f>
        <v>藍</v>
      </c>
      <c r="P1631" s="25" t="str">
        <f ca="1">IFERROR(__xludf.DUMMYFUNCTION("""COMPUTED_VALUE"""),"使用電源: DC 1.5V  3顆3號電池
額定電壓：4.5V
配件清單:曲線x1,直線x1,說明書x1,保修卡x1")</f>
        <v>使用電源: DC 1.5V  3顆3號電池
額定電壓：4.5V
配件清單:曲線x1,直線x1,說明書x1,保修卡x1</v>
      </c>
      <c r="Q1631" s="25" t="str">
        <f ca="1">IFERROR(__xludf.DUMMYFUNCTION("""COMPUTED_VALUE"""),"高80 x 寬172 x 深223mm")</f>
        <v>高80 x 寬172 x 深223mm</v>
      </c>
      <c r="R1631" s="25" t="str">
        <f ca="1">IFERROR(__xludf.DUMMYFUNCTION("""COMPUTED_VALUE"""),"中國")</f>
        <v>中國</v>
      </c>
      <c r="S1631" s="25"/>
      <c r="T1631" s="25"/>
      <c r="U1631" s="25" t="str">
        <f ca="1">IFERROR(__xludf.DUMMYFUNCTION("""COMPUTED_VALUE"""),"有")</f>
        <v>有</v>
      </c>
      <c r="V1631" s="25"/>
      <c r="W1631" s="25"/>
      <c r="X1631" s="25"/>
      <c r="Y1631" s="25"/>
      <c r="Z1631" s="27"/>
      <c r="AA1631" s="28" t="str">
        <f ca="1">IFERROR(__xludf.DUMMYFUNCTION("""COMPUTED_VALUE"""),"液晶顯示幕對比度可調
 鈴聲及免持音量大小可調整
 保留、重撥、暫停、暫切預覽撥號功能
 鬧鐘、簡易計算機功能                                                                                                                                                                                                        "&amp;"                                                                                                                                                                                                  
保固2年")</f>
        <v>液晶顯示幕對比度可調
 鈴聲及免持音量大小可調整
 保留、重撥、暫停、暫切預覽撥號功能
 鬧鐘、簡易計算機功能                                                                                                                                                                                                                                                                                                                                                                                                          
保固2年</v>
      </c>
    </row>
    <row r="1632" spans="1:27" ht="12.75">
      <c r="A1632" s="25" t="str">
        <f ca="1">IFERROR(__xludf.DUMMYFUNCTION("""COMPUTED_VALUE"""),"電話機")</f>
        <v>電話機</v>
      </c>
      <c r="B1632" s="25" t="str">
        <f ca="1">IFERROR(__xludf.DUMMYFUNCTION("""COMPUTED_VALUE"""),"旺德電通")</f>
        <v>旺德電通</v>
      </c>
      <c r="C1632" s="25" t="str">
        <f ca="1">IFERROR(__xludf.DUMMYFUNCTION("""COMPUTED_VALUE"""),"聲寶")</f>
        <v>聲寶</v>
      </c>
      <c r="D1632" s="25" t="str">
        <f ca="1">IFERROR(__xludf.DUMMYFUNCTION("""COMPUTED_VALUE"""),"(紅) HT-W507L聲寶來電顯示型有線電話")</f>
        <v>(紅) HT-W507L聲寶來電顯示型有線電話</v>
      </c>
      <c r="E1632" s="25" t="str">
        <f ca="1">IFERROR(__xludf.DUMMYFUNCTION("""COMPUTED_VALUE"""),"HT-W507L(紅)")</f>
        <v>HT-W507L(紅)</v>
      </c>
      <c r="F1632" s="25">
        <f ca="1">IFERROR(__xludf.DUMMYFUNCTION("""COMPUTED_VALUE"""),51092130)</f>
        <v>51092130</v>
      </c>
      <c r="G1632" s="25" t="str">
        <f ca="1">IFERROR(__xludf.DUMMYFUNCTION("""COMPUTED_VALUE"""),"EHOM001J")</f>
        <v>EHOM001J</v>
      </c>
      <c r="H1632" s="26">
        <f ca="1">IFERROR(__xludf.DUMMYFUNCTION("""COMPUTED_VALUE"""),699)</f>
        <v>699</v>
      </c>
      <c r="I1632" s="27">
        <f ca="1">IFERROR(__xludf.DUMMYFUNCTION("""COMPUTED_VALUE"""),599)</f>
        <v>599</v>
      </c>
      <c r="J1632" s="25"/>
      <c r="K1632" s="25" t="str">
        <f ca="1">IFERROR(__xludf.DUMMYFUNCTION("""COMPUTED_VALUE"""),"新機上架")</f>
        <v>新機上架</v>
      </c>
      <c r="L1632" s="26" t="str">
        <f ca="1">IFERROR(__xludf.DUMMYFUNCTION("""COMPUTED_VALUE"""),"上架中")</f>
        <v>上架中</v>
      </c>
      <c r="M1632" s="25"/>
      <c r="N1632" s="25" t="str">
        <f ca="1">IFERROR(__xludf.DUMMYFUNCTION("""COMPUTED_VALUE"""),"電話機")</f>
        <v>電話機</v>
      </c>
      <c r="O1632" s="25" t="str">
        <f ca="1">IFERROR(__xludf.DUMMYFUNCTION("""COMPUTED_VALUE"""),"紅")</f>
        <v>紅</v>
      </c>
      <c r="P1632" s="25" t="str">
        <f ca="1">IFERROR(__xludf.DUMMYFUNCTION("""COMPUTED_VALUE"""),"使用電源: DC 1.5V  3顆3號電池
額定電壓：4.5V
配件清單:曲線x1,直線x1,說明書x1,保修卡x1")</f>
        <v>使用電源: DC 1.5V  3顆3號電池
額定電壓：4.5V
配件清單:曲線x1,直線x1,說明書x1,保修卡x1</v>
      </c>
      <c r="Q1632" s="25" t="str">
        <f ca="1">IFERROR(__xludf.DUMMYFUNCTION("""COMPUTED_VALUE"""),"高80 x 寬172 x 深223mm")</f>
        <v>高80 x 寬172 x 深223mm</v>
      </c>
      <c r="R1632" s="25" t="str">
        <f ca="1">IFERROR(__xludf.DUMMYFUNCTION("""COMPUTED_VALUE"""),"中國")</f>
        <v>中國</v>
      </c>
      <c r="S1632" s="25"/>
      <c r="T1632" s="25"/>
      <c r="U1632" s="25" t="str">
        <f ca="1">IFERROR(__xludf.DUMMYFUNCTION("""COMPUTED_VALUE"""),"有")</f>
        <v>有</v>
      </c>
      <c r="V1632" s="25"/>
      <c r="W1632" s="25"/>
      <c r="X1632" s="25"/>
      <c r="Y1632" s="25"/>
      <c r="Z1632" s="27"/>
      <c r="AA1632" s="28" t="str">
        <f ca="1">IFERROR(__xludf.DUMMYFUNCTION("""COMPUTED_VALUE"""),"液晶顯示幕對比度可調
 鈴聲及免持音量大小可調整
 保留、重撥、暫停、暫切預覽撥號功能
 鬧鐘、簡易計算機功能                                                                                                                                                                                                        "&amp;"                                                                                                                                                                                                  
保固2年")</f>
        <v>液晶顯示幕對比度可調
 鈴聲及免持音量大小可調整
 保留、重撥、暫停、暫切預覽撥號功能
 鬧鐘、簡易計算機功能                                                                                                                                                                                                                                                                                                                                                                                                          
保固2年</v>
      </c>
    </row>
    <row r="1633" spans="1:27" ht="12.75">
      <c r="A1633" s="25" t="str">
        <f ca="1">IFERROR(__xludf.DUMMYFUNCTION("""COMPUTED_VALUE"""),"電話機")</f>
        <v>電話機</v>
      </c>
      <c r="B1633" s="25" t="str">
        <f ca="1">IFERROR(__xludf.DUMMYFUNCTION("""COMPUTED_VALUE"""),"旺德電通")</f>
        <v>旺德電通</v>
      </c>
      <c r="C1633" s="25" t="str">
        <f ca="1">IFERROR(__xludf.DUMMYFUNCTION("""COMPUTED_VALUE"""),"旺德")</f>
        <v>旺德</v>
      </c>
      <c r="D1633" s="25" t="str">
        <f ca="1">IFERROR(__xludf.DUMMYFUNCTION("""COMPUTED_VALUE"""),"(白) WT-06旺德大鈴聲大聲音電話機")</f>
        <v>(白) WT-06旺德大鈴聲大聲音電話機</v>
      </c>
      <c r="E1633" s="25" t="str">
        <f ca="1">IFERROR(__xludf.DUMMYFUNCTION("""COMPUTED_VALUE"""),"WT-06(白)")</f>
        <v>WT-06(白)</v>
      </c>
      <c r="F1633" s="25">
        <f ca="1">IFERROR(__xludf.DUMMYFUNCTION("""COMPUTED_VALUE"""),51092131)</f>
        <v>51092131</v>
      </c>
      <c r="G1633" s="25" t="str">
        <f ca="1">IFERROR(__xludf.DUMMYFUNCTION("""COMPUTED_VALUE"""),"EHOM001K")</f>
        <v>EHOM001K</v>
      </c>
      <c r="H1633" s="26">
        <f ca="1">IFERROR(__xludf.DUMMYFUNCTION("""COMPUTED_VALUE"""),699)</f>
        <v>699</v>
      </c>
      <c r="I1633" s="27">
        <f ca="1">IFERROR(__xludf.DUMMYFUNCTION("""COMPUTED_VALUE"""),499)</f>
        <v>499</v>
      </c>
      <c r="J1633" s="25"/>
      <c r="K1633" s="25" t="str">
        <f ca="1">IFERROR(__xludf.DUMMYFUNCTION("""COMPUTED_VALUE"""),"新機上架")</f>
        <v>新機上架</v>
      </c>
      <c r="L1633" s="26" t="str">
        <f ca="1">IFERROR(__xludf.DUMMYFUNCTION("""COMPUTED_VALUE"""),"上架中")</f>
        <v>上架中</v>
      </c>
      <c r="M1633" s="25"/>
      <c r="N1633" s="25" t="str">
        <f ca="1">IFERROR(__xludf.DUMMYFUNCTION("""COMPUTED_VALUE"""),"電話機")</f>
        <v>電話機</v>
      </c>
      <c r="O1633" s="25" t="str">
        <f ca="1">IFERROR(__xludf.DUMMYFUNCTION("""COMPUTED_VALUE"""),"白")</f>
        <v>白</v>
      </c>
      <c r="P1633" s="25" t="str">
        <f ca="1">IFERROR(__xludf.DUMMYFUNCTION("""COMPUTED_VALUE"""),"使用電源: DC 1.5V  3顆3號電池
額定電壓：4.5V
配件清單:曲線x1,直線x1,說明書x1,保修卡x1")</f>
        <v>使用電源: DC 1.5V  3顆3號電池
額定電壓：4.5V
配件清單:曲線x1,直線x1,說明書x1,保修卡x1</v>
      </c>
      <c r="Q1633" s="25" t="str">
        <f ca="1">IFERROR(__xludf.DUMMYFUNCTION("""COMPUTED_VALUE"""),"高60 x 寬171 x 深221mm")</f>
        <v>高60 x 寬171 x 深221mm</v>
      </c>
      <c r="R1633" s="25" t="str">
        <f ca="1">IFERROR(__xludf.DUMMYFUNCTION("""COMPUTED_VALUE"""),"中國")</f>
        <v>中國</v>
      </c>
      <c r="S1633" s="25"/>
      <c r="T1633" s="25"/>
      <c r="U1633" s="25" t="str">
        <f ca="1">IFERROR(__xludf.DUMMYFUNCTION("""COMPUTED_VALUE"""),"有")</f>
        <v>有</v>
      </c>
      <c r="V1633" s="25"/>
      <c r="W1633" s="25"/>
      <c r="X1633" s="25"/>
      <c r="Y1633" s="25"/>
      <c r="Z1633" s="27"/>
      <c r="AA1633" s="28" t="str">
        <f ca="1">IFERROR(__xludf.DUMMYFUNCTION("""COMPUTED_VALUE"""),"回撥、暫切、重撥、自動追撥功能
 鈴聲音量大小可調整
 免持喇叭、聽筒音量大小可調整                                                                                                                                                                                                                     "&amp;"                                                                                                                                                                       
保固2年")</f>
        <v>回撥、暫切、重撥、自動追撥功能
 鈴聲音量大小可調整
 免持喇叭、聽筒音量大小可調整                                                                                                                                                                                                                                                                                                                                                                                            
保固2年</v>
      </c>
    </row>
    <row r="1634" spans="1:27" ht="12.75">
      <c r="A1634" s="25" t="str">
        <f ca="1">IFERROR(__xludf.DUMMYFUNCTION("""COMPUTED_VALUE"""),"電話機")</f>
        <v>電話機</v>
      </c>
      <c r="B1634" s="25" t="str">
        <f ca="1">IFERROR(__xludf.DUMMYFUNCTION("""COMPUTED_VALUE"""),"旺德電通")</f>
        <v>旺德電通</v>
      </c>
      <c r="C1634" s="25" t="str">
        <f ca="1">IFERROR(__xludf.DUMMYFUNCTION("""COMPUTED_VALUE"""),"旺德")</f>
        <v>旺德</v>
      </c>
      <c r="D1634" s="25" t="str">
        <f ca="1">IFERROR(__xludf.DUMMYFUNCTION("""COMPUTED_VALUE"""),"(紅) WT-06旺德大鈴聲大聲音電話機")</f>
        <v>(紅) WT-06旺德大鈴聲大聲音電話機</v>
      </c>
      <c r="E1634" s="25" t="str">
        <f ca="1">IFERROR(__xludf.DUMMYFUNCTION("""COMPUTED_VALUE"""),"WT-06(紅)")</f>
        <v>WT-06(紅)</v>
      </c>
      <c r="F1634" s="25">
        <f ca="1">IFERROR(__xludf.DUMMYFUNCTION("""COMPUTED_VALUE"""),51092132)</f>
        <v>51092132</v>
      </c>
      <c r="G1634" s="25" t="str">
        <f ca="1">IFERROR(__xludf.DUMMYFUNCTION("""COMPUTED_VALUE"""),"EHOM001O")</f>
        <v>EHOM001O</v>
      </c>
      <c r="H1634" s="26">
        <f ca="1">IFERROR(__xludf.DUMMYFUNCTION("""COMPUTED_VALUE"""),699)</f>
        <v>699</v>
      </c>
      <c r="I1634" s="27">
        <f ca="1">IFERROR(__xludf.DUMMYFUNCTION("""COMPUTED_VALUE"""),499)</f>
        <v>499</v>
      </c>
      <c r="J1634" s="25"/>
      <c r="K1634" s="25" t="str">
        <f ca="1">IFERROR(__xludf.DUMMYFUNCTION("""COMPUTED_VALUE"""),"新機上架")</f>
        <v>新機上架</v>
      </c>
      <c r="L1634" s="26" t="str">
        <f ca="1">IFERROR(__xludf.DUMMYFUNCTION("""COMPUTED_VALUE"""),"上架中")</f>
        <v>上架中</v>
      </c>
      <c r="M1634" s="25"/>
      <c r="N1634" s="25" t="str">
        <f ca="1">IFERROR(__xludf.DUMMYFUNCTION("""COMPUTED_VALUE"""),"電話機")</f>
        <v>電話機</v>
      </c>
      <c r="O1634" s="25" t="str">
        <f ca="1">IFERROR(__xludf.DUMMYFUNCTION("""COMPUTED_VALUE"""),"紅")</f>
        <v>紅</v>
      </c>
      <c r="P1634" s="25" t="str">
        <f ca="1">IFERROR(__xludf.DUMMYFUNCTION("""COMPUTED_VALUE"""),"使用電源: DC 1.5V  3顆3號電池
額定電壓：4.5V
配件清單:曲線x1,直線x1,說明書x1,保修卡x1")</f>
        <v>使用電源: DC 1.5V  3顆3號電池
額定電壓：4.5V
配件清單:曲線x1,直線x1,說明書x1,保修卡x1</v>
      </c>
      <c r="Q1634" s="25" t="str">
        <f ca="1">IFERROR(__xludf.DUMMYFUNCTION("""COMPUTED_VALUE"""),"高60 x 寬171 x 深221mm")</f>
        <v>高60 x 寬171 x 深221mm</v>
      </c>
      <c r="R1634" s="25" t="str">
        <f ca="1">IFERROR(__xludf.DUMMYFUNCTION("""COMPUTED_VALUE"""),"中國")</f>
        <v>中國</v>
      </c>
      <c r="S1634" s="25"/>
      <c r="T1634" s="25"/>
      <c r="U1634" s="25" t="str">
        <f ca="1">IFERROR(__xludf.DUMMYFUNCTION("""COMPUTED_VALUE"""),"有")</f>
        <v>有</v>
      </c>
      <c r="V1634" s="25"/>
      <c r="W1634" s="25"/>
      <c r="X1634" s="25"/>
      <c r="Y1634" s="25"/>
      <c r="Z1634" s="27"/>
      <c r="AA1634" s="28" t="str">
        <f ca="1">IFERROR(__xludf.DUMMYFUNCTION("""COMPUTED_VALUE"""),"回撥、暫切、重撥、自動追撥功能
 鈴聲音量大小可調整
 免持喇叭、聽筒音量大小可調整                                                                                                                                                                                                                     "&amp;"                                                                                                                                                                       
保固2年")</f>
        <v>回撥、暫切、重撥、自動追撥功能
 鈴聲音量大小可調整
 免持喇叭、聽筒音量大小可調整                                                                                                                                                                                                                                                                                                                                                                                            
保固2年</v>
      </c>
    </row>
    <row r="1635" spans="1:27" ht="12.75">
      <c r="A1635" s="25" t="str">
        <f ca="1">IFERROR(__xludf.DUMMYFUNCTION("""COMPUTED_VALUE"""),"電話機")</f>
        <v>電話機</v>
      </c>
      <c r="B1635" s="25" t="str">
        <f ca="1">IFERROR(__xludf.DUMMYFUNCTION("""COMPUTED_VALUE"""),"旺德電通")</f>
        <v>旺德電通</v>
      </c>
      <c r="C1635" s="25" t="str">
        <f ca="1">IFERROR(__xludf.DUMMYFUNCTION("""COMPUTED_VALUE"""),"Motorola")</f>
        <v>Motorola</v>
      </c>
      <c r="D1635" s="25" t="str">
        <f ca="1">IFERROR(__xludf.DUMMYFUNCTION("""COMPUTED_VALUE"""),"(黑)S3002 Motorola大字鍵DECT無線雙子機")</f>
        <v>(黑)S3002 Motorola大字鍵DECT無線雙子機</v>
      </c>
      <c r="E1635" s="25" t="str">
        <f ca="1">IFERROR(__xludf.DUMMYFUNCTION("""COMPUTED_VALUE"""),"S3002(黑)")</f>
        <v>S3002(黑)</v>
      </c>
      <c r="F1635" s="25">
        <f ca="1">IFERROR(__xludf.DUMMYFUNCTION("""COMPUTED_VALUE"""),51092133)</f>
        <v>51092133</v>
      </c>
      <c r="G1635" s="25" t="str">
        <f ca="1">IFERROR(__xludf.DUMMYFUNCTION("""COMPUTED_VALUE"""),"EHOM001P")</f>
        <v>EHOM001P</v>
      </c>
      <c r="H1635" s="26">
        <f ca="1">IFERROR(__xludf.DUMMYFUNCTION("""COMPUTED_VALUE"""),1990)</f>
        <v>1990</v>
      </c>
      <c r="I1635" s="27">
        <f ca="1">IFERROR(__xludf.DUMMYFUNCTION("""COMPUTED_VALUE"""),1890)</f>
        <v>1890</v>
      </c>
      <c r="J1635" s="25"/>
      <c r="K1635" s="25" t="str">
        <f ca="1">IFERROR(__xludf.DUMMYFUNCTION("""COMPUTED_VALUE"""),"新機上架")</f>
        <v>新機上架</v>
      </c>
      <c r="L1635" s="26" t="str">
        <f ca="1">IFERROR(__xludf.DUMMYFUNCTION("""COMPUTED_VALUE"""),"上架中")</f>
        <v>上架中</v>
      </c>
      <c r="M1635" s="25"/>
      <c r="N1635" s="25" t="str">
        <f ca="1">IFERROR(__xludf.DUMMYFUNCTION("""COMPUTED_VALUE"""),"電話機")</f>
        <v>電話機</v>
      </c>
      <c r="O1635" s="25" t="str">
        <f ca="1">IFERROR(__xludf.DUMMYFUNCTION("""COMPUTED_VALUE"""),"黑")</f>
        <v>黑</v>
      </c>
      <c r="P1635" s="25" t="str">
        <f ca="1">IFERROR(__xludf.DUMMYFUNCTION("""COMPUTED_VALUE"""),"母機電源:DC7.5V 300mA
母機額定消耗電功率:   ( 0.5~1)W
額定電壓/頻率：AC 100~240V、50/60Hz
材質: ABS")</f>
        <v>母機電源:DC7.5V 300mA
母機額定消耗電功率:   ( 0.5~1)W
額定電壓/頻率：AC 100~240V、50/60Hz
材質: ABS</v>
      </c>
      <c r="Q1635" s="25" t="str">
        <f ca="1">IFERROR(__xludf.DUMMYFUNCTION("""COMPUTED_VALUE"""),"高60.2 x 寬108.25 x 深145.25mm")</f>
        <v>高60.2 x 寬108.25 x 深145.25mm</v>
      </c>
      <c r="R1635" s="25" t="str">
        <f ca="1">IFERROR(__xludf.DUMMYFUNCTION("""COMPUTED_VALUE"""),"中國")</f>
        <v>中國</v>
      </c>
      <c r="S1635" s="25"/>
      <c r="T1635" s="25"/>
      <c r="U1635" s="25" t="str">
        <f ca="1">IFERROR(__xludf.DUMMYFUNCTION("""COMPUTED_VALUE"""),"有")</f>
        <v>有</v>
      </c>
      <c r="V1635" s="25"/>
      <c r="W1635" s="25"/>
      <c r="X1635" s="25"/>
      <c r="Y1635" s="25"/>
      <c r="Z1635" s="27"/>
      <c r="AA1635" s="28" t="str">
        <f ca="1">IFERROR(__xludf.DUMMYFUNCTION("""COMPUTED_VALUE"""),"鬧鐘、麥克風靜音、房間監聽功能
 免持通話、預覽撥號、來電顯示及保留功能
 支援一外線兩內線三方通話
 保固2年                                                                                                                                                                                                       "&amp;"                                                                                                                                                                                                       
 通話距離：室內1~3樓層                                
 待機/通話時間:"&amp;"180小時 /12小時
")</f>
        <v xml:space="preserve">鬧鐘、麥克風靜音、房間監聽功能
 免持通話、預覽撥號、來電顯示及保留功能
 支援一外線兩內線三方通話
 保固2年                                                                                                                                                                                                                                                                                                                                                                                                              
 通話距離：室內1~3樓層                                
 待機/通話時間:180小時 /12小時
</v>
      </c>
    </row>
    <row r="1636" spans="1:27" ht="12.75">
      <c r="A1636" s="25" t="str">
        <f ca="1">IFERROR(__xludf.DUMMYFUNCTION("""COMPUTED_VALUE"""),"電話機")</f>
        <v>電話機</v>
      </c>
      <c r="B1636" s="25" t="str">
        <f ca="1">IFERROR(__xludf.DUMMYFUNCTION("""COMPUTED_VALUE"""),"旺德電通")</f>
        <v>旺德電通</v>
      </c>
      <c r="C1636" s="25" t="str">
        <f ca="1">IFERROR(__xludf.DUMMYFUNCTION("""COMPUTED_VALUE"""),"Motorola")</f>
        <v>Motorola</v>
      </c>
      <c r="D1636" s="25" t="str">
        <f ca="1">IFERROR(__xludf.DUMMYFUNCTION("""COMPUTED_VALUE"""),"(黑)T201+ Motorola大音量DECT無線電話機")</f>
        <v>(黑)T201+ Motorola大音量DECT無線電話機</v>
      </c>
      <c r="E1636" s="25" t="str">
        <f ca="1">IFERROR(__xludf.DUMMYFUNCTION("""COMPUTED_VALUE"""),"T201+(黑)")</f>
        <v>T201+(黑)</v>
      </c>
      <c r="F1636" s="25">
        <f ca="1">IFERROR(__xludf.DUMMYFUNCTION("""COMPUTED_VALUE"""),51092134)</f>
        <v>51092134</v>
      </c>
      <c r="G1636" s="25" t="str">
        <f ca="1">IFERROR(__xludf.DUMMYFUNCTION("""COMPUTED_VALUE"""),"EHOM001Q")</f>
        <v>EHOM001Q</v>
      </c>
      <c r="H1636" s="26">
        <f ca="1">IFERROR(__xludf.DUMMYFUNCTION("""COMPUTED_VALUE"""),1090)</f>
        <v>1090</v>
      </c>
      <c r="I1636" s="27">
        <f ca="1">IFERROR(__xludf.DUMMYFUNCTION("""COMPUTED_VALUE"""),980)</f>
        <v>980</v>
      </c>
      <c r="J1636" s="25"/>
      <c r="K1636" s="25" t="str">
        <f ca="1">IFERROR(__xludf.DUMMYFUNCTION("""COMPUTED_VALUE"""),"新機上架")</f>
        <v>新機上架</v>
      </c>
      <c r="L1636" s="26" t="str">
        <f ca="1">IFERROR(__xludf.DUMMYFUNCTION("""COMPUTED_VALUE"""),"上架中")</f>
        <v>上架中</v>
      </c>
      <c r="M1636" s="25"/>
      <c r="N1636" s="25" t="str">
        <f ca="1">IFERROR(__xludf.DUMMYFUNCTION("""COMPUTED_VALUE"""),"電話機")</f>
        <v>電話機</v>
      </c>
      <c r="O1636" s="25" t="str">
        <f ca="1">IFERROR(__xludf.DUMMYFUNCTION("""COMPUTED_VALUE"""),"黑")</f>
        <v>黑</v>
      </c>
      <c r="P1636" s="25" t="str">
        <f ca="1">IFERROR(__xludf.DUMMYFUNCTION("""COMPUTED_VALUE"""),"母機電源:DC7.5V 300mA
母機額定消耗電功率:   ( 0.5~1)W
定電壓/頻率：AC 100~240V、50/60Hz
材質: ABS")</f>
        <v>母機電源:DC7.5V 300mA
母機額定消耗電功率:   ( 0.5~1)W
定電壓/頻率：AC 100~240V、50/60Hz
材質: ABS</v>
      </c>
      <c r="Q1636" s="25" t="str">
        <f ca="1">IFERROR(__xludf.DUMMYFUNCTION("""COMPUTED_VALUE"""),"高67 x 寬89.9 x 深133.9mm")</f>
        <v>高67 x 寬89.9 x 深133.9mm</v>
      </c>
      <c r="R1636" s="25" t="str">
        <f ca="1">IFERROR(__xludf.DUMMYFUNCTION("""COMPUTED_VALUE"""),"中國")</f>
        <v>中國</v>
      </c>
      <c r="S1636" s="25"/>
      <c r="T1636" s="25"/>
      <c r="U1636" s="25" t="str">
        <f ca="1">IFERROR(__xludf.DUMMYFUNCTION("""COMPUTED_VALUE"""),"有")</f>
        <v>有</v>
      </c>
      <c r="V1636" s="25"/>
      <c r="W1636" s="25"/>
      <c r="X1636" s="25"/>
      <c r="Y1636" s="25"/>
      <c r="Z1636" s="27"/>
      <c r="AA1636" s="28" t="str">
        <f ca="1">IFERROR(__xludf.DUMMYFUNCTION("""COMPUTED_VALUE"""),"來電顯示、封鎖、來電保留功能
 免持通話、 預覽撥號、 麥克風靜音、鬧鐘功能
 保固2年                                                                                                                                                                                                                   "&amp;"                                                                                                                                                                                                                                                               "&amp;"                                                                                                                                                                                                                                                               "&amp;"                                                                                     
 通話距離：室內1~3樓層                               
 待機/通話時間:200小時 /10小時")</f>
        <v>來電顯示、封鎖、來電保留功能
 免持通話、 預覽撥號、 麥克風靜音、鬧鐘功能
 保固2年                                                                                                                                                                                                                                                                                                                                                                                                                                                                                                                                                                                                                                                                                                                                                                                                                                      
 通話距離：室內1~3樓層                               
 待機/通話時間:200小時 /10小時</v>
      </c>
    </row>
    <row r="1637" spans="1:27" ht="12.75">
      <c r="A1637" s="25" t="str">
        <f ca="1">IFERROR(__xludf.DUMMYFUNCTION("""COMPUTED_VALUE"""),"電話機")</f>
        <v>電話機</v>
      </c>
      <c r="B1637" s="25" t="str">
        <f ca="1">IFERROR(__xludf.DUMMYFUNCTION("""COMPUTED_VALUE"""),"旺德電通")</f>
        <v>旺德電通</v>
      </c>
      <c r="C1637" s="25" t="str">
        <f ca="1">IFERROR(__xludf.DUMMYFUNCTION("""COMPUTED_VALUE"""),"歌林")</f>
        <v>歌林</v>
      </c>
      <c r="D1637" s="25" t="str">
        <f ca="1">IFERROR(__xludf.DUMMYFUNCTION("""COMPUTED_VALUE"""),"(經典紅)KTP-WDP02 歌林來電顯示有線電話機")</f>
        <v>(經典紅)KTP-WDP02 歌林來電顯示有線電話機</v>
      </c>
      <c r="E1637" s="25" t="str">
        <f ca="1">IFERROR(__xludf.DUMMYFUNCTION("""COMPUTED_VALUE"""),"KTP-WDP02(經典紅)")</f>
        <v>KTP-WDP02(經典紅)</v>
      </c>
      <c r="F1637" s="25">
        <f ca="1">IFERROR(__xludf.DUMMYFUNCTION("""COMPUTED_VALUE"""),51092135)</f>
        <v>51092135</v>
      </c>
      <c r="G1637" s="25" t="str">
        <f ca="1">IFERROR(__xludf.DUMMYFUNCTION("""COMPUTED_VALUE"""),"EHOM0016")</f>
        <v>EHOM0016</v>
      </c>
      <c r="H1637" s="26">
        <f ca="1">IFERROR(__xludf.DUMMYFUNCTION("""COMPUTED_VALUE"""),599)</f>
        <v>599</v>
      </c>
      <c r="I1637" s="27">
        <f ca="1">IFERROR(__xludf.DUMMYFUNCTION("""COMPUTED_VALUE"""),580)</f>
        <v>580</v>
      </c>
      <c r="J1637" s="25"/>
      <c r="K1637" s="25" t="str">
        <f ca="1">IFERROR(__xludf.DUMMYFUNCTION("""COMPUTED_VALUE"""),"新機上架")</f>
        <v>新機上架</v>
      </c>
      <c r="L1637" s="26" t="str">
        <f ca="1">IFERROR(__xludf.DUMMYFUNCTION("""COMPUTED_VALUE"""),"上架中")</f>
        <v>上架中</v>
      </c>
      <c r="M1637" s="25"/>
      <c r="N1637" s="25" t="str">
        <f ca="1">IFERROR(__xludf.DUMMYFUNCTION("""COMPUTED_VALUE"""),"電話機")</f>
        <v>電話機</v>
      </c>
      <c r="O1637" s="25" t="str">
        <f ca="1">IFERROR(__xludf.DUMMYFUNCTION("""COMPUTED_VALUE"""),"經典紅")</f>
        <v>經典紅</v>
      </c>
      <c r="P1637" s="25" t="str">
        <f ca="1">IFERROR(__xludf.DUMMYFUNCTION("""COMPUTED_VALUE"""),"額定電壓：DC 4.5V(3號電池三顆)
總額定消耗電功率：50 W
配件清單：話機1台、聽筒1個、聽筒曲線1條、電話直線1條、使用說明書1本、保證書1份")</f>
        <v>額定電壓：DC 4.5V(3號電池三顆)
總額定消耗電功率：50 W
配件清單：話機1台、聽筒1個、聽筒曲線1條、電話直線1條、使用說明書1本、保證書1份</v>
      </c>
      <c r="Q1637" s="25" t="str">
        <f ca="1">IFERROR(__xludf.DUMMYFUNCTION("""COMPUTED_VALUE"""),"高83 x 寬171 x 深212mm")</f>
        <v>高83 x 寬171 x 深212mm</v>
      </c>
      <c r="R1637" s="25" t="str">
        <f ca="1">IFERROR(__xludf.DUMMYFUNCTION("""COMPUTED_VALUE"""),"中國")</f>
        <v>中國</v>
      </c>
      <c r="S1637" s="25"/>
      <c r="T1637" s="25"/>
      <c r="U1637" s="25" t="str">
        <f ca="1">IFERROR(__xludf.DUMMYFUNCTION("""COMPUTED_VALUE"""),"有")</f>
        <v>有</v>
      </c>
      <c r="V1637" s="25"/>
      <c r="W1637" s="25"/>
      <c r="X1637" s="25"/>
      <c r="Y1637" s="25"/>
      <c r="Z1637" s="27"/>
      <c r="AA1637" s="28" t="str">
        <f ca="1">IFERROR(__xludf.DUMMYFUNCTION("""COMPUTED_VALUE"""),"保留、重撥、暫停、暫切(話中插播)及預覽撥號等功能
 鬧鐘、簡易計算機功能
 來電與撥出記錄可查詢及刪除
 暫切時間可調整                                                                                                                                                                                                  "&amp;"                                                                                                                                                                                                                 
保固2年")</f>
        <v>保留、重撥、暫停、暫切(話中插播)及預覽撥號等功能
 鬧鐘、簡易計算機功能
 來電與撥出記錄可查詢及刪除
 暫切時間可調整                                                                                                                                                                                                                                                                                                                                                                                                                   
保固2年</v>
      </c>
    </row>
    <row r="1638" spans="1:27" ht="12.75">
      <c r="A1638" s="25" t="str">
        <f ca="1">IFERROR(__xludf.DUMMYFUNCTION("""COMPUTED_VALUE"""),"電話機")</f>
        <v>電話機</v>
      </c>
      <c r="B1638" s="25" t="str">
        <f ca="1">IFERROR(__xludf.DUMMYFUNCTION("""COMPUTED_VALUE"""),"旺德電通")</f>
        <v>旺德電通</v>
      </c>
      <c r="C1638" s="25" t="str">
        <f ca="1">IFERROR(__xludf.DUMMYFUNCTION("""COMPUTED_VALUE"""),"歌林")</f>
        <v>歌林</v>
      </c>
      <c r="D1638" s="25" t="str">
        <f ca="1">IFERROR(__xludf.DUMMYFUNCTION("""COMPUTED_VALUE"""),"(藏青)KTP-WDP02 歌林來電顯示有線電話機")</f>
        <v>(藏青)KTP-WDP02 歌林來電顯示有線電話機</v>
      </c>
      <c r="E1638" s="25" t="str">
        <f ca="1">IFERROR(__xludf.DUMMYFUNCTION("""COMPUTED_VALUE"""),"KTP-WDP02(藏青)")</f>
        <v>KTP-WDP02(藏青)</v>
      </c>
      <c r="F1638" s="25">
        <f ca="1">IFERROR(__xludf.DUMMYFUNCTION("""COMPUTED_VALUE"""),51092136)</f>
        <v>51092136</v>
      </c>
      <c r="G1638" s="25" t="str">
        <f ca="1">IFERROR(__xludf.DUMMYFUNCTION("""COMPUTED_VALUE"""),"EHOM0017")</f>
        <v>EHOM0017</v>
      </c>
      <c r="H1638" s="26">
        <f ca="1">IFERROR(__xludf.DUMMYFUNCTION("""COMPUTED_VALUE"""),599)</f>
        <v>599</v>
      </c>
      <c r="I1638" s="27">
        <f ca="1">IFERROR(__xludf.DUMMYFUNCTION("""COMPUTED_VALUE"""),580)</f>
        <v>580</v>
      </c>
      <c r="J1638" s="25"/>
      <c r="K1638" s="25" t="str">
        <f ca="1">IFERROR(__xludf.DUMMYFUNCTION("""COMPUTED_VALUE"""),"新機上架")</f>
        <v>新機上架</v>
      </c>
      <c r="L1638" s="26" t="str">
        <f ca="1">IFERROR(__xludf.DUMMYFUNCTION("""COMPUTED_VALUE"""),"上架中")</f>
        <v>上架中</v>
      </c>
      <c r="M1638" s="25"/>
      <c r="N1638" s="25" t="str">
        <f ca="1">IFERROR(__xludf.DUMMYFUNCTION("""COMPUTED_VALUE"""),"電話機")</f>
        <v>電話機</v>
      </c>
      <c r="O1638" s="25" t="str">
        <f ca="1">IFERROR(__xludf.DUMMYFUNCTION("""COMPUTED_VALUE"""),"藏青")</f>
        <v>藏青</v>
      </c>
      <c r="P1638" s="25" t="str">
        <f ca="1">IFERROR(__xludf.DUMMYFUNCTION("""COMPUTED_VALUE"""),"額定電壓：DC 4.5V(3號電池三顆)
總額定消耗電功率：50 W
配件清單：話機1台、聽筒1個、聽筒曲線1條、電話直線1條、使用說明書1本、保證書1份")</f>
        <v>額定電壓：DC 4.5V(3號電池三顆)
總額定消耗電功率：50 W
配件清單：話機1台、聽筒1個、聽筒曲線1條、電話直線1條、使用說明書1本、保證書1份</v>
      </c>
      <c r="Q1638" s="25" t="str">
        <f ca="1">IFERROR(__xludf.DUMMYFUNCTION("""COMPUTED_VALUE"""),"高83 x 寬171 x 深212mm")</f>
        <v>高83 x 寬171 x 深212mm</v>
      </c>
      <c r="R1638" s="25" t="str">
        <f ca="1">IFERROR(__xludf.DUMMYFUNCTION("""COMPUTED_VALUE"""),"中國")</f>
        <v>中國</v>
      </c>
      <c r="S1638" s="25"/>
      <c r="T1638" s="25"/>
      <c r="U1638" s="25" t="str">
        <f ca="1">IFERROR(__xludf.DUMMYFUNCTION("""COMPUTED_VALUE"""),"有")</f>
        <v>有</v>
      </c>
      <c r="V1638" s="25"/>
      <c r="W1638" s="25"/>
      <c r="X1638" s="25"/>
      <c r="Y1638" s="25"/>
      <c r="Z1638" s="27"/>
      <c r="AA1638" s="28" t="str">
        <f ca="1">IFERROR(__xludf.DUMMYFUNCTION("""COMPUTED_VALUE"""),"保留、重撥、暫停、暫切(話中插播)及預覽撥號等功能
 鬧鐘、簡易計算機功能
 來電與撥出記錄可查詢及刪除
 暫切時間可調整                                                                                                                                                                                                  "&amp;"                                                                                                                                                                                                                 
保固2年")</f>
        <v>保留、重撥、暫停、暫切(話中插播)及預覽撥號等功能
 鬧鐘、簡易計算機功能
 來電與撥出記錄可查詢及刪除
 暫切時間可調整                                                                                                                                                                                                                                                                                                                                                                                                                   
保固2年</v>
      </c>
    </row>
    <row r="1639" spans="1:27" ht="12.75">
      <c r="A1639" s="25" t="str">
        <f ca="1">IFERROR(__xludf.DUMMYFUNCTION("""COMPUTED_VALUE"""),"電話機")</f>
        <v>電話機</v>
      </c>
      <c r="B1639" s="25" t="str">
        <f ca="1">IFERROR(__xludf.DUMMYFUNCTION("""COMPUTED_VALUE"""),"旺德電通")</f>
        <v>旺德電通</v>
      </c>
      <c r="C1639" s="25" t="str">
        <f ca="1">IFERROR(__xludf.DUMMYFUNCTION("""COMPUTED_VALUE"""),"歌林")</f>
        <v>歌林</v>
      </c>
      <c r="D1639" s="25" t="str">
        <f ca="1">IFERROR(__xludf.DUMMYFUNCTION("""COMPUTED_VALUE"""),"(淺紫灰)KTP-WDP02 歌林來電顯示有線電話機")</f>
        <v>(淺紫灰)KTP-WDP02 歌林來電顯示有線電話機</v>
      </c>
      <c r="E1639" s="25" t="str">
        <f ca="1">IFERROR(__xludf.DUMMYFUNCTION("""COMPUTED_VALUE"""),"KTP-WDP02(淺紫灰)")</f>
        <v>KTP-WDP02(淺紫灰)</v>
      </c>
      <c r="F1639" s="25">
        <f ca="1">IFERROR(__xludf.DUMMYFUNCTION("""COMPUTED_VALUE"""),51092137)</f>
        <v>51092137</v>
      </c>
      <c r="G1639" s="25" t="str">
        <f ca="1">IFERROR(__xludf.DUMMYFUNCTION("""COMPUTED_VALUE"""),"EHOM0018")</f>
        <v>EHOM0018</v>
      </c>
      <c r="H1639" s="26">
        <f ca="1">IFERROR(__xludf.DUMMYFUNCTION("""COMPUTED_VALUE"""),599)</f>
        <v>599</v>
      </c>
      <c r="I1639" s="27">
        <f ca="1">IFERROR(__xludf.DUMMYFUNCTION("""COMPUTED_VALUE"""),580)</f>
        <v>580</v>
      </c>
      <c r="J1639" s="25"/>
      <c r="K1639" s="25" t="str">
        <f ca="1">IFERROR(__xludf.DUMMYFUNCTION("""COMPUTED_VALUE"""),"新機上架")</f>
        <v>新機上架</v>
      </c>
      <c r="L1639" s="26" t="str">
        <f ca="1">IFERROR(__xludf.DUMMYFUNCTION("""COMPUTED_VALUE"""),"上架中")</f>
        <v>上架中</v>
      </c>
      <c r="M1639" s="25"/>
      <c r="N1639" s="25" t="str">
        <f ca="1">IFERROR(__xludf.DUMMYFUNCTION("""COMPUTED_VALUE"""),"電話機")</f>
        <v>電話機</v>
      </c>
      <c r="O1639" s="25" t="str">
        <f ca="1">IFERROR(__xludf.DUMMYFUNCTION("""COMPUTED_VALUE"""),"淺紫灰")</f>
        <v>淺紫灰</v>
      </c>
      <c r="P1639" s="25" t="str">
        <f ca="1">IFERROR(__xludf.DUMMYFUNCTION("""COMPUTED_VALUE"""),"額定電壓：DC 4.5V(3號電池三顆)
總額定消耗電功率：50 W
配件清單：話機1台、聽筒1個、聽筒曲線1條、電話直線1條、使用說明書1本、保證書1份")</f>
        <v>額定電壓：DC 4.5V(3號電池三顆)
總額定消耗電功率：50 W
配件清單：話機1台、聽筒1個、聽筒曲線1條、電話直線1條、使用說明書1本、保證書1份</v>
      </c>
      <c r="Q1639" s="25" t="str">
        <f ca="1">IFERROR(__xludf.DUMMYFUNCTION("""COMPUTED_VALUE"""),"高83 x 寬171 x 深212mm")</f>
        <v>高83 x 寬171 x 深212mm</v>
      </c>
      <c r="R1639" s="25" t="str">
        <f ca="1">IFERROR(__xludf.DUMMYFUNCTION("""COMPUTED_VALUE"""),"中國")</f>
        <v>中國</v>
      </c>
      <c r="S1639" s="25"/>
      <c r="T1639" s="25"/>
      <c r="U1639" s="25" t="str">
        <f ca="1">IFERROR(__xludf.DUMMYFUNCTION("""COMPUTED_VALUE"""),"有")</f>
        <v>有</v>
      </c>
      <c r="V1639" s="25"/>
      <c r="W1639" s="25"/>
      <c r="X1639" s="25"/>
      <c r="Y1639" s="25"/>
      <c r="Z1639" s="27"/>
      <c r="AA1639" s="28" t="str">
        <f ca="1">IFERROR(__xludf.DUMMYFUNCTION("""COMPUTED_VALUE"""),"保留、重撥、暫停、暫切(話中插播)及預覽撥號等功能
 鬧鐘、簡易計算機功能
 來電與撥出記錄可查詢及刪除
 暫切時間可調整                                                                                                                                                                                                  "&amp;"                                                                                                                                                                                                                 
保固2年")</f>
        <v>保留、重撥、暫停、暫切(話中插播)及預覽撥號等功能
 鬧鐘、簡易計算機功能
 來電與撥出記錄可查詢及刪除
 暫切時間可調整                                                                                                                                                                                                                                                                                                                                                                                                                   
保固2年</v>
      </c>
    </row>
    <row r="1640" spans="1:27" ht="12.75">
      <c r="A1640" s="25" t="str">
        <f ca="1">IFERROR(__xludf.DUMMYFUNCTION("""COMPUTED_VALUE"""),"電話機")</f>
        <v>電話機</v>
      </c>
      <c r="B1640" s="25" t="str">
        <f ca="1">IFERROR(__xludf.DUMMYFUNCTION("""COMPUTED_VALUE"""),"旺德電通")</f>
        <v>旺德電通</v>
      </c>
      <c r="C1640" s="25" t="str">
        <f ca="1">IFERROR(__xludf.DUMMYFUNCTION("""COMPUTED_VALUE"""),"聲寶")</f>
        <v>聲寶</v>
      </c>
      <c r="D1640" s="25" t="str">
        <f ca="1">IFERROR(__xludf.DUMMYFUNCTION("""COMPUTED_VALUE"""),"(紅)HT-W2201L聲寶四鍵記憶有線電話")</f>
        <v>(紅)HT-W2201L聲寶四鍵記憶有線電話</v>
      </c>
      <c r="E1640" s="25" t="str">
        <f ca="1">IFERROR(__xludf.DUMMYFUNCTION("""COMPUTED_VALUE"""),"HT-W2201L(紅)")</f>
        <v>HT-W2201L(紅)</v>
      </c>
      <c r="F1640" s="25">
        <f ca="1">IFERROR(__xludf.DUMMYFUNCTION("""COMPUTED_VALUE"""),51092138)</f>
        <v>51092138</v>
      </c>
      <c r="G1640" s="25" t="str">
        <f ca="1">IFERROR(__xludf.DUMMYFUNCTION("""COMPUTED_VALUE"""),"EHOM0019")</f>
        <v>EHOM0019</v>
      </c>
      <c r="H1640" s="26">
        <f ca="1">IFERROR(__xludf.DUMMYFUNCTION("""COMPUTED_VALUE"""),890)</f>
        <v>890</v>
      </c>
      <c r="I1640" s="27">
        <f ca="1">IFERROR(__xludf.DUMMYFUNCTION("""COMPUTED_VALUE"""),790)</f>
        <v>790</v>
      </c>
      <c r="J1640" s="25"/>
      <c r="K1640" s="25" t="str">
        <f ca="1">IFERROR(__xludf.DUMMYFUNCTION("""COMPUTED_VALUE"""),"新機上架")</f>
        <v>新機上架</v>
      </c>
      <c r="L1640" s="26" t="str">
        <f ca="1">IFERROR(__xludf.DUMMYFUNCTION("""COMPUTED_VALUE"""),"上架中")</f>
        <v>上架中</v>
      </c>
      <c r="M1640" s="25"/>
      <c r="N1640" s="25" t="str">
        <f ca="1">IFERROR(__xludf.DUMMYFUNCTION("""COMPUTED_VALUE"""),"電話機")</f>
        <v>電話機</v>
      </c>
      <c r="O1640" s="25" t="str">
        <f ca="1">IFERROR(__xludf.DUMMYFUNCTION("""COMPUTED_VALUE"""),"紅")</f>
        <v>紅</v>
      </c>
      <c r="P1640" s="25" t="str">
        <f ca="1">IFERROR(__xludf.DUMMYFUNCTION("""COMPUTED_VALUE"""),"額定電壓：DC 4.5V(3號電池三顆)
總額定消耗電功率：12mW
材質: ABS")</f>
        <v>額定電壓：DC 4.5V(3號電池三顆)
總額定消耗電功率：12mW
材質: ABS</v>
      </c>
      <c r="Q1640" s="25" t="str">
        <f ca="1">IFERROR(__xludf.DUMMYFUNCTION("""COMPUTED_VALUE"""),"高74 x 寬222 x 深175mm")</f>
        <v>高74 x 寬222 x 深175mm</v>
      </c>
      <c r="R1640" s="25" t="str">
        <f ca="1">IFERROR(__xludf.DUMMYFUNCTION("""COMPUTED_VALUE"""),"中國")</f>
        <v>中國</v>
      </c>
      <c r="S1640" s="25"/>
      <c r="T1640" s="25"/>
      <c r="U1640" s="25" t="str">
        <f ca="1">IFERROR(__xludf.DUMMYFUNCTION("""COMPUTED_VALUE"""),"有")</f>
        <v>有</v>
      </c>
      <c r="V1640" s="25"/>
      <c r="W1640" s="25"/>
      <c r="X1640" s="25"/>
      <c r="Y1640" s="25"/>
      <c r="Z1640" s="27"/>
      <c r="AA1640" s="28" t="str">
        <f ca="1">IFERROR(__xludf.DUMMYFUNCTION("""COMPUTED_VALUE"""),"59組來電/16組去電號碼、通話時間查詢及刪除
保留、重撥、暫停、暫切(話中插播)、鬧鈴及預覽撥號等功能
暫切時間可調整
免提音量兩段、鈴聲四段調整                                                                                                                                                                                     "&amp;"                                                                                                                                                                                                                              
保固2年")</f>
        <v>59組來電/16組去電號碼、通話時間查詢及刪除
保留、重撥、暫停、暫切(話中插播)、鬧鈴及預覽撥號等功能
暫切時間可調整
免提音量兩段、鈴聲四段調整                                                                                                                                                                                                                                                                                                                                                                                                                   
保固2年</v>
      </c>
    </row>
    <row r="1641" spans="1:27" ht="12.75">
      <c r="A1641" s="25" t="str">
        <f ca="1">IFERROR(__xludf.DUMMYFUNCTION("""COMPUTED_VALUE"""),"電話機")</f>
        <v>電話機</v>
      </c>
      <c r="B1641" s="25" t="str">
        <f ca="1">IFERROR(__xludf.DUMMYFUNCTION("""COMPUTED_VALUE"""),"旺德電通")</f>
        <v>旺德電通</v>
      </c>
      <c r="C1641" s="25" t="str">
        <f ca="1">IFERROR(__xludf.DUMMYFUNCTION("""COMPUTED_VALUE"""),"聲寶")</f>
        <v>聲寶</v>
      </c>
      <c r="D1641" s="25" t="str">
        <f ca="1">IFERROR(__xludf.DUMMYFUNCTION("""COMPUTED_VALUE"""),"(白)HT-W2201L聲寶四鍵記憶有線電話")</f>
        <v>(白)HT-W2201L聲寶四鍵記憶有線電話</v>
      </c>
      <c r="E1641" s="25" t="str">
        <f ca="1">IFERROR(__xludf.DUMMYFUNCTION("""COMPUTED_VALUE"""),"HT-W2201L(白)")</f>
        <v>HT-W2201L(白)</v>
      </c>
      <c r="F1641" s="25">
        <f ca="1">IFERROR(__xludf.DUMMYFUNCTION("""COMPUTED_VALUE"""),51092139)</f>
        <v>51092139</v>
      </c>
      <c r="G1641" s="25" t="str">
        <f ca="1">IFERROR(__xludf.DUMMYFUNCTION("""COMPUTED_VALUE"""),"EHOM001A")</f>
        <v>EHOM001A</v>
      </c>
      <c r="H1641" s="26">
        <f ca="1">IFERROR(__xludf.DUMMYFUNCTION("""COMPUTED_VALUE"""),890)</f>
        <v>890</v>
      </c>
      <c r="I1641" s="27">
        <f ca="1">IFERROR(__xludf.DUMMYFUNCTION("""COMPUTED_VALUE"""),790)</f>
        <v>790</v>
      </c>
      <c r="J1641" s="25"/>
      <c r="K1641" s="25" t="str">
        <f ca="1">IFERROR(__xludf.DUMMYFUNCTION("""COMPUTED_VALUE"""),"新機上架")</f>
        <v>新機上架</v>
      </c>
      <c r="L1641" s="26" t="str">
        <f ca="1">IFERROR(__xludf.DUMMYFUNCTION("""COMPUTED_VALUE"""),"上架中")</f>
        <v>上架中</v>
      </c>
      <c r="M1641" s="25"/>
      <c r="N1641" s="25" t="str">
        <f ca="1">IFERROR(__xludf.DUMMYFUNCTION("""COMPUTED_VALUE"""),"電話機")</f>
        <v>電話機</v>
      </c>
      <c r="O1641" s="25" t="str">
        <f ca="1">IFERROR(__xludf.DUMMYFUNCTION("""COMPUTED_VALUE"""),"白")</f>
        <v>白</v>
      </c>
      <c r="P1641" s="25" t="str">
        <f ca="1">IFERROR(__xludf.DUMMYFUNCTION("""COMPUTED_VALUE"""),"額定電壓：DC 4.5V(3號電池三顆)
總額定消耗電功率：12mW
材質: ABS")</f>
        <v>額定電壓：DC 4.5V(3號電池三顆)
總額定消耗電功率：12mW
材質: ABS</v>
      </c>
      <c r="Q1641" s="25" t="str">
        <f ca="1">IFERROR(__xludf.DUMMYFUNCTION("""COMPUTED_VALUE"""),"高74 x 寬222 x 深175mm")</f>
        <v>高74 x 寬222 x 深175mm</v>
      </c>
      <c r="R1641" s="25" t="str">
        <f ca="1">IFERROR(__xludf.DUMMYFUNCTION("""COMPUTED_VALUE"""),"中國")</f>
        <v>中國</v>
      </c>
      <c r="S1641" s="25"/>
      <c r="T1641" s="25"/>
      <c r="U1641" s="25" t="str">
        <f ca="1">IFERROR(__xludf.DUMMYFUNCTION("""COMPUTED_VALUE"""),"有")</f>
        <v>有</v>
      </c>
      <c r="V1641" s="25"/>
      <c r="W1641" s="25"/>
      <c r="X1641" s="25"/>
      <c r="Y1641" s="25"/>
      <c r="Z1641" s="27"/>
      <c r="AA1641" s="28" t="str">
        <f ca="1">IFERROR(__xludf.DUMMYFUNCTION("""COMPUTED_VALUE"""),"59組來電/16組去電號碼、通話時間查詢及刪除
保留、重撥、暫停、暫切(話中插播)、鬧鈴及預覽撥號等功能
暫切時間可調整
免提音量兩段、鈴聲四段調整                                                                                                                                                                                     "&amp;"                                                                                                                                                                                                                              
保固2年")</f>
        <v>59組來電/16組去電號碼、通話時間查詢及刪除
保留、重撥、暫停、暫切(話中插播)、鬧鈴及預覽撥號等功能
暫切時間可調整
免提音量兩段、鈴聲四段調整                                                                                                                                                                                                                                                                                                                                                                                                                   
保固2年</v>
      </c>
    </row>
    <row r="1642" spans="1:27" ht="12.75">
      <c r="A1642" s="25" t="str">
        <f ca="1">IFERROR(__xludf.DUMMYFUNCTION("""COMPUTED_VALUE"""),"電話機")</f>
        <v>電話機</v>
      </c>
      <c r="B1642" s="25" t="str">
        <f ca="1">IFERROR(__xludf.DUMMYFUNCTION("""COMPUTED_VALUE"""),"十全")</f>
        <v>十全</v>
      </c>
      <c r="C1642" s="25" t="str">
        <f ca="1">IFERROR(__xludf.DUMMYFUNCTION("""COMPUTED_VALUE"""),"PHILIPS")</f>
        <v>PHILIPS</v>
      </c>
      <c r="D1642" s="25" t="str">
        <f ca="1">IFERROR(__xludf.DUMMYFUNCTION("""COMPUTED_VALUE"""),"(黑)D2702B_ PHILIPS 大螢幕電量顯示1.7GHz數位子母機無線電話")</f>
        <v>(黑)D2702B_ PHILIPS 大螢幕電量顯示1.7GHz數位子母機無線電話</v>
      </c>
      <c r="E1642" s="25" t="str">
        <f ca="1">IFERROR(__xludf.DUMMYFUNCTION("""COMPUTED_VALUE"""),"D2702B")</f>
        <v>D2702B</v>
      </c>
      <c r="F1642" s="25">
        <f ca="1">IFERROR(__xludf.DUMMYFUNCTION("""COMPUTED_VALUE"""),51073016)</f>
        <v>51073016</v>
      </c>
      <c r="G1642" s="25" t="str">
        <f ca="1">IFERROR(__xludf.DUMMYFUNCTION("""COMPUTED_VALUE"""),"EHOM001X")</f>
        <v>EHOM001X</v>
      </c>
      <c r="H1642" s="25">
        <f ca="1">IFERROR(__xludf.DUMMYFUNCTION("""COMPUTED_VALUE"""),3280)</f>
        <v>3280</v>
      </c>
      <c r="I1642" s="27">
        <f ca="1">IFERROR(__xludf.DUMMYFUNCTION("""COMPUTED_VALUE"""),3280)</f>
        <v>3280</v>
      </c>
      <c r="J1642" s="25"/>
      <c r="K1642" s="25" t="str">
        <f ca="1">IFERROR(__xludf.DUMMYFUNCTION("""COMPUTED_VALUE"""),"新機上架")</f>
        <v>新機上架</v>
      </c>
      <c r="L1642" s="26" t="str">
        <f ca="1">IFERROR(__xludf.DUMMYFUNCTION("""COMPUTED_VALUE"""),"上架中")</f>
        <v>上架中</v>
      </c>
      <c r="M1642" s="25"/>
      <c r="N1642" s="25" t="str">
        <f ca="1">IFERROR(__xludf.DUMMYFUNCTION("""COMPUTED_VALUE"""),"電話機")</f>
        <v>電話機</v>
      </c>
      <c r="O1642" s="25" t="str">
        <f ca="1">IFERROR(__xludf.DUMMYFUNCTION("""COMPUTED_VALUE"""),"黑")</f>
        <v>黑</v>
      </c>
      <c r="P1642" s="25" t="str">
        <f ca="1">IFERROR(__xludf.DUMMYFUNCTION("""COMPUTED_VALUE"""),"˙輸入電壓:AC 100-240V~50/60Hz
˙功率:&lt;1W
˙電池容量:500 mAh
˙電池類型:AAA充電式鎳氫電池")</f>
        <v>˙輸入電壓:AC 100-240V~50/60Hz
˙功率:&lt;1W
˙電池容量:500 mAh
˙電池類型:AAA充電式鎳氫電池</v>
      </c>
      <c r="Q1642" s="25" t="str">
        <f ca="1">IFERROR(__xludf.DUMMYFUNCTION("""COMPUTED_VALUE"""),"話機：154*48.10*24公釐（高 * 寬 *深）                             機座：23.5*107.5*70.3公釐（高 * 寬 *深）")</f>
        <v>話機：154*48.10*24公釐（高 * 寬 *深）                             機座：23.5*107.5*70.3公釐（高 * 寬 *深）</v>
      </c>
      <c r="R1642" s="25" t="str">
        <f ca="1">IFERROR(__xludf.DUMMYFUNCTION("""COMPUTED_VALUE"""),"中國")</f>
        <v>中國</v>
      </c>
      <c r="S1642" s="25"/>
      <c r="T1642" s="25"/>
      <c r="U1642" s="25" t="str">
        <f ca="1">IFERROR(__xludf.DUMMYFUNCTION("""COMPUTED_VALUE"""),"有")</f>
        <v>有</v>
      </c>
      <c r="V1642" s="25"/>
      <c r="W1642" s="25"/>
      <c r="X1642" s="25"/>
      <c r="Y1642" s="25"/>
      <c r="Z1642" s="27"/>
      <c r="AA1642" s="28" t="str">
        <f ca="1">IFERROR(__xludf.DUMMYFUNCTION("""COMPUTED_VALUE"""),"‧易讀的 4.6 公分白色背光顯示。 ‧一鍵識別或封鎖來電
 ‧可免持通話。
 ‧設定黑名單
 ‧可設定的快速鍵方便快速撥號。
  通話距離:開放空間 &lt;300 公尺；室內 &lt;50 公尺 待機/通話時間:180小時/ 14 小時")</f>
        <v>‧易讀的 4.6 公分白色背光顯示。 ‧一鍵識別或封鎖來電
 ‧可免持通話。
 ‧設定黑名單
 ‧可設定的快速鍵方便快速撥號。
  通話距離:開放空間 &lt;300 公尺；室內 &lt;50 公尺 待機/通話時間:180小時/ 14 小時</v>
      </c>
    </row>
    <row r="1643" spans="1:27" ht="12.75">
      <c r="A1643" s="25" t="str">
        <f ca="1">IFERROR(__xludf.DUMMYFUNCTION("""COMPUTED_VALUE"""),"電話機")</f>
        <v>電話機</v>
      </c>
      <c r="B1643" s="25" t="str">
        <f ca="1">IFERROR(__xludf.DUMMYFUNCTION("""COMPUTED_VALUE"""),"十全")</f>
        <v>十全</v>
      </c>
      <c r="C1643" s="25" t="str">
        <f ca="1">IFERROR(__xludf.DUMMYFUNCTION("""COMPUTED_VALUE"""),"PHILIPS")</f>
        <v>PHILIPS</v>
      </c>
      <c r="D1643" s="25" t="str">
        <f ca="1">IFERROR(__xludf.DUMMYFUNCTION("""COMPUTED_VALUE"""),"(黑)D2751B_PHILIPS 大螢幕電量顯示1.7GHz數位答錄機無線電話")</f>
        <v>(黑)D2751B_PHILIPS 大螢幕電量顯示1.7GHz數位答錄機無線電話</v>
      </c>
      <c r="E1643" s="25" t="str">
        <f ca="1">IFERROR(__xludf.DUMMYFUNCTION("""COMPUTED_VALUE"""),"D2751B")</f>
        <v>D2751B</v>
      </c>
      <c r="F1643" s="25">
        <f ca="1">IFERROR(__xludf.DUMMYFUNCTION("""COMPUTED_VALUE"""),51073017)</f>
        <v>51073017</v>
      </c>
      <c r="G1643" s="25" t="str">
        <f ca="1">IFERROR(__xludf.DUMMYFUNCTION("""COMPUTED_VALUE"""),"EHOM001Y")</f>
        <v>EHOM001Y</v>
      </c>
      <c r="H1643" s="25">
        <f ca="1">IFERROR(__xludf.DUMMYFUNCTION("""COMPUTED_VALUE"""),1980)</f>
        <v>1980</v>
      </c>
      <c r="I1643" s="27">
        <f ca="1">IFERROR(__xludf.DUMMYFUNCTION("""COMPUTED_VALUE"""),1980)</f>
        <v>1980</v>
      </c>
      <c r="J1643" s="25"/>
      <c r="K1643" s="25" t="str">
        <f ca="1">IFERROR(__xludf.DUMMYFUNCTION("""COMPUTED_VALUE"""),"新機上架")</f>
        <v>新機上架</v>
      </c>
      <c r="L1643" s="26" t="str">
        <f ca="1">IFERROR(__xludf.DUMMYFUNCTION("""COMPUTED_VALUE"""),"上架中")</f>
        <v>上架中</v>
      </c>
      <c r="M1643" s="25"/>
      <c r="N1643" s="25" t="str">
        <f ca="1">IFERROR(__xludf.DUMMYFUNCTION("""COMPUTED_VALUE"""),"電話機")</f>
        <v>電話機</v>
      </c>
      <c r="O1643" s="25" t="str">
        <f ca="1">IFERROR(__xludf.DUMMYFUNCTION("""COMPUTED_VALUE"""),"黑")</f>
        <v>黑</v>
      </c>
      <c r="P1643" s="25" t="str">
        <f ca="1">IFERROR(__xludf.DUMMYFUNCTION("""COMPUTED_VALUE"""),"輸入電壓:AC 100-240V ~50/60Hz
‧ 功率:&lt;1W
‧ 電池容量:500 mAh
‧ 電池類型:AAA充電式鎳氫電池")</f>
        <v>輸入電壓:AC 100-240V ~50/60Hz
‧ 功率:&lt;1W
‧ 電池容量:500 mAh
‧ 電池類型:AAA充電式鎳氫電池</v>
      </c>
      <c r="Q1643" s="25" t="str">
        <f ca="1">IFERROR(__xludf.DUMMYFUNCTION("""COMPUTED_VALUE"""),"話機：154*48.10*24公釐（高 * 寬 *深）                           機座：23.5*107.5*70.3公釐（高 * 寬 *深）")</f>
        <v>話機：154*48.10*24公釐（高 * 寬 *深）                           機座：23.5*107.5*70.3公釐（高 * 寬 *深）</v>
      </c>
      <c r="R1643" s="25" t="str">
        <f ca="1">IFERROR(__xludf.DUMMYFUNCTION("""COMPUTED_VALUE"""),"中國")</f>
        <v>中國</v>
      </c>
      <c r="S1643" s="25"/>
      <c r="T1643" s="25"/>
      <c r="U1643" s="25" t="str">
        <f ca="1">IFERROR(__xludf.DUMMYFUNCTION("""COMPUTED_VALUE"""),"有")</f>
        <v>有</v>
      </c>
      <c r="V1643" s="25"/>
      <c r="W1643" s="25"/>
      <c r="X1643" s="25"/>
      <c r="Y1643" s="25"/>
      <c r="Z1643" s="27"/>
      <c r="AA1643" s="28" t="str">
        <f ca="1">IFERROR(__xludf.DUMMYFUNCTION("""COMPUTED_VALUE"""),"‧易讀的 4.6 公分白色背光顯示。
‧時尚纖薄、聽筒好握持的設計。
‧可免持通話。
‧快速鍵的設定.方便快速撥號。
‧最佳的天線配置，良好的通話收訊。
‧答錄留言長達25分鐘。                               通話距離:開放空間 &lt;300 公尺；室內 &lt;50 公尺                                                                                                            "&amp;"                                                                                                                                                                                                             待機/通話時間:180小時/ 14 小時           
                  "&amp;"                                                     ")</f>
        <v xml:space="preserve">‧易讀的 4.6 公分白色背光顯示。
‧時尚纖薄、聽筒好握持的設計。
‧可免持通話。
‧快速鍵的設定.方便快速撥號。
‧最佳的天線配置，良好的通話收訊。
‧答錄留言長達25分鐘。                               通話距離:開放空間 &lt;300 公尺；室內 &lt;50 公尺                                                                                                                                                                                                                                                                                                                         待機/通話時間:180小時/ 14 小時           
                                                                       </v>
      </c>
    </row>
    <row r="1644" spans="1:27" ht="12.75">
      <c r="A1644" s="25" t="str">
        <f ca="1">IFERROR(__xludf.DUMMYFUNCTION("""COMPUTED_VALUE"""),"電話機")</f>
        <v>電話機</v>
      </c>
      <c r="B1644" s="25" t="str">
        <f ca="1">IFERROR(__xludf.DUMMYFUNCTION("""COMPUTED_VALUE"""),"十全")</f>
        <v>十全</v>
      </c>
      <c r="C1644" s="25" t="str">
        <f ca="1">IFERROR(__xludf.DUMMYFUNCTION("""COMPUTED_VALUE"""),"PHILIPS")</f>
        <v>PHILIPS</v>
      </c>
      <c r="D1644" s="25" t="str">
        <f ca="1">IFERROR(__xludf.DUMMYFUNCTION("""COMPUTED_VALUE"""),"(黑)D2752B_PHILIPS 大螢幕電量顯示1.7GHz數位子母答錄機無線電話")</f>
        <v>(黑)D2752B_PHILIPS 大螢幕電量顯示1.7GHz數位子母答錄機無線電話</v>
      </c>
      <c r="E1644" s="25" t="str">
        <f ca="1">IFERROR(__xludf.DUMMYFUNCTION("""COMPUTED_VALUE"""),"D2752B")</f>
        <v>D2752B</v>
      </c>
      <c r="F1644" s="25">
        <f ca="1">IFERROR(__xludf.DUMMYFUNCTION("""COMPUTED_VALUE"""),51073018)</f>
        <v>51073018</v>
      </c>
      <c r="G1644" s="25" t="str">
        <f ca="1">IFERROR(__xludf.DUMMYFUNCTION("""COMPUTED_VALUE"""),"EHOM001Z")</f>
        <v>EHOM001Z</v>
      </c>
      <c r="H1644" s="25">
        <f ca="1">IFERROR(__xludf.DUMMYFUNCTION("""COMPUTED_VALUE"""),3490)</f>
        <v>3490</v>
      </c>
      <c r="I1644" s="27">
        <f ca="1">IFERROR(__xludf.DUMMYFUNCTION("""COMPUTED_VALUE"""),3490)</f>
        <v>3490</v>
      </c>
      <c r="J1644" s="25"/>
      <c r="K1644" s="25" t="str">
        <f ca="1">IFERROR(__xludf.DUMMYFUNCTION("""COMPUTED_VALUE"""),"新機上架")</f>
        <v>新機上架</v>
      </c>
      <c r="L1644" s="26" t="str">
        <f ca="1">IFERROR(__xludf.DUMMYFUNCTION("""COMPUTED_VALUE"""),"上架中")</f>
        <v>上架中</v>
      </c>
      <c r="M1644" s="25"/>
      <c r="N1644" s="25" t="str">
        <f ca="1">IFERROR(__xludf.DUMMYFUNCTION("""COMPUTED_VALUE"""),"電話機")</f>
        <v>電話機</v>
      </c>
      <c r="O1644" s="25" t="str">
        <f ca="1">IFERROR(__xludf.DUMMYFUNCTION("""COMPUTED_VALUE"""),"黑")</f>
        <v>黑</v>
      </c>
      <c r="P1644" s="25" t="str">
        <f ca="1">IFERROR(__xludf.DUMMYFUNCTION("""COMPUTED_VALUE""")," 輸入電壓:AC 100-240V~50/60Hz
‧ 功率:&lt;1W
‧ 電池容量:500 mAh
‧ 電池類型:AAA充電式鎳氫電池")</f>
        <v xml:space="preserve"> 輸入電壓:AC 100-240V~50/60Hz
‧ 功率:&lt;1W
‧ 電池容量:500 mAh
‧ 電池類型:AAA充電式鎳氫電池</v>
      </c>
      <c r="Q1644" s="25" t="str">
        <f ca="1">IFERROR(__xludf.DUMMYFUNCTION("""COMPUTED_VALUE"""),"(子機)                                      話機:154*48.10*24公釐（高 * 寬 *深）                                  機座：19*58*70公釐（高 * 寬 *深）                                      (母機)                                      話機：154*48.10*24公釐（高 * 寬 *深）                      "&amp;"     機座：23.5*107.5*70.3公釐（高 * 寬 *深）")</f>
        <v>(子機)                                      話機:154*48.10*24公釐（高 * 寬 *深）                                  機座：19*58*70公釐（高 * 寬 *深）                                      (母機)                                      話機：154*48.10*24公釐（高 * 寬 *深）                           機座：23.5*107.5*70.3公釐（高 * 寬 *深）</v>
      </c>
      <c r="R1644" s="25" t="str">
        <f ca="1">IFERROR(__xludf.DUMMYFUNCTION("""COMPUTED_VALUE"""),"中國")</f>
        <v>中國</v>
      </c>
      <c r="S1644" s="25"/>
      <c r="T1644" s="25"/>
      <c r="U1644" s="25" t="str">
        <f ca="1">IFERROR(__xludf.DUMMYFUNCTION("""COMPUTED_VALUE"""),"有")</f>
        <v>有</v>
      </c>
      <c r="V1644" s="25"/>
      <c r="W1644" s="25"/>
      <c r="X1644" s="25"/>
      <c r="Y1644" s="25"/>
      <c r="Z1644" s="27"/>
      <c r="AA1644" s="28" t="str">
        <f ca="1">IFERROR(__xludf.DUMMYFUNCTION("""COMPUTED_VALUE"""),"‧易讀的 4.6 公分白色背光顯示。
 ‧時尚纖薄、聽筒好握持的設計。
 ‧可免持通話。
 ‧快速鍵的設定.方便快速撥號。
 ‧最佳的天線配置，良好的通話收訊。
 ‧答錄留言長達25分鐘。 通話距離:開放空間 &lt;300 公尺；室內 &lt;50 公尺 待機/通話時間:180小時/ 14 小時")</f>
        <v>‧易讀的 4.6 公分白色背光顯示。
 ‧時尚纖薄、聽筒好握持的設計。
 ‧可免持通話。
 ‧快速鍵的設定.方便快速撥號。
 ‧最佳的天線配置，良好的通話收訊。
 ‧答錄留言長達25分鐘。 通話距離:開放空間 &lt;300 公尺；室內 &lt;50 公尺 待機/通話時間:180小時/ 14 小時</v>
      </c>
    </row>
    <row r="1645" spans="1:27" ht="12.75">
      <c r="A1645" s="25" t="str">
        <f ca="1">IFERROR(__xludf.DUMMYFUNCTION("""COMPUTED_VALUE"""),"電話機")</f>
        <v>電話機</v>
      </c>
      <c r="B1645" s="25" t="str">
        <f ca="1">IFERROR(__xludf.DUMMYFUNCTION("""COMPUTED_VALUE"""),"十全")</f>
        <v>十全</v>
      </c>
      <c r="C1645" s="25" t="str">
        <f ca="1">IFERROR(__xludf.DUMMYFUNCTION("""COMPUTED_VALUE"""),"PHILIPS")</f>
        <v>PHILIPS</v>
      </c>
      <c r="D1645" s="25" t="str">
        <f ca="1">IFERROR(__xludf.DUMMYFUNCTION("""COMPUTED_VALUE"""),"(黑)M4701B_PHILIPS 設計款大螢幕電量顯示數位無線電話")</f>
        <v>(黑)M4701B_PHILIPS 設計款大螢幕電量顯示數位無線電話</v>
      </c>
      <c r="E1645" s="25" t="str">
        <f ca="1">IFERROR(__xludf.DUMMYFUNCTION("""COMPUTED_VALUE"""),"M4701B")</f>
        <v>M4701B</v>
      </c>
      <c r="F1645" s="25">
        <f ca="1">IFERROR(__xludf.DUMMYFUNCTION("""COMPUTED_VALUE"""),51073019)</f>
        <v>51073019</v>
      </c>
      <c r="G1645" s="25" t="str">
        <f ca="1">IFERROR(__xludf.DUMMYFUNCTION("""COMPUTED_VALUE"""),"EHOM0021")</f>
        <v>EHOM0021</v>
      </c>
      <c r="H1645" s="25">
        <f ca="1">IFERROR(__xludf.DUMMYFUNCTION("""COMPUTED_VALUE"""),2390)</f>
        <v>2390</v>
      </c>
      <c r="I1645" s="27">
        <f ca="1">IFERROR(__xludf.DUMMYFUNCTION("""COMPUTED_VALUE"""),2390)</f>
        <v>2390</v>
      </c>
      <c r="J1645" s="25"/>
      <c r="K1645" s="25" t="str">
        <f ca="1">IFERROR(__xludf.DUMMYFUNCTION("""COMPUTED_VALUE"""),"新機上架")</f>
        <v>新機上架</v>
      </c>
      <c r="L1645" s="26" t="str">
        <f ca="1">IFERROR(__xludf.DUMMYFUNCTION("""COMPUTED_VALUE"""),"上架中")</f>
        <v>上架中</v>
      </c>
      <c r="M1645" s="25"/>
      <c r="N1645" s="25" t="str">
        <f ca="1">IFERROR(__xludf.DUMMYFUNCTION("""COMPUTED_VALUE"""),"電話機")</f>
        <v>電話機</v>
      </c>
      <c r="O1645" s="25" t="str">
        <f ca="1">IFERROR(__xludf.DUMMYFUNCTION("""COMPUTED_VALUE"""),"黑")</f>
        <v>黑</v>
      </c>
      <c r="P1645" s="25" t="str">
        <f ca="1">IFERROR(__xludf.DUMMYFUNCTION("""COMPUTED_VALUE"""),"．輸入電壓:AC 100-240V ~50/60Hz
．功率: &lt;1W
．電池容量:500mAh
．電池類型: AAA 充電式鎳氫電池")</f>
        <v>．輸入電壓:AC 100-240V ~50/60Hz
．功率: &lt;1W
．電池容量:500mAh
．電池類型: AAA 充電式鎳氫電池</v>
      </c>
      <c r="Q1645" s="25" t="str">
        <f ca="1">IFERROR(__xludf.DUMMYFUNCTION("""COMPUTED_VALUE"""),"話機:188*50*23公釐(高*寬*深)                                           機座:40*63*125")</f>
        <v>話機:188*50*23公釐(高*寬*深)                                           機座:40*63*125</v>
      </c>
      <c r="R1645" s="25" t="str">
        <f ca="1">IFERROR(__xludf.DUMMYFUNCTION("""COMPUTED_VALUE"""),"中國")</f>
        <v>中國</v>
      </c>
      <c r="S1645" s="25"/>
      <c r="T1645" s="25"/>
      <c r="U1645" s="25" t="str">
        <f ca="1">IFERROR(__xludf.DUMMYFUNCTION("""COMPUTED_VALUE"""),"有")</f>
        <v>有</v>
      </c>
      <c r="V1645" s="25"/>
      <c r="W1645" s="25"/>
      <c r="X1645" s="25"/>
      <c r="Y1645" s="25"/>
      <c r="Z1645" s="27"/>
      <c r="AA1645" s="28" t="str">
        <f ca="1">IFERROR(__xludf.DUMMYFUNCTION("""COMPUTED_VALUE"""),"• 4.6cm螢幕顯示，清晰易讀。
 • 儲存50組聯絡人。
 • 設定拒接來電。
 • 設定自己的和弦鈴聲。
 • 正反方向均可將機座充電。 通話距離:開放空間 &lt;300 公尺；室內 &lt;50 公尺 待機/通話時間:180小時/ 14 小時")</f>
        <v>• 4.6cm螢幕顯示，清晰易讀。
 • 儲存50組聯絡人。
 • 設定拒接來電。
 • 設定自己的和弦鈴聲。
 • 正反方向均可將機座充電。 通話距離:開放空間 &lt;300 公尺；室內 &lt;50 公尺 待機/通話時間:180小時/ 14 小時</v>
      </c>
    </row>
    <row r="1646" spans="1:27" ht="12.75">
      <c r="A1646" s="25" t="str">
        <f ca="1">IFERROR(__xludf.DUMMYFUNCTION("""COMPUTED_VALUE"""),"電話機")</f>
        <v>電話機</v>
      </c>
      <c r="B1646" s="25" t="str">
        <f ca="1">IFERROR(__xludf.DUMMYFUNCTION("""COMPUTED_VALUE"""),"十全")</f>
        <v>十全</v>
      </c>
      <c r="C1646" s="25" t="str">
        <f ca="1">IFERROR(__xludf.DUMMYFUNCTION("""COMPUTED_VALUE"""),"PHILIPS")</f>
        <v>PHILIPS</v>
      </c>
      <c r="D1646" s="25" t="str">
        <f ca="1">IFERROR(__xludf.DUMMYFUNCTION("""COMPUTED_VALUE"""),"(黑)M4702B_PHILIPS 設計款大螢幕電量顯示數位子母機無線電話")</f>
        <v>(黑)M4702B_PHILIPS 設計款大螢幕電量顯示數位子母機無線電話</v>
      </c>
      <c r="E1646" s="25" t="str">
        <f ca="1">IFERROR(__xludf.DUMMYFUNCTION("""COMPUTED_VALUE"""),"M4702B")</f>
        <v>M4702B</v>
      </c>
      <c r="F1646" s="25">
        <f ca="1">IFERROR(__xludf.DUMMYFUNCTION("""COMPUTED_VALUE"""),51073020)</f>
        <v>51073020</v>
      </c>
      <c r="G1646" s="25" t="str">
        <f ca="1">IFERROR(__xludf.DUMMYFUNCTION("""COMPUTED_VALUE"""),"EHOM0022")</f>
        <v>EHOM0022</v>
      </c>
      <c r="H1646" s="25">
        <f ca="1">IFERROR(__xludf.DUMMYFUNCTION("""COMPUTED_VALUE"""),3680)</f>
        <v>3680</v>
      </c>
      <c r="I1646" s="27">
        <f ca="1">IFERROR(__xludf.DUMMYFUNCTION("""COMPUTED_VALUE"""),3680)</f>
        <v>3680</v>
      </c>
      <c r="J1646" s="25"/>
      <c r="K1646" s="25" t="str">
        <f ca="1">IFERROR(__xludf.DUMMYFUNCTION("""COMPUTED_VALUE"""),"新機上架")</f>
        <v>新機上架</v>
      </c>
      <c r="L1646" s="26" t="str">
        <f ca="1">IFERROR(__xludf.DUMMYFUNCTION("""COMPUTED_VALUE"""),"上架中")</f>
        <v>上架中</v>
      </c>
      <c r="M1646" s="25"/>
      <c r="N1646" s="25" t="str">
        <f ca="1">IFERROR(__xludf.DUMMYFUNCTION("""COMPUTED_VALUE"""),"電話機")</f>
        <v>電話機</v>
      </c>
      <c r="O1646" s="25" t="str">
        <f ca="1">IFERROR(__xludf.DUMMYFUNCTION("""COMPUTED_VALUE"""),"黑")</f>
        <v>黑</v>
      </c>
      <c r="P1646" s="25" t="str">
        <f ca="1">IFERROR(__xludf.DUMMYFUNCTION("""COMPUTED_VALUE"""),"．輸入電壓:AC 100-240V ~50/60Hz
．功率: &lt;1W
．電池容量:500mAh
．電池類型: AAA 充電式鎳氫電池")</f>
        <v>．輸入電壓:AC 100-240V ~50/60Hz
．功率: &lt;1W
．電池容量:500mAh
．電池類型: AAA 充電式鎳氫電池</v>
      </c>
      <c r="Q1646" s="25" t="str">
        <f ca="1">IFERROR(__xludf.DUMMYFUNCTION("""COMPUTED_VALUE"""),"(子機)話機:188*50*23公釐(高*寬*深)機座:40*63*125 (母機))話機:188*50*23公釐(高*寬*深)機座:40*63*125")</f>
        <v>(子機)話機:188*50*23公釐(高*寬*深)機座:40*63*125 (母機))話機:188*50*23公釐(高*寬*深)機座:40*63*125</v>
      </c>
      <c r="R1646" s="25" t="str">
        <f ca="1">IFERROR(__xludf.DUMMYFUNCTION("""COMPUTED_VALUE"""),"中國")</f>
        <v>中國</v>
      </c>
      <c r="S1646" s="25"/>
      <c r="T1646" s="25"/>
      <c r="U1646" s="25" t="str">
        <f ca="1">IFERROR(__xludf.DUMMYFUNCTION("""COMPUTED_VALUE"""),"有")</f>
        <v>有</v>
      </c>
      <c r="V1646" s="25"/>
      <c r="W1646" s="25"/>
      <c r="X1646" s="25"/>
      <c r="Y1646" s="25"/>
      <c r="Z1646" s="27"/>
      <c r="AA1646" s="28" t="str">
        <f ca="1">IFERROR(__xludf.DUMMYFUNCTION("""COMPUTED_VALUE"""),"• 4.6cm螢幕顯示，清晰易讀。
 • 儲存50組聯絡人。
 • 設定拒接來電。
 • 設定自己的和弦鈴聲。
 • 正反方向均可將機座充電。 通話距離:開放空間 &lt;300 公尺；室內 &lt;50 公尺 待機/通話時間:180小時/ 14 小時")</f>
        <v>• 4.6cm螢幕顯示，清晰易讀。
 • 儲存50組聯絡人。
 • 設定拒接來電。
 • 設定自己的和弦鈴聲。
 • 正反方向均可將機座充電。 通話距離:開放空間 &lt;300 公尺；室內 &lt;50 公尺 待機/通話時間:180小時/ 14 小時</v>
      </c>
    </row>
    <row r="1647" spans="1:27" ht="12.75">
      <c r="A1647" s="25" t="str">
        <f ca="1">IFERROR(__xludf.DUMMYFUNCTION("""COMPUTED_VALUE"""),"電話機")</f>
        <v>電話機</v>
      </c>
      <c r="B1647" s="25" t="str">
        <f ca="1">IFERROR(__xludf.DUMMYFUNCTION("""COMPUTED_VALUE"""),"十全")</f>
        <v>十全</v>
      </c>
      <c r="C1647" s="25" t="str">
        <f ca="1">IFERROR(__xludf.DUMMYFUNCTION("""COMPUTED_VALUE"""),"PHILIPS")</f>
        <v>PHILIPS</v>
      </c>
      <c r="D1647" s="25" t="str">
        <f ca="1">IFERROR(__xludf.DUMMYFUNCTION("""COMPUTED_VALUE"""),"(黑)M4751B_PHILIPS 設計款大螢幕電量顯示數位答錄機無線電話")</f>
        <v>(黑)M4751B_PHILIPS 設計款大螢幕電量顯示數位答錄機無線電話</v>
      </c>
      <c r="E1647" s="25" t="str">
        <f ca="1">IFERROR(__xludf.DUMMYFUNCTION("""COMPUTED_VALUE"""),"M4751B")</f>
        <v>M4751B</v>
      </c>
      <c r="F1647" s="25">
        <f ca="1">IFERROR(__xludf.DUMMYFUNCTION("""COMPUTED_VALUE"""),51073021)</f>
        <v>51073021</v>
      </c>
      <c r="G1647" s="25" t="str">
        <f ca="1">IFERROR(__xludf.DUMMYFUNCTION("""COMPUTED_VALUE"""),"EHOM0023")</f>
        <v>EHOM0023</v>
      </c>
      <c r="H1647" s="25">
        <f ca="1">IFERROR(__xludf.DUMMYFUNCTION("""COMPUTED_VALUE"""),2490)</f>
        <v>2490</v>
      </c>
      <c r="I1647" s="27">
        <f ca="1">IFERROR(__xludf.DUMMYFUNCTION("""COMPUTED_VALUE"""),2490)</f>
        <v>2490</v>
      </c>
      <c r="J1647" s="25"/>
      <c r="K1647" s="25" t="str">
        <f ca="1">IFERROR(__xludf.DUMMYFUNCTION("""COMPUTED_VALUE"""),"新機上架")</f>
        <v>新機上架</v>
      </c>
      <c r="L1647" s="26" t="str">
        <f ca="1">IFERROR(__xludf.DUMMYFUNCTION("""COMPUTED_VALUE"""),"上架中")</f>
        <v>上架中</v>
      </c>
      <c r="M1647" s="25"/>
      <c r="N1647" s="25" t="str">
        <f ca="1">IFERROR(__xludf.DUMMYFUNCTION("""COMPUTED_VALUE"""),"電話機")</f>
        <v>電話機</v>
      </c>
      <c r="O1647" s="25" t="str">
        <f ca="1">IFERROR(__xludf.DUMMYFUNCTION("""COMPUTED_VALUE"""),"黑")</f>
        <v>黑</v>
      </c>
      <c r="P1647" s="25" t="str">
        <f ca="1">IFERROR(__xludf.DUMMYFUNCTION("""COMPUTED_VALUE"""),"．輸入電壓:AC 100-240V ~50/60Hz
．功率: &lt;1W
．電池容量:500mAh
．電池類型: AAA 充電式鎳氫電池")</f>
        <v>．輸入電壓:AC 100-240V ~50/60Hz
．功率: &lt;1W
．電池容量:500mAh
．電池類型: AAA 充電式鎳氫電池</v>
      </c>
      <c r="Q1647" s="25" t="str">
        <f ca="1">IFERROR(__xludf.DUMMYFUNCTION("""COMPUTED_VALUE"""),"話機:188*50*23公釐(高*寬*深)機座:40*63*125")</f>
        <v>話機:188*50*23公釐(高*寬*深)機座:40*63*125</v>
      </c>
      <c r="R1647" s="25" t="str">
        <f ca="1">IFERROR(__xludf.DUMMYFUNCTION("""COMPUTED_VALUE"""),"中國")</f>
        <v>中國</v>
      </c>
      <c r="S1647" s="25"/>
      <c r="T1647" s="25"/>
      <c r="U1647" s="25" t="str">
        <f ca="1">IFERROR(__xludf.DUMMYFUNCTION("""COMPUTED_VALUE"""),"有")</f>
        <v>有</v>
      </c>
      <c r="V1647" s="25"/>
      <c r="W1647" s="25"/>
      <c r="X1647" s="25"/>
      <c r="Y1647" s="25"/>
      <c r="Z1647" s="27"/>
      <c r="AA1647" s="28" t="str">
        <f ca="1">IFERROR(__xludf.DUMMYFUNCTION("""COMPUTED_VALUE"""),"• 4.6cm螢幕顯示，清晰易讀。
 • 儲存50組聯絡人。
 • 設定拒接來電。
 • 設定自己的和弦鈴聲。
 • 正反方向均可將機座充電。 通話距離:開放空間 &lt;300 公尺；室內 &lt;50 公尺 待機/通話時間:180小時/ 14 小時")</f>
        <v>• 4.6cm螢幕顯示，清晰易讀。
 • 儲存50組聯絡人。
 • 設定拒接來電。
 • 設定自己的和弦鈴聲。
 • 正反方向均可將機座充電。 通話距離:開放空間 &lt;300 公尺；室內 &lt;50 公尺 待機/通話時間:180小時/ 14 小時</v>
      </c>
    </row>
    <row r="1648" spans="1:27" ht="12.75">
      <c r="A1648" s="25" t="str">
        <f ca="1">IFERROR(__xludf.DUMMYFUNCTION("""COMPUTED_VALUE"""),"電話機")</f>
        <v>電話機</v>
      </c>
      <c r="B1648" s="25" t="str">
        <f ca="1">IFERROR(__xludf.DUMMYFUNCTION("""COMPUTED_VALUE"""),"十全")</f>
        <v>十全</v>
      </c>
      <c r="C1648" s="25" t="str">
        <f ca="1">IFERROR(__xludf.DUMMYFUNCTION("""COMPUTED_VALUE"""),"PHILIPS")</f>
        <v>PHILIPS</v>
      </c>
      <c r="D1648" s="25" t="str">
        <f ca="1">IFERROR(__xludf.DUMMYFUNCTION("""COMPUTED_VALUE"""),"(黑)M4752B_PHILIPS 設計款大螢幕電量顯示數位子母答錄機無線電話")</f>
        <v>(黑)M4752B_PHILIPS 設計款大螢幕電量顯示數位子母答錄機無線電話</v>
      </c>
      <c r="E1648" s="25" t="str">
        <f ca="1">IFERROR(__xludf.DUMMYFUNCTION("""COMPUTED_VALUE"""),"M4752B")</f>
        <v>M4752B</v>
      </c>
      <c r="F1648" s="25">
        <f ca="1">IFERROR(__xludf.DUMMYFUNCTION("""COMPUTED_VALUE"""),51073022)</f>
        <v>51073022</v>
      </c>
      <c r="G1648" s="25" t="str">
        <f ca="1">IFERROR(__xludf.DUMMYFUNCTION("""COMPUTED_VALUE"""),"EHOM0024")</f>
        <v>EHOM0024</v>
      </c>
      <c r="H1648" s="25">
        <f ca="1">IFERROR(__xludf.DUMMYFUNCTION("""COMPUTED_VALUE"""),3780)</f>
        <v>3780</v>
      </c>
      <c r="I1648" s="27">
        <f ca="1">IFERROR(__xludf.DUMMYFUNCTION("""COMPUTED_VALUE"""),3780)</f>
        <v>3780</v>
      </c>
      <c r="J1648" s="25"/>
      <c r="K1648" s="25" t="str">
        <f ca="1">IFERROR(__xludf.DUMMYFUNCTION("""COMPUTED_VALUE"""),"新機上架")</f>
        <v>新機上架</v>
      </c>
      <c r="L1648" s="26" t="str">
        <f ca="1">IFERROR(__xludf.DUMMYFUNCTION("""COMPUTED_VALUE"""),"上架中")</f>
        <v>上架中</v>
      </c>
      <c r="M1648" s="25"/>
      <c r="N1648" s="25" t="str">
        <f ca="1">IFERROR(__xludf.DUMMYFUNCTION("""COMPUTED_VALUE"""),"電話機")</f>
        <v>電話機</v>
      </c>
      <c r="O1648" s="25" t="str">
        <f ca="1">IFERROR(__xludf.DUMMYFUNCTION("""COMPUTED_VALUE"""),"黑")</f>
        <v>黑</v>
      </c>
      <c r="P1648" s="25" t="str">
        <f ca="1">IFERROR(__xludf.DUMMYFUNCTION("""COMPUTED_VALUE"""),"．輸入電壓:AC 100-240V ~50/60Hz
．功率: &lt;1W
．電池容量:500mAh
．電池類型: AAA 充電式鎳氫電池")</f>
        <v>．輸入電壓:AC 100-240V ~50/60Hz
．功率: &lt;1W
．電池容量:500mAh
．電池類型: AAA 充電式鎳氫電池</v>
      </c>
      <c r="Q1648" s="25" t="str">
        <f ca="1">IFERROR(__xludf.DUMMYFUNCTION("""COMPUTED_VALUE"""),"(子機)                                       話機:188*50*23公釐(高*寬*深)                                           機座:40*63*125                    (母機)                                      話機:188*50*23公釐(高*寬*深)                                           機座:40*63*1"&amp;"25")</f>
        <v>(子機)                                       話機:188*50*23公釐(高*寬*深)                                           機座:40*63*125                    (母機)                                      話機:188*50*23公釐(高*寬*深)                                           機座:40*63*125</v>
      </c>
      <c r="R1648" s="25" t="str">
        <f ca="1">IFERROR(__xludf.DUMMYFUNCTION("""COMPUTED_VALUE"""),"中國")</f>
        <v>中國</v>
      </c>
      <c r="S1648" s="25"/>
      <c r="T1648" s="25"/>
      <c r="U1648" s="25" t="str">
        <f ca="1">IFERROR(__xludf.DUMMYFUNCTION("""COMPUTED_VALUE"""),"有")</f>
        <v>有</v>
      </c>
      <c r="V1648" s="25"/>
      <c r="W1648" s="25"/>
      <c r="X1648" s="25"/>
      <c r="Y1648" s="25"/>
      <c r="Z1648" s="27"/>
      <c r="AA1648" s="28" t="str">
        <f ca="1">IFERROR(__xludf.DUMMYFUNCTION("""COMPUTED_VALUE"""),"• 一目了然的4.6 公分螢幕顯示。
 • 答錄留言長達25分鐘。
 • 設定黑名單。
 • 免持聽筒通話。
 • 儲存 50 位聯絡人。
 • 正反方向均可將機座充電。 通話距離:開放空間 &lt;300 公尺；室內 &lt;50 公尺 待機/通話時間:180小時/ 14 小時")</f>
        <v>• 一目了然的4.6 公分螢幕顯示。
 • 答錄留言長達25分鐘。
 • 設定黑名單。
 • 免持聽筒通話。
 • 儲存 50 位聯絡人。
 • 正反方向均可將機座充電。 通話距離:開放空間 &lt;300 公尺；室內 &lt;50 公尺 待機/通話時間:180小時/ 14 小時</v>
      </c>
    </row>
    <row r="1649" spans="1:27" ht="12.75">
      <c r="A1649" s="25" t="str">
        <f ca="1">IFERROR(__xludf.DUMMYFUNCTION("""COMPUTED_VALUE"""),"電話機")</f>
        <v>電話機</v>
      </c>
      <c r="B1649" s="25" t="str">
        <f ca="1">IFERROR(__xludf.DUMMYFUNCTION("""COMPUTED_VALUE"""),"十全")</f>
        <v>十全</v>
      </c>
      <c r="C1649" s="25" t="str">
        <f ca="1">IFERROR(__xludf.DUMMYFUNCTION("""COMPUTED_VALUE"""),"PHILIPS")</f>
        <v>PHILIPS</v>
      </c>
      <c r="D1649" s="25" t="str">
        <f ca="1">IFERROR(__xludf.DUMMYFUNCTION("""COMPUTED_VALUE"""),"(黑)M10B_PHILIPS 中文來電顯示有線電話")</f>
        <v>(黑)M10B_PHILIPS 中文來電顯示有線電話</v>
      </c>
      <c r="E1649" s="25" t="str">
        <f ca="1">IFERROR(__xludf.DUMMYFUNCTION("""COMPUTED_VALUE"""),"M10B")</f>
        <v>M10B</v>
      </c>
      <c r="F1649" s="25">
        <f ca="1">IFERROR(__xludf.DUMMYFUNCTION("""COMPUTED_VALUE"""),51073023)</f>
        <v>51073023</v>
      </c>
      <c r="G1649" s="25" t="str">
        <f ca="1">IFERROR(__xludf.DUMMYFUNCTION("""COMPUTED_VALUE"""),"EHOM0025")</f>
        <v>EHOM0025</v>
      </c>
      <c r="H1649" s="25">
        <f ca="1">IFERROR(__xludf.DUMMYFUNCTION("""COMPUTED_VALUE"""),899)</f>
        <v>899</v>
      </c>
      <c r="I1649" s="27">
        <f ca="1">IFERROR(__xludf.DUMMYFUNCTION("""COMPUTED_VALUE"""),899)</f>
        <v>899</v>
      </c>
      <c r="J1649" s="25"/>
      <c r="K1649" s="25" t="str">
        <f ca="1">IFERROR(__xludf.DUMMYFUNCTION("""COMPUTED_VALUE"""),"新機上架")</f>
        <v>新機上架</v>
      </c>
      <c r="L1649" s="26" t="str">
        <f ca="1">IFERROR(__xludf.DUMMYFUNCTION("""COMPUTED_VALUE"""),"上架中")</f>
        <v>上架中</v>
      </c>
      <c r="M1649" s="25"/>
      <c r="N1649" s="25" t="str">
        <f ca="1">IFERROR(__xludf.DUMMYFUNCTION("""COMPUTED_VALUE"""),"電話機")</f>
        <v>電話機</v>
      </c>
      <c r="O1649" s="25" t="str">
        <f ca="1">IFERROR(__xludf.DUMMYFUNCTION("""COMPUTED_VALUE"""),"黑")</f>
        <v>黑</v>
      </c>
      <c r="P1649" s="25" t="str">
        <f ca="1">IFERROR(__xludf.DUMMYFUNCTION("""COMPUTED_VALUE"""),"功率
• 電池容量 : 470 mAh
• 電池類型 : 四號 (AAA) 電池
• 電池數量 : 2
")</f>
        <v xml:space="preserve">功率
• 電池容量 : 470 mAh
• 電池類型 : 四號 (AAA) 電池
• 電池數量 : 2
</v>
      </c>
      <c r="Q1649" s="25" t="str">
        <f ca="1">IFERROR(__xludf.DUMMYFUNCTION("""COMPUTED_VALUE"""),"主機+聽筒:80*151*208公釐(高*寬*深)")</f>
        <v>主機+聽筒:80*151*208公釐(高*寬*深)</v>
      </c>
      <c r="R1649" s="25" t="str">
        <f ca="1">IFERROR(__xludf.DUMMYFUNCTION("""COMPUTED_VALUE"""),"中國")</f>
        <v>中國</v>
      </c>
      <c r="S1649" s="25"/>
      <c r="T1649" s="25"/>
      <c r="U1649" s="25" t="str">
        <f ca="1">IFERROR(__xludf.DUMMYFUNCTION("""COMPUTED_VALUE"""),"有")</f>
        <v>有</v>
      </c>
      <c r="V1649" s="25"/>
      <c r="W1649" s="25"/>
      <c r="X1649" s="25"/>
      <c r="Y1649" s="25"/>
      <c r="Z1649" s="27"/>
      <c r="AA1649" s="28" t="str">
        <f ca="1">IFERROR(__xludf.DUMMYFUNCTION("""COMPUTED_VALUE"""),"．隨插即用真便利。
．儲備電源模式，停電也能通話。
．60組通話紀錄儲存。
．易讀的 LCD 來電顯示功能。
．來電鈴聲響亮音質清晰。")</f>
        <v>．隨插即用真便利。
．儲備電源模式，停電也能通話。
．60組通話紀錄儲存。
．易讀的 LCD 來電顯示功能。
．來電鈴聲響亮音質清晰。</v>
      </c>
    </row>
    <row r="1650" spans="1:27" ht="12.75">
      <c r="A1650" s="25" t="str">
        <f ca="1">IFERROR(__xludf.DUMMYFUNCTION("""COMPUTED_VALUE"""),"電話機")</f>
        <v>電話機</v>
      </c>
      <c r="B1650" s="25" t="str">
        <f ca="1">IFERROR(__xludf.DUMMYFUNCTION("""COMPUTED_VALUE"""),"十全")</f>
        <v>十全</v>
      </c>
      <c r="C1650" s="25" t="str">
        <f ca="1">IFERROR(__xludf.DUMMYFUNCTION("""COMPUTED_VALUE"""),"PHILIPS")</f>
        <v>PHILIPS</v>
      </c>
      <c r="D1650" s="25" t="str">
        <f ca="1">IFERROR(__xludf.DUMMYFUNCTION("""COMPUTED_VALUE"""),"(白)M10W_PHILIPS中文來電顯示有線電話")</f>
        <v>(白)M10W_PHILIPS中文來電顯示有線電話</v>
      </c>
      <c r="E1650" s="25" t="str">
        <f ca="1">IFERROR(__xludf.DUMMYFUNCTION("""COMPUTED_VALUE"""),"M10W")</f>
        <v>M10W</v>
      </c>
      <c r="F1650" s="25">
        <f ca="1">IFERROR(__xludf.DUMMYFUNCTION("""COMPUTED_VALUE"""),51073024)</f>
        <v>51073024</v>
      </c>
      <c r="G1650" s="25" t="str">
        <f ca="1">IFERROR(__xludf.DUMMYFUNCTION("""COMPUTED_VALUE"""),"EHOM0026")</f>
        <v>EHOM0026</v>
      </c>
      <c r="H1650" s="25">
        <f ca="1">IFERROR(__xludf.DUMMYFUNCTION("""COMPUTED_VALUE"""),899)</f>
        <v>899</v>
      </c>
      <c r="I1650" s="27">
        <f ca="1">IFERROR(__xludf.DUMMYFUNCTION("""COMPUTED_VALUE"""),899)</f>
        <v>899</v>
      </c>
      <c r="J1650" s="25"/>
      <c r="K1650" s="25" t="str">
        <f ca="1">IFERROR(__xludf.DUMMYFUNCTION("""COMPUTED_VALUE"""),"新機上架")</f>
        <v>新機上架</v>
      </c>
      <c r="L1650" s="26" t="str">
        <f ca="1">IFERROR(__xludf.DUMMYFUNCTION("""COMPUTED_VALUE"""),"上架中")</f>
        <v>上架中</v>
      </c>
      <c r="M1650" s="25"/>
      <c r="N1650" s="25" t="str">
        <f ca="1">IFERROR(__xludf.DUMMYFUNCTION("""COMPUTED_VALUE"""),"電話機")</f>
        <v>電話機</v>
      </c>
      <c r="O1650" s="25" t="str">
        <f ca="1">IFERROR(__xludf.DUMMYFUNCTION("""COMPUTED_VALUE"""),"白")</f>
        <v>白</v>
      </c>
      <c r="P1650" s="25" t="str">
        <f ca="1">IFERROR(__xludf.DUMMYFUNCTION("""COMPUTED_VALUE"""),"功率
• 電池容量 : 470 mAh
• 電池類型 : 四號 (AAA) 電池
• 電池數量 : 2
")</f>
        <v xml:space="preserve">功率
• 電池容量 : 470 mAh
• 電池類型 : 四號 (AAA) 電池
• 電池數量 : 2
</v>
      </c>
      <c r="Q1650" s="25" t="str">
        <f ca="1">IFERROR(__xludf.DUMMYFUNCTION("""COMPUTED_VALUE"""),"主機+聽筒:80*151*208公釐(高*寬*深)")</f>
        <v>主機+聽筒:80*151*208公釐(高*寬*深)</v>
      </c>
      <c r="R1650" s="25" t="str">
        <f ca="1">IFERROR(__xludf.DUMMYFUNCTION("""COMPUTED_VALUE"""),"中國")</f>
        <v>中國</v>
      </c>
      <c r="S1650" s="25"/>
      <c r="T1650" s="25"/>
      <c r="U1650" s="25" t="str">
        <f ca="1">IFERROR(__xludf.DUMMYFUNCTION("""COMPUTED_VALUE"""),"有")</f>
        <v>有</v>
      </c>
      <c r="V1650" s="25"/>
      <c r="W1650" s="25"/>
      <c r="X1650" s="25"/>
      <c r="Y1650" s="25"/>
      <c r="Z1650" s="27"/>
      <c r="AA1650" s="28" t="str">
        <f ca="1">IFERROR(__xludf.DUMMYFUNCTION("""COMPUTED_VALUE"""),"．隨插即用真便利。
．儲備電源模式，停電也能通話。
．60組通話紀錄儲存。
．易讀的 LCD 來電顯示功能。
．來電鈴聲響亮音質清晰。")</f>
        <v>．隨插即用真便利。
．儲備電源模式，停電也能通話。
．60組通話紀錄儲存。
．易讀的 LCD 來電顯示功能。
．來電鈴聲響亮音質清晰。</v>
      </c>
    </row>
    <row r="1651" spans="1:27" ht="12.75">
      <c r="A1651" s="25"/>
      <c r="B1651" s="25"/>
      <c r="C1651" s="25"/>
      <c r="D1651" s="25"/>
      <c r="E1651" s="25"/>
      <c r="F1651" s="25"/>
      <c r="G1651" s="25"/>
      <c r="H1651" s="25"/>
      <c r="I1651" s="27"/>
      <c r="J1651" s="25"/>
      <c r="K1651" s="25"/>
      <c r="L1651" s="25"/>
      <c r="M1651" s="25"/>
      <c r="N1651" s="25"/>
      <c r="O1651" s="25"/>
      <c r="P1651" s="25"/>
      <c r="Q1651" s="25"/>
      <c r="R1651" s="25"/>
      <c r="S1651" s="25"/>
      <c r="T1651" s="25"/>
      <c r="U1651" s="25"/>
      <c r="V1651" s="25"/>
      <c r="W1651" s="25"/>
      <c r="X1651" s="25"/>
      <c r="Y1651" s="25"/>
      <c r="Z1651" s="27"/>
      <c r="AA1651" s="28"/>
    </row>
    <row r="1652" spans="1:27" ht="12.75">
      <c r="A1652" s="25"/>
      <c r="B1652" s="25"/>
      <c r="C1652" s="25"/>
      <c r="D1652" s="25"/>
      <c r="E1652" s="25"/>
      <c r="F1652" s="25"/>
      <c r="G1652" s="25"/>
      <c r="H1652" s="25"/>
      <c r="I1652" s="27"/>
      <c r="J1652" s="25"/>
      <c r="K1652" s="25"/>
      <c r="L1652" s="25"/>
      <c r="M1652" s="25"/>
      <c r="N1652" s="25"/>
      <c r="O1652" s="25"/>
      <c r="P1652" s="25"/>
      <c r="Q1652" s="25"/>
      <c r="R1652" s="25"/>
      <c r="S1652" s="25"/>
      <c r="T1652" s="25"/>
      <c r="U1652" s="25"/>
      <c r="V1652" s="25"/>
      <c r="W1652" s="25"/>
      <c r="X1652" s="25"/>
      <c r="Y1652" s="25"/>
      <c r="Z1652" s="27"/>
      <c r="AA1652" s="28"/>
    </row>
    <row r="1653" spans="1:27" ht="12.75">
      <c r="A1653" s="25"/>
      <c r="B1653" s="25"/>
      <c r="C1653" s="25"/>
      <c r="D1653" s="25"/>
      <c r="E1653" s="25"/>
      <c r="F1653" s="25"/>
      <c r="G1653" s="25"/>
      <c r="H1653" s="25"/>
      <c r="I1653" s="27"/>
      <c r="J1653" s="25"/>
      <c r="K1653" s="25"/>
      <c r="L1653" s="25"/>
      <c r="M1653" s="25"/>
      <c r="N1653" s="25"/>
      <c r="O1653" s="25"/>
      <c r="P1653" s="25"/>
      <c r="Q1653" s="25"/>
      <c r="R1653" s="25"/>
      <c r="S1653" s="25"/>
      <c r="T1653" s="25"/>
      <c r="U1653" s="25"/>
      <c r="V1653" s="25"/>
      <c r="W1653" s="25"/>
      <c r="X1653" s="25"/>
      <c r="Y1653" s="25"/>
      <c r="Z1653" s="27"/>
      <c r="AA1653" s="28"/>
    </row>
    <row r="1654" spans="1:27" ht="12.75">
      <c r="A1654" s="25"/>
      <c r="B1654" s="25"/>
      <c r="C1654" s="25"/>
      <c r="D1654" s="25"/>
      <c r="E1654" s="25"/>
      <c r="F1654" s="25"/>
      <c r="G1654" s="25"/>
      <c r="H1654" s="25"/>
      <c r="I1654" s="27"/>
      <c r="J1654" s="25"/>
      <c r="K1654" s="25"/>
      <c r="L1654" s="25"/>
      <c r="M1654" s="25"/>
      <c r="N1654" s="25"/>
      <c r="O1654" s="25"/>
      <c r="P1654" s="25"/>
      <c r="Q1654" s="25"/>
      <c r="R1654" s="25"/>
      <c r="S1654" s="25"/>
      <c r="T1654" s="25"/>
      <c r="U1654" s="25"/>
      <c r="V1654" s="25"/>
      <c r="W1654" s="25"/>
      <c r="X1654" s="25"/>
      <c r="Y1654" s="25"/>
      <c r="Z1654" s="27"/>
      <c r="AA1654" s="28"/>
    </row>
    <row r="1655" spans="1:27" ht="12.75">
      <c r="A1655" s="25"/>
      <c r="B1655" s="25"/>
      <c r="C1655" s="25"/>
      <c r="D1655" s="25"/>
      <c r="E1655" s="25"/>
      <c r="F1655" s="25"/>
      <c r="G1655" s="25"/>
      <c r="H1655" s="25"/>
      <c r="I1655" s="27"/>
      <c r="J1655" s="25"/>
      <c r="K1655" s="25"/>
      <c r="L1655" s="25"/>
      <c r="M1655" s="25"/>
      <c r="N1655" s="25"/>
      <c r="O1655" s="25"/>
      <c r="P1655" s="25"/>
      <c r="Q1655" s="25"/>
      <c r="R1655" s="25"/>
      <c r="S1655" s="25"/>
      <c r="T1655" s="25"/>
      <c r="U1655" s="25"/>
      <c r="V1655" s="25"/>
      <c r="W1655" s="25"/>
      <c r="X1655" s="25"/>
      <c r="Y1655" s="25"/>
      <c r="Z1655" s="27"/>
      <c r="AA1655" s="28"/>
    </row>
    <row r="1656" spans="1:27" ht="12.75">
      <c r="A1656" s="25"/>
      <c r="B1656" s="25"/>
      <c r="C1656" s="25"/>
      <c r="D1656" s="25"/>
      <c r="E1656" s="25"/>
      <c r="F1656" s="25"/>
      <c r="G1656" s="25"/>
      <c r="H1656" s="25"/>
      <c r="I1656" s="27"/>
      <c r="J1656" s="25"/>
      <c r="K1656" s="25"/>
      <c r="L1656" s="25"/>
      <c r="M1656" s="25"/>
      <c r="N1656" s="25"/>
      <c r="O1656" s="25"/>
      <c r="P1656" s="25"/>
      <c r="Q1656" s="25"/>
      <c r="R1656" s="25"/>
      <c r="S1656" s="25"/>
      <c r="T1656" s="25"/>
      <c r="U1656" s="25"/>
      <c r="V1656" s="25"/>
      <c r="W1656" s="25"/>
      <c r="X1656" s="25"/>
      <c r="Y1656" s="25"/>
      <c r="Z1656" s="27"/>
      <c r="AA1656" s="28"/>
    </row>
    <row r="1657" spans="1:27" ht="12.75">
      <c r="A1657" s="25"/>
      <c r="B1657" s="25"/>
      <c r="C1657" s="25"/>
      <c r="D1657" s="25"/>
      <c r="E1657" s="25"/>
      <c r="F1657" s="25"/>
      <c r="G1657" s="25"/>
      <c r="H1657" s="25"/>
      <c r="I1657" s="27"/>
      <c r="J1657" s="25"/>
      <c r="K1657" s="25"/>
      <c r="L1657" s="25"/>
      <c r="M1657" s="25"/>
      <c r="N1657" s="25"/>
      <c r="O1657" s="25"/>
      <c r="P1657" s="25"/>
      <c r="Q1657" s="25"/>
      <c r="R1657" s="25"/>
      <c r="S1657" s="25"/>
      <c r="T1657" s="25"/>
      <c r="U1657" s="25"/>
      <c r="V1657" s="25"/>
      <c r="W1657" s="25"/>
      <c r="X1657" s="25"/>
      <c r="Y1657" s="25"/>
      <c r="Z1657" s="27"/>
      <c r="AA1657" s="28"/>
    </row>
    <row r="1658" spans="1:27" ht="12.75">
      <c r="A1658" s="25"/>
      <c r="B1658" s="25"/>
      <c r="C1658" s="25"/>
      <c r="D1658" s="25"/>
      <c r="E1658" s="25"/>
      <c r="F1658" s="25"/>
      <c r="G1658" s="25"/>
      <c r="H1658" s="25"/>
      <c r="I1658" s="27"/>
      <c r="J1658" s="25"/>
      <c r="K1658" s="25"/>
      <c r="L1658" s="25"/>
      <c r="M1658" s="25"/>
      <c r="N1658" s="25"/>
      <c r="O1658" s="25"/>
      <c r="P1658" s="25"/>
      <c r="Q1658" s="25"/>
      <c r="R1658" s="25"/>
      <c r="S1658" s="25"/>
      <c r="T1658" s="25"/>
      <c r="U1658" s="25"/>
      <c r="V1658" s="25"/>
      <c r="W1658" s="25"/>
      <c r="X1658" s="25"/>
      <c r="Y1658" s="25"/>
      <c r="Z1658" s="27"/>
      <c r="AA1658" s="28"/>
    </row>
    <row r="1659" spans="1:27" ht="12.75">
      <c r="A1659" s="25"/>
      <c r="B1659" s="25"/>
      <c r="C1659" s="25"/>
      <c r="D1659" s="25"/>
      <c r="E1659" s="25"/>
      <c r="F1659" s="25"/>
      <c r="G1659" s="25"/>
      <c r="H1659" s="25"/>
      <c r="I1659" s="27"/>
      <c r="J1659" s="25"/>
      <c r="K1659" s="25"/>
      <c r="L1659" s="25"/>
      <c r="M1659" s="25"/>
      <c r="N1659" s="25"/>
      <c r="O1659" s="25"/>
      <c r="P1659" s="25"/>
      <c r="Q1659" s="25"/>
      <c r="R1659" s="25"/>
      <c r="S1659" s="25"/>
      <c r="T1659" s="25"/>
      <c r="U1659" s="25"/>
      <c r="V1659" s="25"/>
      <c r="W1659" s="25"/>
      <c r="X1659" s="25"/>
      <c r="Y1659" s="25"/>
      <c r="Z1659" s="27"/>
      <c r="AA1659" s="28"/>
    </row>
    <row r="1660" spans="1:27" ht="12.75">
      <c r="A1660" s="25"/>
      <c r="B1660" s="25"/>
      <c r="C1660" s="25"/>
      <c r="D1660" s="25"/>
      <c r="E1660" s="25"/>
      <c r="F1660" s="25"/>
      <c r="G1660" s="25"/>
      <c r="H1660" s="25"/>
      <c r="I1660" s="27"/>
      <c r="J1660" s="25"/>
      <c r="K1660" s="25"/>
      <c r="L1660" s="25"/>
      <c r="M1660" s="25"/>
      <c r="N1660" s="25"/>
      <c r="O1660" s="25"/>
      <c r="P1660" s="25"/>
      <c r="Q1660" s="25"/>
      <c r="R1660" s="25"/>
      <c r="S1660" s="25"/>
      <c r="T1660" s="25"/>
      <c r="U1660" s="25"/>
      <c r="V1660" s="25"/>
      <c r="W1660" s="25"/>
      <c r="X1660" s="25"/>
      <c r="Y1660" s="25"/>
      <c r="Z1660" s="27"/>
      <c r="AA1660" s="28"/>
    </row>
    <row r="1661" spans="1:27" ht="12.75">
      <c r="A1661" s="25"/>
      <c r="B1661" s="25"/>
      <c r="C1661" s="25"/>
      <c r="D1661" s="25"/>
      <c r="E1661" s="25"/>
      <c r="F1661" s="25"/>
      <c r="G1661" s="25"/>
      <c r="H1661" s="25"/>
      <c r="I1661" s="27"/>
      <c r="J1661" s="25"/>
      <c r="K1661" s="25"/>
      <c r="L1661" s="25"/>
      <c r="M1661" s="25"/>
      <c r="N1661" s="25"/>
      <c r="O1661" s="25"/>
      <c r="P1661" s="25"/>
      <c r="Q1661" s="25"/>
      <c r="R1661" s="25"/>
      <c r="S1661" s="25"/>
      <c r="T1661" s="25"/>
      <c r="U1661" s="25"/>
      <c r="V1661" s="25"/>
      <c r="W1661" s="25"/>
      <c r="X1661" s="25"/>
      <c r="Y1661" s="25"/>
      <c r="Z1661" s="27"/>
      <c r="AA1661" s="28"/>
    </row>
    <row r="1662" spans="1:27" ht="12.75">
      <c r="A1662" s="25"/>
      <c r="B1662" s="25"/>
      <c r="C1662" s="25"/>
      <c r="D1662" s="25"/>
      <c r="E1662" s="25"/>
      <c r="F1662" s="25"/>
      <c r="G1662" s="25"/>
      <c r="H1662" s="25"/>
      <c r="I1662" s="27"/>
      <c r="J1662" s="25"/>
      <c r="K1662" s="25"/>
      <c r="L1662" s="25"/>
      <c r="M1662" s="25"/>
      <c r="N1662" s="25"/>
      <c r="O1662" s="25"/>
      <c r="P1662" s="25"/>
      <c r="Q1662" s="25"/>
      <c r="R1662" s="25"/>
      <c r="S1662" s="25"/>
      <c r="T1662" s="25"/>
      <c r="U1662" s="25"/>
      <c r="V1662" s="25"/>
      <c r="W1662" s="25"/>
      <c r="X1662" s="25"/>
      <c r="Y1662" s="25"/>
      <c r="Z1662" s="27"/>
      <c r="AA1662" s="28"/>
    </row>
    <row r="1663" spans="1:27" ht="12.75">
      <c r="A1663" s="25"/>
      <c r="B1663" s="25"/>
      <c r="C1663" s="25"/>
      <c r="D1663" s="25"/>
      <c r="E1663" s="25"/>
      <c r="F1663" s="25"/>
      <c r="G1663" s="25"/>
      <c r="H1663" s="25"/>
      <c r="I1663" s="27"/>
      <c r="J1663" s="25"/>
      <c r="K1663" s="25"/>
      <c r="L1663" s="25"/>
      <c r="M1663" s="25"/>
      <c r="N1663" s="25"/>
      <c r="O1663" s="25"/>
      <c r="P1663" s="25"/>
      <c r="Q1663" s="25"/>
      <c r="R1663" s="25"/>
      <c r="S1663" s="25"/>
      <c r="T1663" s="25"/>
      <c r="U1663" s="25"/>
      <c r="V1663" s="25"/>
      <c r="W1663" s="25"/>
      <c r="X1663" s="25"/>
      <c r="Y1663" s="25"/>
      <c r="Z1663" s="27"/>
      <c r="AA1663" s="28"/>
    </row>
    <row r="1664" spans="1:27" ht="12.75">
      <c r="A1664" s="25"/>
      <c r="B1664" s="25"/>
      <c r="C1664" s="25"/>
      <c r="D1664" s="25"/>
      <c r="E1664" s="25"/>
      <c r="F1664" s="25"/>
      <c r="G1664" s="25"/>
      <c r="H1664" s="25"/>
      <c r="I1664" s="27"/>
      <c r="J1664" s="25"/>
      <c r="K1664" s="25"/>
      <c r="L1664" s="25"/>
      <c r="M1664" s="25"/>
      <c r="N1664" s="25"/>
      <c r="O1664" s="25"/>
      <c r="P1664" s="25"/>
      <c r="Q1664" s="25"/>
      <c r="R1664" s="25"/>
      <c r="S1664" s="25"/>
      <c r="T1664" s="25"/>
      <c r="U1664" s="25"/>
      <c r="V1664" s="25"/>
      <c r="W1664" s="25"/>
      <c r="X1664" s="25"/>
      <c r="Y1664" s="25"/>
      <c r="Z1664" s="27"/>
      <c r="AA1664" s="28"/>
    </row>
    <row r="1665" spans="1:27" ht="12.75">
      <c r="A1665" s="25"/>
      <c r="B1665" s="25"/>
      <c r="C1665" s="25"/>
      <c r="D1665" s="25"/>
      <c r="E1665" s="25"/>
      <c r="F1665" s="25"/>
      <c r="G1665" s="25"/>
      <c r="H1665" s="25"/>
      <c r="I1665" s="27"/>
      <c r="J1665" s="25"/>
      <c r="K1665" s="25"/>
      <c r="L1665" s="25"/>
      <c r="M1665" s="25"/>
      <c r="N1665" s="25"/>
      <c r="O1665" s="25"/>
      <c r="P1665" s="25"/>
      <c r="Q1665" s="25"/>
      <c r="R1665" s="25"/>
      <c r="S1665" s="25"/>
      <c r="T1665" s="25"/>
      <c r="U1665" s="25"/>
      <c r="V1665" s="25"/>
      <c r="W1665" s="25"/>
      <c r="X1665" s="25"/>
      <c r="Y1665" s="25"/>
      <c r="Z1665" s="27"/>
      <c r="AA1665" s="28"/>
    </row>
    <row r="1666" spans="1:27" ht="12.75">
      <c r="A1666" s="25"/>
      <c r="B1666" s="25"/>
      <c r="C1666" s="25"/>
      <c r="D1666" s="25"/>
      <c r="E1666" s="25"/>
      <c r="F1666" s="25"/>
      <c r="G1666" s="25"/>
      <c r="H1666" s="25"/>
      <c r="I1666" s="27"/>
      <c r="J1666" s="25"/>
      <c r="K1666" s="25"/>
      <c r="L1666" s="25"/>
      <c r="M1666" s="25"/>
      <c r="N1666" s="25"/>
      <c r="O1666" s="25"/>
      <c r="P1666" s="25"/>
      <c r="Q1666" s="25"/>
      <c r="R1666" s="25"/>
      <c r="S1666" s="25"/>
      <c r="T1666" s="25"/>
      <c r="U1666" s="25"/>
      <c r="V1666" s="25"/>
      <c r="W1666" s="25"/>
      <c r="X1666" s="25"/>
      <c r="Y1666" s="25"/>
      <c r="Z1666" s="27"/>
      <c r="AA1666" s="28"/>
    </row>
    <row r="1667" spans="1:27" ht="12.75">
      <c r="A1667" s="25"/>
      <c r="B1667" s="25"/>
      <c r="C1667" s="25"/>
      <c r="D1667" s="25"/>
      <c r="E1667" s="25"/>
      <c r="F1667" s="25"/>
      <c r="G1667" s="25"/>
      <c r="H1667" s="25"/>
      <c r="I1667" s="27"/>
      <c r="J1667" s="25"/>
      <c r="K1667" s="25"/>
      <c r="L1667" s="25"/>
      <c r="M1667" s="25"/>
      <c r="N1667" s="25"/>
      <c r="O1667" s="25"/>
      <c r="P1667" s="25"/>
      <c r="Q1667" s="25"/>
      <c r="R1667" s="25"/>
      <c r="S1667" s="25"/>
      <c r="T1667" s="25"/>
      <c r="U1667" s="25"/>
      <c r="V1667" s="25"/>
      <c r="W1667" s="25"/>
      <c r="X1667" s="25"/>
      <c r="Y1667" s="25"/>
      <c r="Z1667" s="27"/>
      <c r="AA1667" s="28"/>
    </row>
    <row r="1668" spans="1:27" ht="12.75">
      <c r="A1668" s="25"/>
      <c r="B1668" s="25"/>
      <c r="C1668" s="25"/>
      <c r="D1668" s="25"/>
      <c r="E1668" s="25"/>
      <c r="F1668" s="25"/>
      <c r="G1668" s="25"/>
      <c r="H1668" s="25"/>
      <c r="I1668" s="27"/>
      <c r="J1668" s="25"/>
      <c r="K1668" s="25"/>
      <c r="L1668" s="25"/>
      <c r="M1668" s="25"/>
      <c r="N1668" s="25"/>
      <c r="O1668" s="25"/>
      <c r="P1668" s="25"/>
      <c r="Q1668" s="25"/>
      <c r="R1668" s="25"/>
      <c r="S1668" s="25"/>
      <c r="T1668" s="25"/>
      <c r="U1668" s="25"/>
      <c r="V1668" s="25"/>
      <c r="W1668" s="25"/>
      <c r="X1668" s="25"/>
      <c r="Y1668" s="25"/>
      <c r="Z1668" s="27"/>
      <c r="AA1668" s="28"/>
    </row>
    <row r="1669" spans="1:27" ht="12.75">
      <c r="A1669" s="25"/>
      <c r="B1669" s="25"/>
      <c r="C1669" s="25"/>
      <c r="D1669" s="25"/>
      <c r="E1669" s="25"/>
      <c r="F1669" s="25"/>
      <c r="G1669" s="25"/>
      <c r="H1669" s="25"/>
      <c r="I1669" s="27"/>
      <c r="J1669" s="25"/>
      <c r="K1669" s="25"/>
      <c r="L1669" s="25"/>
      <c r="M1669" s="25"/>
      <c r="N1669" s="25"/>
      <c r="O1669" s="25"/>
      <c r="P1669" s="25"/>
      <c r="Q1669" s="25"/>
      <c r="R1669" s="25"/>
      <c r="S1669" s="25"/>
      <c r="T1669" s="25"/>
      <c r="U1669" s="25"/>
      <c r="V1669" s="25"/>
      <c r="W1669" s="25"/>
      <c r="X1669" s="25"/>
      <c r="Y1669" s="25"/>
      <c r="Z1669" s="27"/>
      <c r="AA1669" s="28"/>
    </row>
    <row r="1670" spans="1:27" ht="12.75">
      <c r="A1670" s="25"/>
      <c r="B1670" s="25"/>
      <c r="C1670" s="25"/>
      <c r="D1670" s="25"/>
      <c r="E1670" s="25"/>
      <c r="F1670" s="25"/>
      <c r="G1670" s="25"/>
      <c r="H1670" s="25"/>
      <c r="I1670" s="27"/>
      <c r="J1670" s="25"/>
      <c r="K1670" s="25"/>
      <c r="L1670" s="25"/>
      <c r="M1670" s="25"/>
      <c r="N1670" s="25"/>
      <c r="O1670" s="25"/>
      <c r="P1670" s="25"/>
      <c r="Q1670" s="25"/>
      <c r="R1670" s="25"/>
      <c r="S1670" s="25"/>
      <c r="T1670" s="25"/>
      <c r="U1670" s="25"/>
      <c r="V1670" s="25"/>
      <c r="W1670" s="25"/>
      <c r="X1670" s="25"/>
      <c r="Y1670" s="25"/>
      <c r="Z1670" s="27"/>
      <c r="AA1670" s="28"/>
    </row>
    <row r="1671" spans="1:27" ht="12.75">
      <c r="A1671" s="25"/>
      <c r="B1671" s="25"/>
      <c r="C1671" s="25"/>
      <c r="D1671" s="25"/>
      <c r="E1671" s="25"/>
      <c r="F1671" s="25"/>
      <c r="G1671" s="25"/>
      <c r="H1671" s="25"/>
      <c r="I1671" s="27"/>
      <c r="J1671" s="25"/>
      <c r="K1671" s="25"/>
      <c r="L1671" s="25"/>
      <c r="M1671" s="25"/>
      <c r="N1671" s="25"/>
      <c r="O1671" s="25"/>
      <c r="P1671" s="25"/>
      <c r="Q1671" s="25"/>
      <c r="R1671" s="25"/>
      <c r="S1671" s="25"/>
      <c r="T1671" s="25"/>
      <c r="U1671" s="25"/>
      <c r="V1671" s="25"/>
      <c r="W1671" s="25"/>
      <c r="X1671" s="25"/>
      <c r="Y1671" s="25"/>
      <c r="Z1671" s="27"/>
      <c r="AA1671" s="28"/>
    </row>
    <row r="1672" spans="1:27" ht="12.75">
      <c r="A1672" s="25"/>
      <c r="B1672" s="25"/>
      <c r="C1672" s="25"/>
      <c r="D1672" s="25"/>
      <c r="E1672" s="25"/>
      <c r="F1672" s="25"/>
      <c r="G1672" s="25"/>
      <c r="H1672" s="25"/>
      <c r="I1672" s="27"/>
      <c r="J1672" s="25"/>
      <c r="K1672" s="25"/>
      <c r="L1672" s="25"/>
      <c r="M1672" s="25"/>
      <c r="N1672" s="25"/>
      <c r="O1672" s="25"/>
      <c r="P1672" s="25"/>
      <c r="Q1672" s="25"/>
      <c r="R1672" s="25"/>
      <c r="S1672" s="25"/>
      <c r="T1672" s="25"/>
      <c r="U1672" s="25"/>
      <c r="V1672" s="25"/>
      <c r="W1672" s="25"/>
      <c r="X1672" s="25"/>
      <c r="Y1672" s="25"/>
      <c r="Z1672" s="27"/>
      <c r="AA1672" s="28"/>
    </row>
    <row r="1673" spans="1:27" ht="12.75">
      <c r="A1673" s="25"/>
      <c r="B1673" s="25"/>
      <c r="C1673" s="25"/>
      <c r="D1673" s="25"/>
      <c r="E1673" s="25"/>
      <c r="F1673" s="25"/>
      <c r="G1673" s="25"/>
      <c r="H1673" s="25"/>
      <c r="I1673" s="27"/>
      <c r="J1673" s="25"/>
      <c r="K1673" s="25"/>
      <c r="L1673" s="25"/>
      <c r="M1673" s="25"/>
      <c r="N1673" s="25"/>
      <c r="O1673" s="25"/>
      <c r="P1673" s="25"/>
      <c r="Q1673" s="25"/>
      <c r="R1673" s="25"/>
      <c r="S1673" s="25"/>
      <c r="T1673" s="25"/>
      <c r="U1673" s="25"/>
      <c r="V1673" s="25"/>
      <c r="W1673" s="25"/>
      <c r="X1673" s="25"/>
      <c r="Y1673" s="25"/>
      <c r="Z1673" s="27"/>
      <c r="AA1673" s="28"/>
    </row>
    <row r="1674" spans="1:27" ht="12.75">
      <c r="A1674" s="25"/>
      <c r="B1674" s="25"/>
      <c r="C1674" s="25"/>
      <c r="D1674" s="25"/>
      <c r="E1674" s="25"/>
      <c r="F1674" s="25"/>
      <c r="G1674" s="25"/>
      <c r="H1674" s="25"/>
      <c r="I1674" s="27"/>
      <c r="J1674" s="25"/>
      <c r="K1674" s="25"/>
      <c r="L1674" s="25"/>
      <c r="M1674" s="25"/>
      <c r="N1674" s="25"/>
      <c r="O1674" s="25"/>
      <c r="P1674" s="25"/>
      <c r="Q1674" s="25"/>
      <c r="R1674" s="25"/>
      <c r="S1674" s="25"/>
      <c r="T1674" s="25"/>
      <c r="U1674" s="25"/>
      <c r="V1674" s="25"/>
      <c r="W1674" s="25"/>
      <c r="X1674" s="25"/>
      <c r="Y1674" s="25"/>
      <c r="Z1674" s="27"/>
      <c r="AA1674" s="28"/>
    </row>
    <row r="1675" spans="1:27" ht="12.75">
      <c r="A1675" s="25"/>
      <c r="B1675" s="25"/>
      <c r="C1675" s="25"/>
      <c r="D1675" s="25"/>
      <c r="E1675" s="25"/>
      <c r="F1675" s="25"/>
      <c r="G1675" s="25"/>
      <c r="H1675" s="25"/>
      <c r="I1675" s="27"/>
      <c r="J1675" s="25"/>
      <c r="K1675" s="25"/>
      <c r="L1675" s="25"/>
      <c r="M1675" s="25"/>
      <c r="N1675" s="25"/>
      <c r="O1675" s="25"/>
      <c r="P1675" s="25"/>
      <c r="Q1675" s="25"/>
      <c r="R1675" s="25"/>
      <c r="S1675" s="25"/>
      <c r="T1675" s="25"/>
      <c r="U1675" s="25"/>
      <c r="V1675" s="25"/>
      <c r="W1675" s="25"/>
      <c r="X1675" s="25"/>
      <c r="Y1675" s="25"/>
      <c r="Z1675" s="27"/>
      <c r="AA1675" s="28"/>
    </row>
    <row r="1676" spans="1:27" ht="12.75">
      <c r="A1676" s="25"/>
      <c r="B1676" s="25"/>
      <c r="C1676" s="25"/>
      <c r="D1676" s="25"/>
      <c r="E1676" s="25"/>
      <c r="F1676" s="25"/>
      <c r="G1676" s="25"/>
      <c r="H1676" s="25"/>
      <c r="I1676" s="27"/>
      <c r="J1676" s="25"/>
      <c r="K1676" s="25"/>
      <c r="L1676" s="25"/>
      <c r="M1676" s="25"/>
      <c r="N1676" s="25"/>
      <c r="O1676" s="25"/>
      <c r="P1676" s="25"/>
      <c r="Q1676" s="25"/>
      <c r="R1676" s="25"/>
      <c r="S1676" s="25"/>
      <c r="T1676" s="25"/>
      <c r="U1676" s="25"/>
      <c r="V1676" s="25"/>
      <c r="W1676" s="25"/>
      <c r="X1676" s="25"/>
      <c r="Y1676" s="25"/>
      <c r="Z1676" s="27"/>
      <c r="AA1676" s="28"/>
    </row>
    <row r="1677" spans="1:27" ht="12.75">
      <c r="A1677" s="25"/>
      <c r="B1677" s="25"/>
      <c r="C1677" s="25"/>
      <c r="D1677" s="25"/>
      <c r="E1677" s="25"/>
      <c r="F1677" s="25"/>
      <c r="G1677" s="25"/>
      <c r="H1677" s="25"/>
      <c r="I1677" s="27"/>
      <c r="J1677" s="25"/>
      <c r="K1677" s="25"/>
      <c r="L1677" s="25"/>
      <c r="M1677" s="25"/>
      <c r="N1677" s="25"/>
      <c r="O1677" s="25"/>
      <c r="P1677" s="25"/>
      <c r="Q1677" s="25"/>
      <c r="R1677" s="25"/>
      <c r="S1677" s="25"/>
      <c r="T1677" s="25"/>
      <c r="U1677" s="25"/>
      <c r="V1677" s="25"/>
      <c r="W1677" s="25"/>
      <c r="X1677" s="25"/>
      <c r="Y1677" s="25"/>
      <c r="Z1677" s="27"/>
      <c r="AA1677" s="28"/>
    </row>
    <row r="1678" spans="1:27" ht="12.75">
      <c r="A1678" s="25"/>
      <c r="B1678" s="25"/>
      <c r="C1678" s="25"/>
      <c r="D1678" s="25"/>
      <c r="E1678" s="25"/>
      <c r="F1678" s="25"/>
      <c r="G1678" s="25"/>
      <c r="H1678" s="25"/>
      <c r="I1678" s="27"/>
      <c r="J1678" s="25"/>
      <c r="K1678" s="25"/>
      <c r="L1678" s="25"/>
      <c r="M1678" s="25"/>
      <c r="N1678" s="25"/>
      <c r="O1678" s="25"/>
      <c r="P1678" s="25"/>
      <c r="Q1678" s="25"/>
      <c r="R1678" s="25"/>
      <c r="S1678" s="25"/>
      <c r="T1678" s="25"/>
      <c r="U1678" s="25"/>
      <c r="V1678" s="25"/>
      <c r="W1678" s="25"/>
      <c r="X1678" s="25"/>
      <c r="Y1678" s="25"/>
      <c r="Z1678" s="27"/>
      <c r="AA1678" s="28"/>
    </row>
    <row r="1679" spans="1:27" ht="12.75">
      <c r="A1679" s="25"/>
      <c r="B1679" s="25"/>
      <c r="C1679" s="25"/>
      <c r="D1679" s="25"/>
      <c r="E1679" s="25"/>
      <c r="F1679" s="25"/>
      <c r="G1679" s="25"/>
      <c r="H1679" s="25"/>
      <c r="I1679" s="27"/>
      <c r="J1679" s="25"/>
      <c r="K1679" s="25"/>
      <c r="L1679" s="25"/>
      <c r="M1679" s="25"/>
      <c r="N1679" s="25"/>
      <c r="O1679" s="25"/>
      <c r="P1679" s="25"/>
      <c r="Q1679" s="25"/>
      <c r="R1679" s="25"/>
      <c r="S1679" s="25"/>
      <c r="T1679" s="25"/>
      <c r="U1679" s="25"/>
      <c r="V1679" s="25"/>
      <c r="W1679" s="25"/>
      <c r="X1679" s="25"/>
      <c r="Y1679" s="25"/>
      <c r="Z1679" s="27"/>
      <c r="AA1679" s="28"/>
    </row>
    <row r="1680" spans="1:27" ht="12.75">
      <c r="A1680" s="25"/>
      <c r="B1680" s="25"/>
      <c r="C1680" s="25"/>
      <c r="D1680" s="25"/>
      <c r="E1680" s="25"/>
      <c r="F1680" s="25"/>
      <c r="G1680" s="25"/>
      <c r="H1680" s="25"/>
      <c r="I1680" s="27"/>
      <c r="J1680" s="25"/>
      <c r="K1680" s="25"/>
      <c r="L1680" s="25"/>
      <c r="M1680" s="25"/>
      <c r="N1680" s="25"/>
      <c r="O1680" s="25"/>
      <c r="P1680" s="25"/>
      <c r="Q1680" s="25"/>
      <c r="R1680" s="25"/>
      <c r="S1680" s="25"/>
      <c r="T1680" s="25"/>
      <c r="U1680" s="25"/>
      <c r="V1680" s="25"/>
      <c r="W1680" s="25"/>
      <c r="X1680" s="25"/>
      <c r="Y1680" s="25"/>
      <c r="Z1680" s="27"/>
      <c r="AA1680" s="28"/>
    </row>
    <row r="1681" spans="1:27" ht="12.75">
      <c r="A1681" s="25"/>
      <c r="B1681" s="25"/>
      <c r="C1681" s="25"/>
      <c r="D1681" s="25"/>
      <c r="E1681" s="25"/>
      <c r="F1681" s="25"/>
      <c r="G1681" s="25"/>
      <c r="H1681" s="25"/>
      <c r="I1681" s="27"/>
      <c r="J1681" s="25"/>
      <c r="K1681" s="25"/>
      <c r="L1681" s="25"/>
      <c r="M1681" s="25"/>
      <c r="N1681" s="25"/>
      <c r="O1681" s="25"/>
      <c r="P1681" s="25"/>
      <c r="Q1681" s="25"/>
      <c r="R1681" s="25"/>
      <c r="S1681" s="25"/>
      <c r="T1681" s="25"/>
      <c r="U1681" s="25"/>
      <c r="V1681" s="25"/>
      <c r="W1681" s="25"/>
      <c r="X1681" s="25"/>
      <c r="Y1681" s="25"/>
      <c r="Z1681" s="27"/>
      <c r="AA1681" s="28"/>
    </row>
    <row r="1682" spans="1:27" ht="12.75">
      <c r="A1682" s="25"/>
      <c r="B1682" s="25"/>
      <c r="C1682" s="25"/>
      <c r="D1682" s="25"/>
      <c r="E1682" s="25"/>
      <c r="F1682" s="25"/>
      <c r="G1682" s="25"/>
      <c r="H1682" s="25"/>
      <c r="I1682" s="27"/>
      <c r="J1682" s="25"/>
      <c r="K1682" s="25"/>
      <c r="L1682" s="25"/>
      <c r="M1682" s="25"/>
      <c r="N1682" s="25"/>
      <c r="O1682" s="25"/>
      <c r="P1682" s="25"/>
      <c r="Q1682" s="25"/>
      <c r="R1682" s="25"/>
      <c r="S1682" s="25"/>
      <c r="T1682" s="25"/>
      <c r="U1682" s="25"/>
      <c r="V1682" s="25"/>
      <c r="W1682" s="25"/>
      <c r="X1682" s="25"/>
      <c r="Y1682" s="25"/>
      <c r="Z1682" s="27"/>
      <c r="AA1682" s="28"/>
    </row>
    <row r="1683" spans="1:27" ht="12.75">
      <c r="A1683" s="25"/>
      <c r="B1683" s="25"/>
      <c r="C1683" s="25"/>
      <c r="D1683" s="25"/>
      <c r="E1683" s="25"/>
      <c r="F1683" s="25"/>
      <c r="G1683" s="25"/>
      <c r="H1683" s="25"/>
      <c r="I1683" s="27"/>
      <c r="J1683" s="25"/>
      <c r="K1683" s="25"/>
      <c r="L1683" s="25"/>
      <c r="M1683" s="25"/>
      <c r="N1683" s="25"/>
      <c r="O1683" s="25"/>
      <c r="P1683" s="25"/>
      <c r="Q1683" s="25"/>
      <c r="R1683" s="25"/>
      <c r="S1683" s="25"/>
      <c r="T1683" s="25"/>
      <c r="U1683" s="25"/>
      <c r="V1683" s="25"/>
      <c r="W1683" s="25"/>
      <c r="X1683" s="25"/>
      <c r="Y1683" s="25"/>
      <c r="Z1683" s="27"/>
      <c r="AA1683" s="28"/>
    </row>
    <row r="1684" spans="1:27" ht="12.75">
      <c r="A1684" s="25"/>
      <c r="B1684" s="25"/>
      <c r="C1684" s="25"/>
      <c r="D1684" s="25"/>
      <c r="E1684" s="25"/>
      <c r="F1684" s="25"/>
      <c r="G1684" s="25"/>
      <c r="H1684" s="25"/>
      <c r="I1684" s="27"/>
      <c r="J1684" s="25"/>
      <c r="K1684" s="25"/>
      <c r="L1684" s="25"/>
      <c r="M1684" s="25"/>
      <c r="N1684" s="25"/>
      <c r="O1684" s="25"/>
      <c r="P1684" s="25"/>
      <c r="Q1684" s="25"/>
      <c r="R1684" s="25"/>
      <c r="S1684" s="25"/>
      <c r="T1684" s="25"/>
      <c r="U1684" s="25"/>
      <c r="V1684" s="25"/>
      <c r="W1684" s="25"/>
      <c r="X1684" s="25"/>
      <c r="Y1684" s="25"/>
      <c r="Z1684" s="27"/>
      <c r="AA1684" s="28"/>
    </row>
    <row r="1685" spans="1:27" ht="12.75">
      <c r="A1685" s="25"/>
      <c r="B1685" s="25"/>
      <c r="C1685" s="25"/>
      <c r="D1685" s="25"/>
      <c r="E1685" s="25"/>
      <c r="F1685" s="25"/>
      <c r="G1685" s="25"/>
      <c r="H1685" s="25"/>
      <c r="I1685" s="27"/>
      <c r="J1685" s="25"/>
      <c r="K1685" s="25"/>
      <c r="L1685" s="25"/>
      <c r="M1685" s="25"/>
      <c r="N1685" s="25"/>
      <c r="O1685" s="25"/>
      <c r="P1685" s="25"/>
      <c r="Q1685" s="25"/>
      <c r="R1685" s="25"/>
      <c r="S1685" s="25"/>
      <c r="T1685" s="25"/>
      <c r="U1685" s="25"/>
      <c r="V1685" s="25"/>
      <c r="W1685" s="25"/>
      <c r="X1685" s="25"/>
      <c r="Y1685" s="25"/>
      <c r="Z1685" s="27"/>
      <c r="AA1685" s="28"/>
    </row>
    <row r="1686" spans="1:27" ht="12.75">
      <c r="A1686" s="25"/>
      <c r="B1686" s="25"/>
      <c r="C1686" s="25"/>
      <c r="D1686" s="25"/>
      <c r="E1686" s="25"/>
      <c r="F1686" s="25"/>
      <c r="G1686" s="25"/>
      <c r="H1686" s="25"/>
      <c r="I1686" s="27"/>
      <c r="J1686" s="25"/>
      <c r="K1686" s="25"/>
      <c r="L1686" s="25"/>
      <c r="M1686" s="25"/>
      <c r="N1686" s="25"/>
      <c r="O1686" s="25"/>
      <c r="P1686" s="25"/>
      <c r="Q1686" s="25"/>
      <c r="R1686" s="25"/>
      <c r="S1686" s="25"/>
      <c r="T1686" s="25"/>
      <c r="U1686" s="25"/>
      <c r="V1686" s="25"/>
      <c r="W1686" s="25"/>
      <c r="X1686" s="25"/>
      <c r="Y1686" s="25"/>
      <c r="Z1686" s="27"/>
      <c r="AA1686" s="28"/>
    </row>
    <row r="1687" spans="1:27" ht="12.75">
      <c r="A1687" s="25"/>
      <c r="B1687" s="25"/>
      <c r="C1687" s="25"/>
      <c r="D1687" s="25"/>
      <c r="E1687" s="25"/>
      <c r="F1687" s="25"/>
      <c r="G1687" s="25"/>
      <c r="H1687" s="25"/>
      <c r="I1687" s="27"/>
      <c r="J1687" s="25"/>
      <c r="K1687" s="25"/>
      <c r="L1687" s="25"/>
      <c r="M1687" s="25"/>
      <c r="N1687" s="25"/>
      <c r="O1687" s="25"/>
      <c r="P1687" s="25"/>
      <c r="Q1687" s="25"/>
      <c r="R1687" s="25"/>
      <c r="S1687" s="25"/>
      <c r="T1687" s="25"/>
      <c r="U1687" s="25"/>
      <c r="V1687" s="25"/>
      <c r="W1687" s="25"/>
      <c r="X1687" s="25"/>
      <c r="Y1687" s="25"/>
      <c r="Z1687" s="27"/>
      <c r="AA1687" s="28"/>
    </row>
    <row r="1688" spans="1:27" ht="12.75">
      <c r="A1688" s="25"/>
      <c r="B1688" s="25"/>
      <c r="C1688" s="25"/>
      <c r="D1688" s="25"/>
      <c r="E1688" s="25"/>
      <c r="F1688" s="25"/>
      <c r="G1688" s="25"/>
      <c r="H1688" s="25"/>
      <c r="I1688" s="27"/>
      <c r="J1688" s="25"/>
      <c r="K1688" s="25"/>
      <c r="L1688" s="25"/>
      <c r="M1688" s="25"/>
      <c r="N1688" s="25"/>
      <c r="O1688" s="25"/>
      <c r="P1688" s="25"/>
      <c r="Q1688" s="25"/>
      <c r="R1688" s="25"/>
      <c r="S1688" s="25"/>
      <c r="T1688" s="25"/>
      <c r="U1688" s="25"/>
      <c r="V1688" s="25"/>
      <c r="W1688" s="25"/>
      <c r="X1688" s="25"/>
      <c r="Y1688" s="25"/>
      <c r="Z1688" s="27"/>
      <c r="AA1688" s="28"/>
    </row>
    <row r="1689" spans="1:27" ht="12.75">
      <c r="A1689" s="25"/>
      <c r="B1689" s="25"/>
      <c r="C1689" s="25"/>
      <c r="D1689" s="25"/>
      <c r="E1689" s="25"/>
      <c r="F1689" s="25"/>
      <c r="G1689" s="25"/>
      <c r="H1689" s="25"/>
      <c r="I1689" s="27"/>
      <c r="J1689" s="25"/>
      <c r="K1689" s="25"/>
      <c r="L1689" s="25"/>
      <c r="M1689" s="25"/>
      <c r="N1689" s="25"/>
      <c r="O1689" s="25"/>
      <c r="P1689" s="25"/>
      <c r="Q1689" s="25"/>
      <c r="R1689" s="25"/>
      <c r="S1689" s="25"/>
      <c r="T1689" s="25"/>
      <c r="U1689" s="25"/>
      <c r="V1689" s="25"/>
      <c r="W1689" s="25"/>
      <c r="X1689" s="25"/>
      <c r="Y1689" s="25"/>
      <c r="Z1689" s="27"/>
      <c r="AA1689" s="28"/>
    </row>
    <row r="1690" spans="1:27" ht="12.75">
      <c r="A1690" s="25"/>
      <c r="B1690" s="25"/>
      <c r="C1690" s="25"/>
      <c r="D1690" s="25"/>
      <c r="E1690" s="25"/>
      <c r="F1690" s="25"/>
      <c r="G1690" s="25"/>
      <c r="H1690" s="25"/>
      <c r="I1690" s="27"/>
      <c r="J1690" s="25"/>
      <c r="K1690" s="25"/>
      <c r="L1690" s="25"/>
      <c r="M1690" s="25"/>
      <c r="N1690" s="25"/>
      <c r="O1690" s="25"/>
      <c r="P1690" s="25"/>
      <c r="Q1690" s="25"/>
      <c r="R1690" s="25"/>
      <c r="S1690" s="25"/>
      <c r="T1690" s="25"/>
      <c r="U1690" s="25"/>
      <c r="V1690" s="25"/>
      <c r="W1690" s="25"/>
      <c r="X1690" s="25"/>
      <c r="Y1690" s="25"/>
      <c r="Z1690" s="27"/>
      <c r="AA1690" s="28"/>
    </row>
    <row r="1691" spans="1:27" ht="12.75">
      <c r="A1691" s="25"/>
      <c r="B1691" s="25"/>
      <c r="C1691" s="25"/>
      <c r="D1691" s="25"/>
      <c r="E1691" s="25"/>
      <c r="F1691" s="25"/>
      <c r="G1691" s="25"/>
      <c r="H1691" s="25"/>
      <c r="I1691" s="27"/>
      <c r="J1691" s="25"/>
      <c r="K1691" s="25"/>
      <c r="L1691" s="25"/>
      <c r="M1691" s="25"/>
      <c r="N1691" s="25"/>
      <c r="O1691" s="25"/>
      <c r="P1691" s="25"/>
      <c r="Q1691" s="25"/>
      <c r="R1691" s="25"/>
      <c r="S1691" s="25"/>
      <c r="T1691" s="25"/>
      <c r="U1691" s="25"/>
      <c r="V1691" s="25"/>
      <c r="W1691" s="25"/>
      <c r="X1691" s="25"/>
      <c r="Y1691" s="25"/>
      <c r="Z1691" s="27"/>
      <c r="AA1691" s="28"/>
    </row>
    <row r="1692" spans="1:27" ht="12.75">
      <c r="A1692" s="25"/>
      <c r="B1692" s="25"/>
      <c r="C1692" s="25"/>
      <c r="D1692" s="25"/>
      <c r="E1692" s="25"/>
      <c r="F1692" s="25"/>
      <c r="G1692" s="25"/>
      <c r="H1692" s="25"/>
      <c r="I1692" s="27"/>
      <c r="J1692" s="25"/>
      <c r="K1692" s="25"/>
      <c r="L1692" s="25"/>
      <c r="M1692" s="25"/>
      <c r="N1692" s="25"/>
      <c r="O1692" s="25"/>
      <c r="P1692" s="25"/>
      <c r="Q1692" s="25"/>
      <c r="R1692" s="25"/>
      <c r="S1692" s="25"/>
      <c r="T1692" s="25"/>
      <c r="U1692" s="25"/>
      <c r="V1692" s="25"/>
      <c r="W1692" s="25"/>
      <c r="X1692" s="25"/>
      <c r="Y1692" s="25"/>
      <c r="Z1692" s="27"/>
      <c r="AA1692" s="28"/>
    </row>
    <row r="1693" spans="1:27" ht="12.75">
      <c r="A1693" s="25"/>
      <c r="B1693" s="25"/>
      <c r="C1693" s="25"/>
      <c r="D1693" s="25"/>
      <c r="E1693" s="25"/>
      <c r="F1693" s="25"/>
      <c r="G1693" s="25"/>
      <c r="H1693" s="25"/>
      <c r="I1693" s="27"/>
      <c r="J1693" s="25"/>
      <c r="K1693" s="25"/>
      <c r="L1693" s="25"/>
      <c r="M1693" s="25"/>
      <c r="N1693" s="25"/>
      <c r="O1693" s="25"/>
      <c r="P1693" s="25"/>
      <c r="Q1693" s="25"/>
      <c r="R1693" s="25"/>
      <c r="S1693" s="25"/>
      <c r="T1693" s="25"/>
      <c r="U1693" s="25"/>
      <c r="V1693" s="25"/>
      <c r="W1693" s="25"/>
      <c r="X1693" s="25"/>
      <c r="Y1693" s="25"/>
      <c r="Z1693" s="27"/>
      <c r="AA1693" s="28"/>
    </row>
    <row r="1694" spans="1:27" ht="12.75">
      <c r="A1694" s="25"/>
      <c r="B1694" s="25"/>
      <c r="C1694" s="25"/>
      <c r="D1694" s="25"/>
      <c r="E1694" s="25"/>
      <c r="F1694" s="25"/>
      <c r="G1694" s="25"/>
      <c r="H1694" s="25"/>
      <c r="I1694" s="27"/>
      <c r="J1694" s="25"/>
      <c r="K1694" s="25"/>
      <c r="L1694" s="25"/>
      <c r="M1694" s="25"/>
      <c r="N1694" s="25"/>
      <c r="O1694" s="25"/>
      <c r="P1694" s="25"/>
      <c r="Q1694" s="25"/>
      <c r="R1694" s="25"/>
      <c r="S1694" s="25"/>
      <c r="T1694" s="25"/>
      <c r="U1694" s="25"/>
      <c r="V1694" s="25"/>
      <c r="W1694" s="25"/>
      <c r="X1694" s="25"/>
      <c r="Y1694" s="25"/>
      <c r="Z1694" s="27"/>
      <c r="AA1694" s="28"/>
    </row>
    <row r="1695" spans="1:27" ht="12.75">
      <c r="A1695" s="25"/>
      <c r="B1695" s="25"/>
      <c r="C1695" s="25"/>
      <c r="D1695" s="25"/>
      <c r="E1695" s="25"/>
      <c r="F1695" s="25"/>
      <c r="G1695" s="25"/>
      <c r="H1695" s="25"/>
      <c r="I1695" s="27"/>
      <c r="J1695" s="25"/>
      <c r="K1695" s="25"/>
      <c r="L1695" s="25"/>
      <c r="M1695" s="25"/>
      <c r="N1695" s="25"/>
      <c r="O1695" s="25"/>
      <c r="P1695" s="25"/>
      <c r="Q1695" s="25"/>
      <c r="R1695" s="25"/>
      <c r="S1695" s="25"/>
      <c r="T1695" s="25"/>
      <c r="U1695" s="25"/>
      <c r="V1695" s="25"/>
      <c r="W1695" s="25"/>
      <c r="X1695" s="25"/>
      <c r="Y1695" s="25"/>
      <c r="Z1695" s="27"/>
      <c r="AA1695" s="28"/>
    </row>
    <row r="1696" spans="1:27" ht="12.75">
      <c r="A1696" s="25"/>
      <c r="B1696" s="25"/>
      <c r="C1696" s="25"/>
      <c r="D1696" s="25"/>
      <c r="E1696" s="25"/>
      <c r="F1696" s="25"/>
      <c r="G1696" s="25"/>
      <c r="H1696" s="25"/>
      <c r="I1696" s="27"/>
      <c r="J1696" s="25"/>
      <c r="K1696" s="25"/>
      <c r="L1696" s="25"/>
      <c r="M1696" s="25"/>
      <c r="N1696" s="25"/>
      <c r="O1696" s="25"/>
      <c r="P1696" s="25"/>
      <c r="Q1696" s="25"/>
      <c r="R1696" s="25"/>
      <c r="S1696" s="25"/>
      <c r="T1696" s="25"/>
      <c r="U1696" s="25"/>
      <c r="V1696" s="25"/>
      <c r="W1696" s="25"/>
      <c r="X1696" s="25"/>
      <c r="Y1696" s="25"/>
      <c r="Z1696" s="27"/>
      <c r="AA1696" s="28"/>
    </row>
    <row r="1697" spans="1:27" ht="12.75">
      <c r="A1697" s="25"/>
      <c r="B1697" s="25"/>
      <c r="C1697" s="25"/>
      <c r="D1697" s="25"/>
      <c r="E1697" s="25"/>
      <c r="F1697" s="25"/>
      <c r="G1697" s="25"/>
      <c r="H1697" s="25"/>
      <c r="I1697" s="27"/>
      <c r="J1697" s="25"/>
      <c r="K1697" s="25"/>
      <c r="L1697" s="25"/>
      <c r="M1697" s="25"/>
      <c r="N1697" s="25"/>
      <c r="O1697" s="25"/>
      <c r="P1697" s="25"/>
      <c r="Q1697" s="25"/>
      <c r="R1697" s="25"/>
      <c r="S1697" s="25"/>
      <c r="T1697" s="25"/>
      <c r="U1697" s="25"/>
      <c r="V1697" s="25"/>
      <c r="W1697" s="25"/>
      <c r="X1697" s="25"/>
      <c r="Y1697" s="25"/>
      <c r="Z1697" s="27"/>
      <c r="AA1697" s="28"/>
    </row>
    <row r="1698" spans="1:27" ht="12.75">
      <c r="A1698" s="25"/>
      <c r="B1698" s="25"/>
      <c r="C1698" s="25"/>
      <c r="D1698" s="25"/>
      <c r="E1698" s="25"/>
      <c r="F1698" s="25"/>
      <c r="G1698" s="25"/>
      <c r="H1698" s="25"/>
      <c r="I1698" s="27"/>
      <c r="J1698" s="25"/>
      <c r="K1698" s="25"/>
      <c r="L1698" s="25"/>
      <c r="M1698" s="25"/>
      <c r="N1698" s="25"/>
      <c r="O1698" s="25"/>
      <c r="P1698" s="25"/>
      <c r="Q1698" s="25"/>
      <c r="R1698" s="25"/>
      <c r="S1698" s="25"/>
      <c r="T1698" s="25"/>
      <c r="U1698" s="25"/>
      <c r="V1698" s="25"/>
      <c r="W1698" s="25"/>
      <c r="X1698" s="25"/>
      <c r="Y1698" s="25"/>
      <c r="Z1698" s="27"/>
      <c r="AA1698" s="28"/>
    </row>
    <row r="1699" spans="1:27" ht="12.75">
      <c r="A1699" s="25"/>
      <c r="B1699" s="25"/>
      <c r="C1699" s="25"/>
      <c r="D1699" s="25"/>
      <c r="E1699" s="25"/>
      <c r="F1699" s="25"/>
      <c r="G1699" s="25"/>
      <c r="H1699" s="25"/>
      <c r="I1699" s="27"/>
      <c r="J1699" s="25"/>
      <c r="K1699" s="25"/>
      <c r="L1699" s="25"/>
      <c r="M1699" s="25"/>
      <c r="N1699" s="25"/>
      <c r="O1699" s="25"/>
      <c r="P1699" s="25"/>
      <c r="Q1699" s="25"/>
      <c r="R1699" s="25"/>
      <c r="S1699" s="25"/>
      <c r="T1699" s="25"/>
      <c r="U1699" s="25"/>
      <c r="V1699" s="25"/>
      <c r="W1699" s="25"/>
      <c r="X1699" s="25"/>
      <c r="Y1699" s="25"/>
      <c r="Z1699" s="27"/>
      <c r="AA1699" s="28"/>
    </row>
    <row r="1700" spans="1:27" ht="12.75">
      <c r="A1700" s="25"/>
      <c r="B1700" s="25"/>
      <c r="C1700" s="25"/>
      <c r="D1700" s="25"/>
      <c r="E1700" s="25"/>
      <c r="F1700" s="25"/>
      <c r="G1700" s="25"/>
      <c r="H1700" s="25"/>
      <c r="I1700" s="27"/>
      <c r="J1700" s="25"/>
      <c r="K1700" s="25"/>
      <c r="L1700" s="25"/>
      <c r="M1700" s="25"/>
      <c r="N1700" s="25"/>
      <c r="O1700" s="25"/>
      <c r="P1700" s="25"/>
      <c r="Q1700" s="25"/>
      <c r="R1700" s="25"/>
      <c r="S1700" s="25"/>
      <c r="T1700" s="25"/>
      <c r="U1700" s="25"/>
      <c r="V1700" s="25"/>
      <c r="W1700" s="25"/>
      <c r="X1700" s="25"/>
      <c r="Y1700" s="25"/>
      <c r="Z1700" s="27"/>
      <c r="AA1700" s="28"/>
    </row>
    <row r="1701" spans="1:27" ht="12.75">
      <c r="A1701" s="25"/>
      <c r="B1701" s="25"/>
      <c r="C1701" s="25"/>
      <c r="D1701" s="25"/>
      <c r="E1701" s="25"/>
      <c r="F1701" s="25"/>
      <c r="G1701" s="25"/>
      <c r="H1701" s="25"/>
      <c r="I1701" s="27"/>
      <c r="J1701" s="25"/>
      <c r="K1701" s="25"/>
      <c r="L1701" s="25"/>
      <c r="M1701" s="25"/>
      <c r="N1701" s="25"/>
      <c r="O1701" s="25"/>
      <c r="P1701" s="25"/>
      <c r="Q1701" s="25"/>
      <c r="R1701" s="25"/>
      <c r="S1701" s="25"/>
      <c r="T1701" s="25"/>
      <c r="U1701" s="25"/>
      <c r="V1701" s="25"/>
      <c r="W1701" s="25"/>
      <c r="X1701" s="25"/>
      <c r="Y1701" s="25"/>
      <c r="Z1701" s="27"/>
      <c r="AA1701" s="28"/>
    </row>
    <row r="1702" spans="1:27" ht="12.75">
      <c r="A1702" s="25"/>
      <c r="B1702" s="25"/>
      <c r="C1702" s="25"/>
      <c r="D1702" s="25"/>
      <c r="E1702" s="25"/>
      <c r="F1702" s="25"/>
      <c r="G1702" s="25"/>
      <c r="H1702" s="25"/>
      <c r="I1702" s="27"/>
      <c r="J1702" s="25"/>
      <c r="K1702" s="25"/>
      <c r="L1702" s="25"/>
      <c r="M1702" s="25"/>
      <c r="N1702" s="25"/>
      <c r="O1702" s="25"/>
      <c r="P1702" s="25"/>
      <c r="Q1702" s="25"/>
      <c r="R1702" s="25"/>
      <c r="S1702" s="25"/>
      <c r="T1702" s="25"/>
      <c r="U1702" s="25"/>
      <c r="V1702" s="25"/>
      <c r="W1702" s="25"/>
      <c r="X1702" s="25"/>
      <c r="Y1702" s="25"/>
      <c r="Z1702" s="27"/>
      <c r="AA1702" s="28"/>
    </row>
    <row r="1703" spans="1:27" ht="12.75">
      <c r="A1703" s="25"/>
      <c r="B1703" s="25"/>
      <c r="C1703" s="25"/>
      <c r="D1703" s="25"/>
      <c r="E1703" s="25"/>
      <c r="F1703" s="25"/>
      <c r="G1703" s="25"/>
      <c r="H1703" s="25"/>
      <c r="I1703" s="27"/>
      <c r="J1703" s="25"/>
      <c r="K1703" s="25"/>
      <c r="L1703" s="25"/>
      <c r="M1703" s="25"/>
      <c r="N1703" s="25"/>
      <c r="O1703" s="25"/>
      <c r="P1703" s="25"/>
      <c r="Q1703" s="25"/>
      <c r="R1703" s="25"/>
      <c r="S1703" s="25"/>
      <c r="T1703" s="25"/>
      <c r="U1703" s="25"/>
      <c r="V1703" s="25"/>
      <c r="W1703" s="25"/>
      <c r="X1703" s="25"/>
      <c r="Y1703" s="25"/>
      <c r="Z1703" s="27"/>
      <c r="AA1703" s="28"/>
    </row>
    <row r="1704" spans="1:27" ht="12.75">
      <c r="A1704" s="25"/>
      <c r="B1704" s="25"/>
      <c r="C1704" s="25"/>
      <c r="D1704" s="25"/>
      <c r="E1704" s="25"/>
      <c r="F1704" s="25"/>
      <c r="G1704" s="25"/>
      <c r="H1704" s="25"/>
      <c r="I1704" s="27"/>
      <c r="J1704" s="25"/>
      <c r="K1704" s="25"/>
      <c r="L1704" s="25"/>
      <c r="M1704" s="25"/>
      <c r="N1704" s="25"/>
      <c r="O1704" s="25"/>
      <c r="P1704" s="25"/>
      <c r="Q1704" s="25"/>
      <c r="R1704" s="25"/>
      <c r="S1704" s="25"/>
      <c r="T1704" s="25"/>
      <c r="U1704" s="25"/>
      <c r="V1704" s="25"/>
      <c r="W1704" s="25"/>
      <c r="X1704" s="25"/>
      <c r="Y1704" s="25"/>
      <c r="Z1704" s="27"/>
      <c r="AA1704" s="28"/>
    </row>
    <row r="1705" spans="1:27" ht="12.75">
      <c r="A1705" s="25"/>
      <c r="B1705" s="25"/>
      <c r="C1705" s="25"/>
      <c r="D1705" s="25"/>
      <c r="E1705" s="25"/>
      <c r="F1705" s="25"/>
      <c r="G1705" s="25"/>
      <c r="H1705" s="25"/>
      <c r="I1705" s="27"/>
      <c r="J1705" s="25"/>
      <c r="K1705" s="25"/>
      <c r="L1705" s="25"/>
      <c r="M1705" s="25"/>
      <c r="N1705" s="25"/>
      <c r="O1705" s="25"/>
      <c r="P1705" s="25"/>
      <c r="Q1705" s="25"/>
      <c r="R1705" s="25"/>
      <c r="S1705" s="25"/>
      <c r="T1705" s="25"/>
      <c r="U1705" s="25"/>
      <c r="V1705" s="25"/>
      <c r="W1705" s="25"/>
      <c r="X1705" s="25"/>
      <c r="Y1705" s="25"/>
      <c r="Z1705" s="27"/>
      <c r="AA1705" s="28"/>
    </row>
    <row r="1706" spans="1:27" ht="12.75">
      <c r="A1706" s="25"/>
      <c r="B1706" s="25"/>
      <c r="C1706" s="25"/>
      <c r="D1706" s="25"/>
      <c r="E1706" s="25"/>
      <c r="F1706" s="25"/>
      <c r="G1706" s="25"/>
      <c r="H1706" s="25"/>
      <c r="I1706" s="27"/>
      <c r="J1706" s="25"/>
      <c r="K1706" s="25"/>
      <c r="L1706" s="25"/>
      <c r="M1706" s="25"/>
      <c r="N1706" s="25"/>
      <c r="O1706" s="25"/>
      <c r="P1706" s="25"/>
      <c r="Q1706" s="25"/>
      <c r="R1706" s="25"/>
      <c r="S1706" s="25"/>
      <c r="T1706" s="25"/>
      <c r="U1706" s="25"/>
      <c r="V1706" s="25"/>
      <c r="W1706" s="25"/>
      <c r="X1706" s="25"/>
      <c r="Y1706" s="25"/>
      <c r="Z1706" s="27"/>
      <c r="AA1706" s="28"/>
    </row>
    <row r="1707" spans="1:27" ht="12.75">
      <c r="A1707" s="25"/>
      <c r="B1707" s="25"/>
      <c r="C1707" s="25"/>
      <c r="D1707" s="25"/>
      <c r="E1707" s="25"/>
      <c r="F1707" s="25"/>
      <c r="G1707" s="25"/>
      <c r="H1707" s="25"/>
      <c r="I1707" s="27"/>
      <c r="J1707" s="25"/>
      <c r="K1707" s="25"/>
      <c r="L1707" s="25"/>
      <c r="M1707" s="25"/>
      <c r="N1707" s="25"/>
      <c r="O1707" s="25"/>
      <c r="P1707" s="25"/>
      <c r="Q1707" s="25"/>
      <c r="R1707" s="25"/>
      <c r="S1707" s="25"/>
      <c r="T1707" s="25"/>
      <c r="U1707" s="25"/>
      <c r="V1707" s="25"/>
      <c r="W1707" s="25"/>
      <c r="X1707" s="25"/>
      <c r="Y1707" s="25"/>
      <c r="Z1707" s="27"/>
      <c r="AA1707" s="28"/>
    </row>
    <row r="1708" spans="1:27" ht="12.75">
      <c r="A1708" s="25"/>
      <c r="B1708" s="25"/>
      <c r="C1708" s="25"/>
      <c r="D1708" s="25"/>
      <c r="E1708" s="25"/>
      <c r="F1708" s="25"/>
      <c r="G1708" s="25"/>
      <c r="H1708" s="25"/>
      <c r="I1708" s="27"/>
      <c r="J1708" s="25"/>
      <c r="K1708" s="25"/>
      <c r="L1708" s="25"/>
      <c r="M1708" s="25"/>
      <c r="N1708" s="25"/>
      <c r="O1708" s="25"/>
      <c r="P1708" s="25"/>
      <c r="Q1708" s="25"/>
      <c r="R1708" s="25"/>
      <c r="S1708" s="25"/>
      <c r="T1708" s="25"/>
      <c r="U1708" s="25"/>
      <c r="V1708" s="25"/>
      <c r="W1708" s="25"/>
      <c r="X1708" s="25"/>
      <c r="Y1708" s="25"/>
      <c r="Z1708" s="27"/>
      <c r="AA1708" s="28"/>
    </row>
    <row r="1709" spans="1:27" ht="12.75">
      <c r="A1709" s="25"/>
      <c r="B1709" s="25"/>
      <c r="C1709" s="25"/>
      <c r="D1709" s="25"/>
      <c r="E1709" s="25"/>
      <c r="F1709" s="25"/>
      <c r="G1709" s="25"/>
      <c r="H1709" s="25"/>
      <c r="I1709" s="27"/>
      <c r="J1709" s="25"/>
      <c r="K1709" s="25"/>
      <c r="L1709" s="25"/>
      <c r="M1709" s="25"/>
      <c r="N1709" s="25"/>
      <c r="O1709" s="25"/>
      <c r="P1709" s="25"/>
      <c r="Q1709" s="25"/>
      <c r="R1709" s="25"/>
      <c r="S1709" s="25"/>
      <c r="T1709" s="25"/>
      <c r="U1709" s="25"/>
      <c r="V1709" s="25"/>
      <c r="W1709" s="25"/>
      <c r="X1709" s="25"/>
      <c r="Y1709" s="25"/>
      <c r="Z1709" s="27"/>
      <c r="AA1709" s="28"/>
    </row>
    <row r="1710" spans="1:27" ht="12.75">
      <c r="A1710" s="25"/>
      <c r="B1710" s="25"/>
      <c r="C1710" s="25"/>
      <c r="D1710" s="25"/>
      <c r="E1710" s="25"/>
      <c r="F1710" s="25"/>
      <c r="G1710" s="25"/>
      <c r="H1710" s="25"/>
      <c r="I1710" s="27"/>
      <c r="J1710" s="25"/>
      <c r="K1710" s="25"/>
      <c r="L1710" s="25"/>
      <c r="M1710" s="25"/>
      <c r="N1710" s="25"/>
      <c r="O1710" s="25"/>
      <c r="P1710" s="25"/>
      <c r="Q1710" s="25"/>
      <c r="R1710" s="25"/>
      <c r="S1710" s="25"/>
      <c r="T1710" s="25"/>
      <c r="U1710" s="25"/>
      <c r="V1710" s="25"/>
      <c r="W1710" s="25"/>
      <c r="X1710" s="25"/>
      <c r="Y1710" s="25"/>
      <c r="Z1710" s="27"/>
      <c r="AA1710" s="28"/>
    </row>
    <row r="1711" spans="1:27" ht="12.75">
      <c r="A1711" s="25"/>
      <c r="B1711" s="25"/>
      <c r="C1711" s="25"/>
      <c r="D1711" s="25"/>
      <c r="E1711" s="25"/>
      <c r="F1711" s="25"/>
      <c r="G1711" s="25"/>
      <c r="H1711" s="25"/>
      <c r="I1711" s="27"/>
      <c r="J1711" s="25"/>
      <c r="K1711" s="25"/>
      <c r="L1711" s="25"/>
      <c r="M1711" s="25"/>
      <c r="N1711" s="25"/>
      <c r="O1711" s="25"/>
      <c r="P1711" s="25"/>
      <c r="Q1711" s="25"/>
      <c r="R1711" s="25"/>
      <c r="S1711" s="25"/>
      <c r="T1711" s="25"/>
      <c r="U1711" s="25"/>
      <c r="V1711" s="25"/>
      <c r="W1711" s="25"/>
      <c r="X1711" s="25"/>
      <c r="Y1711" s="25"/>
      <c r="Z1711" s="27"/>
      <c r="AA1711" s="28"/>
    </row>
    <row r="1712" spans="1:27" ht="12.75">
      <c r="A1712" s="25"/>
      <c r="B1712" s="25"/>
      <c r="C1712" s="25"/>
      <c r="D1712" s="25"/>
      <c r="E1712" s="25"/>
      <c r="F1712" s="25"/>
      <c r="G1712" s="25"/>
      <c r="H1712" s="25"/>
      <c r="I1712" s="27"/>
      <c r="J1712" s="25"/>
      <c r="K1712" s="25"/>
      <c r="L1712" s="25"/>
      <c r="M1712" s="25"/>
      <c r="N1712" s="25"/>
      <c r="O1712" s="25"/>
      <c r="P1712" s="25"/>
      <c r="Q1712" s="25"/>
      <c r="R1712" s="25"/>
      <c r="S1712" s="25"/>
      <c r="T1712" s="25"/>
      <c r="U1712" s="25"/>
      <c r="V1712" s="25"/>
      <c r="W1712" s="25"/>
      <c r="X1712" s="25"/>
      <c r="Y1712" s="25"/>
      <c r="Z1712" s="27"/>
      <c r="AA1712" s="28"/>
    </row>
    <row r="1713" spans="1:27" ht="12.75">
      <c r="A1713" s="25"/>
      <c r="B1713" s="25"/>
      <c r="C1713" s="25"/>
      <c r="D1713" s="25"/>
      <c r="E1713" s="25"/>
      <c r="F1713" s="25"/>
      <c r="G1713" s="25"/>
      <c r="H1713" s="25"/>
      <c r="I1713" s="27"/>
      <c r="J1713" s="25"/>
      <c r="K1713" s="25"/>
      <c r="L1713" s="25"/>
      <c r="M1713" s="25"/>
      <c r="N1713" s="25"/>
      <c r="O1713" s="25"/>
      <c r="P1713" s="25"/>
      <c r="Q1713" s="25"/>
      <c r="R1713" s="25"/>
      <c r="S1713" s="25"/>
      <c r="T1713" s="25"/>
      <c r="U1713" s="25"/>
      <c r="V1713" s="25"/>
      <c r="W1713" s="25"/>
      <c r="X1713" s="25"/>
      <c r="Y1713" s="25"/>
      <c r="Z1713" s="27"/>
      <c r="AA1713" s="28"/>
    </row>
    <row r="1714" spans="1:27" ht="12.75">
      <c r="A1714" s="25"/>
      <c r="B1714" s="25"/>
      <c r="C1714" s="25"/>
      <c r="D1714" s="25"/>
      <c r="E1714" s="25"/>
      <c r="F1714" s="25"/>
      <c r="G1714" s="25"/>
      <c r="H1714" s="25"/>
      <c r="I1714" s="27"/>
      <c r="J1714" s="25"/>
      <c r="K1714" s="25"/>
      <c r="L1714" s="25"/>
      <c r="M1714" s="25"/>
      <c r="N1714" s="25"/>
      <c r="O1714" s="25"/>
      <c r="P1714" s="25"/>
      <c r="Q1714" s="25"/>
      <c r="R1714" s="25"/>
      <c r="S1714" s="25"/>
      <c r="T1714" s="25"/>
      <c r="U1714" s="25"/>
      <c r="V1714" s="25"/>
      <c r="W1714" s="25"/>
      <c r="X1714" s="25"/>
      <c r="Y1714" s="25"/>
      <c r="Z1714" s="27"/>
      <c r="AA1714" s="28"/>
    </row>
    <row r="1715" spans="1:27" ht="12.75">
      <c r="A1715" s="25"/>
      <c r="B1715" s="25"/>
      <c r="C1715" s="25"/>
      <c r="D1715" s="25"/>
      <c r="E1715" s="25"/>
      <c r="F1715" s="25"/>
      <c r="G1715" s="25"/>
      <c r="H1715" s="25"/>
      <c r="I1715" s="27"/>
      <c r="J1715" s="25"/>
      <c r="K1715" s="25"/>
      <c r="L1715" s="25"/>
      <c r="M1715" s="25"/>
      <c r="N1715" s="25"/>
      <c r="O1715" s="25"/>
      <c r="P1715" s="25"/>
      <c r="Q1715" s="25"/>
      <c r="R1715" s="25"/>
      <c r="S1715" s="25"/>
      <c r="T1715" s="25"/>
      <c r="U1715" s="25"/>
      <c r="V1715" s="25"/>
      <c r="W1715" s="25"/>
      <c r="X1715" s="25"/>
      <c r="Y1715" s="25"/>
      <c r="Z1715" s="27"/>
      <c r="AA1715" s="28"/>
    </row>
    <row r="1716" spans="1:27" ht="12.75">
      <c r="A1716" s="25"/>
      <c r="B1716" s="25"/>
      <c r="C1716" s="25"/>
      <c r="D1716" s="25"/>
      <c r="E1716" s="25"/>
      <c r="F1716" s="25"/>
      <c r="G1716" s="25"/>
      <c r="H1716" s="25"/>
      <c r="I1716" s="27"/>
      <c r="J1716" s="25"/>
      <c r="K1716" s="25"/>
      <c r="L1716" s="25"/>
      <c r="M1716" s="25"/>
      <c r="N1716" s="25"/>
      <c r="O1716" s="25"/>
      <c r="P1716" s="25"/>
      <c r="Q1716" s="25"/>
      <c r="R1716" s="25"/>
      <c r="S1716" s="25"/>
      <c r="T1716" s="25"/>
      <c r="U1716" s="25"/>
      <c r="V1716" s="25"/>
      <c r="W1716" s="25"/>
      <c r="X1716" s="25"/>
      <c r="Y1716" s="25"/>
      <c r="Z1716" s="27"/>
      <c r="AA1716" s="28"/>
    </row>
    <row r="1717" spans="1:27" ht="12.75">
      <c r="A1717" s="25"/>
      <c r="B1717" s="25"/>
      <c r="C1717" s="25"/>
      <c r="D1717" s="25"/>
      <c r="E1717" s="25"/>
      <c r="F1717" s="25"/>
      <c r="G1717" s="25"/>
      <c r="H1717" s="25"/>
      <c r="I1717" s="27"/>
      <c r="J1717" s="25"/>
      <c r="K1717" s="25"/>
      <c r="L1717" s="25"/>
      <c r="M1717" s="25"/>
      <c r="N1717" s="25"/>
      <c r="O1717" s="25"/>
      <c r="P1717" s="25"/>
      <c r="Q1717" s="25"/>
      <c r="R1717" s="25"/>
      <c r="S1717" s="25"/>
      <c r="T1717" s="25"/>
      <c r="U1717" s="25"/>
      <c r="V1717" s="25"/>
      <c r="W1717" s="25"/>
      <c r="X1717" s="25"/>
      <c r="Y1717" s="25"/>
      <c r="Z1717" s="27"/>
      <c r="AA1717" s="28"/>
    </row>
    <row r="1718" spans="1:27" ht="12.75">
      <c r="A1718" s="25"/>
      <c r="B1718" s="25"/>
      <c r="C1718" s="25"/>
      <c r="D1718" s="25"/>
      <c r="E1718" s="25"/>
      <c r="F1718" s="25"/>
      <c r="G1718" s="25"/>
      <c r="H1718" s="25"/>
      <c r="I1718" s="27"/>
      <c r="J1718" s="25"/>
      <c r="K1718" s="25"/>
      <c r="L1718" s="25"/>
      <c r="M1718" s="25"/>
      <c r="N1718" s="25"/>
      <c r="O1718" s="25"/>
      <c r="P1718" s="25"/>
      <c r="Q1718" s="25"/>
      <c r="R1718" s="25"/>
      <c r="S1718" s="25"/>
      <c r="T1718" s="25"/>
      <c r="U1718" s="25"/>
      <c r="V1718" s="25"/>
      <c r="W1718" s="25"/>
      <c r="X1718" s="25"/>
      <c r="Y1718" s="25"/>
      <c r="Z1718" s="27"/>
      <c r="AA1718" s="28"/>
    </row>
    <row r="1719" spans="1:27" ht="12.75">
      <c r="A1719" s="25"/>
      <c r="B1719" s="25"/>
      <c r="C1719" s="25"/>
      <c r="D1719" s="25"/>
      <c r="E1719" s="25"/>
      <c r="F1719" s="25"/>
      <c r="G1719" s="25"/>
      <c r="H1719" s="25"/>
      <c r="I1719" s="27"/>
      <c r="J1719" s="25"/>
      <c r="K1719" s="25"/>
      <c r="L1719" s="25"/>
      <c r="M1719" s="25"/>
      <c r="N1719" s="25"/>
      <c r="O1719" s="25"/>
      <c r="P1719" s="25"/>
      <c r="Q1719" s="25"/>
      <c r="R1719" s="25"/>
      <c r="S1719" s="25"/>
      <c r="T1719" s="25"/>
      <c r="U1719" s="25"/>
      <c r="V1719" s="25"/>
      <c r="W1719" s="25"/>
      <c r="X1719" s="25"/>
      <c r="Y1719" s="25"/>
      <c r="Z1719" s="27"/>
      <c r="AA1719" s="28"/>
    </row>
    <row r="1720" spans="1:27" ht="12.75">
      <c r="A1720" s="25"/>
      <c r="B1720" s="25"/>
      <c r="C1720" s="25"/>
      <c r="D1720" s="25"/>
      <c r="E1720" s="25"/>
      <c r="F1720" s="25"/>
      <c r="G1720" s="25"/>
      <c r="H1720" s="25"/>
      <c r="I1720" s="27"/>
      <c r="J1720" s="25"/>
      <c r="K1720" s="25"/>
      <c r="L1720" s="25"/>
      <c r="M1720" s="25"/>
      <c r="N1720" s="25"/>
      <c r="O1720" s="25"/>
      <c r="P1720" s="25"/>
      <c r="Q1720" s="25"/>
      <c r="R1720" s="25"/>
      <c r="S1720" s="25"/>
      <c r="T1720" s="25"/>
      <c r="U1720" s="25"/>
      <c r="V1720" s="25"/>
      <c r="W1720" s="25"/>
      <c r="X1720" s="25"/>
      <c r="Y1720" s="25"/>
      <c r="Z1720" s="27"/>
      <c r="AA1720" s="28"/>
    </row>
    <row r="1721" spans="1:27" ht="12.75">
      <c r="A1721" s="25"/>
      <c r="B1721" s="25"/>
      <c r="C1721" s="25"/>
      <c r="D1721" s="25"/>
      <c r="E1721" s="25"/>
      <c r="F1721" s="25"/>
      <c r="G1721" s="25"/>
      <c r="H1721" s="25"/>
      <c r="I1721" s="27"/>
      <c r="J1721" s="25"/>
      <c r="K1721" s="25"/>
      <c r="L1721" s="25"/>
      <c r="M1721" s="25"/>
      <c r="N1721" s="25"/>
      <c r="O1721" s="25"/>
      <c r="P1721" s="25"/>
      <c r="Q1721" s="25"/>
      <c r="R1721" s="25"/>
      <c r="S1721" s="25"/>
      <c r="T1721" s="25"/>
      <c r="U1721" s="25"/>
      <c r="V1721" s="25"/>
      <c r="W1721" s="25"/>
      <c r="X1721" s="25"/>
      <c r="Y1721" s="25"/>
      <c r="Z1721" s="27"/>
      <c r="AA1721" s="28"/>
    </row>
    <row r="1722" spans="1:27" ht="12.75">
      <c r="A1722" s="25"/>
      <c r="B1722" s="25"/>
      <c r="C1722" s="25"/>
      <c r="D1722" s="25"/>
      <c r="E1722" s="25"/>
      <c r="F1722" s="25"/>
      <c r="G1722" s="25"/>
      <c r="H1722" s="25"/>
      <c r="I1722" s="27"/>
      <c r="J1722" s="25"/>
      <c r="K1722" s="25"/>
      <c r="L1722" s="25"/>
      <c r="M1722" s="25"/>
      <c r="N1722" s="25"/>
      <c r="O1722" s="25"/>
      <c r="P1722" s="25"/>
      <c r="Q1722" s="25"/>
      <c r="R1722" s="25"/>
      <c r="S1722" s="25"/>
      <c r="T1722" s="25"/>
      <c r="U1722" s="25"/>
      <c r="V1722" s="25"/>
      <c r="W1722" s="25"/>
      <c r="X1722" s="25"/>
      <c r="Y1722" s="25"/>
      <c r="Z1722" s="27"/>
      <c r="AA1722" s="28"/>
    </row>
    <row r="1723" spans="1:27" ht="12.75">
      <c r="A1723" s="25"/>
      <c r="B1723" s="25"/>
      <c r="C1723" s="25"/>
      <c r="D1723" s="25"/>
      <c r="E1723" s="25"/>
      <c r="F1723" s="25"/>
      <c r="G1723" s="25"/>
      <c r="H1723" s="25"/>
      <c r="I1723" s="27"/>
      <c r="J1723" s="25"/>
      <c r="K1723" s="25"/>
      <c r="L1723" s="25"/>
      <c r="M1723" s="25"/>
      <c r="N1723" s="25"/>
      <c r="O1723" s="25"/>
      <c r="P1723" s="25"/>
      <c r="Q1723" s="25"/>
      <c r="R1723" s="25"/>
      <c r="S1723" s="25"/>
      <c r="T1723" s="25"/>
      <c r="U1723" s="25"/>
      <c r="V1723" s="25"/>
      <c r="W1723" s="25"/>
      <c r="X1723" s="25"/>
      <c r="Y1723" s="25"/>
      <c r="Z1723" s="27"/>
      <c r="AA1723" s="28"/>
    </row>
    <row r="1724" spans="1:27" ht="12.75">
      <c r="A1724" s="25"/>
      <c r="B1724" s="25"/>
      <c r="C1724" s="25"/>
      <c r="D1724" s="25"/>
      <c r="E1724" s="25"/>
      <c r="F1724" s="25"/>
      <c r="G1724" s="25"/>
      <c r="H1724" s="25"/>
      <c r="I1724" s="27"/>
      <c r="J1724" s="25"/>
      <c r="K1724" s="25"/>
      <c r="L1724" s="25"/>
      <c r="M1724" s="25"/>
      <c r="N1724" s="25"/>
      <c r="O1724" s="25"/>
      <c r="P1724" s="25"/>
      <c r="Q1724" s="25"/>
      <c r="R1724" s="25"/>
      <c r="S1724" s="25"/>
      <c r="T1724" s="25"/>
      <c r="U1724" s="25"/>
      <c r="V1724" s="25"/>
      <c r="W1724" s="25"/>
      <c r="X1724" s="25"/>
      <c r="Y1724" s="25"/>
      <c r="Z1724" s="27"/>
      <c r="AA1724" s="28"/>
    </row>
    <row r="1725" spans="1:27" ht="12.75">
      <c r="A1725" s="25"/>
      <c r="B1725" s="25"/>
      <c r="C1725" s="25"/>
      <c r="D1725" s="25"/>
      <c r="E1725" s="25"/>
      <c r="F1725" s="25"/>
      <c r="G1725" s="25"/>
      <c r="H1725" s="25"/>
      <c r="I1725" s="27"/>
      <c r="J1725" s="25"/>
      <c r="K1725" s="25"/>
      <c r="L1725" s="25"/>
      <c r="M1725" s="25"/>
      <c r="N1725" s="25"/>
      <c r="O1725" s="25"/>
      <c r="P1725" s="25"/>
      <c r="Q1725" s="25"/>
      <c r="R1725" s="25"/>
      <c r="S1725" s="25"/>
      <c r="T1725" s="25"/>
      <c r="U1725" s="25"/>
      <c r="V1725" s="25"/>
      <c r="W1725" s="25"/>
      <c r="X1725" s="25"/>
      <c r="Y1725" s="25"/>
      <c r="Z1725" s="27"/>
      <c r="AA1725" s="28"/>
    </row>
    <row r="1726" spans="1:27" ht="12.75">
      <c r="A1726" s="25"/>
      <c r="B1726" s="25"/>
      <c r="C1726" s="25"/>
      <c r="D1726" s="25"/>
      <c r="E1726" s="25"/>
      <c r="F1726" s="25"/>
      <c r="G1726" s="25"/>
      <c r="H1726" s="25"/>
      <c r="I1726" s="27"/>
      <c r="J1726" s="25"/>
      <c r="K1726" s="25"/>
      <c r="L1726" s="25"/>
      <c r="M1726" s="25"/>
      <c r="N1726" s="25"/>
      <c r="O1726" s="25"/>
      <c r="P1726" s="25"/>
      <c r="Q1726" s="25"/>
      <c r="R1726" s="25"/>
      <c r="S1726" s="25"/>
      <c r="T1726" s="25"/>
      <c r="U1726" s="25"/>
      <c r="V1726" s="25"/>
      <c r="W1726" s="25"/>
      <c r="X1726" s="25"/>
      <c r="Y1726" s="25"/>
      <c r="Z1726" s="27"/>
      <c r="AA1726" s="28"/>
    </row>
    <row r="1727" spans="1:27" ht="12.75">
      <c r="A1727" s="25"/>
      <c r="B1727" s="25"/>
      <c r="C1727" s="25"/>
      <c r="D1727" s="25"/>
      <c r="E1727" s="25"/>
      <c r="F1727" s="25"/>
      <c r="G1727" s="25"/>
      <c r="H1727" s="25"/>
      <c r="I1727" s="27"/>
      <c r="J1727" s="25"/>
      <c r="K1727" s="25"/>
      <c r="L1727" s="25"/>
      <c r="M1727" s="25"/>
      <c r="N1727" s="25"/>
      <c r="O1727" s="25"/>
      <c r="P1727" s="25"/>
      <c r="Q1727" s="25"/>
      <c r="R1727" s="25"/>
      <c r="S1727" s="25"/>
      <c r="T1727" s="25"/>
      <c r="U1727" s="25"/>
      <c r="V1727" s="25"/>
      <c r="W1727" s="25"/>
      <c r="X1727" s="25"/>
      <c r="Y1727" s="25"/>
      <c r="Z1727" s="27"/>
      <c r="AA1727" s="28"/>
    </row>
    <row r="1728" spans="1:27" ht="12.75">
      <c r="A1728" s="25"/>
      <c r="B1728" s="25"/>
      <c r="C1728" s="25"/>
      <c r="D1728" s="25"/>
      <c r="E1728" s="25"/>
      <c r="F1728" s="25"/>
      <c r="G1728" s="25"/>
      <c r="H1728" s="25"/>
      <c r="I1728" s="27"/>
      <c r="J1728" s="25"/>
      <c r="K1728" s="25"/>
      <c r="L1728" s="25"/>
      <c r="M1728" s="25"/>
      <c r="N1728" s="25"/>
      <c r="O1728" s="25"/>
      <c r="P1728" s="25"/>
      <c r="Q1728" s="25"/>
      <c r="R1728" s="25"/>
      <c r="S1728" s="25"/>
      <c r="T1728" s="25"/>
      <c r="U1728" s="25"/>
      <c r="V1728" s="25"/>
      <c r="W1728" s="25"/>
      <c r="X1728" s="25"/>
      <c r="Y1728" s="25"/>
      <c r="Z1728" s="27"/>
      <c r="AA1728" s="28"/>
    </row>
    <row r="1729" spans="1:27" ht="12.75">
      <c r="A1729" s="25"/>
      <c r="B1729" s="25"/>
      <c r="C1729" s="25"/>
      <c r="D1729" s="25"/>
      <c r="E1729" s="25"/>
      <c r="F1729" s="25"/>
      <c r="G1729" s="25"/>
      <c r="H1729" s="25"/>
      <c r="I1729" s="27"/>
      <c r="J1729" s="25"/>
      <c r="K1729" s="25"/>
      <c r="L1729" s="25"/>
      <c r="M1729" s="25"/>
      <c r="N1729" s="25"/>
      <c r="O1729" s="25"/>
      <c r="P1729" s="25"/>
      <c r="Q1729" s="25"/>
      <c r="R1729" s="25"/>
      <c r="S1729" s="25"/>
      <c r="T1729" s="25"/>
      <c r="U1729" s="25"/>
      <c r="V1729" s="25"/>
      <c r="W1729" s="25"/>
      <c r="X1729" s="25"/>
      <c r="Y1729" s="25"/>
      <c r="Z1729" s="27"/>
      <c r="AA1729" s="28"/>
    </row>
    <row r="1730" spans="1:27" ht="12.75">
      <c r="A1730" s="25"/>
      <c r="B1730" s="25"/>
      <c r="C1730" s="25"/>
      <c r="D1730" s="25"/>
      <c r="E1730" s="25"/>
      <c r="F1730" s="25"/>
      <c r="G1730" s="25"/>
      <c r="H1730" s="25"/>
      <c r="I1730" s="27"/>
      <c r="J1730" s="25"/>
      <c r="K1730" s="25"/>
      <c r="L1730" s="25"/>
      <c r="M1730" s="25"/>
      <c r="N1730" s="25"/>
      <c r="O1730" s="25"/>
      <c r="P1730" s="25"/>
      <c r="Q1730" s="25"/>
      <c r="R1730" s="25"/>
      <c r="S1730" s="25"/>
      <c r="T1730" s="25"/>
      <c r="U1730" s="25"/>
      <c r="V1730" s="25"/>
      <c r="W1730" s="25"/>
      <c r="X1730" s="25"/>
      <c r="Y1730" s="25"/>
      <c r="Z1730" s="27"/>
      <c r="AA1730" s="28"/>
    </row>
    <row r="1731" spans="1:27" ht="12.75">
      <c r="A1731" s="25"/>
      <c r="B1731" s="25"/>
      <c r="C1731" s="25"/>
      <c r="D1731" s="25"/>
      <c r="E1731" s="25"/>
      <c r="F1731" s="25"/>
      <c r="G1731" s="25"/>
      <c r="H1731" s="25"/>
      <c r="I1731" s="27"/>
      <c r="J1731" s="25"/>
      <c r="K1731" s="25"/>
      <c r="L1731" s="25"/>
      <c r="M1731" s="25"/>
      <c r="N1731" s="25"/>
      <c r="O1731" s="25"/>
      <c r="P1731" s="25"/>
      <c r="Q1731" s="25"/>
      <c r="R1731" s="25"/>
      <c r="S1731" s="25"/>
      <c r="T1731" s="25"/>
      <c r="U1731" s="25"/>
      <c r="V1731" s="25"/>
      <c r="W1731" s="25"/>
      <c r="X1731" s="25"/>
      <c r="Y1731" s="25"/>
      <c r="Z1731" s="27"/>
      <c r="AA1731" s="28"/>
    </row>
    <row r="1732" spans="1:27" ht="12.75">
      <c r="A1732" s="25"/>
      <c r="B1732" s="25"/>
      <c r="C1732" s="25"/>
      <c r="D1732" s="25"/>
      <c r="E1732" s="25"/>
      <c r="F1732" s="25"/>
      <c r="G1732" s="25"/>
      <c r="H1732" s="25"/>
      <c r="I1732" s="27"/>
      <c r="J1732" s="25"/>
      <c r="K1732" s="25"/>
      <c r="L1732" s="25"/>
      <c r="M1732" s="25"/>
      <c r="N1732" s="25"/>
      <c r="O1732" s="25"/>
      <c r="P1732" s="25"/>
      <c r="Q1732" s="25"/>
      <c r="R1732" s="25"/>
      <c r="S1732" s="25"/>
      <c r="T1732" s="25"/>
      <c r="U1732" s="25"/>
      <c r="V1732" s="25"/>
      <c r="W1732" s="25"/>
      <c r="X1732" s="25"/>
      <c r="Y1732" s="25"/>
      <c r="Z1732" s="27"/>
      <c r="AA1732" s="28"/>
    </row>
    <row r="1733" spans="1:27" ht="12.75">
      <c r="A1733" s="25"/>
      <c r="B1733" s="25"/>
      <c r="C1733" s="25"/>
      <c r="D1733" s="25"/>
      <c r="E1733" s="25"/>
      <c r="F1733" s="25"/>
      <c r="G1733" s="25"/>
      <c r="H1733" s="25"/>
      <c r="I1733" s="27"/>
      <c r="J1733" s="25"/>
      <c r="K1733" s="25"/>
      <c r="L1733" s="25"/>
      <c r="M1733" s="25"/>
      <c r="N1733" s="25"/>
      <c r="O1733" s="25"/>
      <c r="P1733" s="25"/>
      <c r="Q1733" s="25"/>
      <c r="R1733" s="25"/>
      <c r="S1733" s="25"/>
      <c r="T1733" s="25"/>
      <c r="U1733" s="25"/>
      <c r="V1733" s="25"/>
      <c r="W1733" s="25"/>
      <c r="X1733" s="25"/>
      <c r="Y1733" s="25"/>
      <c r="Z1733" s="27"/>
      <c r="AA1733" s="28"/>
    </row>
    <row r="1734" spans="1:27" ht="12.75">
      <c r="A1734" s="25"/>
      <c r="B1734" s="25"/>
      <c r="C1734" s="25"/>
      <c r="D1734" s="25"/>
      <c r="E1734" s="25"/>
      <c r="F1734" s="25"/>
      <c r="G1734" s="25"/>
      <c r="H1734" s="25"/>
      <c r="I1734" s="27"/>
      <c r="J1734" s="25"/>
      <c r="K1734" s="25"/>
      <c r="L1734" s="25"/>
      <c r="M1734" s="25"/>
      <c r="N1734" s="25"/>
      <c r="O1734" s="25"/>
      <c r="P1734" s="25"/>
      <c r="Q1734" s="25"/>
      <c r="R1734" s="25"/>
      <c r="S1734" s="25"/>
      <c r="T1734" s="25"/>
      <c r="U1734" s="25"/>
      <c r="V1734" s="25"/>
      <c r="W1734" s="25"/>
      <c r="X1734" s="25"/>
      <c r="Y1734" s="25"/>
      <c r="Z1734" s="27"/>
      <c r="AA1734" s="28"/>
    </row>
    <row r="1735" spans="1:27" ht="12.75">
      <c r="A1735" s="25"/>
      <c r="B1735" s="25"/>
      <c r="C1735" s="25"/>
      <c r="D1735" s="25"/>
      <c r="E1735" s="25"/>
      <c r="F1735" s="25"/>
      <c r="G1735" s="25"/>
      <c r="H1735" s="25"/>
      <c r="I1735" s="27"/>
      <c r="J1735" s="25"/>
      <c r="K1735" s="25"/>
      <c r="L1735" s="25"/>
      <c r="M1735" s="25"/>
      <c r="N1735" s="25"/>
      <c r="O1735" s="25"/>
      <c r="P1735" s="25"/>
      <c r="Q1735" s="25"/>
      <c r="R1735" s="25"/>
      <c r="S1735" s="25"/>
      <c r="T1735" s="25"/>
      <c r="U1735" s="25"/>
      <c r="V1735" s="25"/>
      <c r="W1735" s="25"/>
      <c r="X1735" s="25"/>
      <c r="Y1735" s="25"/>
      <c r="Z1735" s="27"/>
      <c r="AA1735" s="28"/>
    </row>
    <row r="1736" spans="1:27" ht="12.75">
      <c r="A1736" s="25"/>
      <c r="B1736" s="25"/>
      <c r="C1736" s="25"/>
      <c r="D1736" s="25"/>
      <c r="E1736" s="25"/>
      <c r="F1736" s="25"/>
      <c r="G1736" s="25"/>
      <c r="H1736" s="25"/>
      <c r="I1736" s="27"/>
      <c r="J1736" s="25"/>
      <c r="K1736" s="25"/>
      <c r="L1736" s="25"/>
      <c r="M1736" s="25"/>
      <c r="N1736" s="25"/>
      <c r="O1736" s="25"/>
      <c r="P1736" s="25"/>
      <c r="Q1736" s="25"/>
      <c r="R1736" s="25"/>
      <c r="S1736" s="25"/>
      <c r="T1736" s="25"/>
      <c r="U1736" s="25"/>
      <c r="V1736" s="25"/>
      <c r="W1736" s="25"/>
      <c r="X1736" s="25"/>
      <c r="Y1736" s="25"/>
      <c r="Z1736" s="27"/>
      <c r="AA1736" s="28"/>
    </row>
    <row r="1737" spans="1:27" ht="12.75">
      <c r="A1737" s="25"/>
      <c r="B1737" s="25"/>
      <c r="C1737" s="25"/>
      <c r="D1737" s="25"/>
      <c r="E1737" s="25"/>
      <c r="F1737" s="25"/>
      <c r="G1737" s="25"/>
      <c r="H1737" s="25"/>
      <c r="I1737" s="27"/>
      <c r="J1737" s="25"/>
      <c r="K1737" s="25"/>
      <c r="L1737" s="25"/>
      <c r="M1737" s="25"/>
      <c r="N1737" s="25"/>
      <c r="O1737" s="25"/>
      <c r="P1737" s="25"/>
      <c r="Q1737" s="25"/>
      <c r="R1737" s="25"/>
      <c r="S1737" s="25"/>
      <c r="T1737" s="25"/>
      <c r="U1737" s="25"/>
      <c r="V1737" s="25"/>
      <c r="W1737" s="25"/>
      <c r="X1737" s="25"/>
      <c r="Y1737" s="25"/>
      <c r="Z1737" s="27"/>
      <c r="AA1737" s="28"/>
    </row>
    <row r="1738" spans="1:27" ht="12.75">
      <c r="A1738" s="25"/>
      <c r="B1738" s="25"/>
      <c r="C1738" s="25"/>
      <c r="D1738" s="25"/>
      <c r="E1738" s="25"/>
      <c r="F1738" s="25"/>
      <c r="G1738" s="25"/>
      <c r="H1738" s="25"/>
      <c r="I1738" s="27"/>
      <c r="J1738" s="25"/>
      <c r="K1738" s="25"/>
      <c r="L1738" s="25"/>
      <c r="M1738" s="25"/>
      <c r="N1738" s="25"/>
      <c r="O1738" s="25"/>
      <c r="P1738" s="25"/>
      <c r="Q1738" s="25"/>
      <c r="R1738" s="25"/>
      <c r="S1738" s="25"/>
      <c r="T1738" s="25"/>
      <c r="U1738" s="25"/>
      <c r="V1738" s="25"/>
      <c r="W1738" s="25"/>
      <c r="X1738" s="25"/>
      <c r="Y1738" s="25"/>
      <c r="Z1738" s="27"/>
      <c r="AA1738" s="28"/>
    </row>
    <row r="1739" spans="1:27" ht="12.75">
      <c r="A1739" s="25"/>
      <c r="B1739" s="25"/>
      <c r="C1739" s="25"/>
      <c r="D1739" s="25"/>
      <c r="E1739" s="25"/>
      <c r="F1739" s="25"/>
      <c r="G1739" s="25"/>
      <c r="H1739" s="25"/>
      <c r="I1739" s="27"/>
      <c r="J1739" s="25"/>
      <c r="K1739" s="25"/>
      <c r="L1739" s="25"/>
      <c r="M1739" s="25"/>
      <c r="N1739" s="25"/>
      <c r="O1739" s="25"/>
      <c r="P1739" s="25"/>
      <c r="Q1739" s="25"/>
      <c r="R1739" s="25"/>
      <c r="S1739" s="25"/>
      <c r="T1739" s="25"/>
      <c r="U1739" s="25"/>
      <c r="V1739" s="25"/>
      <c r="W1739" s="25"/>
      <c r="X1739" s="25"/>
      <c r="Y1739" s="25"/>
      <c r="Z1739" s="27"/>
      <c r="AA1739" s="28"/>
    </row>
    <row r="1740" spans="1:27" ht="12.75">
      <c r="A1740" s="25"/>
      <c r="B1740" s="25"/>
      <c r="C1740" s="25"/>
      <c r="D1740" s="25"/>
      <c r="E1740" s="25"/>
      <c r="F1740" s="25"/>
      <c r="G1740" s="25"/>
      <c r="H1740" s="25"/>
      <c r="I1740" s="27"/>
      <c r="J1740" s="25"/>
      <c r="K1740" s="25"/>
      <c r="L1740" s="25"/>
      <c r="M1740" s="25"/>
      <c r="N1740" s="25"/>
      <c r="O1740" s="25"/>
      <c r="P1740" s="25"/>
      <c r="Q1740" s="25"/>
      <c r="R1740" s="25"/>
      <c r="S1740" s="25"/>
      <c r="T1740" s="25"/>
      <c r="U1740" s="25"/>
      <c r="V1740" s="25"/>
      <c r="W1740" s="25"/>
      <c r="X1740" s="25"/>
      <c r="Y1740" s="25"/>
      <c r="Z1740" s="27"/>
      <c r="AA1740" s="28"/>
    </row>
    <row r="1741" spans="1:27" ht="12.75">
      <c r="A1741" s="25"/>
      <c r="B1741" s="25"/>
      <c r="C1741" s="25"/>
      <c r="D1741" s="25"/>
      <c r="E1741" s="25"/>
      <c r="F1741" s="25"/>
      <c r="G1741" s="25"/>
      <c r="H1741" s="25"/>
      <c r="I1741" s="27"/>
      <c r="J1741" s="25"/>
      <c r="K1741" s="25"/>
      <c r="L1741" s="25"/>
      <c r="M1741" s="25"/>
      <c r="N1741" s="25"/>
      <c r="O1741" s="25"/>
      <c r="P1741" s="25"/>
      <c r="Q1741" s="25"/>
      <c r="R1741" s="25"/>
      <c r="S1741" s="25"/>
      <c r="T1741" s="25"/>
      <c r="U1741" s="25"/>
      <c r="V1741" s="25"/>
      <c r="W1741" s="25"/>
      <c r="X1741" s="25"/>
      <c r="Y1741" s="25"/>
      <c r="Z1741" s="27"/>
      <c r="AA1741" s="28"/>
    </row>
    <row r="1742" spans="1:27" ht="12.75">
      <c r="A1742" s="25"/>
      <c r="B1742" s="25"/>
      <c r="C1742" s="25"/>
      <c r="D1742" s="25"/>
      <c r="E1742" s="25"/>
      <c r="F1742" s="25"/>
      <c r="G1742" s="25"/>
      <c r="H1742" s="25"/>
      <c r="I1742" s="27"/>
      <c r="J1742" s="25"/>
      <c r="K1742" s="25"/>
      <c r="L1742" s="25"/>
      <c r="M1742" s="25"/>
      <c r="N1742" s="25"/>
      <c r="O1742" s="25"/>
      <c r="P1742" s="25"/>
      <c r="Q1742" s="25"/>
      <c r="R1742" s="25"/>
      <c r="S1742" s="25"/>
      <c r="T1742" s="25"/>
      <c r="U1742" s="25"/>
      <c r="V1742" s="25"/>
      <c r="W1742" s="25"/>
      <c r="X1742" s="25"/>
      <c r="Y1742" s="25"/>
      <c r="Z1742" s="27"/>
      <c r="AA1742" s="28"/>
    </row>
    <row r="1743" spans="1:27" ht="12.75">
      <c r="A1743" s="25"/>
      <c r="B1743" s="25"/>
      <c r="C1743" s="25"/>
      <c r="D1743" s="25"/>
      <c r="E1743" s="25"/>
      <c r="F1743" s="25"/>
      <c r="G1743" s="25"/>
      <c r="H1743" s="25"/>
      <c r="I1743" s="27"/>
      <c r="J1743" s="25"/>
      <c r="K1743" s="25"/>
      <c r="L1743" s="25"/>
      <c r="M1743" s="25"/>
      <c r="N1743" s="25"/>
      <c r="O1743" s="25"/>
      <c r="P1743" s="25"/>
      <c r="Q1743" s="25"/>
      <c r="R1743" s="25"/>
      <c r="S1743" s="25"/>
      <c r="T1743" s="25"/>
      <c r="U1743" s="25"/>
      <c r="V1743" s="25"/>
      <c r="W1743" s="25"/>
      <c r="X1743" s="25"/>
      <c r="Y1743" s="25"/>
      <c r="Z1743" s="27"/>
      <c r="AA1743" s="28"/>
    </row>
    <row r="1744" spans="1:27" ht="12.75">
      <c r="A1744" s="25"/>
      <c r="B1744" s="25"/>
      <c r="C1744" s="25"/>
      <c r="D1744" s="25"/>
      <c r="E1744" s="25"/>
      <c r="F1744" s="25"/>
      <c r="G1744" s="25"/>
      <c r="H1744" s="25"/>
      <c r="I1744" s="27"/>
      <c r="J1744" s="25"/>
      <c r="K1744" s="25"/>
      <c r="L1744" s="25"/>
      <c r="M1744" s="25"/>
      <c r="N1744" s="25"/>
      <c r="O1744" s="25"/>
      <c r="P1744" s="25"/>
      <c r="Q1744" s="25"/>
      <c r="R1744" s="25"/>
      <c r="S1744" s="25"/>
      <c r="T1744" s="25"/>
      <c r="U1744" s="25"/>
      <c r="V1744" s="25"/>
      <c r="W1744" s="25"/>
      <c r="X1744" s="25"/>
      <c r="Y1744" s="25"/>
      <c r="Z1744" s="27"/>
      <c r="AA1744" s="28"/>
    </row>
    <row r="1745" spans="1:27" ht="12.75">
      <c r="A1745" s="25"/>
      <c r="B1745" s="25"/>
      <c r="C1745" s="25"/>
      <c r="D1745" s="25"/>
      <c r="E1745" s="25"/>
      <c r="F1745" s="25"/>
      <c r="G1745" s="25"/>
      <c r="H1745" s="25"/>
      <c r="I1745" s="27"/>
      <c r="J1745" s="25"/>
      <c r="K1745" s="25"/>
      <c r="L1745" s="25"/>
      <c r="M1745" s="25"/>
      <c r="N1745" s="25"/>
      <c r="O1745" s="25"/>
      <c r="P1745" s="25"/>
      <c r="Q1745" s="25"/>
      <c r="R1745" s="25"/>
      <c r="S1745" s="25"/>
      <c r="T1745" s="25"/>
      <c r="U1745" s="25"/>
      <c r="V1745" s="25"/>
      <c r="W1745" s="25"/>
      <c r="X1745" s="25"/>
      <c r="Y1745" s="25"/>
      <c r="Z1745" s="27"/>
      <c r="AA1745" s="28"/>
    </row>
    <row r="1746" spans="1:27" ht="12.75">
      <c r="A1746" s="25"/>
      <c r="B1746" s="25"/>
      <c r="C1746" s="25"/>
      <c r="D1746" s="25"/>
      <c r="E1746" s="25"/>
      <c r="F1746" s="25"/>
      <c r="G1746" s="25"/>
      <c r="H1746" s="25"/>
      <c r="I1746" s="27"/>
      <c r="J1746" s="25"/>
      <c r="K1746" s="25"/>
      <c r="L1746" s="25"/>
      <c r="M1746" s="25"/>
      <c r="N1746" s="25"/>
      <c r="O1746" s="25"/>
      <c r="P1746" s="25"/>
      <c r="Q1746" s="25"/>
      <c r="R1746" s="25"/>
      <c r="S1746" s="25"/>
      <c r="T1746" s="25"/>
      <c r="U1746" s="25"/>
      <c r="V1746" s="25"/>
      <c r="W1746" s="25"/>
      <c r="X1746" s="25"/>
      <c r="Y1746" s="25"/>
      <c r="Z1746" s="27"/>
      <c r="AA1746" s="28"/>
    </row>
    <row r="1747" spans="1:27" ht="12.75">
      <c r="A1747" s="25"/>
      <c r="B1747" s="25"/>
      <c r="C1747" s="25"/>
      <c r="D1747" s="25"/>
      <c r="E1747" s="25"/>
      <c r="F1747" s="25"/>
      <c r="G1747" s="25"/>
      <c r="H1747" s="25"/>
      <c r="I1747" s="27"/>
      <c r="J1747" s="25"/>
      <c r="K1747" s="25"/>
      <c r="L1747" s="25"/>
      <c r="M1747" s="25"/>
      <c r="N1747" s="25"/>
      <c r="O1747" s="25"/>
      <c r="P1747" s="25"/>
      <c r="Q1747" s="25"/>
      <c r="R1747" s="25"/>
      <c r="S1747" s="25"/>
      <c r="T1747" s="25"/>
      <c r="U1747" s="25"/>
      <c r="V1747" s="25"/>
      <c r="W1747" s="25"/>
      <c r="X1747" s="25"/>
      <c r="Y1747" s="25"/>
      <c r="Z1747" s="27"/>
      <c r="AA1747" s="28"/>
    </row>
    <row r="1748" spans="1:27" ht="12.75">
      <c r="A1748" s="25"/>
      <c r="B1748" s="25"/>
      <c r="C1748" s="25"/>
      <c r="D1748" s="25"/>
      <c r="E1748" s="25"/>
      <c r="F1748" s="25"/>
      <c r="G1748" s="25"/>
      <c r="H1748" s="25"/>
      <c r="I1748" s="27"/>
      <c r="J1748" s="25"/>
      <c r="K1748" s="25"/>
      <c r="L1748" s="25"/>
      <c r="M1748" s="25"/>
      <c r="N1748" s="25"/>
      <c r="O1748" s="25"/>
      <c r="P1748" s="25"/>
      <c r="Q1748" s="25"/>
      <c r="R1748" s="25"/>
      <c r="S1748" s="25"/>
      <c r="T1748" s="25"/>
      <c r="U1748" s="25"/>
      <c r="V1748" s="25"/>
      <c r="W1748" s="25"/>
      <c r="X1748" s="25"/>
      <c r="Y1748" s="25"/>
      <c r="Z1748" s="27"/>
      <c r="AA1748" s="28"/>
    </row>
    <row r="1749" spans="1:27" ht="12.75">
      <c r="A1749" s="25"/>
      <c r="B1749" s="25"/>
      <c r="C1749" s="25"/>
      <c r="D1749" s="25"/>
      <c r="E1749" s="25"/>
      <c r="F1749" s="25"/>
      <c r="G1749" s="25"/>
      <c r="H1749" s="25"/>
      <c r="I1749" s="27"/>
      <c r="J1749" s="25"/>
      <c r="K1749" s="25"/>
      <c r="L1749" s="25"/>
      <c r="M1749" s="25"/>
      <c r="N1749" s="25"/>
      <c r="O1749" s="25"/>
      <c r="P1749" s="25"/>
      <c r="Q1749" s="25"/>
      <c r="R1749" s="25"/>
      <c r="S1749" s="25"/>
      <c r="T1749" s="25"/>
      <c r="U1749" s="25"/>
      <c r="V1749" s="25"/>
      <c r="W1749" s="25"/>
      <c r="X1749" s="25"/>
      <c r="Y1749" s="25"/>
      <c r="Z1749" s="27"/>
      <c r="AA1749" s="28"/>
    </row>
    <row r="1750" spans="1:27" ht="12.75">
      <c r="A1750" s="25"/>
      <c r="B1750" s="25"/>
      <c r="C1750" s="25"/>
      <c r="D1750" s="25"/>
      <c r="E1750" s="25"/>
      <c r="F1750" s="25"/>
      <c r="G1750" s="25"/>
      <c r="H1750" s="25"/>
      <c r="I1750" s="27"/>
      <c r="J1750" s="25"/>
      <c r="K1750" s="25"/>
      <c r="L1750" s="25"/>
      <c r="M1750" s="25"/>
      <c r="N1750" s="25"/>
      <c r="O1750" s="25"/>
      <c r="P1750" s="25"/>
      <c r="Q1750" s="25"/>
      <c r="R1750" s="25"/>
      <c r="S1750" s="25"/>
      <c r="T1750" s="25"/>
      <c r="U1750" s="25"/>
      <c r="V1750" s="25"/>
      <c r="W1750" s="25"/>
      <c r="X1750" s="25"/>
      <c r="Y1750" s="25"/>
      <c r="Z1750" s="27"/>
      <c r="AA1750" s="28"/>
    </row>
    <row r="1751" spans="1:27" ht="12.75">
      <c r="A1751" s="25"/>
      <c r="B1751" s="25"/>
      <c r="C1751" s="25"/>
      <c r="D1751" s="25"/>
      <c r="E1751" s="25"/>
      <c r="F1751" s="25"/>
      <c r="G1751" s="25"/>
      <c r="H1751" s="25"/>
      <c r="I1751" s="27"/>
      <c r="J1751" s="25"/>
      <c r="K1751" s="25"/>
      <c r="L1751" s="25"/>
      <c r="M1751" s="25"/>
      <c r="N1751" s="25"/>
      <c r="O1751" s="25"/>
      <c r="P1751" s="25"/>
      <c r="Q1751" s="25"/>
      <c r="R1751" s="25"/>
      <c r="S1751" s="25"/>
      <c r="T1751" s="25"/>
      <c r="U1751" s="25"/>
      <c r="V1751" s="25"/>
      <c r="W1751" s="25"/>
      <c r="X1751" s="25"/>
      <c r="Y1751" s="25"/>
      <c r="Z1751" s="27"/>
      <c r="AA1751" s="28"/>
    </row>
    <row r="1752" spans="1:27" ht="12.75">
      <c r="A1752" s="25"/>
      <c r="B1752" s="25"/>
      <c r="C1752" s="25"/>
      <c r="D1752" s="25"/>
      <c r="E1752" s="25"/>
      <c r="F1752" s="25"/>
      <c r="G1752" s="25"/>
      <c r="H1752" s="25"/>
      <c r="I1752" s="27"/>
      <c r="J1752" s="25"/>
      <c r="K1752" s="25"/>
      <c r="L1752" s="25"/>
      <c r="M1752" s="25"/>
      <c r="N1752" s="25"/>
      <c r="O1752" s="25"/>
      <c r="P1752" s="25"/>
      <c r="Q1752" s="25"/>
      <c r="R1752" s="25"/>
      <c r="S1752" s="25"/>
      <c r="T1752" s="25"/>
      <c r="U1752" s="25"/>
      <c r="V1752" s="25"/>
      <c r="W1752" s="25"/>
      <c r="X1752" s="25"/>
      <c r="Y1752" s="25"/>
      <c r="Z1752" s="27"/>
      <c r="AA1752" s="28"/>
    </row>
    <row r="1753" spans="1:27" ht="12.75">
      <c r="A1753" s="25"/>
      <c r="B1753" s="25"/>
      <c r="C1753" s="25"/>
      <c r="D1753" s="25"/>
      <c r="E1753" s="25"/>
      <c r="F1753" s="25"/>
      <c r="G1753" s="25"/>
      <c r="H1753" s="25"/>
      <c r="I1753" s="27"/>
      <c r="J1753" s="25"/>
      <c r="K1753" s="25"/>
      <c r="L1753" s="25"/>
      <c r="M1753" s="25"/>
      <c r="N1753" s="25"/>
      <c r="O1753" s="25"/>
      <c r="P1753" s="25"/>
      <c r="Q1753" s="25"/>
      <c r="R1753" s="25"/>
      <c r="S1753" s="25"/>
      <c r="T1753" s="25"/>
      <c r="U1753" s="25"/>
      <c r="V1753" s="25"/>
      <c r="W1753" s="25"/>
      <c r="X1753" s="25"/>
      <c r="Y1753" s="25"/>
      <c r="Z1753" s="27"/>
      <c r="AA1753" s="28"/>
    </row>
    <row r="1754" spans="1:27" ht="12.75">
      <c r="A1754" s="25"/>
      <c r="B1754" s="25"/>
      <c r="C1754" s="25"/>
      <c r="D1754" s="25"/>
      <c r="E1754" s="25"/>
      <c r="F1754" s="25"/>
      <c r="G1754" s="25"/>
      <c r="H1754" s="25"/>
      <c r="I1754" s="27"/>
      <c r="J1754" s="25"/>
      <c r="K1754" s="25"/>
      <c r="L1754" s="25"/>
      <c r="M1754" s="25"/>
      <c r="N1754" s="25"/>
      <c r="O1754" s="25"/>
      <c r="P1754" s="25"/>
      <c r="Q1754" s="25"/>
      <c r="R1754" s="25"/>
      <c r="S1754" s="25"/>
      <c r="T1754" s="25"/>
      <c r="U1754" s="25"/>
      <c r="V1754" s="25"/>
      <c r="W1754" s="25"/>
      <c r="X1754" s="25"/>
      <c r="Y1754" s="25"/>
      <c r="Z1754" s="27"/>
      <c r="AA1754" s="28"/>
    </row>
    <row r="1755" spans="1:27" ht="12.75">
      <c r="A1755" s="25"/>
      <c r="B1755" s="25"/>
      <c r="C1755" s="25"/>
      <c r="D1755" s="25"/>
      <c r="E1755" s="25"/>
      <c r="F1755" s="25"/>
      <c r="G1755" s="25"/>
      <c r="H1755" s="25"/>
      <c r="I1755" s="27"/>
      <c r="J1755" s="25"/>
      <c r="K1755" s="25"/>
      <c r="L1755" s="25"/>
      <c r="M1755" s="25"/>
      <c r="N1755" s="25"/>
      <c r="O1755" s="25"/>
      <c r="P1755" s="25"/>
      <c r="Q1755" s="25"/>
      <c r="R1755" s="25"/>
      <c r="S1755" s="25"/>
      <c r="T1755" s="25"/>
      <c r="U1755" s="25"/>
      <c r="V1755" s="25"/>
      <c r="W1755" s="25"/>
      <c r="X1755" s="25"/>
      <c r="Y1755" s="25"/>
      <c r="Z1755" s="27"/>
      <c r="AA1755" s="28"/>
    </row>
    <row r="1756" spans="1:27" ht="12.75">
      <c r="A1756" s="25"/>
      <c r="B1756" s="25"/>
      <c r="C1756" s="25"/>
      <c r="D1756" s="25"/>
      <c r="E1756" s="25"/>
      <c r="F1756" s="25"/>
      <c r="G1756" s="25"/>
      <c r="H1756" s="25"/>
      <c r="I1756" s="27"/>
      <c r="J1756" s="25"/>
      <c r="K1756" s="25"/>
      <c r="L1756" s="25"/>
      <c r="M1756" s="25"/>
      <c r="N1756" s="25"/>
      <c r="O1756" s="25"/>
      <c r="P1756" s="25"/>
      <c r="Q1756" s="25"/>
      <c r="R1756" s="25"/>
      <c r="S1756" s="25"/>
      <c r="T1756" s="25"/>
      <c r="U1756" s="25"/>
      <c r="V1756" s="25"/>
      <c r="W1756" s="25"/>
      <c r="X1756" s="25"/>
      <c r="Y1756" s="25"/>
      <c r="Z1756" s="27"/>
      <c r="AA1756" s="28"/>
    </row>
    <row r="1757" spans="1:27" ht="12.75">
      <c r="A1757" s="25"/>
      <c r="B1757" s="25"/>
      <c r="C1757" s="25"/>
      <c r="D1757" s="25"/>
      <c r="E1757" s="25"/>
      <c r="F1757" s="25"/>
      <c r="G1757" s="25"/>
      <c r="H1757" s="25"/>
      <c r="I1757" s="27"/>
      <c r="J1757" s="25"/>
      <c r="K1757" s="25"/>
      <c r="L1757" s="25"/>
      <c r="M1757" s="25"/>
      <c r="N1757" s="25"/>
      <c r="O1757" s="25"/>
      <c r="P1757" s="25"/>
      <c r="Q1757" s="25"/>
      <c r="R1757" s="25"/>
      <c r="S1757" s="25"/>
      <c r="T1757" s="25"/>
      <c r="U1757" s="25"/>
      <c r="V1757" s="25"/>
      <c r="W1757" s="25"/>
      <c r="X1757" s="25"/>
      <c r="Y1757" s="25"/>
      <c r="Z1757" s="27"/>
      <c r="AA1757" s="28"/>
    </row>
    <row r="1758" spans="1:27" ht="12.75">
      <c r="A1758" s="25"/>
      <c r="B1758" s="25"/>
      <c r="C1758" s="25"/>
      <c r="D1758" s="25"/>
      <c r="E1758" s="25"/>
      <c r="F1758" s="25"/>
      <c r="G1758" s="25"/>
      <c r="H1758" s="25"/>
      <c r="I1758" s="27"/>
      <c r="J1758" s="25"/>
      <c r="K1758" s="25"/>
      <c r="L1758" s="25"/>
      <c r="M1758" s="25"/>
      <c r="N1758" s="25"/>
      <c r="O1758" s="25"/>
      <c r="P1758" s="25"/>
      <c r="Q1758" s="25"/>
      <c r="R1758" s="25"/>
      <c r="S1758" s="25"/>
      <c r="T1758" s="25"/>
      <c r="U1758" s="25"/>
      <c r="V1758" s="25"/>
      <c r="W1758" s="25"/>
      <c r="X1758" s="25"/>
      <c r="Y1758" s="25"/>
      <c r="Z1758" s="27"/>
      <c r="AA1758" s="28"/>
    </row>
    <row r="1759" spans="1:27" ht="12.75">
      <c r="A1759" s="25"/>
      <c r="B1759" s="25"/>
      <c r="C1759" s="25"/>
      <c r="D1759" s="25"/>
      <c r="E1759" s="25"/>
      <c r="F1759" s="25"/>
      <c r="G1759" s="25"/>
      <c r="H1759" s="25"/>
      <c r="I1759" s="27"/>
      <c r="J1759" s="25"/>
      <c r="K1759" s="25"/>
      <c r="L1759" s="25"/>
      <c r="M1759" s="25"/>
      <c r="N1759" s="25"/>
      <c r="O1759" s="25"/>
      <c r="P1759" s="25"/>
      <c r="Q1759" s="25"/>
      <c r="R1759" s="25"/>
      <c r="S1759" s="25"/>
      <c r="T1759" s="25"/>
      <c r="U1759" s="25"/>
      <c r="V1759" s="25"/>
      <c r="W1759" s="25"/>
      <c r="X1759" s="25"/>
      <c r="Y1759" s="25"/>
      <c r="Z1759" s="27"/>
      <c r="AA1759" s="28"/>
    </row>
    <row r="1760" spans="1:27" ht="12.75">
      <c r="A1760" s="25"/>
      <c r="B1760" s="25"/>
      <c r="C1760" s="25"/>
      <c r="D1760" s="25"/>
      <c r="E1760" s="25"/>
      <c r="F1760" s="25"/>
      <c r="G1760" s="25"/>
      <c r="H1760" s="25"/>
      <c r="I1760" s="27"/>
      <c r="J1760" s="25"/>
      <c r="K1760" s="25"/>
      <c r="L1760" s="25"/>
      <c r="M1760" s="25"/>
      <c r="N1760" s="25"/>
      <c r="O1760" s="25"/>
      <c r="P1760" s="25"/>
      <c r="Q1760" s="25"/>
      <c r="R1760" s="25"/>
      <c r="S1760" s="25"/>
      <c r="T1760" s="25"/>
      <c r="U1760" s="25"/>
      <c r="V1760" s="25"/>
      <c r="W1760" s="25"/>
      <c r="X1760" s="25"/>
      <c r="Y1760" s="25"/>
      <c r="Z1760" s="27"/>
      <c r="AA1760" s="28"/>
    </row>
    <row r="1761" spans="1:27" ht="12.75">
      <c r="A1761" s="25"/>
      <c r="B1761" s="25"/>
      <c r="C1761" s="25"/>
      <c r="D1761" s="25"/>
      <c r="E1761" s="25"/>
      <c r="F1761" s="25"/>
      <c r="G1761" s="25"/>
      <c r="H1761" s="25"/>
      <c r="I1761" s="27"/>
      <c r="J1761" s="25"/>
      <c r="K1761" s="25"/>
      <c r="L1761" s="25"/>
      <c r="M1761" s="25"/>
      <c r="N1761" s="25"/>
      <c r="O1761" s="25"/>
      <c r="P1761" s="25"/>
      <c r="Q1761" s="25"/>
      <c r="R1761" s="25"/>
      <c r="S1761" s="25"/>
      <c r="T1761" s="25"/>
      <c r="U1761" s="25"/>
      <c r="V1761" s="25"/>
      <c r="W1761" s="25"/>
      <c r="X1761" s="25"/>
      <c r="Y1761" s="25"/>
      <c r="Z1761" s="27"/>
      <c r="AA1761" s="28"/>
    </row>
    <row r="1762" spans="1:27" ht="12.75">
      <c r="A1762" s="25"/>
      <c r="B1762" s="25"/>
      <c r="C1762" s="25"/>
      <c r="D1762" s="25"/>
      <c r="E1762" s="25"/>
      <c r="F1762" s="25"/>
      <c r="G1762" s="25"/>
      <c r="H1762" s="25"/>
      <c r="I1762" s="27"/>
      <c r="J1762" s="25"/>
      <c r="K1762" s="25"/>
      <c r="L1762" s="25"/>
      <c r="M1762" s="25"/>
      <c r="N1762" s="25"/>
      <c r="O1762" s="25"/>
      <c r="P1762" s="25"/>
      <c r="Q1762" s="25"/>
      <c r="R1762" s="25"/>
      <c r="S1762" s="25"/>
      <c r="T1762" s="25"/>
      <c r="U1762" s="25"/>
      <c r="V1762" s="25"/>
      <c r="W1762" s="25"/>
      <c r="X1762" s="25"/>
      <c r="Y1762" s="25"/>
      <c r="Z1762" s="27"/>
      <c r="AA1762" s="28"/>
    </row>
    <row r="1763" spans="1:27" ht="12.75">
      <c r="A1763" s="25"/>
      <c r="B1763" s="25"/>
      <c r="C1763" s="25"/>
      <c r="D1763" s="25"/>
      <c r="E1763" s="25"/>
      <c r="F1763" s="25"/>
      <c r="G1763" s="25"/>
      <c r="H1763" s="25"/>
      <c r="I1763" s="27"/>
      <c r="J1763" s="25"/>
      <c r="K1763" s="25"/>
      <c r="L1763" s="25"/>
      <c r="M1763" s="25"/>
      <c r="N1763" s="25"/>
      <c r="O1763" s="25"/>
      <c r="P1763" s="25"/>
      <c r="Q1763" s="25"/>
      <c r="R1763" s="25"/>
      <c r="S1763" s="25"/>
      <c r="T1763" s="25"/>
      <c r="U1763" s="25"/>
      <c r="V1763" s="25"/>
      <c r="W1763" s="25"/>
      <c r="X1763" s="25"/>
      <c r="Y1763" s="25"/>
      <c r="Z1763" s="27"/>
      <c r="AA1763" s="28"/>
    </row>
    <row r="1764" spans="1:27" ht="12.75">
      <c r="A1764" s="25"/>
      <c r="B1764" s="25"/>
      <c r="C1764" s="25"/>
      <c r="D1764" s="25"/>
      <c r="E1764" s="25"/>
      <c r="F1764" s="25"/>
      <c r="G1764" s="25"/>
      <c r="H1764" s="25"/>
      <c r="I1764" s="27"/>
      <c r="J1764" s="25"/>
      <c r="K1764" s="25"/>
      <c r="L1764" s="25"/>
      <c r="M1764" s="25"/>
      <c r="N1764" s="25"/>
      <c r="O1764" s="25"/>
      <c r="P1764" s="25"/>
      <c r="Q1764" s="25"/>
      <c r="R1764" s="25"/>
      <c r="S1764" s="25"/>
      <c r="T1764" s="25"/>
      <c r="U1764" s="25"/>
      <c r="V1764" s="25"/>
      <c r="W1764" s="25"/>
      <c r="X1764" s="25"/>
      <c r="Y1764" s="25"/>
      <c r="Z1764" s="27"/>
      <c r="AA1764" s="28"/>
    </row>
    <row r="1765" spans="1:27" ht="12.75">
      <c r="A1765" s="25"/>
      <c r="B1765" s="25"/>
      <c r="C1765" s="25"/>
      <c r="D1765" s="25"/>
      <c r="E1765" s="25"/>
      <c r="F1765" s="25"/>
      <c r="G1765" s="25"/>
      <c r="H1765" s="25"/>
      <c r="I1765" s="27"/>
      <c r="J1765" s="25"/>
      <c r="K1765" s="25"/>
      <c r="L1765" s="25"/>
      <c r="M1765" s="25"/>
      <c r="N1765" s="25"/>
      <c r="O1765" s="25"/>
      <c r="P1765" s="25"/>
      <c r="Q1765" s="25"/>
      <c r="R1765" s="25"/>
      <c r="S1765" s="25"/>
      <c r="T1765" s="25"/>
      <c r="U1765" s="25"/>
      <c r="V1765" s="25"/>
      <c r="W1765" s="25"/>
      <c r="X1765" s="25"/>
      <c r="Y1765" s="25"/>
      <c r="Z1765" s="27"/>
      <c r="AA1765" s="28"/>
    </row>
    <row r="1766" spans="1:27" ht="12.75">
      <c r="A1766" s="25"/>
      <c r="B1766" s="25"/>
      <c r="C1766" s="25"/>
      <c r="D1766" s="25"/>
      <c r="E1766" s="25"/>
      <c r="F1766" s="25"/>
      <c r="G1766" s="25"/>
      <c r="H1766" s="25"/>
      <c r="I1766" s="27"/>
      <c r="J1766" s="25"/>
      <c r="K1766" s="25"/>
      <c r="L1766" s="25"/>
      <c r="M1766" s="25"/>
      <c r="N1766" s="25"/>
      <c r="O1766" s="25"/>
      <c r="P1766" s="25"/>
      <c r="Q1766" s="25"/>
      <c r="R1766" s="25"/>
      <c r="S1766" s="25"/>
      <c r="T1766" s="25"/>
      <c r="U1766" s="25"/>
      <c r="V1766" s="25"/>
      <c r="W1766" s="25"/>
      <c r="X1766" s="25"/>
      <c r="Y1766" s="25"/>
      <c r="Z1766" s="27"/>
      <c r="AA1766" s="28"/>
    </row>
    <row r="1767" spans="1:27" ht="12.75">
      <c r="A1767" s="25"/>
      <c r="B1767" s="25"/>
      <c r="C1767" s="25"/>
      <c r="D1767" s="25"/>
      <c r="E1767" s="25"/>
      <c r="F1767" s="25"/>
      <c r="G1767" s="25"/>
      <c r="H1767" s="25"/>
      <c r="I1767" s="27"/>
      <c r="J1767" s="25"/>
      <c r="K1767" s="25"/>
      <c r="L1767" s="25"/>
      <c r="M1767" s="25"/>
      <c r="N1767" s="25"/>
      <c r="O1767" s="25"/>
      <c r="P1767" s="25"/>
      <c r="Q1767" s="25"/>
      <c r="R1767" s="25"/>
      <c r="S1767" s="25"/>
      <c r="T1767" s="25"/>
      <c r="U1767" s="25"/>
      <c r="V1767" s="25"/>
      <c r="W1767" s="25"/>
      <c r="X1767" s="25"/>
      <c r="Y1767" s="25"/>
      <c r="Z1767" s="27"/>
      <c r="AA1767" s="28"/>
    </row>
    <row r="1768" spans="1:27" ht="12.75">
      <c r="A1768" s="25"/>
      <c r="B1768" s="25"/>
      <c r="C1768" s="25"/>
      <c r="D1768" s="25"/>
      <c r="E1768" s="25"/>
      <c r="F1768" s="25"/>
      <c r="G1768" s="25"/>
      <c r="H1768" s="25"/>
      <c r="I1768" s="27"/>
      <c r="J1768" s="25"/>
      <c r="K1768" s="25"/>
      <c r="L1768" s="25"/>
      <c r="M1768" s="25"/>
      <c r="N1768" s="25"/>
      <c r="O1768" s="25"/>
      <c r="P1768" s="25"/>
      <c r="Q1768" s="25"/>
      <c r="R1768" s="25"/>
      <c r="S1768" s="25"/>
      <c r="T1768" s="25"/>
      <c r="U1768" s="25"/>
      <c r="V1768" s="25"/>
      <c r="W1768" s="25"/>
      <c r="X1768" s="25"/>
      <c r="Y1768" s="25"/>
      <c r="Z1768" s="27"/>
      <c r="AA1768" s="28"/>
    </row>
    <row r="1769" spans="1:27" ht="12.75">
      <c r="A1769" s="25"/>
      <c r="B1769" s="25"/>
      <c r="C1769" s="25"/>
      <c r="D1769" s="25"/>
      <c r="E1769" s="25"/>
      <c r="F1769" s="25"/>
      <c r="G1769" s="25"/>
      <c r="H1769" s="25"/>
      <c r="I1769" s="27"/>
      <c r="J1769" s="25"/>
      <c r="K1769" s="25"/>
      <c r="L1769" s="25"/>
      <c r="M1769" s="25"/>
      <c r="N1769" s="25"/>
      <c r="O1769" s="25"/>
      <c r="P1769" s="25"/>
      <c r="Q1769" s="25"/>
      <c r="R1769" s="25"/>
      <c r="S1769" s="25"/>
      <c r="T1769" s="25"/>
      <c r="U1769" s="25"/>
      <c r="V1769" s="25"/>
      <c r="W1769" s="25"/>
      <c r="X1769" s="25"/>
      <c r="Y1769" s="25"/>
      <c r="Z1769" s="27"/>
      <c r="AA1769" s="28"/>
    </row>
    <row r="1770" spans="1:27" ht="12.75">
      <c r="A1770" s="25"/>
      <c r="B1770" s="25"/>
      <c r="C1770" s="25"/>
      <c r="D1770" s="25"/>
      <c r="E1770" s="25"/>
      <c r="F1770" s="25"/>
      <c r="G1770" s="25"/>
      <c r="H1770" s="25"/>
      <c r="I1770" s="27"/>
      <c r="J1770" s="25"/>
      <c r="K1770" s="25"/>
      <c r="L1770" s="25"/>
      <c r="M1770" s="25"/>
      <c r="N1770" s="25"/>
      <c r="O1770" s="25"/>
      <c r="P1770" s="25"/>
      <c r="Q1770" s="25"/>
      <c r="R1770" s="25"/>
      <c r="S1770" s="25"/>
      <c r="T1770" s="25"/>
      <c r="U1770" s="25"/>
      <c r="V1770" s="25"/>
      <c r="W1770" s="25"/>
      <c r="X1770" s="25"/>
      <c r="Y1770" s="25"/>
      <c r="Z1770" s="27"/>
      <c r="AA1770" s="28"/>
    </row>
    <row r="1771" spans="1:27" ht="12.75">
      <c r="A1771" s="25"/>
      <c r="B1771" s="25"/>
      <c r="C1771" s="25"/>
      <c r="D1771" s="25"/>
      <c r="E1771" s="25"/>
      <c r="F1771" s="25"/>
      <c r="G1771" s="25"/>
      <c r="H1771" s="25"/>
      <c r="I1771" s="27"/>
      <c r="J1771" s="25"/>
      <c r="K1771" s="25"/>
      <c r="L1771" s="25"/>
      <c r="M1771" s="25"/>
      <c r="N1771" s="25"/>
      <c r="O1771" s="25"/>
      <c r="P1771" s="25"/>
      <c r="Q1771" s="25"/>
      <c r="R1771" s="25"/>
      <c r="S1771" s="25"/>
      <c r="T1771" s="25"/>
      <c r="U1771" s="25"/>
      <c r="V1771" s="25"/>
      <c r="W1771" s="25"/>
      <c r="X1771" s="25"/>
      <c r="Y1771" s="25"/>
      <c r="Z1771" s="27"/>
      <c r="AA1771" s="28"/>
    </row>
    <row r="1772" spans="1:27" ht="12.75">
      <c r="A1772" s="25"/>
      <c r="B1772" s="25"/>
      <c r="C1772" s="25"/>
      <c r="D1772" s="25"/>
      <c r="E1772" s="25"/>
      <c r="F1772" s="25"/>
      <c r="G1772" s="25"/>
      <c r="H1772" s="25"/>
      <c r="I1772" s="27"/>
      <c r="J1772" s="25"/>
      <c r="K1772" s="25"/>
      <c r="L1772" s="25"/>
      <c r="M1772" s="25"/>
      <c r="N1772" s="25"/>
      <c r="O1772" s="25"/>
      <c r="P1772" s="25"/>
      <c r="Q1772" s="25"/>
      <c r="R1772" s="25"/>
      <c r="S1772" s="25"/>
      <c r="T1772" s="25"/>
      <c r="U1772" s="25"/>
      <c r="V1772" s="25"/>
      <c r="W1772" s="25"/>
      <c r="X1772" s="25"/>
      <c r="Y1772" s="25"/>
      <c r="Z1772" s="27"/>
      <c r="AA1772" s="28"/>
    </row>
    <row r="1773" spans="1:27" ht="12.75">
      <c r="A1773" s="25"/>
      <c r="B1773" s="25"/>
      <c r="C1773" s="25"/>
      <c r="D1773" s="25"/>
      <c r="E1773" s="25"/>
      <c r="F1773" s="25"/>
      <c r="G1773" s="25"/>
      <c r="H1773" s="25"/>
      <c r="I1773" s="27"/>
      <c r="J1773" s="25"/>
      <c r="K1773" s="25"/>
      <c r="L1773" s="25"/>
      <c r="M1773" s="25"/>
      <c r="N1773" s="25"/>
      <c r="O1773" s="25"/>
      <c r="P1773" s="25"/>
      <c r="Q1773" s="25"/>
      <c r="R1773" s="25"/>
      <c r="S1773" s="25"/>
      <c r="T1773" s="25"/>
      <c r="U1773" s="25"/>
      <c r="V1773" s="25"/>
      <c r="W1773" s="25"/>
      <c r="X1773" s="25"/>
      <c r="Y1773" s="25"/>
      <c r="Z1773" s="27"/>
      <c r="AA1773" s="28"/>
    </row>
    <row r="1774" spans="1:27" ht="12.75">
      <c r="A1774" s="25"/>
      <c r="B1774" s="25"/>
      <c r="C1774" s="25"/>
      <c r="D1774" s="25"/>
      <c r="E1774" s="25"/>
      <c r="F1774" s="25"/>
      <c r="G1774" s="25"/>
      <c r="H1774" s="25"/>
      <c r="I1774" s="27"/>
      <c r="J1774" s="25"/>
      <c r="K1774" s="25"/>
      <c r="L1774" s="25"/>
      <c r="M1774" s="25"/>
      <c r="N1774" s="25"/>
      <c r="O1774" s="25"/>
      <c r="P1774" s="25"/>
      <c r="Q1774" s="25"/>
      <c r="R1774" s="25"/>
      <c r="S1774" s="25"/>
      <c r="T1774" s="25"/>
      <c r="U1774" s="25"/>
      <c r="V1774" s="25"/>
      <c r="W1774" s="25"/>
      <c r="X1774" s="25"/>
      <c r="Y1774" s="25"/>
      <c r="Z1774" s="27"/>
      <c r="AA1774" s="28"/>
    </row>
    <row r="1775" spans="1:27" ht="12.75">
      <c r="A1775" s="25"/>
      <c r="B1775" s="25"/>
      <c r="C1775" s="25"/>
      <c r="D1775" s="25"/>
      <c r="E1775" s="25"/>
      <c r="F1775" s="25"/>
      <c r="G1775" s="25"/>
      <c r="H1775" s="25"/>
      <c r="I1775" s="27"/>
      <c r="J1775" s="25"/>
      <c r="K1775" s="25"/>
      <c r="L1775" s="25"/>
      <c r="M1775" s="25"/>
      <c r="N1775" s="25"/>
      <c r="O1775" s="25"/>
      <c r="P1775" s="25"/>
      <c r="Q1775" s="25"/>
      <c r="R1775" s="25"/>
      <c r="S1775" s="25"/>
      <c r="T1775" s="25"/>
      <c r="U1775" s="25"/>
      <c r="V1775" s="25"/>
      <c r="W1775" s="25"/>
      <c r="X1775" s="25"/>
      <c r="Y1775" s="25"/>
      <c r="Z1775" s="27"/>
      <c r="AA1775" s="28"/>
    </row>
    <row r="1776" spans="1:27" ht="12.75">
      <c r="A1776" s="25"/>
      <c r="B1776" s="25"/>
      <c r="C1776" s="25"/>
      <c r="D1776" s="25"/>
      <c r="E1776" s="25"/>
      <c r="F1776" s="25"/>
      <c r="G1776" s="25"/>
      <c r="H1776" s="25"/>
      <c r="I1776" s="27"/>
      <c r="J1776" s="25"/>
      <c r="K1776" s="25"/>
      <c r="L1776" s="25"/>
      <c r="M1776" s="25"/>
      <c r="N1776" s="25"/>
      <c r="O1776" s="25"/>
      <c r="P1776" s="25"/>
      <c r="Q1776" s="25"/>
      <c r="R1776" s="25"/>
      <c r="S1776" s="25"/>
      <c r="T1776" s="25"/>
      <c r="U1776" s="25"/>
      <c r="V1776" s="25"/>
      <c r="W1776" s="25"/>
      <c r="X1776" s="25"/>
      <c r="Y1776" s="25"/>
      <c r="Z1776" s="27"/>
      <c r="AA1776" s="28"/>
    </row>
    <row r="1777" spans="1:27" ht="12.75">
      <c r="A1777" s="25"/>
      <c r="B1777" s="25"/>
      <c r="C1777" s="25"/>
      <c r="D1777" s="25"/>
      <c r="E1777" s="25"/>
      <c r="F1777" s="25"/>
      <c r="G1777" s="25"/>
      <c r="H1777" s="25"/>
      <c r="I1777" s="27"/>
      <c r="J1777" s="25"/>
      <c r="K1777" s="25"/>
      <c r="L1777" s="25"/>
      <c r="M1777" s="25"/>
      <c r="N1777" s="25"/>
      <c r="O1777" s="25"/>
      <c r="P1777" s="25"/>
      <c r="Q1777" s="25"/>
      <c r="R1777" s="25"/>
      <c r="S1777" s="25"/>
      <c r="T1777" s="25"/>
      <c r="U1777" s="25"/>
      <c r="V1777" s="25"/>
      <c r="W1777" s="25"/>
      <c r="X1777" s="25"/>
      <c r="Y1777" s="25"/>
      <c r="Z1777" s="27"/>
      <c r="AA1777" s="28"/>
    </row>
    <row r="1778" spans="1:27" ht="12.75">
      <c r="A1778" s="25"/>
      <c r="B1778" s="25"/>
      <c r="C1778" s="25"/>
      <c r="D1778" s="25"/>
      <c r="E1778" s="25"/>
      <c r="F1778" s="25"/>
      <c r="G1778" s="25"/>
      <c r="H1778" s="25"/>
      <c r="I1778" s="27"/>
      <c r="J1778" s="25"/>
      <c r="K1778" s="25"/>
      <c r="L1778" s="25"/>
      <c r="M1778" s="25"/>
      <c r="N1778" s="25"/>
      <c r="O1778" s="25"/>
      <c r="P1778" s="25"/>
      <c r="Q1778" s="25"/>
      <c r="R1778" s="25"/>
      <c r="S1778" s="25"/>
      <c r="T1778" s="25"/>
      <c r="U1778" s="25"/>
      <c r="V1778" s="25"/>
      <c r="W1778" s="25"/>
      <c r="X1778" s="25"/>
      <c r="Y1778" s="25"/>
      <c r="Z1778" s="27"/>
      <c r="AA1778" s="28"/>
    </row>
    <row r="1779" spans="1:27" ht="12.75">
      <c r="A1779" s="25"/>
      <c r="B1779" s="25"/>
      <c r="C1779" s="25"/>
      <c r="D1779" s="25"/>
      <c r="E1779" s="25"/>
      <c r="F1779" s="25"/>
      <c r="G1779" s="25"/>
      <c r="H1779" s="25"/>
      <c r="I1779" s="27"/>
      <c r="J1779" s="25"/>
      <c r="K1779" s="25"/>
      <c r="L1779" s="25"/>
      <c r="M1779" s="25"/>
      <c r="N1779" s="25"/>
      <c r="O1779" s="25"/>
      <c r="P1779" s="25"/>
      <c r="Q1779" s="25"/>
      <c r="R1779" s="25"/>
      <c r="S1779" s="25"/>
      <c r="T1779" s="25"/>
      <c r="U1779" s="25"/>
      <c r="V1779" s="25"/>
      <c r="W1779" s="25"/>
      <c r="X1779" s="25"/>
      <c r="Y1779" s="25"/>
      <c r="Z1779" s="27"/>
      <c r="AA1779" s="28"/>
    </row>
    <row r="1780" spans="1:27" ht="12.75">
      <c r="A1780" s="25"/>
      <c r="B1780" s="25"/>
      <c r="C1780" s="25"/>
      <c r="D1780" s="25"/>
      <c r="E1780" s="25"/>
      <c r="F1780" s="25"/>
      <c r="G1780" s="25"/>
      <c r="H1780" s="25"/>
      <c r="I1780" s="27"/>
      <c r="J1780" s="25"/>
      <c r="K1780" s="25"/>
      <c r="L1780" s="25"/>
      <c r="M1780" s="25"/>
      <c r="N1780" s="25"/>
      <c r="O1780" s="25"/>
      <c r="P1780" s="25"/>
      <c r="Q1780" s="25"/>
      <c r="R1780" s="25"/>
      <c r="S1780" s="25"/>
      <c r="T1780" s="25"/>
      <c r="U1780" s="25"/>
      <c r="V1780" s="25"/>
      <c r="W1780" s="25"/>
      <c r="X1780" s="25"/>
      <c r="Y1780" s="25"/>
      <c r="Z1780" s="27"/>
      <c r="AA1780" s="28"/>
    </row>
    <row r="1781" spans="1:27" ht="12.75">
      <c r="A1781" s="25"/>
      <c r="B1781" s="25"/>
      <c r="C1781" s="25"/>
      <c r="D1781" s="25"/>
      <c r="E1781" s="25"/>
      <c r="F1781" s="25"/>
      <c r="G1781" s="25"/>
      <c r="H1781" s="25"/>
      <c r="I1781" s="27"/>
      <c r="J1781" s="25"/>
      <c r="K1781" s="25"/>
      <c r="L1781" s="25"/>
      <c r="M1781" s="25"/>
      <c r="N1781" s="25"/>
      <c r="O1781" s="25"/>
      <c r="P1781" s="25"/>
      <c r="Q1781" s="25"/>
      <c r="R1781" s="25"/>
      <c r="S1781" s="25"/>
      <c r="T1781" s="25"/>
      <c r="U1781" s="25"/>
      <c r="V1781" s="25"/>
      <c r="W1781" s="25"/>
      <c r="X1781" s="25"/>
      <c r="Y1781" s="25"/>
      <c r="Z1781" s="27"/>
      <c r="AA1781" s="28"/>
    </row>
    <row r="1782" spans="1:27" ht="12.75">
      <c r="A1782" s="25"/>
      <c r="B1782" s="25"/>
      <c r="C1782" s="25"/>
      <c r="D1782" s="25"/>
      <c r="E1782" s="25"/>
      <c r="F1782" s="25"/>
      <c r="G1782" s="25"/>
      <c r="H1782" s="25"/>
      <c r="I1782" s="27"/>
      <c r="J1782" s="25"/>
      <c r="K1782" s="25"/>
      <c r="L1782" s="25"/>
      <c r="M1782" s="25"/>
      <c r="N1782" s="25"/>
      <c r="O1782" s="25"/>
      <c r="P1782" s="25"/>
      <c r="Q1782" s="25"/>
      <c r="R1782" s="25"/>
      <c r="S1782" s="25"/>
      <c r="T1782" s="25"/>
      <c r="U1782" s="25"/>
      <c r="V1782" s="25"/>
      <c r="W1782" s="25"/>
      <c r="X1782" s="25"/>
      <c r="Y1782" s="25"/>
      <c r="Z1782" s="27"/>
      <c r="AA1782" s="28"/>
    </row>
    <row r="1783" spans="1:27" ht="12.75">
      <c r="A1783" s="25"/>
      <c r="B1783" s="25"/>
      <c r="C1783" s="25"/>
      <c r="D1783" s="25"/>
      <c r="E1783" s="25"/>
      <c r="F1783" s="25"/>
      <c r="G1783" s="25"/>
      <c r="H1783" s="25"/>
      <c r="I1783" s="27"/>
      <c r="J1783" s="25"/>
      <c r="K1783" s="25"/>
      <c r="L1783" s="25"/>
      <c r="M1783" s="25"/>
      <c r="N1783" s="25"/>
      <c r="O1783" s="25"/>
      <c r="P1783" s="25"/>
      <c r="Q1783" s="25"/>
      <c r="R1783" s="25"/>
      <c r="S1783" s="25"/>
      <c r="T1783" s="25"/>
      <c r="U1783" s="25"/>
      <c r="V1783" s="25"/>
      <c r="W1783" s="25"/>
      <c r="X1783" s="25"/>
      <c r="Y1783" s="25"/>
      <c r="Z1783" s="27"/>
      <c r="AA1783" s="28"/>
    </row>
    <row r="1784" spans="1:27" ht="12.75">
      <c r="A1784" s="25"/>
      <c r="B1784" s="25"/>
      <c r="C1784" s="25"/>
      <c r="D1784" s="25"/>
      <c r="E1784" s="25"/>
      <c r="F1784" s="25"/>
      <c r="G1784" s="25"/>
      <c r="H1784" s="25"/>
      <c r="I1784" s="27"/>
      <c r="J1784" s="25"/>
      <c r="K1784" s="25"/>
      <c r="L1784" s="25"/>
      <c r="M1784" s="25"/>
      <c r="N1784" s="25"/>
      <c r="O1784" s="25"/>
      <c r="P1784" s="25"/>
      <c r="Q1784" s="25"/>
      <c r="R1784" s="25"/>
      <c r="S1784" s="25"/>
      <c r="T1784" s="25"/>
      <c r="U1784" s="25"/>
      <c r="V1784" s="25"/>
      <c r="W1784" s="25"/>
      <c r="X1784" s="25"/>
      <c r="Y1784" s="25"/>
      <c r="Z1784" s="27"/>
      <c r="AA1784" s="28"/>
    </row>
    <row r="1785" spans="1:27" ht="12.75">
      <c r="A1785" s="25"/>
      <c r="B1785" s="25"/>
      <c r="C1785" s="25"/>
      <c r="D1785" s="25"/>
      <c r="E1785" s="25"/>
      <c r="F1785" s="25"/>
      <c r="G1785" s="25"/>
      <c r="H1785" s="25"/>
      <c r="I1785" s="27"/>
      <c r="J1785" s="25"/>
      <c r="K1785" s="25"/>
      <c r="L1785" s="25"/>
      <c r="M1785" s="25"/>
      <c r="N1785" s="25"/>
      <c r="O1785" s="25"/>
      <c r="P1785" s="25"/>
      <c r="Q1785" s="25"/>
      <c r="R1785" s="25"/>
      <c r="S1785" s="25"/>
      <c r="T1785" s="25"/>
      <c r="U1785" s="25"/>
      <c r="V1785" s="25"/>
      <c r="W1785" s="25"/>
      <c r="X1785" s="25"/>
      <c r="Y1785" s="25"/>
      <c r="Z1785" s="27"/>
      <c r="AA1785" s="28"/>
    </row>
    <row r="1786" spans="1:27" ht="12.75">
      <c r="A1786" s="25"/>
      <c r="B1786" s="25"/>
      <c r="C1786" s="25"/>
      <c r="D1786" s="25"/>
      <c r="E1786" s="25"/>
      <c r="F1786" s="25"/>
      <c r="G1786" s="25"/>
      <c r="H1786" s="25"/>
      <c r="I1786" s="27"/>
      <c r="J1786" s="25"/>
      <c r="K1786" s="25"/>
      <c r="L1786" s="25"/>
      <c r="M1786" s="25"/>
      <c r="N1786" s="25"/>
      <c r="O1786" s="25"/>
      <c r="P1786" s="25"/>
      <c r="Q1786" s="25"/>
      <c r="R1786" s="25"/>
      <c r="S1786" s="25"/>
      <c r="T1786" s="25"/>
      <c r="U1786" s="25"/>
      <c r="V1786" s="25"/>
      <c r="W1786" s="25"/>
      <c r="X1786" s="25"/>
      <c r="Y1786" s="25"/>
      <c r="Z1786" s="27"/>
      <c r="AA1786" s="28"/>
    </row>
    <row r="1787" spans="1:27" ht="12.75">
      <c r="A1787" s="25"/>
      <c r="B1787" s="25"/>
      <c r="C1787" s="25"/>
      <c r="D1787" s="25"/>
      <c r="E1787" s="25"/>
      <c r="F1787" s="25"/>
      <c r="G1787" s="25"/>
      <c r="H1787" s="25"/>
      <c r="I1787" s="27"/>
      <c r="J1787" s="25"/>
      <c r="K1787" s="25"/>
      <c r="L1787" s="25"/>
      <c r="M1787" s="25"/>
      <c r="N1787" s="25"/>
      <c r="O1787" s="25"/>
      <c r="P1787" s="25"/>
      <c r="Q1787" s="25"/>
      <c r="R1787" s="25"/>
      <c r="S1787" s="25"/>
      <c r="T1787" s="25"/>
      <c r="U1787" s="25"/>
      <c r="V1787" s="25"/>
      <c r="W1787" s="25"/>
      <c r="X1787" s="25"/>
      <c r="Y1787" s="25"/>
      <c r="Z1787" s="27"/>
      <c r="AA1787" s="28"/>
    </row>
    <row r="1788" spans="1:27" ht="12.75">
      <c r="A1788" s="25"/>
      <c r="B1788" s="25"/>
      <c r="C1788" s="25"/>
      <c r="D1788" s="25"/>
      <c r="E1788" s="25"/>
      <c r="F1788" s="25"/>
      <c r="G1788" s="25"/>
      <c r="H1788" s="25"/>
      <c r="I1788" s="27"/>
      <c r="J1788" s="25"/>
      <c r="K1788" s="25"/>
      <c r="L1788" s="25"/>
      <c r="M1788" s="25"/>
      <c r="N1788" s="25"/>
      <c r="O1788" s="25"/>
      <c r="P1788" s="25"/>
      <c r="Q1788" s="25"/>
      <c r="R1788" s="25"/>
      <c r="S1788" s="25"/>
      <c r="T1788" s="25"/>
      <c r="U1788" s="25"/>
      <c r="V1788" s="25"/>
      <c r="W1788" s="25"/>
      <c r="X1788" s="25"/>
      <c r="Y1788" s="25"/>
      <c r="Z1788" s="27"/>
      <c r="AA1788" s="28"/>
    </row>
    <row r="1789" spans="1:27" ht="12.75">
      <c r="A1789" s="25"/>
      <c r="B1789" s="25"/>
      <c r="C1789" s="25"/>
      <c r="D1789" s="25"/>
      <c r="E1789" s="25"/>
      <c r="F1789" s="25"/>
      <c r="G1789" s="25"/>
      <c r="H1789" s="25"/>
      <c r="I1789" s="27"/>
      <c r="J1789" s="25"/>
      <c r="K1789" s="25"/>
      <c r="L1789" s="25"/>
      <c r="M1789" s="25"/>
      <c r="N1789" s="25"/>
      <c r="O1789" s="25"/>
      <c r="P1789" s="25"/>
      <c r="Q1789" s="25"/>
      <c r="R1789" s="25"/>
      <c r="S1789" s="25"/>
      <c r="T1789" s="25"/>
      <c r="U1789" s="25"/>
      <c r="V1789" s="25"/>
      <c r="W1789" s="25"/>
      <c r="X1789" s="25"/>
      <c r="Y1789" s="25"/>
      <c r="Z1789" s="27"/>
      <c r="AA1789" s="28"/>
    </row>
    <row r="1790" spans="1:27" ht="12.75">
      <c r="A1790" s="25"/>
      <c r="B1790" s="25"/>
      <c r="C1790" s="25"/>
      <c r="D1790" s="25"/>
      <c r="E1790" s="25"/>
      <c r="F1790" s="25"/>
      <c r="G1790" s="25"/>
      <c r="H1790" s="25"/>
      <c r="I1790" s="27"/>
      <c r="J1790" s="25"/>
      <c r="K1790" s="25"/>
      <c r="L1790" s="25"/>
      <c r="M1790" s="25"/>
      <c r="N1790" s="25"/>
      <c r="O1790" s="25"/>
      <c r="P1790" s="25"/>
      <c r="Q1790" s="25"/>
      <c r="R1790" s="25"/>
      <c r="S1790" s="25"/>
      <c r="T1790" s="25"/>
      <c r="U1790" s="25"/>
      <c r="V1790" s="25"/>
      <c r="W1790" s="25"/>
      <c r="X1790" s="25"/>
      <c r="Y1790" s="25"/>
      <c r="Z1790" s="27"/>
      <c r="AA1790" s="28"/>
    </row>
    <row r="1791" spans="1:27" ht="12.75">
      <c r="A1791" s="25"/>
      <c r="B1791" s="25"/>
      <c r="C1791" s="25"/>
      <c r="D1791" s="25"/>
      <c r="E1791" s="25"/>
      <c r="F1791" s="25"/>
      <c r="G1791" s="25"/>
      <c r="H1791" s="25"/>
      <c r="I1791" s="27"/>
      <c r="J1791" s="25"/>
      <c r="K1791" s="25"/>
      <c r="L1791" s="25"/>
      <c r="M1791" s="25"/>
      <c r="N1791" s="25"/>
      <c r="O1791" s="25"/>
      <c r="P1791" s="25"/>
      <c r="Q1791" s="25"/>
      <c r="R1791" s="25"/>
      <c r="S1791" s="25"/>
      <c r="T1791" s="25"/>
      <c r="U1791" s="25"/>
      <c r="V1791" s="25"/>
      <c r="W1791" s="25"/>
      <c r="X1791" s="25"/>
      <c r="Y1791" s="25"/>
      <c r="Z1791" s="27"/>
      <c r="AA1791" s="28"/>
    </row>
    <row r="1792" spans="1:27" ht="12.75">
      <c r="A1792" s="25"/>
      <c r="B1792" s="25"/>
      <c r="C1792" s="25"/>
      <c r="D1792" s="25"/>
      <c r="E1792" s="25"/>
      <c r="F1792" s="25"/>
      <c r="G1792" s="25"/>
      <c r="H1792" s="25"/>
      <c r="I1792" s="27"/>
      <c r="J1792" s="25"/>
      <c r="K1792" s="25"/>
      <c r="L1792" s="25"/>
      <c r="M1792" s="25"/>
      <c r="N1792" s="25"/>
      <c r="O1792" s="25"/>
      <c r="P1792" s="25"/>
      <c r="Q1792" s="25"/>
      <c r="R1792" s="25"/>
      <c r="S1792" s="25"/>
      <c r="T1792" s="25"/>
      <c r="U1792" s="25"/>
      <c r="V1792" s="25"/>
      <c r="W1792" s="25"/>
      <c r="X1792" s="25"/>
      <c r="Y1792" s="25"/>
      <c r="Z1792" s="27"/>
      <c r="AA1792" s="28"/>
    </row>
    <row r="1793" spans="1:27" ht="12.75">
      <c r="A1793" s="25"/>
      <c r="B1793" s="25"/>
      <c r="C1793" s="25"/>
      <c r="D1793" s="25"/>
      <c r="E1793" s="25"/>
      <c r="F1793" s="25"/>
      <c r="G1793" s="25"/>
      <c r="H1793" s="25"/>
      <c r="I1793" s="27"/>
      <c r="J1793" s="25"/>
      <c r="K1793" s="25"/>
      <c r="L1793" s="25"/>
      <c r="M1793" s="25"/>
      <c r="N1793" s="25"/>
      <c r="O1793" s="25"/>
      <c r="P1793" s="25"/>
      <c r="Q1793" s="25"/>
      <c r="R1793" s="25"/>
      <c r="S1793" s="25"/>
      <c r="T1793" s="25"/>
      <c r="U1793" s="25"/>
      <c r="V1793" s="25"/>
      <c r="W1793" s="25"/>
      <c r="X1793" s="25"/>
      <c r="Y1793" s="25"/>
      <c r="Z1793" s="27"/>
      <c r="AA1793" s="28"/>
    </row>
    <row r="1794" spans="1:27" ht="12.75">
      <c r="A1794" s="25"/>
      <c r="B1794" s="25"/>
      <c r="C1794" s="25"/>
      <c r="D1794" s="25"/>
      <c r="E1794" s="25"/>
      <c r="F1794" s="25"/>
      <c r="G1794" s="25"/>
      <c r="H1794" s="25"/>
      <c r="I1794" s="27"/>
      <c r="J1794" s="25"/>
      <c r="K1794" s="25"/>
      <c r="L1794" s="25"/>
      <c r="M1794" s="25"/>
      <c r="N1794" s="25"/>
      <c r="O1794" s="25"/>
      <c r="P1794" s="25"/>
      <c r="Q1794" s="25"/>
      <c r="R1794" s="25"/>
      <c r="S1794" s="25"/>
      <c r="T1794" s="25"/>
      <c r="U1794" s="25"/>
      <c r="V1794" s="25"/>
      <c r="W1794" s="25"/>
      <c r="X1794" s="25"/>
      <c r="Y1794" s="25"/>
      <c r="Z1794" s="27"/>
      <c r="AA1794" s="28"/>
    </row>
    <row r="1795" spans="1:27" ht="12.75">
      <c r="A1795" s="25"/>
      <c r="B1795" s="25"/>
      <c r="C1795" s="25"/>
      <c r="D1795" s="25"/>
      <c r="E1795" s="25"/>
      <c r="F1795" s="25"/>
      <c r="G1795" s="25"/>
      <c r="H1795" s="25"/>
      <c r="I1795" s="27"/>
      <c r="J1795" s="25"/>
      <c r="K1795" s="25"/>
      <c r="L1795" s="25"/>
      <c r="M1795" s="25"/>
      <c r="N1795" s="25"/>
      <c r="O1795" s="25"/>
      <c r="P1795" s="25"/>
      <c r="Q1795" s="25"/>
      <c r="R1795" s="25"/>
      <c r="S1795" s="25"/>
      <c r="T1795" s="25"/>
      <c r="U1795" s="25"/>
      <c r="V1795" s="25"/>
      <c r="W1795" s="25"/>
      <c r="X1795" s="25"/>
      <c r="Y1795" s="25"/>
      <c r="Z1795" s="27"/>
      <c r="AA1795" s="28"/>
    </row>
    <row r="1796" spans="1:27" ht="12.75">
      <c r="A1796" s="25"/>
      <c r="B1796" s="25"/>
      <c r="C1796" s="25"/>
      <c r="D1796" s="25"/>
      <c r="E1796" s="25"/>
      <c r="F1796" s="25"/>
      <c r="G1796" s="25"/>
      <c r="H1796" s="25"/>
      <c r="I1796" s="27"/>
      <c r="J1796" s="25"/>
      <c r="K1796" s="25"/>
      <c r="L1796" s="25"/>
      <c r="M1796" s="25"/>
      <c r="N1796" s="25"/>
      <c r="O1796" s="25"/>
      <c r="P1796" s="25"/>
      <c r="Q1796" s="25"/>
      <c r="R1796" s="25"/>
      <c r="S1796" s="25"/>
      <c r="T1796" s="25"/>
      <c r="U1796" s="25"/>
      <c r="V1796" s="25"/>
      <c r="W1796" s="25"/>
      <c r="X1796" s="25"/>
      <c r="Y1796" s="25"/>
      <c r="Z1796" s="27"/>
      <c r="AA1796" s="28"/>
    </row>
    <row r="1797" spans="1:27" ht="12.75">
      <c r="A1797" s="25"/>
      <c r="B1797" s="25"/>
      <c r="C1797" s="25"/>
      <c r="D1797" s="25"/>
      <c r="E1797" s="25"/>
      <c r="F1797" s="25"/>
      <c r="G1797" s="25"/>
      <c r="H1797" s="25"/>
      <c r="I1797" s="27"/>
      <c r="J1797" s="25"/>
      <c r="K1797" s="25"/>
      <c r="L1797" s="25"/>
      <c r="M1797" s="25"/>
      <c r="N1797" s="25"/>
      <c r="O1797" s="25"/>
      <c r="P1797" s="25"/>
      <c r="Q1797" s="25"/>
      <c r="R1797" s="25"/>
      <c r="S1797" s="25"/>
      <c r="T1797" s="25"/>
      <c r="U1797" s="25"/>
      <c r="V1797" s="25"/>
      <c r="W1797" s="25"/>
      <c r="X1797" s="25"/>
      <c r="Y1797" s="25"/>
      <c r="Z1797" s="27"/>
      <c r="AA1797" s="28"/>
    </row>
    <row r="1798" spans="1:27" ht="12.75">
      <c r="A1798" s="25"/>
      <c r="B1798" s="25"/>
      <c r="C1798" s="25"/>
      <c r="D1798" s="25"/>
      <c r="E1798" s="25"/>
      <c r="F1798" s="25"/>
      <c r="G1798" s="25"/>
      <c r="H1798" s="25"/>
      <c r="I1798" s="27"/>
      <c r="J1798" s="25"/>
      <c r="K1798" s="25"/>
      <c r="L1798" s="25"/>
      <c r="M1798" s="25"/>
      <c r="N1798" s="25"/>
      <c r="O1798" s="25"/>
      <c r="P1798" s="25"/>
      <c r="Q1798" s="25"/>
      <c r="R1798" s="25"/>
      <c r="S1798" s="25"/>
      <c r="T1798" s="25"/>
      <c r="U1798" s="25"/>
      <c r="V1798" s="25"/>
      <c r="W1798" s="25"/>
      <c r="X1798" s="25"/>
      <c r="Y1798" s="25"/>
      <c r="Z1798" s="27"/>
      <c r="AA1798" s="28"/>
    </row>
    <row r="1799" spans="1:27" ht="12.75">
      <c r="A1799" s="25"/>
      <c r="B1799" s="25"/>
      <c r="C1799" s="25"/>
      <c r="D1799" s="25"/>
      <c r="E1799" s="25"/>
      <c r="F1799" s="25"/>
      <c r="G1799" s="25"/>
      <c r="H1799" s="25"/>
      <c r="I1799" s="27"/>
      <c r="J1799" s="25"/>
      <c r="K1799" s="25"/>
      <c r="L1799" s="25"/>
      <c r="M1799" s="25"/>
      <c r="N1799" s="25"/>
      <c r="O1799" s="25"/>
      <c r="P1799" s="25"/>
      <c r="Q1799" s="25"/>
      <c r="R1799" s="25"/>
      <c r="S1799" s="25"/>
      <c r="T1799" s="25"/>
      <c r="U1799" s="25"/>
      <c r="V1799" s="25"/>
      <c r="W1799" s="25"/>
      <c r="X1799" s="25"/>
      <c r="Y1799" s="25"/>
      <c r="Z1799" s="27"/>
      <c r="AA1799" s="28"/>
    </row>
    <row r="1800" spans="1:27" ht="12.75">
      <c r="A1800" s="25"/>
      <c r="B1800" s="25"/>
      <c r="C1800" s="25"/>
      <c r="D1800" s="25"/>
      <c r="E1800" s="25"/>
      <c r="F1800" s="25"/>
      <c r="G1800" s="25"/>
      <c r="H1800" s="25"/>
      <c r="I1800" s="27"/>
      <c r="J1800" s="25"/>
      <c r="K1800" s="25"/>
      <c r="L1800" s="25"/>
      <c r="M1800" s="25"/>
      <c r="N1800" s="25"/>
      <c r="O1800" s="25"/>
      <c r="P1800" s="25"/>
      <c r="Q1800" s="25"/>
      <c r="R1800" s="25"/>
      <c r="S1800" s="25"/>
      <c r="T1800" s="25"/>
      <c r="U1800" s="25"/>
      <c r="V1800" s="25"/>
      <c r="W1800" s="25"/>
      <c r="X1800" s="25"/>
      <c r="Y1800" s="25"/>
      <c r="Z1800" s="27"/>
      <c r="AA1800" s="28"/>
    </row>
    <row r="1801" spans="1:27" ht="12.75">
      <c r="A1801" s="25"/>
      <c r="B1801" s="25"/>
      <c r="C1801" s="25"/>
      <c r="D1801" s="25"/>
      <c r="E1801" s="25"/>
      <c r="F1801" s="25"/>
      <c r="G1801" s="25"/>
      <c r="H1801" s="25"/>
      <c r="I1801" s="27"/>
      <c r="J1801" s="25"/>
      <c r="K1801" s="25"/>
      <c r="L1801" s="25"/>
      <c r="M1801" s="25"/>
      <c r="N1801" s="25"/>
      <c r="O1801" s="25"/>
      <c r="P1801" s="25"/>
      <c r="Q1801" s="25"/>
      <c r="R1801" s="25"/>
      <c r="S1801" s="25"/>
      <c r="T1801" s="25"/>
      <c r="U1801" s="25"/>
      <c r="V1801" s="25"/>
      <c r="W1801" s="25"/>
      <c r="X1801" s="25"/>
      <c r="Y1801" s="25"/>
      <c r="Z1801" s="27"/>
      <c r="AA1801" s="28"/>
    </row>
    <row r="1802" spans="1:27" ht="12.75">
      <c r="A1802" s="25"/>
      <c r="B1802" s="25"/>
      <c r="C1802" s="25"/>
      <c r="D1802" s="25"/>
      <c r="E1802" s="25"/>
      <c r="F1802" s="25"/>
      <c r="G1802" s="25"/>
      <c r="H1802" s="25"/>
      <c r="I1802" s="27"/>
      <c r="J1802" s="25"/>
      <c r="K1802" s="25"/>
      <c r="L1802" s="25"/>
      <c r="M1802" s="25"/>
      <c r="N1802" s="25"/>
      <c r="O1802" s="25"/>
      <c r="P1802" s="25"/>
      <c r="Q1802" s="25"/>
      <c r="R1802" s="25"/>
      <c r="S1802" s="25"/>
      <c r="T1802" s="25"/>
      <c r="U1802" s="25"/>
      <c r="V1802" s="25"/>
      <c r="W1802" s="25"/>
      <c r="X1802" s="25"/>
      <c r="Y1802" s="25"/>
      <c r="Z1802" s="27"/>
      <c r="AA1802" s="28"/>
    </row>
    <row r="1803" spans="1:27" ht="12.75">
      <c r="A1803" s="25"/>
      <c r="B1803" s="25"/>
      <c r="C1803" s="25"/>
      <c r="D1803" s="25"/>
      <c r="E1803" s="25"/>
      <c r="F1803" s="25"/>
      <c r="G1803" s="25"/>
      <c r="H1803" s="25"/>
      <c r="I1803" s="27"/>
      <c r="J1803" s="25"/>
      <c r="K1803" s="25"/>
      <c r="L1803" s="25"/>
      <c r="M1803" s="25"/>
      <c r="N1803" s="25"/>
      <c r="O1803" s="25"/>
      <c r="P1803" s="25"/>
      <c r="Q1803" s="25"/>
      <c r="R1803" s="25"/>
      <c r="S1803" s="25"/>
      <c r="T1803" s="25"/>
      <c r="U1803" s="25"/>
      <c r="V1803" s="25"/>
      <c r="W1803" s="25"/>
      <c r="X1803" s="25"/>
      <c r="Y1803" s="25"/>
      <c r="Z1803" s="27"/>
      <c r="AA1803" s="28"/>
    </row>
    <row r="1804" spans="1:27" ht="12.75">
      <c r="A1804" s="25"/>
      <c r="B1804" s="25"/>
      <c r="C1804" s="25"/>
      <c r="D1804" s="25"/>
      <c r="E1804" s="25"/>
      <c r="F1804" s="25"/>
      <c r="G1804" s="25"/>
      <c r="H1804" s="25"/>
      <c r="I1804" s="27"/>
      <c r="J1804" s="25"/>
      <c r="K1804" s="25"/>
      <c r="L1804" s="25"/>
      <c r="M1804" s="25"/>
      <c r="N1804" s="25"/>
      <c r="O1804" s="25"/>
      <c r="P1804" s="25"/>
      <c r="Q1804" s="25"/>
      <c r="R1804" s="25"/>
      <c r="S1804" s="25"/>
      <c r="T1804" s="25"/>
      <c r="U1804" s="25"/>
      <c r="V1804" s="25"/>
      <c r="W1804" s="25"/>
      <c r="X1804" s="25"/>
      <c r="Y1804" s="25"/>
      <c r="Z1804" s="27"/>
      <c r="AA1804" s="28"/>
    </row>
    <row r="1805" spans="1:27" ht="12.75">
      <c r="A1805" s="25"/>
      <c r="B1805" s="25"/>
      <c r="C1805" s="25"/>
      <c r="D1805" s="25"/>
      <c r="E1805" s="25"/>
      <c r="F1805" s="25"/>
      <c r="G1805" s="25"/>
      <c r="H1805" s="25"/>
      <c r="I1805" s="27"/>
      <c r="J1805" s="25"/>
      <c r="K1805" s="25"/>
      <c r="L1805" s="25"/>
      <c r="M1805" s="25"/>
      <c r="N1805" s="25"/>
      <c r="O1805" s="25"/>
      <c r="P1805" s="25"/>
      <c r="Q1805" s="25"/>
      <c r="R1805" s="25"/>
      <c r="S1805" s="25"/>
      <c r="T1805" s="25"/>
      <c r="U1805" s="25"/>
      <c r="V1805" s="25"/>
      <c r="W1805" s="25"/>
      <c r="X1805" s="25"/>
      <c r="Y1805" s="25"/>
      <c r="Z1805" s="27"/>
      <c r="AA1805" s="28"/>
    </row>
    <row r="1806" spans="1:27" ht="12.75">
      <c r="A1806" s="25"/>
      <c r="B1806" s="25"/>
      <c r="C1806" s="25"/>
      <c r="D1806" s="25"/>
      <c r="E1806" s="25"/>
      <c r="F1806" s="25"/>
      <c r="G1806" s="25"/>
      <c r="H1806" s="25"/>
      <c r="I1806" s="27"/>
      <c r="J1806" s="25"/>
      <c r="K1806" s="25"/>
      <c r="L1806" s="25"/>
      <c r="M1806" s="25"/>
      <c r="N1806" s="25"/>
      <c r="O1806" s="25"/>
      <c r="P1806" s="25"/>
      <c r="Q1806" s="25"/>
      <c r="R1806" s="25"/>
      <c r="S1806" s="25"/>
      <c r="T1806" s="25"/>
      <c r="U1806" s="25"/>
      <c r="V1806" s="25"/>
      <c r="W1806" s="25"/>
      <c r="X1806" s="25"/>
      <c r="Y1806" s="25"/>
      <c r="Z1806" s="27"/>
      <c r="AA1806" s="28"/>
    </row>
    <row r="1807" spans="1:27" ht="12.75">
      <c r="A1807" s="25"/>
      <c r="B1807" s="25"/>
      <c r="C1807" s="25"/>
      <c r="D1807" s="25"/>
      <c r="E1807" s="25"/>
      <c r="F1807" s="25"/>
      <c r="G1807" s="25"/>
      <c r="H1807" s="25"/>
      <c r="I1807" s="27"/>
      <c r="J1807" s="25"/>
      <c r="K1807" s="25"/>
      <c r="L1807" s="25"/>
      <c r="M1807" s="25"/>
      <c r="N1807" s="25"/>
      <c r="O1807" s="25"/>
      <c r="P1807" s="25"/>
      <c r="Q1807" s="25"/>
      <c r="R1807" s="25"/>
      <c r="S1807" s="25"/>
      <c r="T1807" s="25"/>
      <c r="U1807" s="25"/>
      <c r="V1807" s="25"/>
      <c r="W1807" s="25"/>
      <c r="X1807" s="25"/>
      <c r="Y1807" s="25"/>
      <c r="Z1807" s="27"/>
      <c r="AA1807" s="28"/>
    </row>
    <row r="1808" spans="1:27" ht="12.75">
      <c r="A1808" s="25"/>
      <c r="B1808" s="25"/>
      <c r="C1808" s="25"/>
      <c r="D1808" s="25"/>
      <c r="E1808" s="25"/>
      <c r="F1808" s="25"/>
      <c r="G1808" s="25"/>
      <c r="H1808" s="25"/>
      <c r="I1808" s="27"/>
      <c r="J1808" s="25"/>
      <c r="K1808" s="25"/>
      <c r="L1808" s="25"/>
      <c r="M1808" s="25"/>
      <c r="N1808" s="25"/>
      <c r="O1808" s="25"/>
      <c r="P1808" s="25"/>
      <c r="Q1808" s="25"/>
      <c r="R1808" s="25"/>
      <c r="S1808" s="25"/>
      <c r="T1808" s="25"/>
      <c r="U1808" s="25"/>
      <c r="V1808" s="25"/>
      <c r="W1808" s="25"/>
      <c r="X1808" s="25"/>
      <c r="Y1808" s="25"/>
      <c r="Z1808" s="27"/>
      <c r="AA1808" s="28"/>
    </row>
    <row r="1809" spans="1:27" ht="12.75">
      <c r="A1809" s="25"/>
      <c r="B1809" s="25"/>
      <c r="C1809" s="25"/>
      <c r="D1809" s="25"/>
      <c r="E1809" s="25"/>
      <c r="F1809" s="25"/>
      <c r="G1809" s="25"/>
      <c r="H1809" s="25"/>
      <c r="I1809" s="27"/>
      <c r="J1809" s="25"/>
      <c r="K1809" s="25"/>
      <c r="L1809" s="25"/>
      <c r="M1809" s="25"/>
      <c r="N1809" s="25"/>
      <c r="O1809" s="25"/>
      <c r="P1809" s="25"/>
      <c r="Q1809" s="25"/>
      <c r="R1809" s="25"/>
      <c r="S1809" s="25"/>
      <c r="T1809" s="25"/>
      <c r="U1809" s="25"/>
      <c r="V1809" s="25"/>
      <c r="W1809" s="25"/>
      <c r="X1809" s="25"/>
      <c r="Y1809" s="25"/>
      <c r="Z1809" s="27"/>
      <c r="AA1809" s="28"/>
    </row>
    <row r="1810" spans="1:27" ht="12.75">
      <c r="A1810" s="25"/>
      <c r="B1810" s="25"/>
      <c r="C1810" s="25"/>
      <c r="D1810" s="25"/>
      <c r="E1810" s="25"/>
      <c r="F1810" s="25"/>
      <c r="G1810" s="25"/>
      <c r="H1810" s="25"/>
      <c r="I1810" s="27"/>
      <c r="J1810" s="25"/>
      <c r="K1810" s="25"/>
      <c r="L1810" s="25"/>
      <c r="M1810" s="25"/>
      <c r="N1810" s="25"/>
      <c r="O1810" s="25"/>
      <c r="P1810" s="25"/>
      <c r="Q1810" s="25"/>
      <c r="R1810" s="25"/>
      <c r="S1810" s="25"/>
      <c r="T1810" s="25"/>
      <c r="U1810" s="25"/>
      <c r="V1810" s="25"/>
      <c r="W1810" s="25"/>
      <c r="X1810" s="25"/>
      <c r="Y1810" s="25"/>
      <c r="Z1810" s="27"/>
      <c r="AA1810" s="28"/>
    </row>
    <row r="1811" spans="1:27" ht="12.75">
      <c r="A1811" s="25"/>
      <c r="B1811" s="25"/>
      <c r="C1811" s="25"/>
      <c r="D1811" s="25"/>
      <c r="E1811" s="25"/>
      <c r="F1811" s="25"/>
      <c r="G1811" s="25"/>
      <c r="H1811" s="25"/>
      <c r="I1811" s="27"/>
      <c r="J1811" s="25"/>
      <c r="K1811" s="25"/>
      <c r="L1811" s="25"/>
      <c r="M1811" s="25"/>
      <c r="N1811" s="25"/>
      <c r="O1811" s="25"/>
      <c r="P1811" s="25"/>
      <c r="Q1811" s="25"/>
      <c r="R1811" s="25"/>
      <c r="S1811" s="25"/>
      <c r="T1811" s="25"/>
      <c r="U1811" s="25"/>
      <c r="V1811" s="25"/>
      <c r="W1811" s="25"/>
      <c r="X1811" s="25"/>
      <c r="Y1811" s="25"/>
      <c r="Z1811" s="27"/>
      <c r="AA1811" s="28"/>
    </row>
    <row r="1812" spans="1:27" ht="12.75">
      <c r="A1812" s="25"/>
      <c r="B1812" s="25"/>
      <c r="C1812" s="25"/>
      <c r="D1812" s="25"/>
      <c r="E1812" s="25"/>
      <c r="F1812" s="25"/>
      <c r="G1812" s="25"/>
      <c r="H1812" s="25"/>
      <c r="I1812" s="27"/>
      <c r="J1812" s="25"/>
      <c r="K1812" s="25"/>
      <c r="L1812" s="25"/>
      <c r="M1812" s="25"/>
      <c r="N1812" s="25"/>
      <c r="O1812" s="25"/>
      <c r="P1812" s="25"/>
      <c r="Q1812" s="25"/>
      <c r="R1812" s="25"/>
      <c r="S1812" s="25"/>
      <c r="T1812" s="25"/>
      <c r="U1812" s="25"/>
      <c r="V1812" s="25"/>
      <c r="W1812" s="25"/>
      <c r="X1812" s="25"/>
      <c r="Y1812" s="25"/>
      <c r="Z1812" s="27"/>
      <c r="AA1812" s="28"/>
    </row>
    <row r="1813" spans="1:27" ht="12.75">
      <c r="A1813" s="25"/>
      <c r="B1813" s="25"/>
      <c r="C1813" s="25"/>
      <c r="D1813" s="25"/>
      <c r="E1813" s="25"/>
      <c r="F1813" s="25"/>
      <c r="G1813" s="25"/>
      <c r="H1813" s="25"/>
      <c r="I1813" s="27"/>
      <c r="J1813" s="25"/>
      <c r="K1813" s="25"/>
      <c r="L1813" s="25"/>
      <c r="M1813" s="25"/>
      <c r="N1813" s="25"/>
      <c r="O1813" s="25"/>
      <c r="P1813" s="25"/>
      <c r="Q1813" s="25"/>
      <c r="R1813" s="25"/>
      <c r="S1813" s="25"/>
      <c r="T1813" s="25"/>
      <c r="U1813" s="25"/>
      <c r="V1813" s="25"/>
      <c r="W1813" s="25"/>
      <c r="X1813" s="25"/>
      <c r="Y1813" s="25"/>
      <c r="Z1813" s="27"/>
      <c r="AA1813" s="28"/>
    </row>
    <row r="1814" spans="1:27" ht="12.75">
      <c r="A1814" s="25"/>
      <c r="B1814" s="25"/>
      <c r="C1814" s="25"/>
      <c r="D1814" s="25"/>
      <c r="E1814" s="25"/>
      <c r="F1814" s="25"/>
      <c r="G1814" s="25"/>
      <c r="H1814" s="25"/>
      <c r="I1814" s="27"/>
      <c r="J1814" s="25"/>
      <c r="K1814" s="25"/>
      <c r="L1814" s="25"/>
      <c r="M1814" s="25"/>
      <c r="N1814" s="25"/>
      <c r="O1814" s="25"/>
      <c r="P1814" s="25"/>
      <c r="Q1814" s="25"/>
      <c r="R1814" s="25"/>
      <c r="S1814" s="25"/>
      <c r="T1814" s="25"/>
      <c r="U1814" s="25"/>
      <c r="V1814" s="25"/>
      <c r="W1814" s="25"/>
      <c r="X1814" s="25"/>
      <c r="Y1814" s="25"/>
      <c r="Z1814" s="27"/>
      <c r="AA1814" s="28"/>
    </row>
    <row r="1815" spans="1:27" ht="12.75">
      <c r="A1815" s="25"/>
      <c r="B1815" s="25"/>
      <c r="C1815" s="25"/>
      <c r="D1815" s="25"/>
      <c r="E1815" s="25"/>
      <c r="F1815" s="25"/>
      <c r="G1815" s="25"/>
      <c r="H1815" s="25"/>
      <c r="I1815" s="27"/>
      <c r="J1815" s="25"/>
      <c r="K1815" s="25"/>
      <c r="L1815" s="25"/>
      <c r="M1815" s="25"/>
      <c r="N1815" s="25"/>
      <c r="O1815" s="25"/>
      <c r="P1815" s="25"/>
      <c r="Q1815" s="25"/>
      <c r="R1815" s="25"/>
      <c r="S1815" s="25"/>
      <c r="T1815" s="25"/>
      <c r="U1815" s="25"/>
      <c r="V1815" s="25"/>
      <c r="W1815" s="25"/>
      <c r="X1815" s="25"/>
      <c r="Y1815" s="25"/>
      <c r="Z1815" s="27"/>
      <c r="AA1815" s="28"/>
    </row>
    <row r="1816" spans="1:27" ht="12.75">
      <c r="A1816" s="25"/>
      <c r="B1816" s="25"/>
      <c r="C1816" s="25"/>
      <c r="D1816" s="25"/>
      <c r="E1816" s="25"/>
      <c r="F1816" s="25"/>
      <c r="G1816" s="25"/>
      <c r="H1816" s="25"/>
      <c r="I1816" s="27"/>
      <c r="J1816" s="25"/>
      <c r="K1816" s="25"/>
      <c r="L1816" s="25"/>
      <c r="M1816" s="25"/>
      <c r="N1816" s="25"/>
      <c r="O1816" s="25"/>
      <c r="P1816" s="25"/>
      <c r="Q1816" s="25"/>
      <c r="R1816" s="25"/>
      <c r="S1816" s="25"/>
      <c r="T1816" s="25"/>
      <c r="U1816" s="25"/>
      <c r="V1816" s="25"/>
      <c r="W1816" s="25"/>
      <c r="X1816" s="25"/>
      <c r="Y1816" s="25"/>
      <c r="Z1816" s="27"/>
      <c r="AA1816" s="28"/>
    </row>
    <row r="1817" spans="1:27" ht="12.75">
      <c r="A1817" s="25"/>
      <c r="B1817" s="25"/>
      <c r="C1817" s="25"/>
      <c r="D1817" s="25"/>
      <c r="E1817" s="25"/>
      <c r="F1817" s="25"/>
      <c r="G1817" s="25"/>
      <c r="H1817" s="25"/>
      <c r="I1817" s="27"/>
      <c r="J1817" s="25"/>
      <c r="K1817" s="25"/>
      <c r="L1817" s="25"/>
      <c r="M1817" s="25"/>
      <c r="N1817" s="25"/>
      <c r="O1817" s="25"/>
      <c r="P1817" s="25"/>
      <c r="Q1817" s="25"/>
      <c r="R1817" s="25"/>
      <c r="S1817" s="25"/>
      <c r="T1817" s="25"/>
      <c r="U1817" s="25"/>
      <c r="V1817" s="25"/>
      <c r="W1817" s="25"/>
      <c r="X1817" s="25"/>
      <c r="Y1817" s="25"/>
      <c r="Z1817" s="27"/>
      <c r="AA1817" s="28"/>
    </row>
    <row r="1818" spans="1:27" ht="12.75">
      <c r="A1818" s="25"/>
      <c r="B1818" s="25"/>
      <c r="C1818" s="25"/>
      <c r="D1818" s="25"/>
      <c r="E1818" s="25"/>
      <c r="F1818" s="25"/>
      <c r="G1818" s="25"/>
      <c r="H1818" s="25"/>
      <c r="I1818" s="27"/>
      <c r="J1818" s="25"/>
      <c r="K1818" s="25"/>
      <c r="L1818" s="25"/>
      <c r="M1818" s="25"/>
      <c r="N1818" s="25"/>
      <c r="O1818" s="25"/>
      <c r="P1818" s="25"/>
      <c r="Q1818" s="25"/>
      <c r="R1818" s="25"/>
      <c r="S1818" s="25"/>
      <c r="T1818" s="25"/>
      <c r="U1818" s="25"/>
      <c r="V1818" s="25"/>
      <c r="W1818" s="25"/>
      <c r="X1818" s="25"/>
      <c r="Y1818" s="25"/>
      <c r="Z1818" s="27"/>
      <c r="AA1818" s="28"/>
    </row>
    <row r="1819" spans="1:27" ht="12.75">
      <c r="A1819" s="25"/>
      <c r="B1819" s="25"/>
      <c r="C1819" s="25"/>
      <c r="D1819" s="25"/>
      <c r="E1819" s="25"/>
      <c r="F1819" s="25"/>
      <c r="G1819" s="25"/>
      <c r="H1819" s="25"/>
      <c r="I1819" s="27"/>
      <c r="J1819" s="25"/>
      <c r="K1819" s="25"/>
      <c r="L1819" s="25"/>
      <c r="M1819" s="25"/>
      <c r="N1819" s="25"/>
      <c r="O1819" s="25"/>
      <c r="P1819" s="25"/>
      <c r="Q1819" s="25"/>
      <c r="R1819" s="25"/>
      <c r="S1819" s="25"/>
      <c r="T1819" s="25"/>
      <c r="U1819" s="25"/>
      <c r="V1819" s="25"/>
      <c r="W1819" s="25"/>
      <c r="X1819" s="25"/>
      <c r="Y1819" s="25"/>
      <c r="Z1819" s="27"/>
      <c r="AA1819" s="28"/>
    </row>
    <row r="1820" spans="1:27" ht="12.75">
      <c r="A1820" s="25"/>
      <c r="B1820" s="25"/>
      <c r="C1820" s="25"/>
      <c r="D1820" s="25"/>
      <c r="E1820" s="25"/>
      <c r="F1820" s="25"/>
      <c r="G1820" s="25"/>
      <c r="H1820" s="25"/>
      <c r="I1820" s="27"/>
      <c r="J1820" s="25"/>
      <c r="K1820" s="25"/>
      <c r="L1820" s="25"/>
      <c r="M1820" s="25"/>
      <c r="N1820" s="25"/>
      <c r="O1820" s="25"/>
      <c r="P1820" s="25"/>
      <c r="Q1820" s="25"/>
      <c r="R1820" s="25"/>
      <c r="S1820" s="25"/>
      <c r="T1820" s="25"/>
      <c r="U1820" s="25"/>
      <c r="V1820" s="25"/>
      <c r="W1820" s="25"/>
      <c r="X1820" s="25"/>
      <c r="Y1820" s="25"/>
      <c r="Z1820" s="27"/>
      <c r="AA1820" s="28"/>
    </row>
    <row r="1821" spans="1:27" ht="12.75">
      <c r="A1821" s="25"/>
      <c r="B1821" s="25"/>
      <c r="C1821" s="25"/>
      <c r="D1821" s="25"/>
      <c r="E1821" s="25"/>
      <c r="F1821" s="25"/>
      <c r="G1821" s="25"/>
      <c r="H1821" s="25"/>
      <c r="I1821" s="27"/>
      <c r="J1821" s="25"/>
      <c r="K1821" s="25"/>
      <c r="L1821" s="25"/>
      <c r="M1821" s="25"/>
      <c r="N1821" s="25"/>
      <c r="O1821" s="25"/>
      <c r="P1821" s="25"/>
      <c r="Q1821" s="25"/>
      <c r="R1821" s="25"/>
      <c r="S1821" s="25"/>
      <c r="T1821" s="25"/>
      <c r="U1821" s="25"/>
      <c r="V1821" s="25"/>
      <c r="W1821" s="25"/>
      <c r="X1821" s="25"/>
      <c r="Y1821" s="25"/>
      <c r="Z1821" s="27"/>
      <c r="AA1821" s="28"/>
    </row>
    <row r="1822" spans="1:27" ht="12.75">
      <c r="A1822" s="25"/>
      <c r="B1822" s="25"/>
      <c r="C1822" s="25"/>
      <c r="D1822" s="25"/>
      <c r="E1822" s="25"/>
      <c r="F1822" s="25"/>
      <c r="G1822" s="25"/>
      <c r="H1822" s="25"/>
      <c r="I1822" s="27"/>
      <c r="J1822" s="25"/>
      <c r="K1822" s="25"/>
      <c r="L1822" s="25"/>
      <c r="M1822" s="25"/>
      <c r="N1822" s="25"/>
      <c r="O1822" s="25"/>
      <c r="P1822" s="25"/>
      <c r="Q1822" s="25"/>
      <c r="R1822" s="25"/>
      <c r="S1822" s="25"/>
      <c r="T1822" s="25"/>
      <c r="U1822" s="25"/>
      <c r="V1822" s="25"/>
      <c r="W1822" s="25"/>
      <c r="X1822" s="25"/>
      <c r="Y1822" s="25"/>
      <c r="Z1822" s="27"/>
      <c r="AA1822" s="28"/>
    </row>
    <row r="1823" spans="1:27" ht="12.75">
      <c r="A1823" s="25"/>
      <c r="B1823" s="25"/>
      <c r="C1823" s="25"/>
      <c r="D1823" s="25"/>
      <c r="E1823" s="25"/>
      <c r="F1823" s="25"/>
      <c r="G1823" s="25"/>
      <c r="H1823" s="25"/>
      <c r="I1823" s="27"/>
      <c r="J1823" s="25"/>
      <c r="K1823" s="25"/>
      <c r="L1823" s="25"/>
      <c r="M1823" s="25"/>
      <c r="N1823" s="25"/>
      <c r="O1823" s="25"/>
      <c r="P1823" s="25"/>
      <c r="Q1823" s="25"/>
      <c r="R1823" s="25"/>
      <c r="S1823" s="25"/>
      <c r="T1823" s="25"/>
      <c r="U1823" s="25"/>
      <c r="V1823" s="25"/>
      <c r="W1823" s="25"/>
      <c r="X1823" s="25"/>
      <c r="Y1823" s="25"/>
      <c r="Z1823" s="27"/>
      <c r="AA1823" s="28"/>
    </row>
    <row r="1824" spans="1:27" ht="12.75">
      <c r="A1824" s="25"/>
      <c r="B1824" s="25"/>
      <c r="C1824" s="25"/>
      <c r="D1824" s="25"/>
      <c r="E1824" s="25"/>
      <c r="F1824" s="25"/>
      <c r="G1824" s="25"/>
      <c r="H1824" s="25"/>
      <c r="I1824" s="27"/>
      <c r="J1824" s="25"/>
      <c r="K1824" s="25"/>
      <c r="L1824" s="25"/>
      <c r="M1824" s="25"/>
      <c r="N1824" s="25"/>
      <c r="O1824" s="25"/>
      <c r="P1824" s="25"/>
      <c r="Q1824" s="25"/>
      <c r="R1824" s="25"/>
      <c r="S1824" s="25"/>
      <c r="T1824" s="25"/>
      <c r="U1824" s="25"/>
      <c r="V1824" s="25"/>
      <c r="W1824" s="25"/>
      <c r="X1824" s="25"/>
      <c r="Y1824" s="25"/>
      <c r="Z1824" s="27"/>
      <c r="AA1824" s="28"/>
    </row>
    <row r="1825" spans="1:27" ht="12.75">
      <c r="A1825" s="25"/>
      <c r="B1825" s="25"/>
      <c r="C1825" s="25"/>
      <c r="D1825" s="25"/>
      <c r="E1825" s="25"/>
      <c r="F1825" s="25"/>
      <c r="G1825" s="25"/>
      <c r="H1825" s="25"/>
      <c r="I1825" s="27"/>
      <c r="J1825" s="25"/>
      <c r="K1825" s="25"/>
      <c r="L1825" s="25"/>
      <c r="M1825" s="25"/>
      <c r="N1825" s="25"/>
      <c r="O1825" s="25"/>
      <c r="P1825" s="25"/>
      <c r="Q1825" s="25"/>
      <c r="R1825" s="25"/>
      <c r="S1825" s="25"/>
      <c r="T1825" s="25"/>
      <c r="U1825" s="25"/>
      <c r="V1825" s="25"/>
      <c r="W1825" s="25"/>
      <c r="X1825" s="25"/>
      <c r="Y1825" s="25"/>
      <c r="Z1825" s="27"/>
      <c r="AA1825" s="28"/>
    </row>
    <row r="1826" spans="1:27" ht="12.75">
      <c r="A1826" s="25"/>
      <c r="B1826" s="25"/>
      <c r="C1826" s="25"/>
      <c r="D1826" s="25"/>
      <c r="E1826" s="25"/>
      <c r="F1826" s="25"/>
      <c r="G1826" s="25"/>
      <c r="H1826" s="25"/>
      <c r="I1826" s="27"/>
      <c r="J1826" s="25"/>
      <c r="K1826" s="25"/>
      <c r="L1826" s="25"/>
      <c r="M1826" s="25"/>
      <c r="N1826" s="25"/>
      <c r="O1826" s="25"/>
      <c r="P1826" s="25"/>
      <c r="Q1826" s="25"/>
      <c r="R1826" s="25"/>
      <c r="S1826" s="25"/>
      <c r="T1826" s="25"/>
      <c r="U1826" s="25"/>
      <c r="V1826" s="25"/>
      <c r="W1826" s="25"/>
      <c r="X1826" s="25"/>
      <c r="Y1826" s="25"/>
      <c r="Z1826" s="27"/>
      <c r="AA1826" s="28"/>
    </row>
    <row r="1827" spans="1:27" ht="12.75">
      <c r="A1827" s="25"/>
      <c r="B1827" s="25"/>
      <c r="C1827" s="25"/>
      <c r="D1827" s="25"/>
      <c r="E1827" s="25"/>
      <c r="F1827" s="25"/>
      <c r="G1827" s="25"/>
      <c r="H1827" s="25"/>
      <c r="I1827" s="27"/>
      <c r="J1827" s="25"/>
      <c r="K1827" s="25"/>
      <c r="L1827" s="25"/>
      <c r="M1827" s="25"/>
      <c r="N1827" s="25"/>
      <c r="O1827" s="25"/>
      <c r="P1827" s="25"/>
      <c r="Q1827" s="25"/>
      <c r="R1827" s="25"/>
      <c r="S1827" s="25"/>
      <c r="T1827" s="25"/>
      <c r="U1827" s="25"/>
      <c r="V1827" s="25"/>
      <c r="W1827" s="25"/>
      <c r="X1827" s="25"/>
      <c r="Y1827" s="25"/>
      <c r="Z1827" s="27"/>
      <c r="AA1827" s="28"/>
    </row>
    <row r="1828" spans="1:27" ht="12.75">
      <c r="A1828" s="25"/>
      <c r="B1828" s="25"/>
      <c r="C1828" s="25"/>
      <c r="D1828" s="25"/>
      <c r="E1828" s="25"/>
      <c r="F1828" s="25"/>
      <c r="G1828" s="25"/>
      <c r="H1828" s="25"/>
      <c r="I1828" s="27"/>
      <c r="J1828" s="25"/>
      <c r="K1828" s="25"/>
      <c r="L1828" s="25"/>
      <c r="M1828" s="25"/>
      <c r="N1828" s="25"/>
      <c r="O1828" s="25"/>
      <c r="P1828" s="25"/>
      <c r="Q1828" s="25"/>
      <c r="R1828" s="25"/>
      <c r="S1828" s="25"/>
      <c r="T1828" s="25"/>
      <c r="U1828" s="25"/>
      <c r="V1828" s="25"/>
      <c r="W1828" s="25"/>
      <c r="X1828" s="25"/>
      <c r="Y1828" s="25"/>
      <c r="Z1828" s="27"/>
      <c r="AA1828" s="28"/>
    </row>
    <row r="1829" spans="1:27" ht="12.75">
      <c r="A1829" s="25"/>
      <c r="B1829" s="25"/>
      <c r="C1829" s="25"/>
      <c r="D1829" s="25"/>
      <c r="E1829" s="25"/>
      <c r="F1829" s="25"/>
      <c r="G1829" s="25"/>
      <c r="H1829" s="25"/>
      <c r="I1829" s="27"/>
      <c r="J1829" s="25"/>
      <c r="K1829" s="25"/>
      <c r="L1829" s="25"/>
      <c r="M1829" s="25"/>
      <c r="N1829" s="25"/>
      <c r="O1829" s="25"/>
      <c r="P1829" s="25"/>
      <c r="Q1829" s="25"/>
      <c r="R1829" s="25"/>
      <c r="S1829" s="25"/>
      <c r="T1829" s="25"/>
      <c r="U1829" s="25"/>
      <c r="V1829" s="25"/>
      <c r="W1829" s="25"/>
      <c r="X1829" s="25"/>
      <c r="Y1829" s="25"/>
      <c r="Z1829" s="27"/>
      <c r="AA1829" s="28"/>
    </row>
    <row r="1830" spans="1:27" ht="12.75">
      <c r="A1830" s="25"/>
      <c r="B1830" s="25"/>
      <c r="C1830" s="25"/>
      <c r="D1830" s="25"/>
      <c r="E1830" s="25"/>
      <c r="F1830" s="25"/>
      <c r="G1830" s="25"/>
      <c r="H1830" s="25"/>
      <c r="I1830" s="27"/>
      <c r="J1830" s="25"/>
      <c r="K1830" s="25"/>
      <c r="L1830" s="25"/>
      <c r="M1830" s="25"/>
      <c r="N1830" s="25"/>
      <c r="O1830" s="25"/>
      <c r="P1830" s="25"/>
      <c r="Q1830" s="25"/>
      <c r="R1830" s="25"/>
      <c r="S1830" s="25"/>
      <c r="T1830" s="25"/>
      <c r="U1830" s="25"/>
      <c r="V1830" s="25"/>
      <c r="W1830" s="25"/>
      <c r="X1830" s="25"/>
      <c r="Y1830" s="25"/>
      <c r="Z1830" s="27"/>
      <c r="AA1830" s="28"/>
    </row>
    <row r="1831" spans="1:27" ht="12.75">
      <c r="A1831" s="25"/>
      <c r="B1831" s="25"/>
      <c r="C1831" s="25"/>
      <c r="D1831" s="25"/>
      <c r="E1831" s="25"/>
      <c r="F1831" s="25"/>
      <c r="G1831" s="25"/>
      <c r="H1831" s="25"/>
      <c r="I1831" s="27"/>
      <c r="J1831" s="25"/>
      <c r="K1831" s="25"/>
      <c r="L1831" s="25"/>
      <c r="M1831" s="25"/>
      <c r="N1831" s="25"/>
      <c r="O1831" s="25"/>
      <c r="P1831" s="25"/>
      <c r="Q1831" s="25"/>
      <c r="R1831" s="25"/>
      <c r="S1831" s="25"/>
      <c r="T1831" s="25"/>
      <c r="U1831" s="25"/>
      <c r="V1831" s="25"/>
      <c r="W1831" s="25"/>
      <c r="X1831" s="25"/>
      <c r="Y1831" s="25"/>
      <c r="Z1831" s="27"/>
      <c r="AA1831" s="28"/>
    </row>
    <row r="1832" spans="1:27" ht="12.75">
      <c r="A1832" s="25"/>
      <c r="B1832" s="25"/>
      <c r="C1832" s="25"/>
      <c r="D1832" s="25"/>
      <c r="E1832" s="25"/>
      <c r="F1832" s="25"/>
      <c r="G1832" s="25"/>
      <c r="H1832" s="25"/>
      <c r="I1832" s="27"/>
      <c r="J1832" s="25"/>
      <c r="K1832" s="25"/>
      <c r="L1832" s="25"/>
      <c r="M1832" s="25"/>
      <c r="N1832" s="25"/>
      <c r="O1832" s="25"/>
      <c r="P1832" s="25"/>
      <c r="Q1832" s="25"/>
      <c r="R1832" s="25"/>
      <c r="S1832" s="25"/>
      <c r="T1832" s="25"/>
      <c r="U1832" s="25"/>
      <c r="V1832" s="25"/>
      <c r="W1832" s="25"/>
      <c r="X1832" s="25"/>
      <c r="Y1832" s="25"/>
      <c r="Z1832" s="27"/>
      <c r="AA1832" s="28"/>
    </row>
    <row r="1833" spans="1:27" ht="12.75">
      <c r="A1833" s="25"/>
      <c r="B1833" s="25"/>
      <c r="C1833" s="25"/>
      <c r="D1833" s="25"/>
      <c r="E1833" s="25"/>
      <c r="F1833" s="25"/>
      <c r="G1833" s="25"/>
      <c r="H1833" s="25"/>
      <c r="I1833" s="27"/>
      <c r="J1833" s="25"/>
      <c r="K1833" s="25"/>
      <c r="L1833" s="25"/>
      <c r="M1833" s="25"/>
      <c r="N1833" s="25"/>
      <c r="O1833" s="25"/>
      <c r="P1833" s="25"/>
      <c r="Q1833" s="25"/>
      <c r="R1833" s="25"/>
      <c r="S1833" s="25"/>
      <c r="T1833" s="25"/>
      <c r="U1833" s="25"/>
      <c r="V1833" s="25"/>
      <c r="W1833" s="25"/>
      <c r="X1833" s="25"/>
      <c r="Y1833" s="25"/>
      <c r="Z1833" s="27"/>
      <c r="AA1833" s="28"/>
    </row>
    <row r="1834" spans="1:27" ht="12.75">
      <c r="A1834" s="25"/>
      <c r="B1834" s="25"/>
      <c r="C1834" s="25"/>
      <c r="D1834" s="25"/>
      <c r="E1834" s="25"/>
      <c r="F1834" s="25"/>
      <c r="G1834" s="25"/>
      <c r="H1834" s="25"/>
      <c r="I1834" s="27"/>
      <c r="J1834" s="25"/>
      <c r="K1834" s="25"/>
      <c r="L1834" s="25"/>
      <c r="M1834" s="25"/>
      <c r="N1834" s="25"/>
      <c r="O1834" s="25"/>
      <c r="P1834" s="25"/>
      <c r="Q1834" s="25"/>
      <c r="R1834" s="25"/>
      <c r="S1834" s="25"/>
      <c r="T1834" s="25"/>
      <c r="U1834" s="25"/>
      <c r="V1834" s="25"/>
      <c r="W1834" s="25"/>
      <c r="X1834" s="25"/>
      <c r="Y1834" s="25"/>
      <c r="Z1834" s="27"/>
      <c r="AA1834" s="28"/>
    </row>
    <row r="1835" spans="1:27" ht="12.75">
      <c r="A1835" s="25"/>
      <c r="B1835" s="25"/>
      <c r="C1835" s="25"/>
      <c r="D1835" s="25"/>
      <c r="E1835" s="25"/>
      <c r="F1835" s="25"/>
      <c r="G1835" s="25"/>
      <c r="H1835" s="25"/>
      <c r="I1835" s="27"/>
      <c r="J1835" s="25"/>
      <c r="K1835" s="25"/>
      <c r="L1835" s="25"/>
      <c r="M1835" s="25"/>
      <c r="N1835" s="25"/>
      <c r="O1835" s="25"/>
      <c r="P1835" s="25"/>
      <c r="Q1835" s="25"/>
      <c r="R1835" s="25"/>
      <c r="S1835" s="25"/>
      <c r="T1835" s="25"/>
      <c r="U1835" s="25"/>
      <c r="V1835" s="25"/>
      <c r="W1835" s="25"/>
      <c r="X1835" s="25"/>
      <c r="Y1835" s="25"/>
      <c r="Z1835" s="27"/>
      <c r="AA1835" s="28"/>
    </row>
    <row r="1836" spans="1:27" ht="12.75">
      <c r="A1836" s="25"/>
      <c r="B1836" s="25"/>
      <c r="C1836" s="25"/>
      <c r="D1836" s="25"/>
      <c r="E1836" s="25"/>
      <c r="F1836" s="25"/>
      <c r="G1836" s="25"/>
      <c r="H1836" s="25"/>
      <c r="I1836" s="27"/>
      <c r="J1836" s="25"/>
      <c r="K1836" s="25"/>
      <c r="L1836" s="25"/>
      <c r="M1836" s="25"/>
      <c r="N1836" s="25"/>
      <c r="O1836" s="25"/>
      <c r="P1836" s="25"/>
      <c r="Q1836" s="25"/>
      <c r="R1836" s="25"/>
      <c r="S1836" s="25"/>
      <c r="T1836" s="25"/>
      <c r="U1836" s="25"/>
      <c r="V1836" s="25"/>
      <c r="W1836" s="25"/>
      <c r="X1836" s="25"/>
      <c r="Y1836" s="25"/>
      <c r="Z1836" s="27"/>
      <c r="AA1836" s="28"/>
    </row>
    <row r="1837" spans="1:27" ht="12.75">
      <c r="A1837" s="25"/>
      <c r="B1837" s="25"/>
      <c r="C1837" s="25"/>
      <c r="D1837" s="25"/>
      <c r="E1837" s="25"/>
      <c r="F1837" s="25"/>
      <c r="G1837" s="25"/>
      <c r="H1837" s="25"/>
      <c r="I1837" s="27"/>
      <c r="J1837" s="25"/>
      <c r="K1837" s="25"/>
      <c r="L1837" s="25"/>
      <c r="M1837" s="25"/>
      <c r="N1837" s="25"/>
      <c r="O1837" s="25"/>
      <c r="P1837" s="25"/>
      <c r="Q1837" s="25"/>
      <c r="R1837" s="25"/>
      <c r="S1837" s="25"/>
      <c r="T1837" s="25"/>
      <c r="U1837" s="25"/>
      <c r="V1837" s="25"/>
      <c r="W1837" s="25"/>
      <c r="X1837" s="25"/>
      <c r="Y1837" s="25"/>
      <c r="Z1837" s="27"/>
      <c r="AA1837" s="28"/>
    </row>
    <row r="1838" spans="1:27" ht="12.75">
      <c r="A1838" s="25"/>
      <c r="B1838" s="25"/>
      <c r="C1838" s="25"/>
      <c r="D1838" s="25"/>
      <c r="E1838" s="25"/>
      <c r="F1838" s="25"/>
      <c r="G1838" s="25"/>
      <c r="H1838" s="25"/>
      <c r="I1838" s="27"/>
      <c r="J1838" s="25"/>
      <c r="K1838" s="25"/>
      <c r="L1838" s="25"/>
      <c r="M1838" s="25"/>
      <c r="N1838" s="25"/>
      <c r="O1838" s="25"/>
      <c r="P1838" s="25"/>
      <c r="Q1838" s="25"/>
      <c r="R1838" s="25"/>
      <c r="S1838" s="25"/>
      <c r="T1838" s="25"/>
      <c r="U1838" s="25"/>
      <c r="V1838" s="25"/>
      <c r="W1838" s="25"/>
      <c r="X1838" s="25"/>
      <c r="Y1838" s="25"/>
      <c r="Z1838" s="27"/>
      <c r="AA1838" s="28"/>
    </row>
    <row r="1839" spans="1:27" ht="12.75">
      <c r="A1839" s="25"/>
      <c r="B1839" s="25"/>
      <c r="C1839" s="25"/>
      <c r="D1839" s="25"/>
      <c r="E1839" s="25"/>
      <c r="F1839" s="25"/>
      <c r="G1839" s="25"/>
      <c r="H1839" s="25"/>
      <c r="I1839" s="27"/>
      <c r="J1839" s="25"/>
      <c r="K1839" s="25"/>
      <c r="L1839" s="25"/>
      <c r="M1839" s="25"/>
      <c r="N1839" s="25"/>
      <c r="O1839" s="25"/>
      <c r="P1839" s="25"/>
      <c r="Q1839" s="25"/>
      <c r="R1839" s="25"/>
      <c r="S1839" s="25"/>
      <c r="T1839" s="25"/>
      <c r="U1839" s="25"/>
      <c r="V1839" s="25"/>
      <c r="W1839" s="25"/>
      <c r="X1839" s="25"/>
      <c r="Y1839" s="25"/>
      <c r="Z1839" s="27"/>
      <c r="AA1839" s="28"/>
    </row>
    <row r="1840" spans="1:27" ht="12.75">
      <c r="A1840" s="25"/>
      <c r="B1840" s="25"/>
      <c r="C1840" s="25"/>
      <c r="D1840" s="25"/>
      <c r="E1840" s="25"/>
      <c r="F1840" s="25"/>
      <c r="G1840" s="25"/>
      <c r="H1840" s="25"/>
      <c r="I1840" s="27"/>
      <c r="J1840" s="25"/>
      <c r="K1840" s="25"/>
      <c r="L1840" s="25"/>
      <c r="M1840" s="25"/>
      <c r="N1840" s="25"/>
      <c r="O1840" s="25"/>
      <c r="P1840" s="25"/>
      <c r="Q1840" s="25"/>
      <c r="R1840" s="25"/>
      <c r="S1840" s="25"/>
      <c r="T1840" s="25"/>
      <c r="U1840" s="25"/>
      <c r="V1840" s="25"/>
      <c r="W1840" s="25"/>
      <c r="X1840" s="25"/>
      <c r="Y1840" s="25"/>
      <c r="Z1840" s="27"/>
      <c r="AA1840" s="28"/>
    </row>
    <row r="1841" spans="1:27" ht="12.75">
      <c r="A1841" s="25"/>
      <c r="B1841" s="25"/>
      <c r="C1841" s="25"/>
      <c r="D1841" s="25"/>
      <c r="E1841" s="25"/>
      <c r="F1841" s="25"/>
      <c r="G1841" s="25"/>
      <c r="H1841" s="25"/>
      <c r="I1841" s="27"/>
      <c r="J1841" s="25"/>
      <c r="K1841" s="25"/>
      <c r="L1841" s="25"/>
      <c r="M1841" s="25"/>
      <c r="N1841" s="25"/>
      <c r="O1841" s="25"/>
      <c r="P1841" s="25"/>
      <c r="Q1841" s="25"/>
      <c r="R1841" s="25"/>
      <c r="S1841" s="25"/>
      <c r="T1841" s="25"/>
      <c r="U1841" s="25"/>
      <c r="V1841" s="25"/>
      <c r="W1841" s="25"/>
      <c r="X1841" s="25"/>
      <c r="Y1841" s="25"/>
      <c r="Z1841" s="27"/>
      <c r="AA1841" s="28"/>
    </row>
    <row r="1842" spans="1:27" ht="12.75">
      <c r="A1842" s="25"/>
      <c r="B1842" s="25"/>
      <c r="C1842" s="25"/>
      <c r="D1842" s="25"/>
      <c r="E1842" s="25"/>
      <c r="F1842" s="25"/>
      <c r="G1842" s="25"/>
      <c r="H1842" s="25"/>
      <c r="I1842" s="27"/>
      <c r="J1842" s="25"/>
      <c r="K1842" s="25"/>
      <c r="L1842" s="25"/>
      <c r="M1842" s="25"/>
      <c r="N1842" s="25"/>
      <c r="O1842" s="25"/>
      <c r="P1842" s="25"/>
      <c r="Q1842" s="25"/>
      <c r="R1842" s="25"/>
      <c r="S1842" s="25"/>
      <c r="T1842" s="25"/>
      <c r="U1842" s="25"/>
      <c r="V1842" s="25"/>
      <c r="W1842" s="25"/>
      <c r="X1842" s="25"/>
      <c r="Y1842" s="25"/>
      <c r="Z1842" s="27"/>
      <c r="AA1842" s="28"/>
    </row>
    <row r="1843" spans="1:27" ht="12.75">
      <c r="A1843" s="25"/>
      <c r="B1843" s="25"/>
      <c r="C1843" s="25"/>
      <c r="D1843" s="25"/>
      <c r="E1843" s="25"/>
      <c r="F1843" s="25"/>
      <c r="G1843" s="25"/>
      <c r="H1843" s="25"/>
      <c r="I1843" s="27"/>
      <c r="J1843" s="25"/>
      <c r="K1843" s="25"/>
      <c r="L1843" s="25"/>
      <c r="M1843" s="25"/>
      <c r="N1843" s="25"/>
      <c r="O1843" s="25"/>
      <c r="P1843" s="25"/>
      <c r="Q1843" s="25"/>
      <c r="R1843" s="25"/>
      <c r="S1843" s="25"/>
      <c r="T1843" s="25"/>
      <c r="U1843" s="25"/>
      <c r="V1843" s="25"/>
      <c r="W1843" s="25"/>
      <c r="X1843" s="25"/>
      <c r="Y1843" s="25"/>
      <c r="Z1843" s="27"/>
      <c r="AA1843" s="28"/>
    </row>
    <row r="1844" spans="1:27" ht="12.75">
      <c r="A1844" s="25"/>
      <c r="B1844" s="25"/>
      <c r="C1844" s="25"/>
      <c r="D1844" s="25"/>
      <c r="E1844" s="25"/>
      <c r="F1844" s="25"/>
      <c r="G1844" s="25"/>
      <c r="H1844" s="25"/>
      <c r="I1844" s="27"/>
      <c r="J1844" s="25"/>
      <c r="K1844" s="25"/>
      <c r="L1844" s="25"/>
      <c r="M1844" s="25"/>
      <c r="N1844" s="25"/>
      <c r="O1844" s="25"/>
      <c r="P1844" s="25"/>
      <c r="Q1844" s="25"/>
      <c r="R1844" s="25"/>
      <c r="S1844" s="25"/>
      <c r="T1844" s="25"/>
      <c r="U1844" s="25"/>
      <c r="V1844" s="25"/>
      <c r="W1844" s="25"/>
      <c r="X1844" s="25"/>
      <c r="Y1844" s="25"/>
      <c r="Z1844" s="27"/>
      <c r="AA1844" s="28"/>
    </row>
    <row r="1845" spans="1:27" ht="12.75">
      <c r="A1845" s="25"/>
      <c r="B1845" s="25"/>
      <c r="C1845" s="25"/>
      <c r="D1845" s="25"/>
      <c r="E1845" s="25"/>
      <c r="F1845" s="25"/>
      <c r="G1845" s="25"/>
      <c r="H1845" s="25"/>
      <c r="I1845" s="27"/>
      <c r="J1845" s="25"/>
      <c r="K1845" s="25"/>
      <c r="L1845" s="25"/>
      <c r="M1845" s="25"/>
      <c r="N1845" s="25"/>
      <c r="O1845" s="25"/>
      <c r="P1845" s="25"/>
      <c r="Q1845" s="25"/>
      <c r="R1845" s="25"/>
      <c r="S1845" s="25"/>
      <c r="T1845" s="25"/>
      <c r="U1845" s="25"/>
      <c r="V1845" s="25"/>
      <c r="W1845" s="25"/>
      <c r="X1845" s="25"/>
      <c r="Y1845" s="25"/>
      <c r="Z1845" s="27"/>
      <c r="AA1845" s="28"/>
    </row>
    <row r="1846" spans="1:27" ht="12.75">
      <c r="A1846" s="25"/>
      <c r="B1846" s="25"/>
      <c r="C1846" s="25"/>
      <c r="D1846" s="25"/>
      <c r="E1846" s="25"/>
      <c r="F1846" s="25"/>
      <c r="G1846" s="25"/>
      <c r="H1846" s="25"/>
      <c r="I1846" s="27"/>
      <c r="J1846" s="25"/>
      <c r="K1846" s="25"/>
      <c r="L1846" s="25"/>
      <c r="M1846" s="25"/>
      <c r="N1846" s="25"/>
      <c r="O1846" s="25"/>
      <c r="P1846" s="25"/>
      <c r="Q1846" s="25"/>
      <c r="R1846" s="25"/>
      <c r="S1846" s="25"/>
      <c r="T1846" s="25"/>
      <c r="U1846" s="25"/>
      <c r="V1846" s="25"/>
      <c r="W1846" s="25"/>
      <c r="X1846" s="25"/>
      <c r="Y1846" s="25"/>
      <c r="Z1846" s="27"/>
      <c r="AA1846" s="28"/>
    </row>
    <row r="1847" spans="1:27" ht="12.75">
      <c r="A1847" s="25"/>
      <c r="B1847" s="25"/>
      <c r="C1847" s="25"/>
      <c r="D1847" s="25"/>
      <c r="E1847" s="25"/>
      <c r="F1847" s="25"/>
      <c r="G1847" s="25"/>
      <c r="H1847" s="25"/>
      <c r="I1847" s="27"/>
      <c r="J1847" s="25"/>
      <c r="K1847" s="25"/>
      <c r="L1847" s="25"/>
      <c r="M1847" s="25"/>
      <c r="N1847" s="25"/>
      <c r="O1847" s="25"/>
      <c r="P1847" s="25"/>
      <c r="Q1847" s="25"/>
      <c r="R1847" s="25"/>
      <c r="S1847" s="25"/>
      <c r="T1847" s="25"/>
      <c r="U1847" s="25"/>
      <c r="V1847" s="25"/>
      <c r="W1847" s="25"/>
      <c r="X1847" s="25"/>
      <c r="Y1847" s="25"/>
      <c r="Z1847" s="27"/>
      <c r="AA1847" s="28"/>
    </row>
    <row r="1848" spans="1:27" ht="12.75">
      <c r="A1848" s="25"/>
      <c r="B1848" s="25"/>
      <c r="C1848" s="25"/>
      <c r="D1848" s="25"/>
      <c r="E1848" s="25"/>
      <c r="F1848" s="25"/>
      <c r="G1848" s="25"/>
      <c r="H1848" s="25"/>
      <c r="I1848" s="27"/>
      <c r="J1848" s="25"/>
      <c r="K1848" s="25"/>
      <c r="L1848" s="25"/>
      <c r="M1848" s="25"/>
      <c r="N1848" s="25"/>
      <c r="O1848" s="25"/>
      <c r="P1848" s="25"/>
      <c r="Q1848" s="25"/>
      <c r="R1848" s="25"/>
      <c r="S1848" s="25"/>
      <c r="T1848" s="25"/>
      <c r="U1848" s="25"/>
      <c r="V1848" s="25"/>
      <c r="W1848" s="25"/>
      <c r="X1848" s="25"/>
      <c r="Y1848" s="25"/>
      <c r="Z1848" s="27"/>
      <c r="AA1848" s="28"/>
    </row>
    <row r="1849" spans="1:27" ht="12.75">
      <c r="A1849" s="25"/>
      <c r="B1849" s="25"/>
      <c r="C1849" s="25"/>
      <c r="D1849" s="25"/>
      <c r="E1849" s="25"/>
      <c r="F1849" s="25"/>
      <c r="G1849" s="25"/>
      <c r="H1849" s="25"/>
      <c r="I1849" s="27"/>
      <c r="J1849" s="25"/>
      <c r="K1849" s="25"/>
      <c r="L1849" s="25"/>
      <c r="M1849" s="25"/>
      <c r="N1849" s="25"/>
      <c r="O1849" s="25"/>
      <c r="P1849" s="25"/>
      <c r="Q1849" s="25"/>
      <c r="R1849" s="25"/>
      <c r="S1849" s="25"/>
      <c r="T1849" s="25"/>
      <c r="U1849" s="25"/>
      <c r="V1849" s="25"/>
      <c r="W1849" s="25"/>
      <c r="X1849" s="25"/>
      <c r="Y1849" s="25"/>
      <c r="Z1849" s="27"/>
      <c r="AA1849" s="28"/>
    </row>
    <row r="1850" spans="1:27" ht="12.75">
      <c r="A1850" s="25"/>
      <c r="B1850" s="25"/>
      <c r="C1850" s="25"/>
      <c r="D1850" s="25"/>
      <c r="E1850" s="25"/>
      <c r="F1850" s="25"/>
      <c r="G1850" s="25"/>
      <c r="H1850" s="25"/>
      <c r="I1850" s="27"/>
      <c r="J1850" s="25"/>
      <c r="K1850" s="25"/>
      <c r="L1850" s="25"/>
      <c r="M1850" s="25"/>
      <c r="N1850" s="25"/>
      <c r="O1850" s="25"/>
      <c r="P1850" s="25"/>
      <c r="Q1850" s="25"/>
      <c r="R1850" s="25"/>
      <c r="S1850" s="25"/>
      <c r="T1850" s="25"/>
      <c r="U1850" s="25"/>
      <c r="V1850" s="25"/>
      <c r="W1850" s="25"/>
      <c r="X1850" s="25"/>
      <c r="Y1850" s="25"/>
      <c r="Z1850" s="27"/>
      <c r="AA1850" s="28"/>
    </row>
    <row r="1851" spans="1:27" ht="12.75">
      <c r="A1851" s="25"/>
      <c r="B1851" s="25"/>
      <c r="C1851" s="25"/>
      <c r="D1851" s="25"/>
      <c r="E1851" s="25"/>
      <c r="F1851" s="25"/>
      <c r="G1851" s="25"/>
      <c r="H1851" s="25"/>
      <c r="I1851" s="27"/>
      <c r="J1851" s="25"/>
      <c r="K1851" s="25"/>
      <c r="L1851" s="25"/>
      <c r="M1851" s="25"/>
      <c r="N1851" s="25"/>
      <c r="O1851" s="25"/>
      <c r="P1851" s="25"/>
      <c r="Q1851" s="25"/>
      <c r="R1851" s="25"/>
      <c r="S1851" s="25"/>
      <c r="T1851" s="25"/>
      <c r="U1851" s="25"/>
      <c r="V1851" s="25"/>
      <c r="W1851" s="25"/>
      <c r="X1851" s="25"/>
      <c r="Y1851" s="25"/>
      <c r="Z1851" s="27"/>
      <c r="AA1851" s="28"/>
    </row>
    <row r="1852" spans="1:27" ht="12.75">
      <c r="A1852" s="25"/>
      <c r="B1852" s="25"/>
      <c r="C1852" s="25"/>
      <c r="D1852" s="25"/>
      <c r="E1852" s="25"/>
      <c r="F1852" s="25"/>
      <c r="G1852" s="25"/>
      <c r="H1852" s="25"/>
      <c r="I1852" s="27"/>
      <c r="J1852" s="25"/>
      <c r="K1852" s="25"/>
      <c r="L1852" s="25"/>
      <c r="M1852" s="25"/>
      <c r="N1852" s="25"/>
      <c r="O1852" s="25"/>
      <c r="P1852" s="25"/>
      <c r="Q1852" s="25"/>
      <c r="R1852" s="25"/>
      <c r="S1852" s="25"/>
      <c r="T1852" s="25"/>
      <c r="U1852" s="25"/>
      <c r="V1852" s="25"/>
      <c r="W1852" s="25"/>
      <c r="X1852" s="25"/>
      <c r="Y1852" s="25"/>
      <c r="Z1852" s="27"/>
      <c r="AA1852" s="28"/>
    </row>
    <row r="1853" spans="1:27" ht="12.75">
      <c r="A1853" s="25"/>
      <c r="B1853" s="25"/>
      <c r="C1853" s="25"/>
      <c r="D1853" s="25"/>
      <c r="E1853" s="25"/>
      <c r="F1853" s="25"/>
      <c r="G1853" s="25"/>
      <c r="H1853" s="25"/>
      <c r="I1853" s="27"/>
      <c r="J1853" s="25"/>
      <c r="K1853" s="25"/>
      <c r="L1853" s="25"/>
      <c r="M1853" s="25"/>
      <c r="N1853" s="25"/>
      <c r="O1853" s="25"/>
      <c r="P1853" s="25"/>
      <c r="Q1853" s="25"/>
      <c r="R1853" s="25"/>
      <c r="S1853" s="25"/>
      <c r="T1853" s="25"/>
      <c r="U1853" s="25"/>
      <c r="V1853" s="25"/>
      <c r="W1853" s="25"/>
      <c r="X1853" s="25"/>
      <c r="Y1853" s="25"/>
      <c r="Z1853" s="27"/>
      <c r="AA1853" s="28"/>
    </row>
    <row r="1854" spans="1:27" ht="12.75">
      <c r="A1854" s="25"/>
      <c r="B1854" s="25"/>
      <c r="C1854" s="25"/>
      <c r="D1854" s="25"/>
      <c r="E1854" s="25"/>
      <c r="F1854" s="25"/>
      <c r="G1854" s="25"/>
      <c r="H1854" s="25"/>
      <c r="I1854" s="27"/>
      <c r="J1854" s="25"/>
      <c r="K1854" s="25"/>
      <c r="L1854" s="25"/>
      <c r="M1854" s="25"/>
      <c r="N1854" s="25"/>
      <c r="O1854" s="25"/>
      <c r="P1854" s="25"/>
      <c r="Q1854" s="25"/>
      <c r="R1854" s="25"/>
      <c r="S1854" s="25"/>
      <c r="T1854" s="25"/>
      <c r="U1854" s="25"/>
      <c r="V1854" s="25"/>
      <c r="W1854" s="25"/>
      <c r="X1854" s="25"/>
      <c r="Y1854" s="25"/>
      <c r="Z1854" s="27"/>
      <c r="AA1854" s="28"/>
    </row>
    <row r="1855" spans="1:27" ht="12.75">
      <c r="A1855" s="25"/>
      <c r="B1855" s="25"/>
      <c r="C1855" s="25"/>
      <c r="D1855" s="25"/>
      <c r="E1855" s="25"/>
      <c r="F1855" s="25"/>
      <c r="G1855" s="25"/>
      <c r="H1855" s="25"/>
      <c r="I1855" s="27"/>
      <c r="J1855" s="25"/>
      <c r="K1855" s="25"/>
      <c r="L1855" s="25"/>
      <c r="M1855" s="25"/>
      <c r="N1855" s="25"/>
      <c r="O1855" s="25"/>
      <c r="P1855" s="25"/>
      <c r="Q1855" s="25"/>
      <c r="R1855" s="25"/>
      <c r="S1855" s="25"/>
      <c r="T1855" s="25"/>
      <c r="U1855" s="25"/>
      <c r="V1855" s="25"/>
      <c r="W1855" s="25"/>
      <c r="X1855" s="25"/>
      <c r="Y1855" s="25"/>
      <c r="Z1855" s="27"/>
      <c r="AA1855" s="28"/>
    </row>
    <row r="1856" spans="1:27" ht="12.75">
      <c r="A1856" s="25"/>
      <c r="B1856" s="25"/>
      <c r="C1856" s="25"/>
      <c r="D1856" s="25"/>
      <c r="E1856" s="25"/>
      <c r="F1856" s="25"/>
      <c r="G1856" s="25"/>
      <c r="H1856" s="25"/>
      <c r="I1856" s="27"/>
      <c r="J1856" s="25"/>
      <c r="K1856" s="25"/>
      <c r="L1856" s="25"/>
      <c r="M1856" s="25"/>
      <c r="N1856" s="25"/>
      <c r="O1856" s="25"/>
      <c r="P1856" s="25"/>
      <c r="Q1856" s="25"/>
      <c r="R1856" s="25"/>
      <c r="S1856" s="25"/>
      <c r="T1856" s="25"/>
      <c r="U1856" s="25"/>
      <c r="V1856" s="25"/>
      <c r="W1856" s="25"/>
      <c r="X1856" s="25"/>
      <c r="Y1856" s="25"/>
      <c r="Z1856" s="27"/>
      <c r="AA1856" s="28"/>
    </row>
    <row r="1857" spans="1:27" ht="12.75">
      <c r="A1857" s="25"/>
      <c r="B1857" s="25"/>
      <c r="C1857" s="25"/>
      <c r="D1857" s="25"/>
      <c r="E1857" s="25"/>
      <c r="F1857" s="25"/>
      <c r="G1857" s="25"/>
      <c r="H1857" s="25"/>
      <c r="I1857" s="27"/>
      <c r="J1857" s="25"/>
      <c r="K1857" s="25"/>
      <c r="L1857" s="25"/>
      <c r="M1857" s="25"/>
      <c r="N1857" s="25"/>
      <c r="O1857" s="25"/>
      <c r="P1857" s="25"/>
      <c r="Q1857" s="25"/>
      <c r="R1857" s="25"/>
      <c r="S1857" s="25"/>
      <c r="T1857" s="25"/>
      <c r="U1857" s="25"/>
      <c r="V1857" s="25"/>
      <c r="W1857" s="25"/>
      <c r="X1857" s="25"/>
      <c r="Y1857" s="25"/>
      <c r="Z1857" s="27"/>
      <c r="AA1857" s="28"/>
    </row>
    <row r="1858" spans="1:27" ht="12.75">
      <c r="A1858" s="25"/>
      <c r="B1858" s="25"/>
      <c r="C1858" s="25"/>
      <c r="D1858" s="25"/>
      <c r="E1858" s="25"/>
      <c r="F1858" s="25"/>
      <c r="G1858" s="25"/>
      <c r="H1858" s="25"/>
      <c r="I1858" s="27"/>
      <c r="J1858" s="25"/>
      <c r="K1858" s="25"/>
      <c r="L1858" s="25"/>
      <c r="M1858" s="25"/>
      <c r="N1858" s="25"/>
      <c r="O1858" s="25"/>
      <c r="P1858" s="25"/>
      <c r="Q1858" s="25"/>
      <c r="R1858" s="25"/>
      <c r="S1858" s="25"/>
      <c r="T1858" s="25"/>
      <c r="U1858" s="25"/>
      <c r="V1858" s="25"/>
      <c r="W1858" s="25"/>
      <c r="X1858" s="25"/>
      <c r="Y1858" s="25"/>
      <c r="Z1858" s="27"/>
      <c r="AA1858" s="28"/>
    </row>
    <row r="1859" spans="1:27" ht="12.75">
      <c r="A1859" s="25"/>
      <c r="B1859" s="25"/>
      <c r="C1859" s="25"/>
      <c r="D1859" s="25"/>
      <c r="E1859" s="25"/>
      <c r="F1859" s="25"/>
      <c r="G1859" s="25"/>
      <c r="H1859" s="25"/>
      <c r="I1859" s="27"/>
      <c r="J1859" s="25"/>
      <c r="K1859" s="25"/>
      <c r="L1859" s="25"/>
      <c r="M1859" s="25"/>
      <c r="N1859" s="25"/>
      <c r="O1859" s="25"/>
      <c r="P1859" s="25"/>
      <c r="Q1859" s="25"/>
      <c r="R1859" s="25"/>
      <c r="S1859" s="25"/>
      <c r="T1859" s="25"/>
      <c r="U1859" s="25"/>
      <c r="V1859" s="25"/>
      <c r="W1859" s="25"/>
      <c r="X1859" s="25"/>
      <c r="Y1859" s="25"/>
      <c r="Z1859" s="27"/>
      <c r="AA1859" s="28"/>
    </row>
    <row r="1860" spans="1:27" ht="12.75">
      <c r="A1860" s="25"/>
      <c r="B1860" s="25"/>
      <c r="C1860" s="25"/>
      <c r="D1860" s="25"/>
      <c r="E1860" s="25"/>
      <c r="F1860" s="25"/>
      <c r="G1860" s="25"/>
      <c r="H1860" s="25"/>
      <c r="I1860" s="27"/>
      <c r="J1860" s="25"/>
      <c r="K1860" s="25"/>
      <c r="L1860" s="25"/>
      <c r="M1860" s="25"/>
      <c r="N1860" s="25"/>
      <c r="O1860" s="25"/>
      <c r="P1860" s="25"/>
      <c r="Q1860" s="25"/>
      <c r="R1860" s="25"/>
      <c r="S1860" s="25"/>
      <c r="T1860" s="25"/>
      <c r="U1860" s="25"/>
      <c r="V1860" s="25"/>
      <c r="W1860" s="25"/>
      <c r="X1860" s="25"/>
      <c r="Y1860" s="25"/>
      <c r="Z1860" s="27"/>
      <c r="AA1860" s="28"/>
    </row>
    <row r="1861" spans="1:27" ht="12.75">
      <c r="A1861" s="25"/>
      <c r="B1861" s="25"/>
      <c r="C1861" s="25"/>
      <c r="D1861" s="25"/>
      <c r="E1861" s="25"/>
      <c r="F1861" s="25"/>
      <c r="G1861" s="25"/>
      <c r="H1861" s="25"/>
      <c r="I1861" s="27"/>
      <c r="J1861" s="25"/>
      <c r="K1861" s="25"/>
      <c r="L1861" s="25"/>
      <c r="M1861" s="25"/>
      <c r="N1861" s="25"/>
      <c r="O1861" s="25"/>
      <c r="P1861" s="25"/>
      <c r="Q1861" s="25"/>
      <c r="R1861" s="25"/>
      <c r="S1861" s="25"/>
      <c r="T1861" s="25"/>
      <c r="U1861" s="25"/>
      <c r="V1861" s="25"/>
      <c r="W1861" s="25"/>
      <c r="X1861" s="25"/>
      <c r="Y1861" s="25"/>
      <c r="Z1861" s="27"/>
      <c r="AA1861" s="28"/>
    </row>
    <row r="1862" spans="1:27" ht="12.75">
      <c r="A1862" s="25"/>
      <c r="B1862" s="25"/>
      <c r="C1862" s="25"/>
      <c r="D1862" s="25"/>
      <c r="E1862" s="25"/>
      <c r="F1862" s="25"/>
      <c r="G1862" s="25"/>
      <c r="H1862" s="25"/>
      <c r="I1862" s="27"/>
      <c r="J1862" s="25"/>
      <c r="K1862" s="25"/>
      <c r="L1862" s="25"/>
      <c r="M1862" s="25"/>
      <c r="N1862" s="25"/>
      <c r="O1862" s="25"/>
      <c r="P1862" s="25"/>
      <c r="Q1862" s="25"/>
      <c r="R1862" s="25"/>
      <c r="S1862" s="25"/>
      <c r="T1862" s="25"/>
      <c r="U1862" s="25"/>
      <c r="V1862" s="25"/>
      <c r="W1862" s="25"/>
      <c r="X1862" s="25"/>
      <c r="Y1862" s="25"/>
      <c r="Z1862" s="27"/>
      <c r="AA1862" s="28"/>
    </row>
    <row r="1863" spans="1:27" ht="12.75">
      <c r="A1863" s="25"/>
      <c r="B1863" s="25"/>
      <c r="C1863" s="25"/>
      <c r="D1863" s="25"/>
      <c r="E1863" s="25"/>
      <c r="F1863" s="25"/>
      <c r="G1863" s="25"/>
      <c r="H1863" s="25"/>
      <c r="I1863" s="27"/>
      <c r="J1863" s="25"/>
      <c r="K1863" s="25"/>
      <c r="L1863" s="25"/>
      <c r="M1863" s="25"/>
      <c r="N1863" s="25"/>
      <c r="O1863" s="25"/>
      <c r="P1863" s="25"/>
      <c r="Q1863" s="25"/>
      <c r="R1863" s="25"/>
      <c r="S1863" s="25"/>
      <c r="T1863" s="25"/>
      <c r="U1863" s="25"/>
      <c r="V1863" s="25"/>
      <c r="W1863" s="25"/>
      <c r="X1863" s="25"/>
      <c r="Y1863" s="25"/>
      <c r="Z1863" s="27"/>
      <c r="AA1863" s="28"/>
    </row>
    <row r="1864" spans="1:27" ht="12.75">
      <c r="A1864" s="25"/>
      <c r="B1864" s="25"/>
      <c r="C1864" s="25"/>
      <c r="D1864" s="25"/>
      <c r="E1864" s="25"/>
      <c r="F1864" s="25"/>
      <c r="G1864" s="25"/>
      <c r="H1864" s="25"/>
      <c r="I1864" s="27"/>
      <c r="J1864" s="25"/>
      <c r="K1864" s="25"/>
      <c r="L1864" s="25"/>
      <c r="M1864" s="25"/>
      <c r="N1864" s="25"/>
      <c r="O1864" s="25"/>
      <c r="P1864" s="25"/>
      <c r="Q1864" s="25"/>
      <c r="R1864" s="25"/>
      <c r="S1864" s="25"/>
      <c r="T1864" s="25"/>
      <c r="U1864" s="25"/>
      <c r="V1864" s="25"/>
      <c r="W1864" s="25"/>
      <c r="X1864" s="25"/>
      <c r="Y1864" s="25"/>
      <c r="Z1864" s="27"/>
      <c r="AA1864" s="28"/>
    </row>
    <row r="1865" spans="1:27" ht="12.75">
      <c r="A1865" s="25"/>
      <c r="B1865" s="25"/>
      <c r="C1865" s="25"/>
      <c r="D1865" s="25"/>
      <c r="E1865" s="25"/>
      <c r="F1865" s="25"/>
      <c r="G1865" s="25"/>
      <c r="H1865" s="25"/>
      <c r="I1865" s="27"/>
      <c r="J1865" s="25"/>
      <c r="K1865" s="25"/>
      <c r="L1865" s="25"/>
      <c r="M1865" s="25"/>
      <c r="N1865" s="25"/>
      <c r="O1865" s="25"/>
      <c r="P1865" s="25"/>
      <c r="Q1865" s="25"/>
      <c r="R1865" s="25"/>
      <c r="S1865" s="25"/>
      <c r="T1865" s="25"/>
      <c r="U1865" s="25"/>
      <c r="V1865" s="25"/>
      <c r="W1865" s="25"/>
      <c r="X1865" s="25"/>
      <c r="Y1865" s="25"/>
      <c r="Z1865" s="27"/>
      <c r="AA1865" s="28"/>
    </row>
    <row r="1866" spans="1:27" ht="12.75">
      <c r="A1866" s="25"/>
      <c r="B1866" s="25"/>
      <c r="C1866" s="25"/>
      <c r="D1866" s="25"/>
      <c r="E1866" s="25"/>
      <c r="F1866" s="25"/>
      <c r="G1866" s="25"/>
      <c r="H1866" s="25"/>
      <c r="I1866" s="27"/>
      <c r="J1866" s="25"/>
      <c r="K1866" s="25"/>
      <c r="L1866" s="25"/>
      <c r="M1866" s="25"/>
      <c r="N1866" s="25"/>
      <c r="O1866" s="25"/>
      <c r="P1866" s="25"/>
      <c r="Q1866" s="25"/>
      <c r="R1866" s="25"/>
      <c r="S1866" s="25"/>
      <c r="T1866" s="25"/>
      <c r="U1866" s="25"/>
      <c r="V1866" s="25"/>
      <c r="W1866" s="25"/>
      <c r="X1866" s="25"/>
      <c r="Y1866" s="25"/>
      <c r="Z1866" s="27"/>
      <c r="AA1866" s="28"/>
    </row>
    <row r="1867" spans="1:27" ht="12.75">
      <c r="A1867" s="25"/>
      <c r="B1867" s="25"/>
      <c r="C1867" s="25"/>
      <c r="D1867" s="25"/>
      <c r="E1867" s="25"/>
      <c r="F1867" s="25"/>
      <c r="G1867" s="25"/>
      <c r="H1867" s="25"/>
      <c r="I1867" s="27"/>
      <c r="J1867" s="25"/>
      <c r="K1867" s="25"/>
      <c r="L1867" s="25"/>
      <c r="M1867" s="25"/>
      <c r="N1867" s="25"/>
      <c r="O1867" s="25"/>
      <c r="P1867" s="25"/>
      <c r="Q1867" s="25"/>
      <c r="R1867" s="25"/>
      <c r="S1867" s="25"/>
      <c r="T1867" s="25"/>
      <c r="U1867" s="25"/>
      <c r="V1867" s="25"/>
      <c r="W1867" s="25"/>
      <c r="X1867" s="25"/>
      <c r="Y1867" s="25"/>
      <c r="Z1867" s="27"/>
      <c r="AA1867" s="28"/>
    </row>
    <row r="1868" spans="1:27" ht="12.75">
      <c r="A1868" s="25"/>
      <c r="B1868" s="25"/>
      <c r="C1868" s="25"/>
      <c r="D1868" s="25"/>
      <c r="E1868" s="25"/>
      <c r="F1868" s="25"/>
      <c r="G1868" s="25"/>
      <c r="H1868" s="25"/>
      <c r="I1868" s="27"/>
      <c r="J1868" s="25"/>
      <c r="K1868" s="25"/>
      <c r="L1868" s="25"/>
      <c r="M1868" s="25"/>
      <c r="N1868" s="25"/>
      <c r="O1868" s="25"/>
      <c r="P1868" s="25"/>
      <c r="Q1868" s="25"/>
      <c r="R1868" s="25"/>
      <c r="S1868" s="25"/>
      <c r="T1868" s="25"/>
      <c r="U1868" s="25"/>
      <c r="V1868" s="25"/>
      <c r="W1868" s="25"/>
      <c r="X1868" s="25"/>
      <c r="Y1868" s="25"/>
      <c r="Z1868" s="27"/>
      <c r="AA1868" s="28"/>
    </row>
    <row r="1869" spans="1:27" ht="12.75">
      <c r="A1869" s="25"/>
      <c r="B1869" s="25"/>
      <c r="C1869" s="25"/>
      <c r="D1869" s="25"/>
      <c r="E1869" s="25"/>
      <c r="F1869" s="25"/>
      <c r="G1869" s="25"/>
      <c r="H1869" s="25"/>
      <c r="I1869" s="27"/>
      <c r="J1869" s="25"/>
      <c r="K1869" s="25"/>
      <c r="L1869" s="25"/>
      <c r="M1869" s="25"/>
      <c r="N1869" s="25"/>
      <c r="O1869" s="25"/>
      <c r="P1869" s="25"/>
      <c r="Q1869" s="25"/>
      <c r="R1869" s="25"/>
      <c r="S1869" s="25"/>
      <c r="T1869" s="25"/>
      <c r="U1869" s="25"/>
      <c r="V1869" s="25"/>
      <c r="W1869" s="25"/>
      <c r="X1869" s="25"/>
      <c r="Y1869" s="25"/>
      <c r="Z1869" s="27"/>
      <c r="AA1869" s="28"/>
    </row>
    <row r="1870" spans="1:27" ht="12.75">
      <c r="A1870" s="25"/>
      <c r="B1870" s="25"/>
      <c r="C1870" s="25"/>
      <c r="D1870" s="25"/>
      <c r="E1870" s="25"/>
      <c r="F1870" s="25"/>
      <c r="G1870" s="25"/>
      <c r="H1870" s="25"/>
      <c r="I1870" s="27"/>
      <c r="J1870" s="25"/>
      <c r="K1870" s="25"/>
      <c r="L1870" s="25"/>
      <c r="M1870" s="25"/>
      <c r="N1870" s="25"/>
      <c r="O1870" s="25"/>
      <c r="P1870" s="25"/>
      <c r="Q1870" s="25"/>
      <c r="R1870" s="25"/>
      <c r="S1870" s="25"/>
      <c r="T1870" s="25"/>
      <c r="U1870" s="25"/>
      <c r="V1870" s="25"/>
      <c r="W1870" s="25"/>
      <c r="X1870" s="25"/>
      <c r="Y1870" s="25"/>
      <c r="Z1870" s="27"/>
      <c r="AA1870" s="28"/>
    </row>
    <row r="1871" spans="1:27" ht="12.75">
      <c r="A1871" s="25"/>
      <c r="B1871" s="25"/>
      <c r="C1871" s="25"/>
      <c r="D1871" s="25"/>
      <c r="E1871" s="25"/>
      <c r="F1871" s="25"/>
      <c r="G1871" s="25"/>
      <c r="H1871" s="25"/>
      <c r="I1871" s="27"/>
      <c r="J1871" s="25"/>
      <c r="K1871" s="25"/>
      <c r="L1871" s="25"/>
      <c r="M1871" s="25"/>
      <c r="N1871" s="25"/>
      <c r="O1871" s="25"/>
      <c r="P1871" s="25"/>
      <c r="Q1871" s="25"/>
      <c r="R1871" s="25"/>
      <c r="S1871" s="25"/>
      <c r="T1871" s="25"/>
      <c r="U1871" s="25"/>
      <c r="V1871" s="25"/>
      <c r="W1871" s="25"/>
      <c r="X1871" s="25"/>
      <c r="Y1871" s="25"/>
      <c r="Z1871" s="27"/>
      <c r="AA1871" s="28"/>
    </row>
    <row r="1872" spans="1:27" ht="12.75">
      <c r="A1872" s="25"/>
      <c r="B1872" s="25"/>
      <c r="C1872" s="25"/>
      <c r="D1872" s="25"/>
      <c r="E1872" s="25"/>
      <c r="F1872" s="25"/>
      <c r="G1872" s="25"/>
      <c r="H1872" s="25"/>
      <c r="I1872" s="27"/>
      <c r="J1872" s="25"/>
      <c r="K1872" s="25"/>
      <c r="L1872" s="25"/>
      <c r="M1872" s="25"/>
      <c r="N1872" s="25"/>
      <c r="O1872" s="25"/>
      <c r="P1872" s="25"/>
      <c r="Q1872" s="25"/>
      <c r="R1872" s="25"/>
      <c r="S1872" s="25"/>
      <c r="T1872" s="25"/>
      <c r="U1872" s="25"/>
      <c r="V1872" s="25"/>
      <c r="W1872" s="25"/>
      <c r="X1872" s="25"/>
      <c r="Y1872" s="25"/>
      <c r="Z1872" s="27"/>
      <c r="AA1872" s="28"/>
    </row>
    <row r="1873" spans="1:27" ht="12.75">
      <c r="A1873" s="25"/>
      <c r="B1873" s="25"/>
      <c r="C1873" s="25"/>
      <c r="D1873" s="25"/>
      <c r="E1873" s="25"/>
      <c r="F1873" s="25"/>
      <c r="G1873" s="25"/>
      <c r="H1873" s="25"/>
      <c r="I1873" s="27"/>
      <c r="J1873" s="25"/>
      <c r="K1873" s="25"/>
      <c r="L1873" s="25"/>
      <c r="M1873" s="25"/>
      <c r="N1873" s="25"/>
      <c r="O1873" s="25"/>
      <c r="P1873" s="25"/>
      <c r="Q1873" s="25"/>
      <c r="R1873" s="25"/>
      <c r="S1873" s="25"/>
      <c r="T1873" s="25"/>
      <c r="U1873" s="25"/>
      <c r="V1873" s="25"/>
      <c r="W1873" s="25"/>
      <c r="X1873" s="25"/>
      <c r="Y1873" s="25"/>
      <c r="Z1873" s="27"/>
      <c r="AA1873" s="28"/>
    </row>
    <row r="1874" spans="1:27" ht="12.75">
      <c r="A1874" s="25"/>
      <c r="B1874" s="25"/>
      <c r="C1874" s="25"/>
      <c r="D1874" s="25"/>
      <c r="E1874" s="25"/>
      <c r="F1874" s="25"/>
      <c r="G1874" s="25"/>
      <c r="H1874" s="25"/>
      <c r="I1874" s="27"/>
      <c r="J1874" s="25"/>
      <c r="K1874" s="25"/>
      <c r="L1874" s="25"/>
      <c r="M1874" s="25"/>
      <c r="N1874" s="25"/>
      <c r="O1874" s="25"/>
      <c r="P1874" s="25"/>
      <c r="Q1874" s="25"/>
      <c r="R1874" s="25"/>
      <c r="S1874" s="25"/>
      <c r="T1874" s="25"/>
      <c r="U1874" s="25"/>
      <c r="V1874" s="25"/>
      <c r="W1874" s="25"/>
      <c r="X1874" s="25"/>
      <c r="Y1874" s="25"/>
      <c r="Z1874" s="27"/>
      <c r="AA1874" s="28"/>
    </row>
    <row r="1875" spans="1:27" ht="12.75">
      <c r="A1875" s="25"/>
      <c r="B1875" s="25"/>
      <c r="C1875" s="25"/>
      <c r="D1875" s="25"/>
      <c r="E1875" s="25"/>
      <c r="F1875" s="25"/>
      <c r="G1875" s="25"/>
      <c r="H1875" s="25"/>
      <c r="I1875" s="27"/>
      <c r="J1875" s="25"/>
      <c r="K1875" s="25"/>
      <c r="L1875" s="25"/>
      <c r="M1875" s="25"/>
      <c r="N1875" s="25"/>
      <c r="O1875" s="25"/>
      <c r="P1875" s="25"/>
      <c r="Q1875" s="25"/>
      <c r="R1875" s="25"/>
      <c r="S1875" s="25"/>
      <c r="T1875" s="25"/>
      <c r="U1875" s="25"/>
      <c r="V1875" s="25"/>
      <c r="W1875" s="25"/>
      <c r="X1875" s="25"/>
      <c r="Y1875" s="25"/>
      <c r="Z1875" s="27"/>
      <c r="AA1875" s="28"/>
    </row>
    <row r="1876" spans="1:27" ht="12.75">
      <c r="A1876" s="25"/>
      <c r="B1876" s="25"/>
      <c r="C1876" s="25"/>
      <c r="D1876" s="25"/>
      <c r="E1876" s="25"/>
      <c r="F1876" s="25"/>
      <c r="G1876" s="25"/>
      <c r="H1876" s="25"/>
      <c r="I1876" s="27"/>
      <c r="J1876" s="25"/>
      <c r="K1876" s="25"/>
      <c r="L1876" s="25"/>
      <c r="M1876" s="25"/>
      <c r="N1876" s="25"/>
      <c r="O1876" s="25"/>
      <c r="P1876" s="25"/>
      <c r="Q1876" s="25"/>
      <c r="R1876" s="25"/>
      <c r="S1876" s="25"/>
      <c r="T1876" s="25"/>
      <c r="U1876" s="25"/>
      <c r="V1876" s="25"/>
      <c r="W1876" s="25"/>
      <c r="X1876" s="25"/>
      <c r="Y1876" s="25"/>
      <c r="Z1876" s="27"/>
      <c r="AA1876" s="28"/>
    </row>
    <row r="1877" spans="1:27" ht="12.75">
      <c r="A1877" s="25"/>
      <c r="B1877" s="25"/>
      <c r="C1877" s="25"/>
      <c r="D1877" s="25"/>
      <c r="E1877" s="25"/>
      <c r="F1877" s="25"/>
      <c r="G1877" s="25"/>
      <c r="H1877" s="25"/>
      <c r="I1877" s="27"/>
      <c r="J1877" s="25"/>
      <c r="K1877" s="25"/>
      <c r="L1877" s="25"/>
      <c r="M1877" s="25"/>
      <c r="N1877" s="25"/>
      <c r="O1877" s="25"/>
      <c r="P1877" s="25"/>
      <c r="Q1877" s="25"/>
      <c r="R1877" s="25"/>
      <c r="S1877" s="25"/>
      <c r="T1877" s="25"/>
      <c r="U1877" s="25"/>
      <c r="V1877" s="25"/>
      <c r="W1877" s="25"/>
      <c r="X1877" s="25"/>
      <c r="Y1877" s="25"/>
      <c r="Z1877" s="27"/>
      <c r="AA1877" s="28"/>
    </row>
    <row r="1878" spans="1:27" ht="12.75">
      <c r="A1878" s="25"/>
      <c r="B1878" s="25"/>
      <c r="C1878" s="25"/>
      <c r="D1878" s="25"/>
      <c r="E1878" s="25"/>
      <c r="F1878" s="25"/>
      <c r="G1878" s="25"/>
      <c r="H1878" s="25"/>
      <c r="I1878" s="27"/>
      <c r="J1878" s="25"/>
      <c r="K1878" s="25"/>
      <c r="L1878" s="25"/>
      <c r="M1878" s="25"/>
      <c r="N1878" s="25"/>
      <c r="O1878" s="25"/>
      <c r="P1878" s="25"/>
      <c r="Q1878" s="25"/>
      <c r="R1878" s="25"/>
      <c r="S1878" s="25"/>
      <c r="T1878" s="25"/>
      <c r="U1878" s="25"/>
      <c r="V1878" s="25"/>
      <c r="W1878" s="25"/>
      <c r="X1878" s="25"/>
      <c r="Y1878" s="25"/>
      <c r="Z1878" s="27"/>
      <c r="AA1878" s="28"/>
    </row>
    <row r="1879" spans="1:27" ht="12.75">
      <c r="A1879" s="25"/>
      <c r="B1879" s="25"/>
      <c r="C1879" s="25"/>
      <c r="D1879" s="25"/>
      <c r="E1879" s="25"/>
      <c r="F1879" s="25"/>
      <c r="G1879" s="25"/>
      <c r="H1879" s="25"/>
      <c r="I1879" s="27"/>
      <c r="J1879" s="25"/>
      <c r="K1879" s="25"/>
      <c r="L1879" s="25"/>
      <c r="M1879" s="25"/>
      <c r="N1879" s="25"/>
      <c r="O1879" s="25"/>
      <c r="P1879" s="25"/>
      <c r="Q1879" s="25"/>
      <c r="R1879" s="25"/>
      <c r="S1879" s="25"/>
      <c r="T1879" s="25"/>
      <c r="U1879" s="25"/>
      <c r="V1879" s="25"/>
      <c r="W1879" s="25"/>
      <c r="X1879" s="25"/>
      <c r="Y1879" s="25"/>
      <c r="Z1879" s="27"/>
      <c r="AA1879" s="28"/>
    </row>
    <row r="1880" spans="1:27" ht="12.75">
      <c r="A1880" s="25"/>
      <c r="B1880" s="25"/>
      <c r="C1880" s="25"/>
      <c r="D1880" s="25"/>
      <c r="E1880" s="25"/>
      <c r="F1880" s="25"/>
      <c r="G1880" s="25"/>
      <c r="H1880" s="25"/>
      <c r="I1880" s="27"/>
      <c r="J1880" s="25"/>
      <c r="K1880" s="25"/>
      <c r="L1880" s="25"/>
      <c r="M1880" s="25"/>
      <c r="N1880" s="25"/>
      <c r="O1880" s="25"/>
      <c r="P1880" s="25"/>
      <c r="Q1880" s="25"/>
      <c r="R1880" s="25"/>
      <c r="S1880" s="25"/>
      <c r="T1880" s="25"/>
      <c r="U1880" s="25"/>
      <c r="V1880" s="25"/>
      <c r="W1880" s="25"/>
      <c r="X1880" s="25"/>
      <c r="Y1880" s="25"/>
      <c r="Z1880" s="27"/>
      <c r="AA1880" s="28"/>
    </row>
    <row r="1881" spans="1:27" ht="12.75">
      <c r="A1881" s="25"/>
      <c r="B1881" s="25"/>
      <c r="C1881" s="25"/>
      <c r="D1881" s="25"/>
      <c r="E1881" s="25"/>
      <c r="F1881" s="25"/>
      <c r="G1881" s="25"/>
      <c r="H1881" s="25"/>
      <c r="I1881" s="27"/>
      <c r="J1881" s="25"/>
      <c r="K1881" s="25"/>
      <c r="L1881" s="25"/>
      <c r="M1881" s="25"/>
      <c r="N1881" s="25"/>
      <c r="O1881" s="25"/>
      <c r="P1881" s="25"/>
      <c r="Q1881" s="25"/>
      <c r="R1881" s="25"/>
      <c r="S1881" s="25"/>
      <c r="T1881" s="25"/>
      <c r="U1881" s="25"/>
      <c r="V1881" s="25"/>
      <c r="W1881" s="25"/>
      <c r="X1881" s="25"/>
      <c r="Y1881" s="25"/>
      <c r="Z1881" s="27"/>
      <c r="AA1881" s="28"/>
    </row>
    <row r="1882" spans="1:27" ht="12.75">
      <c r="A1882" s="25"/>
      <c r="B1882" s="25"/>
      <c r="C1882" s="25"/>
      <c r="D1882" s="25"/>
      <c r="E1882" s="25"/>
      <c r="F1882" s="25"/>
      <c r="G1882" s="25"/>
      <c r="H1882" s="25"/>
      <c r="I1882" s="27"/>
      <c r="J1882" s="25"/>
      <c r="K1882" s="25"/>
      <c r="L1882" s="25"/>
      <c r="M1882" s="25"/>
      <c r="N1882" s="25"/>
      <c r="O1882" s="25"/>
      <c r="P1882" s="25"/>
      <c r="Q1882" s="25"/>
      <c r="R1882" s="25"/>
      <c r="S1882" s="25"/>
      <c r="T1882" s="25"/>
      <c r="U1882" s="25"/>
      <c r="V1882" s="25"/>
      <c r="W1882" s="25"/>
      <c r="X1882" s="25"/>
      <c r="Y1882" s="25"/>
      <c r="Z1882" s="27"/>
      <c r="AA1882" s="28"/>
    </row>
    <row r="1883" spans="1:27" ht="12.75">
      <c r="A1883" s="25"/>
      <c r="B1883" s="25"/>
      <c r="C1883" s="25"/>
      <c r="D1883" s="25"/>
      <c r="E1883" s="25"/>
      <c r="F1883" s="25"/>
      <c r="G1883" s="25"/>
      <c r="H1883" s="25"/>
      <c r="I1883" s="27"/>
      <c r="J1883" s="25"/>
      <c r="K1883" s="25"/>
      <c r="L1883" s="25"/>
      <c r="M1883" s="25"/>
      <c r="N1883" s="25"/>
      <c r="O1883" s="25"/>
      <c r="P1883" s="25"/>
      <c r="Q1883" s="25"/>
      <c r="R1883" s="25"/>
      <c r="S1883" s="25"/>
      <c r="T1883" s="25"/>
      <c r="U1883" s="25"/>
      <c r="V1883" s="25"/>
      <c r="W1883" s="25"/>
      <c r="X1883" s="25"/>
      <c r="Y1883" s="25"/>
      <c r="Z1883" s="27"/>
      <c r="AA1883" s="28"/>
    </row>
    <row r="1884" spans="1:27" ht="12.75">
      <c r="A1884" s="25"/>
      <c r="B1884" s="25"/>
      <c r="C1884" s="25"/>
      <c r="D1884" s="25"/>
      <c r="E1884" s="25"/>
      <c r="F1884" s="25"/>
      <c r="G1884" s="25"/>
      <c r="H1884" s="25"/>
      <c r="I1884" s="27"/>
      <c r="J1884" s="25"/>
      <c r="K1884" s="25"/>
      <c r="L1884" s="25"/>
      <c r="M1884" s="25"/>
      <c r="N1884" s="25"/>
      <c r="O1884" s="25"/>
      <c r="P1884" s="25"/>
      <c r="Q1884" s="25"/>
      <c r="R1884" s="25"/>
      <c r="S1884" s="25"/>
      <c r="T1884" s="25"/>
      <c r="U1884" s="25"/>
      <c r="V1884" s="25"/>
      <c r="W1884" s="25"/>
      <c r="X1884" s="25"/>
      <c r="Y1884" s="25"/>
      <c r="Z1884" s="27"/>
      <c r="AA1884" s="28"/>
    </row>
    <row r="1885" spans="1:27" ht="12.75">
      <c r="A1885" s="25"/>
      <c r="B1885" s="25"/>
      <c r="C1885" s="25"/>
      <c r="D1885" s="25"/>
      <c r="E1885" s="25"/>
      <c r="F1885" s="25"/>
      <c r="G1885" s="25"/>
      <c r="H1885" s="25"/>
      <c r="I1885" s="27"/>
      <c r="J1885" s="25"/>
      <c r="K1885" s="25"/>
      <c r="L1885" s="25"/>
      <c r="M1885" s="25"/>
      <c r="N1885" s="25"/>
      <c r="O1885" s="25"/>
      <c r="P1885" s="25"/>
      <c r="Q1885" s="25"/>
      <c r="R1885" s="25"/>
      <c r="S1885" s="25"/>
      <c r="T1885" s="25"/>
      <c r="U1885" s="25"/>
      <c r="V1885" s="25"/>
      <c r="W1885" s="25"/>
      <c r="X1885" s="25"/>
      <c r="Y1885" s="25"/>
      <c r="Z1885" s="27"/>
      <c r="AA1885" s="28"/>
    </row>
    <row r="1886" spans="1:27" ht="12.75">
      <c r="A1886" s="25"/>
      <c r="B1886" s="25"/>
      <c r="C1886" s="25"/>
      <c r="D1886" s="25"/>
      <c r="E1886" s="25"/>
      <c r="F1886" s="25"/>
      <c r="G1886" s="25"/>
      <c r="H1886" s="25"/>
      <c r="I1886" s="27"/>
      <c r="J1886" s="25"/>
      <c r="K1886" s="25"/>
      <c r="L1886" s="25"/>
      <c r="M1886" s="25"/>
      <c r="N1886" s="25"/>
      <c r="O1886" s="25"/>
      <c r="P1886" s="25"/>
      <c r="Q1886" s="25"/>
      <c r="R1886" s="25"/>
      <c r="S1886" s="25"/>
      <c r="T1886" s="25"/>
      <c r="U1886" s="25"/>
      <c r="V1886" s="25"/>
      <c r="W1886" s="25"/>
      <c r="X1886" s="25"/>
      <c r="Y1886" s="25"/>
      <c r="Z1886" s="27"/>
      <c r="AA1886" s="28"/>
    </row>
    <row r="1887" spans="1:27" ht="12.75">
      <c r="A1887" s="25"/>
      <c r="B1887" s="25"/>
      <c r="C1887" s="25"/>
      <c r="D1887" s="25"/>
      <c r="E1887" s="25"/>
      <c r="F1887" s="25"/>
      <c r="G1887" s="25"/>
      <c r="H1887" s="25"/>
      <c r="I1887" s="27"/>
      <c r="J1887" s="25"/>
      <c r="K1887" s="25"/>
      <c r="L1887" s="25"/>
      <c r="M1887" s="25"/>
      <c r="N1887" s="25"/>
      <c r="O1887" s="25"/>
      <c r="P1887" s="25"/>
      <c r="Q1887" s="25"/>
      <c r="R1887" s="25"/>
      <c r="S1887" s="25"/>
      <c r="T1887" s="25"/>
      <c r="U1887" s="25"/>
      <c r="V1887" s="25"/>
      <c r="W1887" s="25"/>
      <c r="X1887" s="25"/>
      <c r="Y1887" s="25"/>
      <c r="Z1887" s="27"/>
      <c r="AA1887" s="28"/>
    </row>
    <row r="1888" spans="1:27" ht="12.75">
      <c r="A1888" s="25"/>
      <c r="B1888" s="25"/>
      <c r="C1888" s="25"/>
      <c r="D1888" s="25"/>
      <c r="E1888" s="25"/>
      <c r="F1888" s="25"/>
      <c r="G1888" s="25"/>
      <c r="H1888" s="25"/>
      <c r="I1888" s="27"/>
      <c r="J1888" s="25"/>
      <c r="K1888" s="25"/>
      <c r="L1888" s="25"/>
      <c r="M1888" s="25"/>
      <c r="N1888" s="25"/>
      <c r="O1888" s="25"/>
      <c r="P1888" s="25"/>
      <c r="Q1888" s="25"/>
      <c r="R1888" s="25"/>
      <c r="S1888" s="25"/>
      <c r="T1888" s="25"/>
      <c r="U1888" s="25"/>
      <c r="V1888" s="25"/>
      <c r="W1888" s="25"/>
      <c r="X1888" s="25"/>
      <c r="Y1888" s="25"/>
      <c r="Z1888" s="27"/>
      <c r="AA1888" s="28"/>
    </row>
    <row r="1889" spans="1:27" ht="12.75">
      <c r="A1889" s="25"/>
      <c r="B1889" s="25"/>
      <c r="C1889" s="25"/>
      <c r="D1889" s="25"/>
      <c r="E1889" s="25"/>
      <c r="F1889" s="25"/>
      <c r="G1889" s="25"/>
      <c r="H1889" s="25"/>
      <c r="I1889" s="27"/>
      <c r="J1889" s="25"/>
      <c r="K1889" s="25"/>
      <c r="L1889" s="25"/>
      <c r="M1889" s="25"/>
      <c r="N1889" s="25"/>
      <c r="O1889" s="25"/>
      <c r="P1889" s="25"/>
      <c r="Q1889" s="25"/>
      <c r="R1889" s="25"/>
      <c r="S1889" s="25"/>
      <c r="T1889" s="25"/>
      <c r="U1889" s="25"/>
      <c r="V1889" s="25"/>
      <c r="W1889" s="25"/>
      <c r="X1889" s="25"/>
      <c r="Y1889" s="25"/>
      <c r="Z1889" s="27"/>
      <c r="AA1889" s="28"/>
    </row>
    <row r="1890" spans="1:27" ht="12.75">
      <c r="A1890" s="25"/>
      <c r="B1890" s="25"/>
      <c r="C1890" s="25"/>
      <c r="D1890" s="25"/>
      <c r="E1890" s="25"/>
      <c r="F1890" s="25"/>
      <c r="G1890" s="25"/>
      <c r="H1890" s="25"/>
      <c r="I1890" s="27"/>
      <c r="J1890" s="25"/>
      <c r="K1890" s="25"/>
      <c r="L1890" s="25"/>
      <c r="M1890" s="25"/>
      <c r="N1890" s="25"/>
      <c r="O1890" s="25"/>
      <c r="P1890" s="25"/>
      <c r="Q1890" s="25"/>
      <c r="R1890" s="25"/>
      <c r="S1890" s="25"/>
      <c r="T1890" s="25"/>
      <c r="U1890" s="25"/>
      <c r="V1890" s="25"/>
      <c r="W1890" s="25"/>
      <c r="X1890" s="25"/>
      <c r="Y1890" s="25"/>
      <c r="Z1890" s="27"/>
      <c r="AA1890" s="28"/>
    </row>
    <row r="1891" spans="1:27" ht="12.75">
      <c r="A1891" s="25"/>
      <c r="B1891" s="25"/>
      <c r="C1891" s="25"/>
      <c r="D1891" s="25"/>
      <c r="E1891" s="25"/>
      <c r="F1891" s="25"/>
      <c r="G1891" s="25"/>
      <c r="H1891" s="25"/>
      <c r="I1891" s="27"/>
      <c r="J1891" s="25"/>
      <c r="K1891" s="25"/>
      <c r="L1891" s="25"/>
      <c r="M1891" s="25"/>
      <c r="N1891" s="25"/>
      <c r="O1891" s="25"/>
      <c r="P1891" s="25"/>
      <c r="Q1891" s="25"/>
      <c r="R1891" s="25"/>
      <c r="S1891" s="25"/>
      <c r="T1891" s="25"/>
      <c r="U1891" s="25"/>
      <c r="V1891" s="25"/>
      <c r="W1891" s="25"/>
      <c r="X1891" s="25"/>
      <c r="Y1891" s="25"/>
      <c r="Z1891" s="27"/>
      <c r="AA1891" s="28"/>
    </row>
    <row r="1892" spans="1:27" ht="12.75">
      <c r="A1892" s="25"/>
      <c r="B1892" s="25"/>
      <c r="C1892" s="25"/>
      <c r="D1892" s="25"/>
      <c r="E1892" s="25"/>
      <c r="F1892" s="25"/>
      <c r="G1892" s="25"/>
      <c r="H1892" s="25"/>
      <c r="I1892" s="27"/>
      <c r="J1892" s="25"/>
      <c r="K1892" s="25"/>
      <c r="L1892" s="25"/>
      <c r="M1892" s="25"/>
      <c r="N1892" s="25"/>
      <c r="O1892" s="25"/>
      <c r="P1892" s="25"/>
      <c r="Q1892" s="25"/>
      <c r="R1892" s="25"/>
      <c r="S1892" s="25"/>
      <c r="T1892" s="25"/>
      <c r="U1892" s="25"/>
      <c r="V1892" s="25"/>
      <c r="W1892" s="25"/>
      <c r="X1892" s="25"/>
      <c r="Y1892" s="25"/>
      <c r="Z1892" s="27"/>
      <c r="AA1892" s="28"/>
    </row>
    <row r="1893" spans="1:27" ht="12.75">
      <c r="A1893" s="25"/>
      <c r="B1893" s="25"/>
      <c r="C1893" s="25"/>
      <c r="D1893" s="25"/>
      <c r="E1893" s="25"/>
      <c r="F1893" s="25"/>
      <c r="G1893" s="25"/>
      <c r="H1893" s="25"/>
      <c r="I1893" s="27"/>
      <c r="J1893" s="25"/>
      <c r="K1893" s="25"/>
      <c r="L1893" s="25"/>
      <c r="M1893" s="25"/>
      <c r="N1893" s="25"/>
      <c r="O1893" s="25"/>
      <c r="P1893" s="25"/>
      <c r="Q1893" s="25"/>
      <c r="R1893" s="25"/>
      <c r="S1893" s="25"/>
      <c r="T1893" s="25"/>
      <c r="U1893" s="25"/>
      <c r="V1893" s="25"/>
      <c r="W1893" s="25"/>
      <c r="X1893" s="25"/>
      <c r="Y1893" s="25"/>
      <c r="Z1893" s="27"/>
      <c r="AA1893" s="28"/>
    </row>
    <row r="1894" spans="1:27" ht="12.75">
      <c r="A1894" s="25"/>
      <c r="B1894" s="25"/>
      <c r="C1894" s="25"/>
      <c r="D1894" s="25"/>
      <c r="E1894" s="25"/>
      <c r="F1894" s="25"/>
      <c r="G1894" s="25"/>
      <c r="H1894" s="25"/>
      <c r="I1894" s="27"/>
      <c r="J1894" s="25"/>
      <c r="K1894" s="25"/>
      <c r="L1894" s="25"/>
      <c r="M1894" s="25"/>
      <c r="N1894" s="25"/>
      <c r="O1894" s="25"/>
      <c r="P1894" s="25"/>
      <c r="Q1894" s="25"/>
      <c r="R1894" s="25"/>
      <c r="S1894" s="25"/>
      <c r="T1894" s="25"/>
      <c r="U1894" s="25"/>
      <c r="V1894" s="25"/>
      <c r="W1894" s="25"/>
      <c r="X1894" s="25"/>
      <c r="Y1894" s="25"/>
      <c r="Z1894" s="27"/>
      <c r="AA1894" s="28"/>
    </row>
    <row r="1895" spans="1:27" ht="12.75">
      <c r="A1895" s="17"/>
      <c r="B1895" s="17"/>
      <c r="C1895" s="17"/>
      <c r="D1895" s="17"/>
      <c r="E1895" s="17"/>
      <c r="F1895" s="17"/>
      <c r="G1895" s="17"/>
      <c r="H1895" s="17"/>
      <c r="I1895" s="31"/>
      <c r="J1895" s="17"/>
      <c r="K1895" s="17"/>
      <c r="L1895" s="17"/>
      <c r="M1895" s="17"/>
      <c r="N1895" s="17"/>
      <c r="O1895" s="17"/>
      <c r="P1895" s="17"/>
      <c r="Q1895" s="17"/>
      <c r="R1895" s="17"/>
      <c r="S1895" s="17"/>
      <c r="T1895" s="17"/>
      <c r="U1895" s="17"/>
      <c r="V1895" s="17"/>
      <c r="W1895" s="17"/>
      <c r="X1895" s="17"/>
      <c r="Y1895" s="17"/>
      <c r="Z1895" s="31"/>
      <c r="AA1895" s="32"/>
    </row>
    <row r="1896" spans="1:27" ht="12.75">
      <c r="A1896" s="17"/>
      <c r="B1896" s="17"/>
      <c r="C1896" s="17"/>
      <c r="D1896" s="17"/>
      <c r="E1896" s="17"/>
      <c r="F1896" s="17"/>
      <c r="G1896" s="17"/>
      <c r="H1896" s="17"/>
      <c r="I1896" s="31"/>
      <c r="J1896" s="17"/>
      <c r="K1896" s="17"/>
      <c r="L1896" s="17"/>
      <c r="M1896" s="17"/>
      <c r="N1896" s="17"/>
      <c r="O1896" s="17"/>
      <c r="P1896" s="17"/>
      <c r="Q1896" s="17"/>
      <c r="R1896" s="17"/>
      <c r="S1896" s="17"/>
      <c r="T1896" s="17"/>
      <c r="U1896" s="17"/>
      <c r="V1896" s="17"/>
      <c r="W1896" s="17"/>
      <c r="X1896" s="17"/>
      <c r="Y1896" s="17"/>
      <c r="Z1896" s="31"/>
      <c r="AA1896" s="32"/>
    </row>
    <row r="1897" spans="1:27" ht="12.75">
      <c r="A1897" s="17"/>
      <c r="B1897" s="17"/>
      <c r="C1897" s="17"/>
      <c r="D1897" s="17"/>
      <c r="E1897" s="17"/>
      <c r="F1897" s="17"/>
      <c r="G1897" s="17"/>
      <c r="H1897" s="17"/>
      <c r="I1897" s="31"/>
      <c r="J1897" s="17"/>
      <c r="K1897" s="17"/>
      <c r="L1897" s="17"/>
      <c r="M1897" s="17"/>
      <c r="N1897" s="17"/>
      <c r="O1897" s="17"/>
      <c r="P1897" s="17"/>
      <c r="Q1897" s="17"/>
      <c r="R1897" s="17"/>
      <c r="S1897" s="17"/>
      <c r="T1897" s="17"/>
      <c r="U1897" s="17"/>
      <c r="V1897" s="17"/>
      <c r="W1897" s="17"/>
      <c r="X1897" s="17"/>
      <c r="Y1897" s="17"/>
      <c r="Z1897" s="31"/>
      <c r="AA1897" s="32"/>
    </row>
    <row r="1898" spans="1:27" ht="12.75">
      <c r="A1898" s="17"/>
      <c r="B1898" s="17"/>
      <c r="C1898" s="17"/>
      <c r="D1898" s="17"/>
      <c r="E1898" s="17"/>
      <c r="F1898" s="17"/>
      <c r="G1898" s="17"/>
      <c r="H1898" s="17"/>
      <c r="I1898" s="31"/>
      <c r="J1898" s="17"/>
      <c r="K1898" s="17"/>
      <c r="L1898" s="17"/>
      <c r="M1898" s="17"/>
      <c r="N1898" s="17"/>
      <c r="O1898" s="17"/>
      <c r="P1898" s="17"/>
      <c r="Q1898" s="17"/>
      <c r="R1898" s="17"/>
      <c r="S1898" s="17"/>
      <c r="T1898" s="17"/>
      <c r="U1898" s="17"/>
      <c r="V1898" s="17"/>
      <c r="W1898" s="17"/>
      <c r="X1898" s="17"/>
      <c r="Y1898" s="17"/>
      <c r="Z1898" s="31"/>
      <c r="AA1898" s="32"/>
    </row>
    <row r="1899" spans="1:27" ht="12.75">
      <c r="A1899" s="17"/>
      <c r="B1899" s="17"/>
      <c r="C1899" s="17"/>
      <c r="D1899" s="17"/>
      <c r="E1899" s="17"/>
      <c r="F1899" s="17"/>
      <c r="G1899" s="17"/>
      <c r="H1899" s="17"/>
      <c r="I1899" s="31"/>
      <c r="J1899" s="17"/>
      <c r="K1899" s="17"/>
      <c r="L1899" s="17"/>
      <c r="M1899" s="17"/>
      <c r="N1899" s="17"/>
      <c r="O1899" s="17"/>
      <c r="P1899" s="17"/>
      <c r="Q1899" s="17"/>
      <c r="R1899" s="17"/>
      <c r="S1899" s="17"/>
      <c r="T1899" s="17"/>
      <c r="U1899" s="17"/>
      <c r="V1899" s="17"/>
      <c r="W1899" s="17"/>
      <c r="X1899" s="17"/>
      <c r="Y1899" s="17"/>
      <c r="Z1899" s="31"/>
      <c r="AA1899" s="32"/>
    </row>
    <row r="1900" spans="1:27" ht="12.75">
      <c r="A1900" s="17"/>
      <c r="B1900" s="17"/>
      <c r="C1900" s="17"/>
      <c r="D1900" s="17"/>
      <c r="E1900" s="17"/>
      <c r="F1900" s="17"/>
      <c r="G1900" s="17"/>
      <c r="H1900" s="17"/>
      <c r="I1900" s="31"/>
      <c r="J1900" s="17"/>
      <c r="K1900" s="17"/>
      <c r="L1900" s="17"/>
      <c r="M1900" s="17"/>
      <c r="N1900" s="17"/>
      <c r="O1900" s="17"/>
      <c r="P1900" s="17"/>
      <c r="Q1900" s="17"/>
      <c r="R1900" s="17"/>
      <c r="S1900" s="17"/>
      <c r="T1900" s="17"/>
      <c r="U1900" s="17"/>
      <c r="V1900" s="17"/>
      <c r="W1900" s="17"/>
      <c r="X1900" s="17"/>
      <c r="Y1900" s="17"/>
      <c r="Z1900" s="31"/>
      <c r="AA1900" s="32"/>
    </row>
    <row r="1901" spans="1:27" ht="12.75">
      <c r="A1901" s="17"/>
      <c r="B1901" s="17"/>
      <c r="C1901" s="17"/>
      <c r="D1901" s="17"/>
      <c r="E1901" s="17"/>
      <c r="F1901" s="17"/>
      <c r="G1901" s="17"/>
      <c r="H1901" s="17"/>
      <c r="I1901" s="31"/>
      <c r="J1901" s="17"/>
      <c r="K1901" s="17"/>
      <c r="L1901" s="17"/>
      <c r="M1901" s="17"/>
      <c r="N1901" s="17"/>
      <c r="O1901" s="17"/>
      <c r="P1901" s="17"/>
      <c r="Q1901" s="17"/>
      <c r="R1901" s="17"/>
      <c r="S1901" s="17"/>
      <c r="T1901" s="17"/>
      <c r="U1901" s="17"/>
      <c r="V1901" s="17"/>
      <c r="W1901" s="17"/>
      <c r="X1901" s="17"/>
      <c r="Y1901" s="17"/>
      <c r="Z1901" s="31"/>
      <c r="AA1901" s="32"/>
    </row>
    <row r="1902" spans="1:27" ht="12.75">
      <c r="A1902" s="17"/>
      <c r="B1902" s="17"/>
      <c r="C1902" s="17"/>
      <c r="D1902" s="17"/>
      <c r="E1902" s="17"/>
      <c r="F1902" s="17"/>
      <c r="G1902" s="17"/>
      <c r="H1902" s="17"/>
      <c r="I1902" s="31"/>
      <c r="J1902" s="17"/>
      <c r="K1902" s="17"/>
      <c r="L1902" s="17"/>
      <c r="M1902" s="17"/>
      <c r="N1902" s="17"/>
      <c r="O1902" s="17"/>
      <c r="P1902" s="17"/>
      <c r="Q1902" s="17"/>
      <c r="R1902" s="17"/>
      <c r="S1902" s="17"/>
      <c r="T1902" s="17"/>
      <c r="U1902" s="17"/>
      <c r="V1902" s="17"/>
      <c r="W1902" s="17"/>
      <c r="X1902" s="17"/>
      <c r="Y1902" s="17"/>
      <c r="Z1902" s="31"/>
      <c r="AA1902" s="32"/>
    </row>
    <row r="1903" spans="1:27" ht="12.75">
      <c r="A1903" s="17"/>
      <c r="B1903" s="17"/>
      <c r="C1903" s="17"/>
      <c r="D1903" s="17"/>
      <c r="E1903" s="17"/>
      <c r="F1903" s="17"/>
      <c r="G1903" s="17"/>
      <c r="H1903" s="17"/>
      <c r="I1903" s="31"/>
      <c r="J1903" s="17"/>
      <c r="K1903" s="17"/>
      <c r="L1903" s="17"/>
      <c r="M1903" s="17"/>
      <c r="N1903" s="17"/>
      <c r="O1903" s="17"/>
      <c r="P1903" s="17"/>
      <c r="Q1903" s="17"/>
      <c r="R1903" s="17"/>
      <c r="S1903" s="17"/>
      <c r="T1903" s="17"/>
      <c r="U1903" s="17"/>
      <c r="V1903" s="17"/>
      <c r="W1903" s="17"/>
      <c r="X1903" s="17"/>
      <c r="Y1903" s="17"/>
      <c r="Z1903" s="31"/>
      <c r="AA1903" s="32"/>
    </row>
    <row r="1904" spans="1:27" ht="12.75">
      <c r="A1904" s="17"/>
      <c r="B1904" s="17"/>
      <c r="C1904" s="17"/>
      <c r="D1904" s="17"/>
      <c r="E1904" s="17"/>
      <c r="F1904" s="17"/>
      <c r="G1904" s="17"/>
      <c r="H1904" s="17"/>
      <c r="I1904" s="31"/>
      <c r="J1904" s="17"/>
      <c r="K1904" s="17"/>
      <c r="L1904" s="17"/>
      <c r="M1904" s="17"/>
      <c r="N1904" s="17"/>
      <c r="O1904" s="17"/>
      <c r="P1904" s="17"/>
      <c r="Q1904" s="17"/>
      <c r="R1904" s="17"/>
      <c r="S1904" s="17"/>
      <c r="T1904" s="17"/>
      <c r="U1904" s="17"/>
      <c r="V1904" s="17"/>
      <c r="W1904" s="17"/>
      <c r="X1904" s="17"/>
      <c r="Y1904" s="17"/>
      <c r="Z1904" s="31"/>
      <c r="AA1904" s="32"/>
    </row>
    <row r="1905" spans="1:27" ht="12.75">
      <c r="A1905" s="17"/>
      <c r="B1905" s="17"/>
      <c r="C1905" s="17"/>
      <c r="D1905" s="17"/>
      <c r="E1905" s="17"/>
      <c r="F1905" s="17"/>
      <c r="G1905" s="17"/>
      <c r="H1905" s="17"/>
      <c r="I1905" s="31"/>
      <c r="J1905" s="17"/>
      <c r="K1905" s="17"/>
      <c r="L1905" s="17"/>
      <c r="M1905" s="17"/>
      <c r="N1905" s="17"/>
      <c r="O1905" s="17"/>
      <c r="P1905" s="17"/>
      <c r="Q1905" s="17"/>
      <c r="R1905" s="17"/>
      <c r="S1905" s="17"/>
      <c r="T1905" s="17"/>
      <c r="U1905" s="17"/>
      <c r="V1905" s="17"/>
      <c r="W1905" s="17"/>
      <c r="X1905" s="17"/>
      <c r="Y1905" s="17"/>
      <c r="Z1905" s="31"/>
      <c r="AA1905" s="32"/>
    </row>
    <row r="1906" spans="1:27" ht="12.75">
      <c r="A1906" s="17"/>
      <c r="B1906" s="17"/>
      <c r="C1906" s="17"/>
      <c r="D1906" s="17"/>
      <c r="E1906" s="17"/>
      <c r="F1906" s="17"/>
      <c r="G1906" s="17"/>
      <c r="H1906" s="17"/>
      <c r="I1906" s="31"/>
      <c r="J1906" s="17"/>
      <c r="K1906" s="17"/>
      <c r="L1906" s="17"/>
      <c r="M1906" s="17"/>
      <c r="N1906" s="17"/>
      <c r="O1906" s="17"/>
      <c r="P1906" s="17"/>
      <c r="Q1906" s="17"/>
      <c r="R1906" s="17"/>
      <c r="S1906" s="17"/>
      <c r="T1906" s="17"/>
      <c r="U1906" s="17"/>
      <c r="V1906" s="17"/>
      <c r="W1906" s="17"/>
      <c r="X1906" s="17"/>
      <c r="Y1906" s="17"/>
      <c r="Z1906" s="31"/>
      <c r="AA1906" s="32"/>
    </row>
    <row r="1907" spans="1:27" ht="12.75">
      <c r="A1907" s="17"/>
      <c r="B1907" s="17"/>
      <c r="C1907" s="17"/>
      <c r="D1907" s="17"/>
      <c r="E1907" s="17"/>
      <c r="F1907" s="17"/>
      <c r="G1907" s="17"/>
      <c r="H1907" s="17"/>
      <c r="I1907" s="31"/>
      <c r="J1907" s="17"/>
      <c r="K1907" s="17"/>
      <c r="L1907" s="17"/>
      <c r="M1907" s="17"/>
      <c r="N1907" s="17"/>
      <c r="O1907" s="17"/>
      <c r="P1907" s="17"/>
      <c r="Q1907" s="17"/>
      <c r="R1907" s="17"/>
      <c r="S1907" s="17"/>
      <c r="T1907" s="17"/>
      <c r="U1907" s="17"/>
      <c r="V1907" s="17"/>
      <c r="W1907" s="17"/>
      <c r="X1907" s="17"/>
      <c r="Y1907" s="17"/>
      <c r="Z1907" s="31"/>
      <c r="AA1907" s="32"/>
    </row>
    <row r="1908" spans="1:27" ht="12.75">
      <c r="A1908" s="17"/>
      <c r="B1908" s="17"/>
      <c r="C1908" s="17"/>
      <c r="D1908" s="17"/>
      <c r="E1908" s="17"/>
      <c r="F1908" s="17"/>
      <c r="G1908" s="17"/>
      <c r="H1908" s="17"/>
      <c r="I1908" s="31"/>
      <c r="J1908" s="17"/>
      <c r="K1908" s="17"/>
      <c r="L1908" s="17"/>
      <c r="M1908" s="17"/>
      <c r="N1908" s="17"/>
      <c r="O1908" s="17"/>
      <c r="P1908" s="17"/>
      <c r="Q1908" s="17"/>
      <c r="R1908" s="17"/>
      <c r="S1908" s="17"/>
      <c r="T1908" s="17"/>
      <c r="U1908" s="17"/>
      <c r="V1908" s="17"/>
      <c r="W1908" s="17"/>
      <c r="X1908" s="17"/>
      <c r="Y1908" s="17"/>
      <c r="Z1908" s="31"/>
      <c r="AA1908" s="32"/>
    </row>
    <row r="1909" spans="1:27" ht="12.75">
      <c r="A1909" s="17"/>
      <c r="B1909" s="17"/>
      <c r="C1909" s="17"/>
      <c r="D1909" s="17"/>
      <c r="E1909" s="17"/>
      <c r="F1909" s="17"/>
      <c r="G1909" s="17"/>
      <c r="H1909" s="17"/>
      <c r="I1909" s="31"/>
      <c r="J1909" s="17"/>
      <c r="K1909" s="17"/>
      <c r="L1909" s="17"/>
      <c r="M1909" s="17"/>
      <c r="N1909" s="17"/>
      <c r="O1909" s="17"/>
      <c r="P1909" s="17"/>
      <c r="Q1909" s="17"/>
      <c r="R1909" s="17"/>
      <c r="S1909" s="17"/>
      <c r="T1909" s="17"/>
      <c r="U1909" s="17"/>
      <c r="V1909" s="17"/>
      <c r="W1909" s="17"/>
      <c r="X1909" s="17"/>
      <c r="Y1909" s="17"/>
      <c r="Z1909" s="31"/>
      <c r="AA1909" s="32"/>
    </row>
    <row r="1910" spans="1:27" ht="12.75">
      <c r="A1910" s="17"/>
      <c r="B1910" s="17"/>
      <c r="C1910" s="17"/>
      <c r="D1910" s="17"/>
      <c r="E1910" s="17"/>
      <c r="F1910" s="17"/>
      <c r="G1910" s="17"/>
      <c r="H1910" s="17"/>
      <c r="I1910" s="31"/>
      <c r="J1910" s="17"/>
      <c r="K1910" s="17"/>
      <c r="L1910" s="17"/>
      <c r="M1910" s="17"/>
      <c r="N1910" s="17"/>
      <c r="O1910" s="17"/>
      <c r="P1910" s="17"/>
      <c r="Q1910" s="17"/>
      <c r="R1910" s="17"/>
      <c r="S1910" s="17"/>
      <c r="T1910" s="17"/>
      <c r="U1910" s="17"/>
      <c r="V1910" s="17"/>
      <c r="W1910" s="17"/>
      <c r="X1910" s="17"/>
      <c r="Y1910" s="17"/>
      <c r="Z1910" s="31"/>
      <c r="AA1910" s="32"/>
    </row>
    <row r="1911" spans="1:27" ht="12.75">
      <c r="A1911" s="17"/>
      <c r="B1911" s="17"/>
      <c r="C1911" s="17"/>
      <c r="D1911" s="17"/>
      <c r="E1911" s="17"/>
      <c r="F1911" s="17"/>
      <c r="G1911" s="17"/>
      <c r="H1911" s="17"/>
      <c r="I1911" s="31"/>
      <c r="J1911" s="17"/>
      <c r="K1911" s="17"/>
      <c r="L1911" s="17"/>
      <c r="M1911" s="17"/>
      <c r="N1911" s="17"/>
      <c r="O1911" s="17"/>
      <c r="P1911" s="17"/>
      <c r="Q1911" s="17"/>
      <c r="R1911" s="17"/>
      <c r="S1911" s="17"/>
      <c r="T1911" s="17"/>
      <c r="U1911" s="17"/>
      <c r="V1911" s="17"/>
      <c r="W1911" s="17"/>
      <c r="X1911" s="17"/>
      <c r="Y1911" s="17"/>
      <c r="Z1911" s="31"/>
      <c r="AA1911" s="32"/>
    </row>
    <row r="1912" spans="1:27" ht="12.75">
      <c r="A1912" s="17"/>
      <c r="B1912" s="17"/>
      <c r="C1912" s="17"/>
      <c r="D1912" s="17"/>
      <c r="E1912" s="17"/>
      <c r="F1912" s="17"/>
      <c r="G1912" s="17"/>
      <c r="H1912" s="17"/>
      <c r="I1912" s="31"/>
      <c r="J1912" s="17"/>
      <c r="K1912" s="17"/>
      <c r="L1912" s="17"/>
      <c r="M1912" s="17"/>
      <c r="N1912" s="17"/>
      <c r="O1912" s="17"/>
      <c r="P1912" s="17"/>
      <c r="Q1912" s="17"/>
      <c r="R1912" s="17"/>
      <c r="S1912" s="17"/>
      <c r="T1912" s="17"/>
      <c r="U1912" s="17"/>
      <c r="V1912" s="17"/>
      <c r="W1912" s="17"/>
      <c r="X1912" s="17"/>
      <c r="Y1912" s="17"/>
      <c r="Z1912" s="31"/>
      <c r="AA1912" s="32"/>
    </row>
    <row r="1913" spans="1:27" ht="12.75">
      <c r="A1913" s="17"/>
      <c r="B1913" s="17"/>
      <c r="C1913" s="17"/>
      <c r="D1913" s="17"/>
      <c r="E1913" s="17"/>
      <c r="F1913" s="17"/>
      <c r="G1913" s="17"/>
      <c r="H1913" s="17"/>
      <c r="I1913" s="31"/>
      <c r="J1913" s="17"/>
      <c r="K1913" s="17"/>
      <c r="L1913" s="17"/>
      <c r="M1913" s="17"/>
      <c r="N1913" s="17"/>
      <c r="O1913" s="17"/>
      <c r="P1913" s="17"/>
      <c r="Q1913" s="17"/>
      <c r="R1913" s="17"/>
      <c r="S1913" s="17"/>
      <c r="T1913" s="17"/>
      <c r="U1913" s="17"/>
      <c r="V1913" s="17"/>
      <c r="W1913" s="17"/>
      <c r="X1913" s="17"/>
      <c r="Y1913" s="17"/>
      <c r="Z1913" s="31"/>
      <c r="AA1913" s="32"/>
    </row>
    <row r="1914" spans="1:27" ht="12.75">
      <c r="A1914" s="17"/>
      <c r="B1914" s="17"/>
      <c r="C1914" s="17"/>
      <c r="D1914" s="17"/>
      <c r="E1914" s="17"/>
      <c r="F1914" s="17"/>
      <c r="G1914" s="17"/>
      <c r="H1914" s="17"/>
      <c r="I1914" s="31"/>
      <c r="J1914" s="17"/>
      <c r="K1914" s="17"/>
      <c r="L1914" s="17"/>
      <c r="M1914" s="17"/>
      <c r="N1914" s="17"/>
      <c r="O1914" s="17"/>
      <c r="P1914" s="17"/>
      <c r="Q1914" s="17"/>
      <c r="R1914" s="17"/>
      <c r="S1914" s="17"/>
      <c r="T1914" s="17"/>
      <c r="U1914" s="17"/>
      <c r="V1914" s="17"/>
      <c r="W1914" s="17"/>
      <c r="X1914" s="17"/>
      <c r="Y1914" s="17"/>
      <c r="Z1914" s="31"/>
      <c r="AA1914" s="32"/>
    </row>
    <row r="1915" spans="1:27" ht="12.75">
      <c r="A1915" s="17"/>
      <c r="B1915" s="17"/>
      <c r="C1915" s="17"/>
      <c r="D1915" s="17"/>
      <c r="E1915" s="17"/>
      <c r="F1915" s="17"/>
      <c r="G1915" s="17"/>
      <c r="H1915" s="17"/>
      <c r="I1915" s="31"/>
      <c r="J1915" s="17"/>
      <c r="K1915" s="17"/>
      <c r="L1915" s="17"/>
      <c r="M1915" s="17"/>
      <c r="N1915" s="17"/>
      <c r="O1915" s="17"/>
      <c r="P1915" s="17"/>
      <c r="Q1915" s="17"/>
      <c r="R1915" s="17"/>
      <c r="S1915" s="17"/>
      <c r="T1915" s="17"/>
      <c r="U1915" s="17"/>
      <c r="V1915" s="17"/>
      <c r="W1915" s="17"/>
      <c r="X1915" s="17"/>
      <c r="Y1915" s="17"/>
      <c r="Z1915" s="31"/>
      <c r="AA1915" s="32"/>
    </row>
    <row r="1916" spans="1:27" ht="12.75">
      <c r="A1916" s="17"/>
      <c r="B1916" s="17"/>
      <c r="C1916" s="17"/>
      <c r="D1916" s="17"/>
      <c r="E1916" s="17"/>
      <c r="F1916" s="17"/>
      <c r="G1916" s="17"/>
      <c r="H1916" s="17"/>
      <c r="I1916" s="31"/>
      <c r="J1916" s="17"/>
      <c r="K1916" s="17"/>
      <c r="L1916" s="17"/>
      <c r="M1916" s="17"/>
      <c r="N1916" s="17"/>
      <c r="O1916" s="17"/>
      <c r="P1916" s="17"/>
      <c r="Q1916" s="17"/>
      <c r="R1916" s="17"/>
      <c r="S1916" s="17"/>
      <c r="T1916" s="17"/>
      <c r="U1916" s="17"/>
      <c r="V1916" s="17"/>
      <c r="W1916" s="17"/>
      <c r="X1916" s="17"/>
      <c r="Y1916" s="17"/>
      <c r="Z1916" s="31"/>
      <c r="AA1916" s="32"/>
    </row>
    <row r="1917" spans="1:27" ht="12.75">
      <c r="A1917" s="17"/>
      <c r="B1917" s="17"/>
      <c r="C1917" s="17"/>
      <c r="D1917" s="17"/>
      <c r="E1917" s="17"/>
      <c r="F1917" s="17"/>
      <c r="G1917" s="17"/>
      <c r="H1917" s="17"/>
      <c r="I1917" s="31"/>
      <c r="J1917" s="17"/>
      <c r="K1917" s="17"/>
      <c r="L1917" s="17"/>
      <c r="M1917" s="17"/>
      <c r="N1917" s="17"/>
      <c r="O1917" s="17"/>
      <c r="P1917" s="17"/>
      <c r="Q1917" s="17"/>
      <c r="R1917" s="17"/>
      <c r="S1917" s="17"/>
      <c r="T1917" s="17"/>
      <c r="U1917" s="17"/>
      <c r="V1917" s="17"/>
      <c r="W1917" s="17"/>
      <c r="X1917" s="17"/>
      <c r="Y1917" s="17"/>
      <c r="Z1917" s="31"/>
      <c r="AA1917" s="32"/>
    </row>
    <row r="1918" spans="1:27" ht="12.75">
      <c r="A1918" s="17"/>
      <c r="B1918" s="17"/>
      <c r="C1918" s="17"/>
      <c r="D1918" s="17"/>
      <c r="E1918" s="17"/>
      <c r="F1918" s="17"/>
      <c r="G1918" s="17"/>
      <c r="H1918" s="17"/>
      <c r="I1918" s="31"/>
      <c r="J1918" s="17"/>
      <c r="K1918" s="17"/>
      <c r="L1918" s="17"/>
      <c r="M1918" s="17"/>
      <c r="N1918" s="17"/>
      <c r="O1918" s="17"/>
      <c r="P1918" s="17"/>
      <c r="Q1918" s="17"/>
      <c r="R1918" s="17"/>
      <c r="S1918" s="17"/>
      <c r="T1918" s="17"/>
      <c r="U1918" s="17"/>
      <c r="V1918" s="17"/>
      <c r="W1918" s="17"/>
      <c r="X1918" s="17"/>
      <c r="Y1918" s="17"/>
      <c r="Z1918" s="31"/>
      <c r="AA1918" s="32"/>
    </row>
    <row r="1919" spans="1:27" ht="12.75">
      <c r="A1919" s="17"/>
      <c r="B1919" s="17"/>
      <c r="C1919" s="17"/>
      <c r="D1919" s="17"/>
      <c r="E1919" s="17"/>
      <c r="F1919" s="17"/>
      <c r="G1919" s="17"/>
      <c r="H1919" s="17"/>
      <c r="I1919" s="31"/>
      <c r="J1919" s="17"/>
      <c r="K1919" s="17"/>
      <c r="L1919" s="17"/>
      <c r="M1919" s="17"/>
      <c r="N1919" s="17"/>
      <c r="O1919" s="17"/>
      <c r="P1919" s="17"/>
      <c r="Q1919" s="17"/>
      <c r="R1919" s="17"/>
      <c r="S1919" s="17"/>
      <c r="T1919" s="17"/>
      <c r="U1919" s="17"/>
      <c r="V1919" s="17"/>
      <c r="W1919" s="17"/>
      <c r="X1919" s="17"/>
      <c r="Y1919" s="17"/>
      <c r="Z1919" s="31"/>
      <c r="AA1919" s="32"/>
    </row>
    <row r="1920" spans="1:27" ht="12.75">
      <c r="A1920" s="17"/>
      <c r="B1920" s="17"/>
      <c r="C1920" s="17"/>
      <c r="D1920" s="17"/>
      <c r="E1920" s="17"/>
      <c r="F1920" s="17"/>
      <c r="G1920" s="17"/>
      <c r="H1920" s="17"/>
      <c r="I1920" s="31"/>
      <c r="J1920" s="17"/>
      <c r="K1920" s="17"/>
      <c r="L1920" s="17"/>
      <c r="M1920" s="17"/>
      <c r="N1920" s="17"/>
      <c r="O1920" s="17"/>
      <c r="P1920" s="17"/>
      <c r="Q1920" s="17"/>
      <c r="R1920" s="17"/>
      <c r="S1920" s="17"/>
      <c r="T1920" s="17"/>
      <c r="U1920" s="17"/>
      <c r="V1920" s="17"/>
      <c r="W1920" s="17"/>
      <c r="X1920" s="17"/>
      <c r="Y1920" s="17"/>
      <c r="Z1920" s="31"/>
      <c r="AA1920" s="32"/>
    </row>
    <row r="1921" spans="1:27" ht="12.75">
      <c r="A1921" s="17"/>
      <c r="B1921" s="17"/>
      <c r="C1921" s="17"/>
      <c r="D1921" s="17"/>
      <c r="E1921" s="17"/>
      <c r="F1921" s="17"/>
      <c r="G1921" s="17"/>
      <c r="H1921" s="17"/>
      <c r="I1921" s="31"/>
      <c r="J1921" s="17"/>
      <c r="K1921" s="17"/>
      <c r="L1921" s="17"/>
      <c r="M1921" s="17"/>
      <c r="N1921" s="17"/>
      <c r="O1921" s="17"/>
      <c r="P1921" s="17"/>
      <c r="Q1921" s="17"/>
      <c r="R1921" s="17"/>
      <c r="S1921" s="17"/>
      <c r="T1921" s="17"/>
      <c r="U1921" s="17"/>
      <c r="V1921" s="17"/>
      <c r="W1921" s="17"/>
      <c r="X1921" s="17"/>
      <c r="Y1921" s="17"/>
      <c r="Z1921" s="31"/>
      <c r="AA1921" s="32"/>
    </row>
    <row r="1922" spans="1:27" ht="12.75">
      <c r="A1922" s="17"/>
      <c r="B1922" s="17"/>
      <c r="C1922" s="17"/>
      <c r="D1922" s="17"/>
      <c r="E1922" s="17"/>
      <c r="F1922" s="17"/>
      <c r="G1922" s="17"/>
      <c r="H1922" s="17"/>
      <c r="I1922" s="31"/>
      <c r="J1922" s="17"/>
      <c r="K1922" s="17"/>
      <c r="L1922" s="17"/>
      <c r="M1922" s="17"/>
      <c r="N1922" s="17"/>
      <c r="O1922" s="17"/>
      <c r="P1922" s="17"/>
      <c r="Q1922" s="17"/>
      <c r="R1922" s="17"/>
      <c r="S1922" s="17"/>
      <c r="T1922" s="17"/>
      <c r="U1922" s="17"/>
      <c r="V1922" s="17"/>
      <c r="W1922" s="17"/>
      <c r="X1922" s="17"/>
      <c r="Y1922" s="17"/>
      <c r="Z1922" s="31"/>
      <c r="AA1922" s="32"/>
    </row>
    <row r="1923" spans="1:27" ht="12.75">
      <c r="A1923" s="17"/>
      <c r="B1923" s="17"/>
      <c r="C1923" s="17"/>
      <c r="D1923" s="17"/>
      <c r="E1923" s="17"/>
      <c r="F1923" s="17"/>
      <c r="G1923" s="17"/>
      <c r="H1923" s="17"/>
      <c r="I1923" s="31"/>
      <c r="J1923" s="17"/>
      <c r="K1923" s="17"/>
      <c r="L1923" s="17"/>
      <c r="M1923" s="17"/>
      <c r="N1923" s="17"/>
      <c r="O1923" s="17"/>
      <c r="P1923" s="17"/>
      <c r="Q1923" s="17"/>
      <c r="R1923" s="17"/>
      <c r="S1923" s="17"/>
      <c r="T1923" s="17"/>
      <c r="U1923" s="17"/>
      <c r="V1923" s="17"/>
      <c r="W1923" s="17"/>
      <c r="X1923" s="17"/>
      <c r="Y1923" s="17"/>
      <c r="Z1923" s="31"/>
      <c r="AA1923" s="32"/>
    </row>
    <row r="1924" spans="1:27" ht="12.75">
      <c r="A1924" s="17"/>
      <c r="B1924" s="17"/>
      <c r="C1924" s="17"/>
      <c r="D1924" s="17"/>
      <c r="E1924" s="17"/>
      <c r="F1924" s="17"/>
      <c r="G1924" s="17"/>
      <c r="H1924" s="17"/>
      <c r="I1924" s="31"/>
      <c r="J1924" s="17"/>
      <c r="K1924" s="17"/>
      <c r="L1924" s="17"/>
      <c r="M1924" s="17"/>
      <c r="N1924" s="17"/>
      <c r="O1924" s="17"/>
      <c r="P1924" s="17"/>
      <c r="Q1924" s="17"/>
      <c r="R1924" s="17"/>
      <c r="S1924" s="17"/>
      <c r="T1924" s="17"/>
      <c r="U1924" s="17"/>
      <c r="V1924" s="17"/>
      <c r="W1924" s="17"/>
      <c r="X1924" s="17"/>
      <c r="Y1924" s="17"/>
      <c r="Z1924" s="31"/>
      <c r="AA1924" s="32"/>
    </row>
    <row r="1925" spans="1:27" ht="12.75">
      <c r="A1925" s="17"/>
      <c r="B1925" s="17"/>
      <c r="C1925" s="17"/>
      <c r="D1925" s="17"/>
      <c r="E1925" s="17"/>
      <c r="F1925" s="17"/>
      <c r="G1925" s="17"/>
      <c r="H1925" s="17"/>
      <c r="I1925" s="31"/>
      <c r="J1925" s="17"/>
      <c r="K1925" s="17"/>
      <c r="L1925" s="17"/>
      <c r="M1925" s="17"/>
      <c r="N1925" s="17"/>
      <c r="O1925" s="17"/>
      <c r="P1925" s="17"/>
      <c r="Q1925" s="17"/>
      <c r="R1925" s="17"/>
      <c r="S1925" s="17"/>
      <c r="T1925" s="17"/>
      <c r="U1925" s="17"/>
      <c r="V1925" s="17"/>
      <c r="W1925" s="17"/>
      <c r="X1925" s="17"/>
      <c r="Y1925" s="17"/>
      <c r="Z1925" s="31"/>
      <c r="AA1925" s="32"/>
    </row>
    <row r="1926" spans="1:27" ht="12.75">
      <c r="A1926" s="17"/>
      <c r="B1926" s="17"/>
      <c r="C1926" s="17"/>
      <c r="D1926" s="17"/>
      <c r="E1926" s="17"/>
      <c r="F1926" s="17"/>
      <c r="G1926" s="17"/>
      <c r="H1926" s="17"/>
      <c r="I1926" s="31"/>
      <c r="J1926" s="17"/>
      <c r="K1926" s="17"/>
      <c r="L1926" s="17"/>
      <c r="M1926" s="17"/>
      <c r="N1926" s="17"/>
      <c r="O1926" s="17"/>
      <c r="P1926" s="17"/>
      <c r="Q1926" s="17"/>
      <c r="R1926" s="17"/>
      <c r="S1926" s="17"/>
      <c r="T1926" s="17"/>
      <c r="U1926" s="17"/>
      <c r="V1926" s="17"/>
      <c r="W1926" s="17"/>
      <c r="X1926" s="17"/>
      <c r="Y1926" s="17"/>
      <c r="Z1926" s="31"/>
      <c r="AA1926" s="32"/>
    </row>
    <row r="1927" spans="1:27" ht="12.75">
      <c r="A1927" s="17"/>
      <c r="B1927" s="17"/>
      <c r="C1927" s="17"/>
      <c r="D1927" s="17"/>
      <c r="E1927" s="17"/>
      <c r="F1927" s="17"/>
      <c r="G1927" s="17"/>
      <c r="H1927" s="17"/>
      <c r="I1927" s="31"/>
      <c r="J1927" s="17"/>
      <c r="K1927" s="17"/>
      <c r="L1927" s="17"/>
      <c r="M1927" s="17"/>
      <c r="N1927" s="17"/>
      <c r="O1927" s="17"/>
      <c r="P1927" s="17"/>
      <c r="Q1927" s="17"/>
      <c r="R1927" s="17"/>
      <c r="S1927" s="17"/>
      <c r="T1927" s="17"/>
      <c r="U1927" s="17"/>
      <c r="V1927" s="17"/>
      <c r="W1927" s="17"/>
      <c r="X1927" s="17"/>
      <c r="Y1927" s="17"/>
      <c r="Z1927" s="31"/>
      <c r="AA1927" s="32"/>
    </row>
    <row r="1928" spans="1:27" ht="12.75">
      <c r="A1928" s="17"/>
      <c r="B1928" s="17"/>
      <c r="C1928" s="17"/>
      <c r="D1928" s="17"/>
      <c r="E1928" s="17"/>
      <c r="F1928" s="17"/>
      <c r="G1928" s="17"/>
      <c r="H1928" s="17"/>
      <c r="I1928" s="31"/>
      <c r="J1928" s="17"/>
      <c r="K1928" s="17"/>
      <c r="L1928" s="17"/>
      <c r="M1928" s="17"/>
      <c r="N1928" s="17"/>
      <c r="O1928" s="17"/>
      <c r="P1928" s="17"/>
      <c r="Q1928" s="17"/>
      <c r="R1928" s="17"/>
      <c r="S1928" s="17"/>
      <c r="T1928" s="17"/>
      <c r="U1928" s="17"/>
      <c r="V1928" s="17"/>
      <c r="W1928" s="17"/>
      <c r="X1928" s="17"/>
      <c r="Y1928" s="17"/>
      <c r="Z1928" s="31"/>
      <c r="AA1928" s="32"/>
    </row>
    <row r="1929" spans="1:27" ht="12.75">
      <c r="A1929" s="17"/>
      <c r="B1929" s="17"/>
      <c r="C1929" s="17"/>
      <c r="D1929" s="17"/>
      <c r="E1929" s="17"/>
      <c r="F1929" s="17"/>
      <c r="G1929" s="17"/>
      <c r="H1929" s="17"/>
      <c r="I1929" s="31"/>
      <c r="J1929" s="17"/>
      <c r="K1929" s="17"/>
      <c r="L1929" s="17"/>
      <c r="M1929" s="17"/>
      <c r="N1929" s="17"/>
      <c r="O1929" s="17"/>
      <c r="P1929" s="17"/>
      <c r="Q1929" s="17"/>
      <c r="R1929" s="17"/>
      <c r="S1929" s="17"/>
      <c r="T1929" s="17"/>
      <c r="U1929" s="17"/>
      <c r="V1929" s="17"/>
      <c r="W1929" s="17"/>
      <c r="X1929" s="17"/>
      <c r="Y1929" s="17"/>
      <c r="Z1929" s="31"/>
      <c r="AA1929" s="32"/>
    </row>
    <row r="1930" spans="1:27" ht="12.75">
      <c r="A1930" s="17"/>
      <c r="B1930" s="17"/>
      <c r="C1930" s="17"/>
      <c r="D1930" s="17"/>
      <c r="E1930" s="17"/>
      <c r="F1930" s="17"/>
      <c r="G1930" s="17"/>
      <c r="H1930" s="17"/>
      <c r="I1930" s="31"/>
      <c r="J1930" s="17"/>
      <c r="K1930" s="17"/>
      <c r="L1930" s="17"/>
      <c r="M1930" s="17"/>
      <c r="N1930" s="17"/>
      <c r="O1930" s="17"/>
      <c r="P1930" s="17"/>
      <c r="Q1930" s="17"/>
      <c r="R1930" s="17"/>
      <c r="S1930" s="17"/>
      <c r="T1930" s="17"/>
      <c r="U1930" s="17"/>
      <c r="V1930" s="17"/>
      <c r="W1930" s="17"/>
      <c r="X1930" s="17"/>
      <c r="Y1930" s="17"/>
      <c r="Z1930" s="31"/>
      <c r="AA1930" s="32"/>
    </row>
    <row r="1931" spans="1:27" ht="12.75">
      <c r="A1931" s="17"/>
      <c r="B1931" s="17"/>
      <c r="C1931" s="17"/>
      <c r="D1931" s="17"/>
      <c r="E1931" s="17"/>
      <c r="F1931" s="17"/>
      <c r="G1931" s="17"/>
      <c r="H1931" s="17"/>
      <c r="I1931" s="31"/>
      <c r="J1931" s="17"/>
      <c r="K1931" s="17"/>
      <c r="L1931" s="17"/>
      <c r="M1931" s="17"/>
      <c r="N1931" s="17"/>
      <c r="O1931" s="17"/>
      <c r="P1931" s="17"/>
      <c r="Q1931" s="17"/>
      <c r="R1931" s="17"/>
      <c r="S1931" s="17"/>
      <c r="T1931" s="17"/>
      <c r="U1931" s="17"/>
      <c r="V1931" s="17"/>
      <c r="W1931" s="17"/>
      <c r="X1931" s="17"/>
      <c r="Y1931" s="17"/>
      <c r="Z1931" s="31"/>
      <c r="AA1931" s="32"/>
    </row>
    <row r="1932" spans="1:27" ht="12.75">
      <c r="A1932" s="17"/>
      <c r="B1932" s="17"/>
      <c r="C1932" s="17"/>
      <c r="D1932" s="17"/>
      <c r="E1932" s="17"/>
      <c r="F1932" s="17"/>
      <c r="G1932" s="17"/>
      <c r="H1932" s="17"/>
      <c r="I1932" s="31"/>
      <c r="J1932" s="17"/>
      <c r="K1932" s="17"/>
      <c r="L1932" s="17"/>
      <c r="M1932" s="17"/>
      <c r="N1932" s="17"/>
      <c r="O1932" s="17"/>
      <c r="P1932" s="17"/>
      <c r="Q1932" s="17"/>
      <c r="R1932" s="17"/>
      <c r="S1932" s="17"/>
      <c r="T1932" s="17"/>
      <c r="U1932" s="17"/>
      <c r="V1932" s="17"/>
      <c r="W1932" s="17"/>
      <c r="X1932" s="17"/>
      <c r="Y1932" s="17"/>
      <c r="Z1932" s="31"/>
      <c r="AA1932" s="32"/>
    </row>
    <row r="1933" spans="1:27" ht="12.75">
      <c r="A1933" s="17"/>
      <c r="B1933" s="17"/>
      <c r="C1933" s="17"/>
      <c r="D1933" s="17"/>
      <c r="E1933" s="17"/>
      <c r="F1933" s="17"/>
      <c r="G1933" s="17"/>
      <c r="H1933" s="17"/>
      <c r="I1933" s="31"/>
      <c r="J1933" s="17"/>
      <c r="K1933" s="17"/>
      <c r="L1933" s="17"/>
      <c r="M1933" s="17"/>
      <c r="N1933" s="17"/>
      <c r="O1933" s="17"/>
      <c r="P1933" s="17"/>
      <c r="Q1933" s="17"/>
      <c r="R1933" s="17"/>
      <c r="S1933" s="17"/>
      <c r="T1933" s="17"/>
      <c r="U1933" s="17"/>
      <c r="V1933" s="17"/>
      <c r="W1933" s="17"/>
      <c r="X1933" s="17"/>
      <c r="Y1933" s="17"/>
      <c r="Z1933" s="31"/>
      <c r="AA1933" s="32"/>
    </row>
    <row r="1934" spans="1:27" ht="12.75">
      <c r="A1934" s="17"/>
      <c r="B1934" s="17"/>
      <c r="C1934" s="17"/>
      <c r="D1934" s="17"/>
      <c r="E1934" s="17"/>
      <c r="F1934" s="17"/>
      <c r="G1934" s="17"/>
      <c r="H1934" s="17"/>
      <c r="I1934" s="31"/>
      <c r="J1934" s="17"/>
      <c r="K1934" s="17"/>
      <c r="L1934" s="17"/>
      <c r="M1934" s="17"/>
      <c r="N1934" s="17"/>
      <c r="O1934" s="17"/>
      <c r="P1934" s="17"/>
      <c r="Q1934" s="17"/>
      <c r="R1934" s="17"/>
      <c r="S1934" s="17"/>
      <c r="T1934" s="17"/>
      <c r="U1934" s="17"/>
      <c r="V1934" s="17"/>
      <c r="W1934" s="17"/>
      <c r="X1934" s="17"/>
      <c r="Y1934" s="17"/>
      <c r="Z1934" s="31"/>
      <c r="AA1934" s="32"/>
    </row>
    <row r="1935" spans="1:27" ht="12.75">
      <c r="A1935" s="17"/>
      <c r="B1935" s="17"/>
      <c r="C1935" s="17"/>
      <c r="D1935" s="17"/>
      <c r="E1935" s="17"/>
      <c r="F1935" s="17"/>
      <c r="G1935" s="17"/>
      <c r="H1935" s="17"/>
      <c r="I1935" s="31"/>
      <c r="J1935" s="17"/>
      <c r="K1935" s="17"/>
      <c r="L1935" s="17"/>
      <c r="M1935" s="17"/>
      <c r="N1935" s="17"/>
      <c r="O1935" s="17"/>
      <c r="P1935" s="17"/>
      <c r="Q1935" s="17"/>
      <c r="R1935" s="17"/>
      <c r="S1935" s="17"/>
      <c r="T1935" s="17"/>
      <c r="U1935" s="17"/>
      <c r="V1935" s="17"/>
      <c r="W1935" s="17"/>
      <c r="X1935" s="17"/>
      <c r="Y1935" s="17"/>
      <c r="Z1935" s="31"/>
      <c r="AA1935" s="32"/>
    </row>
    <row r="1936" spans="1:27" ht="12.75">
      <c r="A1936" s="17"/>
      <c r="B1936" s="17"/>
      <c r="C1936" s="17"/>
      <c r="D1936" s="17"/>
      <c r="E1936" s="17"/>
      <c r="F1936" s="17"/>
      <c r="G1936" s="17"/>
      <c r="H1936" s="17"/>
      <c r="I1936" s="31"/>
      <c r="J1936" s="17"/>
      <c r="K1936" s="17"/>
      <c r="L1936" s="17"/>
      <c r="M1936" s="17"/>
      <c r="N1936" s="17"/>
      <c r="O1936" s="17"/>
      <c r="P1936" s="17"/>
      <c r="Q1936" s="17"/>
      <c r="R1936" s="17"/>
      <c r="S1936" s="17"/>
      <c r="T1936" s="17"/>
      <c r="U1936" s="17"/>
      <c r="V1936" s="17"/>
      <c r="W1936" s="17"/>
      <c r="X1936" s="17"/>
      <c r="Y1936" s="17"/>
      <c r="Z1936" s="31"/>
      <c r="AA1936" s="32"/>
    </row>
    <row r="1937" spans="1:27" ht="12.75">
      <c r="A1937" s="17"/>
      <c r="B1937" s="17"/>
      <c r="C1937" s="17"/>
      <c r="D1937" s="17"/>
      <c r="E1937" s="17"/>
      <c r="F1937" s="17"/>
      <c r="G1937" s="17"/>
      <c r="H1937" s="17"/>
      <c r="I1937" s="31"/>
      <c r="J1937" s="17"/>
      <c r="K1937" s="17"/>
      <c r="L1937" s="17"/>
      <c r="M1937" s="17"/>
      <c r="N1937" s="17"/>
      <c r="O1937" s="17"/>
      <c r="P1937" s="17"/>
      <c r="Q1937" s="17"/>
      <c r="R1937" s="17"/>
      <c r="S1937" s="17"/>
      <c r="T1937" s="17"/>
      <c r="U1937" s="17"/>
      <c r="V1937" s="17"/>
      <c r="W1937" s="17"/>
      <c r="X1937" s="17"/>
      <c r="Y1937" s="17"/>
      <c r="Z1937" s="31"/>
      <c r="AA1937" s="32"/>
    </row>
    <row r="1938" spans="1:27" ht="12.75">
      <c r="A1938" s="17"/>
      <c r="B1938" s="17"/>
      <c r="C1938" s="17"/>
      <c r="D1938" s="17"/>
      <c r="E1938" s="17"/>
      <c r="F1938" s="17"/>
      <c r="G1938" s="17"/>
      <c r="H1938" s="17"/>
      <c r="I1938" s="31"/>
      <c r="J1938" s="17"/>
      <c r="K1938" s="17"/>
      <c r="L1938" s="17"/>
      <c r="M1938" s="17"/>
      <c r="N1938" s="17"/>
      <c r="O1938" s="17"/>
      <c r="P1938" s="17"/>
      <c r="Q1938" s="17"/>
      <c r="R1938" s="17"/>
      <c r="S1938" s="17"/>
      <c r="T1938" s="17"/>
      <c r="U1938" s="17"/>
      <c r="V1938" s="17"/>
      <c r="W1938" s="17"/>
      <c r="X1938" s="17"/>
      <c r="Y1938" s="17"/>
      <c r="Z1938" s="31"/>
      <c r="AA1938" s="32"/>
    </row>
    <row r="1939" spans="1:27" ht="12.75">
      <c r="A1939" s="17"/>
      <c r="B1939" s="17"/>
      <c r="C1939" s="17"/>
      <c r="D1939" s="17"/>
      <c r="E1939" s="17"/>
      <c r="F1939" s="17"/>
      <c r="G1939" s="17"/>
      <c r="H1939" s="17"/>
      <c r="I1939" s="31"/>
      <c r="J1939" s="17"/>
      <c r="K1939" s="17"/>
      <c r="L1939" s="17"/>
      <c r="M1939" s="17"/>
      <c r="N1939" s="17"/>
      <c r="O1939" s="17"/>
      <c r="P1939" s="17"/>
      <c r="Q1939" s="17"/>
      <c r="R1939" s="17"/>
      <c r="S1939" s="17"/>
      <c r="T1939" s="17"/>
      <c r="U1939" s="17"/>
      <c r="V1939" s="17"/>
      <c r="W1939" s="17"/>
      <c r="X1939" s="17"/>
      <c r="Y1939" s="17"/>
      <c r="Z1939" s="31"/>
      <c r="AA1939" s="32"/>
    </row>
    <row r="1940" spans="1:27" ht="12.75">
      <c r="A1940" s="17"/>
      <c r="B1940" s="17"/>
      <c r="C1940" s="17"/>
      <c r="D1940" s="17"/>
      <c r="E1940" s="17"/>
      <c r="F1940" s="17"/>
      <c r="G1940" s="17"/>
      <c r="H1940" s="17"/>
      <c r="I1940" s="31"/>
      <c r="J1940" s="17"/>
      <c r="K1940" s="17"/>
      <c r="L1940" s="17"/>
      <c r="M1940" s="17"/>
      <c r="N1940" s="17"/>
      <c r="O1940" s="17"/>
      <c r="P1940" s="17"/>
      <c r="Q1940" s="17"/>
      <c r="R1940" s="17"/>
      <c r="S1940" s="17"/>
      <c r="T1940" s="17"/>
      <c r="U1940" s="17"/>
      <c r="V1940" s="17"/>
      <c r="W1940" s="17"/>
      <c r="X1940" s="17"/>
      <c r="Y1940" s="17"/>
      <c r="Z1940" s="31"/>
      <c r="AA1940" s="32"/>
    </row>
    <row r="1941" spans="1:27" ht="12.75">
      <c r="A1941" s="17"/>
      <c r="B1941" s="17"/>
      <c r="C1941" s="17"/>
      <c r="D1941" s="17"/>
      <c r="E1941" s="17"/>
      <c r="F1941" s="17"/>
      <c r="G1941" s="17"/>
      <c r="H1941" s="17"/>
      <c r="I1941" s="31"/>
      <c r="J1941" s="17"/>
      <c r="K1941" s="17"/>
      <c r="L1941" s="17"/>
      <c r="M1941" s="17"/>
      <c r="N1941" s="17"/>
      <c r="O1941" s="17"/>
      <c r="P1941" s="17"/>
      <c r="Q1941" s="17"/>
      <c r="R1941" s="17"/>
      <c r="S1941" s="17"/>
      <c r="T1941" s="17"/>
      <c r="U1941" s="17"/>
      <c r="V1941" s="17"/>
      <c r="W1941" s="17"/>
      <c r="X1941" s="17"/>
      <c r="Y1941" s="17"/>
      <c r="Z1941" s="31"/>
      <c r="AA1941" s="32"/>
    </row>
    <row r="1942" spans="1:27" ht="12.75">
      <c r="A1942" s="17"/>
      <c r="B1942" s="17"/>
      <c r="C1942" s="17"/>
      <c r="D1942" s="17"/>
      <c r="E1942" s="17"/>
      <c r="F1942" s="17"/>
      <c r="G1942" s="17"/>
      <c r="H1942" s="17"/>
      <c r="I1942" s="31"/>
      <c r="J1942" s="17"/>
      <c r="K1942" s="17"/>
      <c r="L1942" s="17"/>
      <c r="M1942" s="17"/>
      <c r="N1942" s="17"/>
      <c r="O1942" s="17"/>
      <c r="P1942" s="17"/>
      <c r="Q1942" s="17"/>
      <c r="R1942" s="17"/>
      <c r="S1942" s="17"/>
      <c r="T1942" s="17"/>
      <c r="U1942" s="17"/>
      <c r="V1942" s="17"/>
      <c r="W1942" s="17"/>
      <c r="X1942" s="17"/>
      <c r="Y1942" s="17"/>
      <c r="Z1942" s="31"/>
      <c r="AA1942" s="32"/>
    </row>
    <row r="1943" spans="1:27" ht="12.75">
      <c r="A1943" s="17"/>
      <c r="B1943" s="17"/>
      <c r="C1943" s="17"/>
      <c r="D1943" s="17"/>
      <c r="E1943" s="17"/>
      <c r="F1943" s="17"/>
      <c r="G1943" s="17"/>
      <c r="H1943" s="17"/>
      <c r="I1943" s="31"/>
      <c r="J1943" s="17"/>
      <c r="K1943" s="17"/>
      <c r="L1943" s="17"/>
      <c r="M1943" s="17"/>
      <c r="N1943" s="17"/>
      <c r="O1943" s="17"/>
      <c r="P1943" s="17"/>
      <c r="Q1943" s="17"/>
      <c r="R1943" s="17"/>
      <c r="S1943" s="17"/>
      <c r="T1943" s="17"/>
      <c r="U1943" s="17"/>
      <c r="V1943" s="17"/>
      <c r="W1943" s="17"/>
      <c r="X1943" s="17"/>
      <c r="Y1943" s="17"/>
      <c r="Z1943" s="31"/>
      <c r="AA1943" s="32"/>
    </row>
    <row r="1944" spans="1:27" ht="12.75">
      <c r="A1944" s="17"/>
      <c r="B1944" s="17"/>
      <c r="C1944" s="17"/>
      <c r="D1944" s="17"/>
      <c r="E1944" s="17"/>
      <c r="F1944" s="17"/>
      <c r="G1944" s="17"/>
      <c r="H1944" s="17"/>
      <c r="I1944" s="31"/>
      <c r="J1944" s="17"/>
      <c r="K1944" s="17"/>
      <c r="L1944" s="17"/>
      <c r="M1944" s="17"/>
      <c r="N1944" s="17"/>
      <c r="O1944" s="17"/>
      <c r="P1944" s="17"/>
      <c r="Q1944" s="17"/>
      <c r="R1944" s="17"/>
      <c r="S1944" s="17"/>
      <c r="T1944" s="17"/>
      <c r="U1944" s="17"/>
      <c r="V1944" s="17"/>
      <c r="W1944" s="17"/>
      <c r="X1944" s="17"/>
      <c r="Y1944" s="17"/>
      <c r="Z1944" s="31"/>
      <c r="AA1944" s="32"/>
    </row>
    <row r="1945" spans="1:27" ht="12.75">
      <c r="A1945" s="17"/>
      <c r="B1945" s="17"/>
      <c r="C1945" s="17"/>
      <c r="D1945" s="17"/>
      <c r="E1945" s="17"/>
      <c r="F1945" s="17"/>
      <c r="G1945" s="17"/>
      <c r="H1945" s="17"/>
      <c r="I1945" s="31"/>
      <c r="J1945" s="17"/>
      <c r="K1945" s="17"/>
      <c r="L1945" s="17"/>
      <c r="M1945" s="17"/>
      <c r="N1945" s="17"/>
      <c r="O1945" s="17"/>
      <c r="P1945" s="17"/>
      <c r="Q1945" s="17"/>
      <c r="R1945" s="17"/>
      <c r="S1945" s="17"/>
      <c r="T1945" s="17"/>
      <c r="U1945" s="17"/>
      <c r="V1945" s="17"/>
      <c r="W1945" s="17"/>
      <c r="X1945" s="17"/>
      <c r="Y1945" s="17"/>
      <c r="Z1945" s="31"/>
      <c r="AA1945" s="32"/>
    </row>
    <row r="1946" spans="1:27" ht="12.75">
      <c r="A1946" s="17"/>
      <c r="B1946" s="17"/>
      <c r="C1946" s="17"/>
      <c r="D1946" s="17"/>
      <c r="E1946" s="17"/>
      <c r="F1946" s="17"/>
      <c r="G1946" s="17"/>
      <c r="H1946" s="17"/>
      <c r="I1946" s="31"/>
      <c r="J1946" s="17"/>
      <c r="K1946" s="17"/>
      <c r="L1946" s="17"/>
      <c r="M1946" s="17"/>
      <c r="N1946" s="17"/>
      <c r="O1946" s="17"/>
      <c r="P1946" s="17"/>
      <c r="Q1946" s="17"/>
      <c r="R1946" s="17"/>
      <c r="S1946" s="17"/>
      <c r="T1946" s="17"/>
      <c r="U1946" s="17"/>
      <c r="V1946" s="17"/>
      <c r="W1946" s="17"/>
      <c r="X1946" s="17"/>
      <c r="Y1946" s="17"/>
      <c r="Z1946" s="31"/>
      <c r="AA1946" s="32"/>
    </row>
    <row r="1947" spans="1:27" ht="12.75">
      <c r="A1947" s="17"/>
      <c r="B1947" s="17"/>
      <c r="C1947" s="17"/>
      <c r="D1947" s="17"/>
      <c r="E1947" s="17"/>
      <c r="F1947" s="17"/>
      <c r="G1947" s="17"/>
      <c r="H1947" s="17"/>
      <c r="I1947" s="31"/>
      <c r="J1947" s="17"/>
      <c r="K1947" s="17"/>
      <c r="L1947" s="17"/>
      <c r="M1947" s="17"/>
      <c r="N1947" s="17"/>
      <c r="O1947" s="17"/>
      <c r="P1947" s="17"/>
      <c r="Q1947" s="17"/>
      <c r="R1947" s="17"/>
      <c r="S1947" s="17"/>
      <c r="T1947" s="17"/>
      <c r="U1947" s="17"/>
      <c r="V1947" s="17"/>
      <c r="W1947" s="17"/>
      <c r="X1947" s="17"/>
      <c r="Y1947" s="17"/>
      <c r="Z1947" s="31"/>
      <c r="AA1947" s="32"/>
    </row>
    <row r="1948" spans="1:27" ht="12.75">
      <c r="A1948" s="17"/>
      <c r="B1948" s="17"/>
      <c r="C1948" s="17"/>
      <c r="D1948" s="17"/>
      <c r="E1948" s="17"/>
      <c r="F1948" s="17"/>
      <c r="G1948" s="17"/>
      <c r="H1948" s="17"/>
      <c r="I1948" s="31"/>
      <c r="J1948" s="17"/>
      <c r="K1948" s="17"/>
      <c r="L1948" s="17"/>
      <c r="M1948" s="17"/>
      <c r="N1948" s="17"/>
      <c r="O1948" s="17"/>
      <c r="P1948" s="17"/>
      <c r="Q1948" s="17"/>
      <c r="R1948" s="17"/>
      <c r="S1948" s="17"/>
      <c r="T1948" s="17"/>
      <c r="U1948" s="17"/>
      <c r="V1948" s="17"/>
      <c r="W1948" s="17"/>
      <c r="X1948" s="17"/>
      <c r="Y1948" s="17"/>
      <c r="Z1948" s="31"/>
      <c r="AA1948" s="32"/>
    </row>
    <row r="1949" spans="1:27" ht="12.75">
      <c r="A1949" s="17"/>
      <c r="B1949" s="17"/>
      <c r="C1949" s="17"/>
      <c r="D1949" s="17"/>
      <c r="E1949" s="17"/>
      <c r="F1949" s="17"/>
      <c r="G1949" s="17"/>
      <c r="H1949" s="17"/>
      <c r="I1949" s="31"/>
      <c r="J1949" s="17"/>
      <c r="K1949" s="17"/>
      <c r="L1949" s="17"/>
      <c r="M1949" s="17"/>
      <c r="N1949" s="17"/>
      <c r="O1949" s="17"/>
      <c r="P1949" s="17"/>
      <c r="Q1949" s="17"/>
      <c r="R1949" s="17"/>
      <c r="S1949" s="17"/>
      <c r="T1949" s="17"/>
      <c r="U1949" s="17"/>
      <c r="V1949" s="17"/>
      <c r="W1949" s="17"/>
      <c r="X1949" s="17"/>
      <c r="Y1949" s="17"/>
      <c r="Z1949" s="31"/>
      <c r="AA1949" s="32"/>
    </row>
    <row r="1950" spans="1:27" ht="12.75">
      <c r="A1950" s="17"/>
      <c r="B1950" s="17"/>
      <c r="C1950" s="17"/>
      <c r="D1950" s="17"/>
      <c r="E1950" s="17"/>
      <c r="F1950" s="17"/>
      <c r="G1950" s="17"/>
      <c r="H1950" s="17"/>
      <c r="I1950" s="31"/>
      <c r="J1950" s="17"/>
      <c r="K1950" s="17"/>
      <c r="L1950" s="17"/>
      <c r="M1950" s="17"/>
      <c r="N1950" s="17"/>
      <c r="O1950" s="17"/>
      <c r="P1950" s="17"/>
      <c r="Q1950" s="17"/>
      <c r="R1950" s="17"/>
      <c r="S1950" s="17"/>
      <c r="T1950" s="17"/>
      <c r="U1950" s="17"/>
      <c r="V1950" s="17"/>
      <c r="W1950" s="17"/>
      <c r="X1950" s="17"/>
      <c r="Y1950" s="17"/>
      <c r="Z1950" s="31"/>
      <c r="AA1950" s="32"/>
    </row>
    <row r="1951" spans="1:27" ht="12.75">
      <c r="A1951" s="17"/>
      <c r="B1951" s="17"/>
      <c r="C1951" s="17"/>
      <c r="D1951" s="17"/>
      <c r="E1951" s="17"/>
      <c r="F1951" s="17"/>
      <c r="G1951" s="17"/>
      <c r="H1951" s="17"/>
      <c r="I1951" s="31"/>
      <c r="J1951" s="17"/>
      <c r="K1951" s="17"/>
      <c r="L1951" s="17"/>
      <c r="M1951" s="17"/>
      <c r="N1951" s="17"/>
      <c r="O1951" s="17"/>
      <c r="P1951" s="17"/>
      <c r="Q1951" s="17"/>
      <c r="R1951" s="17"/>
      <c r="S1951" s="17"/>
      <c r="T1951" s="17"/>
      <c r="U1951" s="17"/>
      <c r="V1951" s="17"/>
      <c r="W1951" s="17"/>
      <c r="X1951" s="17"/>
      <c r="Y1951" s="17"/>
      <c r="Z1951" s="31"/>
      <c r="AA1951" s="32"/>
    </row>
    <row r="1952" spans="1:27" ht="12.75">
      <c r="A1952" s="17"/>
      <c r="B1952" s="17"/>
      <c r="C1952" s="17"/>
      <c r="D1952" s="17"/>
      <c r="E1952" s="17"/>
      <c r="F1952" s="17"/>
      <c r="G1952" s="17"/>
      <c r="H1952" s="17"/>
      <c r="I1952" s="31"/>
      <c r="J1952" s="17"/>
      <c r="K1952" s="17"/>
      <c r="L1952" s="17"/>
      <c r="M1952" s="17"/>
      <c r="N1952" s="17"/>
      <c r="O1952" s="17"/>
      <c r="P1952" s="17"/>
      <c r="Q1952" s="17"/>
      <c r="R1952" s="17"/>
      <c r="S1952" s="17"/>
      <c r="T1952" s="17"/>
      <c r="U1952" s="17"/>
      <c r="V1952" s="17"/>
      <c r="W1952" s="17"/>
      <c r="X1952" s="17"/>
      <c r="Y1952" s="17"/>
      <c r="Z1952" s="31"/>
      <c r="AA1952" s="32"/>
    </row>
    <row r="1953" spans="1:27" ht="12.75">
      <c r="A1953" s="17"/>
      <c r="B1953" s="17"/>
      <c r="C1953" s="17"/>
      <c r="D1953" s="17"/>
      <c r="E1953" s="17"/>
      <c r="F1953" s="17"/>
      <c r="G1953" s="17"/>
      <c r="H1953" s="17"/>
      <c r="I1953" s="31"/>
      <c r="J1953" s="17"/>
      <c r="K1953" s="17"/>
      <c r="L1953" s="17"/>
      <c r="M1953" s="17"/>
      <c r="N1953" s="17"/>
      <c r="O1953" s="17"/>
      <c r="P1953" s="17"/>
      <c r="Q1953" s="17"/>
      <c r="R1953" s="17"/>
      <c r="S1953" s="17"/>
      <c r="T1953" s="17"/>
      <c r="U1953" s="17"/>
      <c r="V1953" s="17"/>
      <c r="W1953" s="17"/>
      <c r="X1953" s="17"/>
      <c r="Y1953" s="17"/>
      <c r="Z1953" s="31"/>
      <c r="AA1953" s="32"/>
    </row>
    <row r="1954" spans="1:27" ht="12.75">
      <c r="A1954" s="17"/>
      <c r="B1954" s="17"/>
      <c r="C1954" s="17"/>
      <c r="D1954" s="17"/>
      <c r="E1954" s="17"/>
      <c r="F1954" s="17"/>
      <c r="G1954" s="17"/>
      <c r="H1954" s="17"/>
      <c r="I1954" s="31"/>
      <c r="J1954" s="17"/>
      <c r="K1954" s="17"/>
      <c r="L1954" s="17"/>
      <c r="M1954" s="17"/>
      <c r="N1954" s="17"/>
      <c r="O1954" s="17"/>
      <c r="P1954" s="17"/>
      <c r="Q1954" s="17"/>
      <c r="R1954" s="17"/>
      <c r="S1954" s="17"/>
      <c r="T1954" s="17"/>
      <c r="U1954" s="17"/>
      <c r="V1954" s="17"/>
      <c r="W1954" s="17"/>
      <c r="X1954" s="17"/>
      <c r="Y1954" s="17"/>
      <c r="Z1954" s="31"/>
      <c r="AA1954" s="32"/>
    </row>
    <row r="1955" spans="1:27" ht="12.75">
      <c r="A1955" s="17"/>
      <c r="B1955" s="17"/>
      <c r="C1955" s="17"/>
      <c r="D1955" s="17"/>
      <c r="E1955" s="17"/>
      <c r="F1955" s="17"/>
      <c r="G1955" s="17"/>
      <c r="H1955" s="17"/>
      <c r="I1955" s="31"/>
      <c r="J1955" s="17"/>
      <c r="K1955" s="17"/>
      <c r="L1955" s="17"/>
      <c r="M1955" s="17"/>
      <c r="N1955" s="17"/>
      <c r="O1955" s="17"/>
      <c r="P1955" s="17"/>
      <c r="Q1955" s="17"/>
      <c r="R1955" s="17"/>
      <c r="S1955" s="17"/>
      <c r="T1955" s="17"/>
      <c r="U1955" s="17"/>
      <c r="V1955" s="17"/>
      <c r="W1955" s="17"/>
      <c r="X1955" s="17"/>
      <c r="Y1955" s="17"/>
      <c r="Z1955" s="31"/>
      <c r="AA1955" s="32"/>
    </row>
    <row r="1956" spans="1:27" ht="12.75">
      <c r="A1956" s="17"/>
      <c r="B1956" s="17"/>
      <c r="C1956" s="17"/>
      <c r="D1956" s="17"/>
      <c r="E1956" s="17"/>
      <c r="F1956" s="17"/>
      <c r="G1956" s="17"/>
      <c r="H1956" s="17"/>
      <c r="I1956" s="31"/>
      <c r="J1956" s="17"/>
      <c r="K1956" s="17"/>
      <c r="L1956" s="17"/>
      <c r="M1956" s="17"/>
      <c r="N1956" s="17"/>
      <c r="O1956" s="17"/>
      <c r="P1956" s="17"/>
      <c r="Q1956" s="17"/>
      <c r="R1956" s="17"/>
      <c r="S1956" s="17"/>
      <c r="T1956" s="17"/>
      <c r="U1956" s="17"/>
      <c r="V1956" s="17"/>
      <c r="W1956" s="17"/>
      <c r="X1956" s="17"/>
      <c r="Y1956" s="17"/>
      <c r="Z1956" s="31"/>
      <c r="AA1956" s="32"/>
    </row>
    <row r="1957" spans="1:27" ht="12.75">
      <c r="A1957" s="17"/>
      <c r="B1957" s="17"/>
      <c r="C1957" s="17"/>
      <c r="D1957" s="17"/>
      <c r="E1957" s="17"/>
      <c r="F1957" s="17"/>
      <c r="G1957" s="17"/>
      <c r="H1957" s="17"/>
      <c r="I1957" s="31"/>
      <c r="J1957" s="17"/>
      <c r="K1957" s="17"/>
      <c r="L1957" s="17"/>
      <c r="M1957" s="17"/>
      <c r="N1957" s="17"/>
      <c r="O1957" s="17"/>
      <c r="P1957" s="17"/>
      <c r="Q1957" s="17"/>
      <c r="R1957" s="17"/>
      <c r="S1957" s="17"/>
      <c r="T1957" s="17"/>
      <c r="U1957" s="17"/>
      <c r="V1957" s="17"/>
      <c r="W1957" s="17"/>
      <c r="X1957" s="17"/>
      <c r="Y1957" s="17"/>
      <c r="Z1957" s="31"/>
      <c r="AA1957" s="32"/>
    </row>
    <row r="1958" spans="1:27" ht="12.75">
      <c r="A1958" s="17"/>
      <c r="B1958" s="17"/>
      <c r="C1958" s="17"/>
      <c r="D1958" s="17"/>
      <c r="E1958" s="17"/>
      <c r="F1958" s="17"/>
      <c r="G1958" s="17"/>
      <c r="H1958" s="17"/>
      <c r="I1958" s="31"/>
      <c r="J1958" s="17"/>
      <c r="K1958" s="17"/>
      <c r="L1958" s="17"/>
      <c r="M1958" s="17"/>
      <c r="N1958" s="17"/>
      <c r="O1958" s="17"/>
      <c r="P1958" s="17"/>
      <c r="Q1958" s="17"/>
      <c r="R1958" s="17"/>
      <c r="S1958" s="17"/>
      <c r="T1958" s="17"/>
      <c r="U1958" s="17"/>
      <c r="V1958" s="17"/>
      <c r="W1958" s="17"/>
      <c r="X1958" s="17"/>
      <c r="Y1958" s="17"/>
      <c r="Z1958" s="31"/>
      <c r="AA1958" s="32"/>
    </row>
    <row r="1959" spans="1:27" ht="12.75">
      <c r="A1959" s="17"/>
      <c r="B1959" s="17"/>
      <c r="C1959" s="17"/>
      <c r="D1959" s="17"/>
      <c r="E1959" s="17"/>
      <c r="F1959" s="17"/>
      <c r="G1959" s="17"/>
      <c r="H1959" s="17"/>
      <c r="I1959" s="31"/>
      <c r="J1959" s="17"/>
      <c r="K1959" s="17"/>
      <c r="L1959" s="17"/>
      <c r="M1959" s="17"/>
      <c r="N1959" s="17"/>
      <c r="O1959" s="17"/>
      <c r="P1959" s="17"/>
      <c r="Q1959" s="17"/>
      <c r="R1959" s="17"/>
      <c r="S1959" s="17"/>
      <c r="T1959" s="17"/>
      <c r="U1959" s="17"/>
      <c r="V1959" s="17"/>
      <c r="W1959" s="17"/>
      <c r="X1959" s="17"/>
      <c r="Y1959" s="17"/>
      <c r="Z1959" s="31"/>
      <c r="AA1959" s="32"/>
    </row>
    <row r="1960" spans="1:27" ht="12.75">
      <c r="A1960" s="17"/>
      <c r="B1960" s="17"/>
      <c r="C1960" s="17"/>
      <c r="D1960" s="17"/>
      <c r="E1960" s="17"/>
      <c r="F1960" s="17"/>
      <c r="G1960" s="17"/>
      <c r="H1960" s="17"/>
      <c r="I1960" s="31"/>
      <c r="J1960" s="17"/>
      <c r="K1960" s="17"/>
      <c r="L1960" s="17"/>
      <c r="M1960" s="17"/>
      <c r="N1960" s="17"/>
      <c r="O1960" s="17"/>
      <c r="P1960" s="17"/>
      <c r="Q1960" s="17"/>
      <c r="R1960" s="17"/>
      <c r="S1960" s="17"/>
      <c r="T1960" s="17"/>
      <c r="U1960" s="17"/>
      <c r="V1960" s="17"/>
      <c r="W1960" s="17"/>
      <c r="X1960" s="17"/>
      <c r="Y1960" s="17"/>
      <c r="Z1960" s="31"/>
      <c r="AA1960" s="32"/>
    </row>
    <row r="1961" spans="1:27" ht="12.75">
      <c r="A1961" s="17"/>
      <c r="B1961" s="17"/>
      <c r="C1961" s="17"/>
      <c r="D1961" s="17"/>
      <c r="E1961" s="17"/>
      <c r="F1961" s="17"/>
      <c r="G1961" s="17"/>
      <c r="H1961" s="17"/>
      <c r="I1961" s="31"/>
      <c r="J1961" s="17"/>
      <c r="K1961" s="17"/>
      <c r="L1961" s="17"/>
      <c r="M1961" s="17"/>
      <c r="N1961" s="17"/>
      <c r="O1961" s="17"/>
      <c r="P1961" s="17"/>
      <c r="Q1961" s="17"/>
      <c r="R1961" s="17"/>
      <c r="S1961" s="17"/>
      <c r="T1961" s="17"/>
      <c r="U1961" s="17"/>
      <c r="V1961" s="17"/>
      <c r="W1961" s="17"/>
      <c r="X1961" s="17"/>
      <c r="Y1961" s="17"/>
      <c r="Z1961" s="31"/>
      <c r="AA1961" s="32"/>
    </row>
    <row r="1962" spans="1:27" ht="12.75">
      <c r="A1962" s="17"/>
      <c r="B1962" s="17"/>
      <c r="C1962" s="17"/>
      <c r="D1962" s="17"/>
      <c r="E1962" s="17"/>
      <c r="F1962" s="17"/>
      <c r="G1962" s="17"/>
      <c r="H1962" s="17"/>
      <c r="I1962" s="31"/>
      <c r="J1962" s="17"/>
      <c r="K1962" s="17"/>
      <c r="L1962" s="17"/>
      <c r="M1962" s="17"/>
      <c r="N1962" s="17"/>
      <c r="O1962" s="17"/>
      <c r="P1962" s="17"/>
      <c r="Q1962" s="17"/>
      <c r="R1962" s="17"/>
      <c r="S1962" s="17"/>
      <c r="T1962" s="17"/>
      <c r="U1962" s="17"/>
      <c r="V1962" s="17"/>
      <c r="W1962" s="17"/>
      <c r="X1962" s="17"/>
      <c r="Y1962" s="17"/>
      <c r="Z1962" s="31"/>
      <c r="AA1962" s="32"/>
    </row>
    <row r="1963" spans="1:27" ht="12.75">
      <c r="A1963" s="17"/>
      <c r="B1963" s="17"/>
      <c r="C1963" s="17"/>
      <c r="D1963" s="17"/>
      <c r="E1963" s="17"/>
      <c r="F1963" s="17"/>
      <c r="G1963" s="17"/>
      <c r="H1963" s="17"/>
      <c r="I1963" s="31"/>
      <c r="J1963" s="17"/>
      <c r="K1963" s="17"/>
      <c r="L1963" s="17"/>
      <c r="M1963" s="17"/>
      <c r="N1963" s="17"/>
      <c r="O1963" s="17"/>
      <c r="P1963" s="17"/>
      <c r="Q1963" s="17"/>
      <c r="R1963" s="17"/>
      <c r="S1963" s="17"/>
      <c r="T1963" s="17"/>
      <c r="U1963" s="17"/>
      <c r="V1963" s="17"/>
      <c r="W1963" s="17"/>
      <c r="X1963" s="17"/>
      <c r="Y1963" s="17"/>
      <c r="Z1963" s="31"/>
      <c r="AA1963" s="32"/>
    </row>
    <row r="1964" spans="1:27" ht="12.75">
      <c r="A1964" s="17"/>
      <c r="B1964" s="17"/>
      <c r="C1964" s="17"/>
      <c r="D1964" s="17"/>
      <c r="E1964" s="17"/>
      <c r="F1964" s="17"/>
      <c r="G1964" s="17"/>
      <c r="H1964" s="17"/>
      <c r="I1964" s="31"/>
      <c r="J1964" s="17"/>
      <c r="K1964" s="17"/>
      <c r="L1964" s="17"/>
      <c r="M1964" s="17"/>
      <c r="N1964" s="17"/>
      <c r="O1964" s="17"/>
      <c r="P1964" s="17"/>
      <c r="Q1964" s="17"/>
      <c r="R1964" s="17"/>
      <c r="S1964" s="17"/>
      <c r="T1964" s="17"/>
      <c r="U1964" s="17"/>
      <c r="V1964" s="17"/>
      <c r="W1964" s="17"/>
      <c r="X1964" s="17"/>
      <c r="Y1964" s="17"/>
      <c r="Z1964" s="31"/>
      <c r="AA1964" s="32"/>
    </row>
    <row r="1965" spans="1:27" ht="12.75">
      <c r="A1965" s="17"/>
      <c r="B1965" s="17"/>
      <c r="C1965" s="17"/>
      <c r="D1965" s="17"/>
      <c r="E1965" s="17"/>
      <c r="F1965" s="17"/>
      <c r="G1965" s="17"/>
      <c r="H1965" s="17"/>
      <c r="I1965" s="31"/>
      <c r="J1965" s="17"/>
      <c r="K1965" s="17"/>
      <c r="L1965" s="17"/>
      <c r="M1965" s="17"/>
      <c r="N1965" s="17"/>
      <c r="O1965" s="17"/>
      <c r="P1965" s="17"/>
      <c r="Q1965" s="17"/>
      <c r="R1965" s="17"/>
      <c r="S1965" s="17"/>
      <c r="T1965" s="17"/>
      <c r="U1965" s="17"/>
      <c r="V1965" s="17"/>
      <c r="W1965" s="17"/>
      <c r="X1965" s="17"/>
      <c r="Y1965" s="17"/>
      <c r="Z1965" s="31"/>
      <c r="AA1965" s="32"/>
    </row>
    <row r="1966" spans="1:27" ht="12.75">
      <c r="A1966" s="17"/>
      <c r="B1966" s="17"/>
      <c r="C1966" s="17"/>
      <c r="D1966" s="17"/>
      <c r="E1966" s="17"/>
      <c r="F1966" s="17"/>
      <c r="G1966" s="17"/>
      <c r="H1966" s="17"/>
      <c r="I1966" s="31"/>
      <c r="J1966" s="17"/>
      <c r="K1966" s="17"/>
      <c r="L1966" s="17"/>
      <c r="M1966" s="17"/>
      <c r="N1966" s="17"/>
      <c r="O1966" s="17"/>
      <c r="P1966" s="17"/>
      <c r="Q1966" s="17"/>
      <c r="R1966" s="17"/>
      <c r="S1966" s="17"/>
      <c r="T1966" s="17"/>
      <c r="U1966" s="17"/>
      <c r="V1966" s="17"/>
      <c r="W1966" s="17"/>
      <c r="X1966" s="17"/>
      <c r="Y1966" s="17"/>
      <c r="Z1966" s="31"/>
      <c r="AA1966" s="32"/>
    </row>
    <row r="1967" spans="1:27" ht="12.75">
      <c r="A1967" s="17"/>
      <c r="B1967" s="17"/>
      <c r="C1967" s="17"/>
      <c r="D1967" s="17"/>
      <c r="E1967" s="17"/>
      <c r="F1967" s="17"/>
      <c r="G1967" s="17"/>
      <c r="H1967" s="17"/>
      <c r="I1967" s="31"/>
      <c r="J1967" s="17"/>
      <c r="K1967" s="17"/>
      <c r="L1967" s="17"/>
      <c r="M1967" s="17"/>
      <c r="N1967" s="17"/>
      <c r="O1967" s="17"/>
      <c r="P1967" s="17"/>
      <c r="Q1967" s="17"/>
      <c r="R1967" s="17"/>
      <c r="S1967" s="17"/>
      <c r="T1967" s="17"/>
      <c r="U1967" s="17"/>
      <c r="V1967" s="17"/>
      <c r="W1967" s="17"/>
      <c r="X1967" s="17"/>
      <c r="Y1967" s="17"/>
      <c r="Z1967" s="31"/>
      <c r="AA1967" s="32"/>
    </row>
    <row r="1968" spans="1:27" ht="12.75">
      <c r="A1968" s="17"/>
      <c r="B1968" s="17"/>
      <c r="C1968" s="17"/>
      <c r="D1968" s="17"/>
      <c r="E1968" s="17"/>
      <c r="F1968" s="17"/>
      <c r="G1968" s="17"/>
      <c r="H1968" s="17"/>
      <c r="I1968" s="31"/>
      <c r="J1968" s="17"/>
      <c r="K1968" s="17"/>
      <c r="L1968" s="17"/>
      <c r="M1968" s="17"/>
      <c r="N1968" s="17"/>
      <c r="O1968" s="17"/>
      <c r="P1968" s="17"/>
      <c r="Q1968" s="17"/>
      <c r="R1968" s="17"/>
      <c r="S1968" s="17"/>
      <c r="T1968" s="17"/>
      <c r="U1968" s="17"/>
      <c r="V1968" s="17"/>
      <c r="W1968" s="17"/>
      <c r="X1968" s="17"/>
      <c r="Y1968" s="17"/>
      <c r="Z1968" s="31"/>
      <c r="AA1968" s="32"/>
    </row>
    <row r="1969" spans="1:27" ht="12.75">
      <c r="A1969" s="17"/>
      <c r="B1969" s="17"/>
      <c r="C1969" s="17"/>
      <c r="D1969" s="17"/>
      <c r="E1969" s="17"/>
      <c r="F1969" s="17"/>
      <c r="G1969" s="17"/>
      <c r="H1969" s="17"/>
      <c r="I1969" s="31"/>
      <c r="J1969" s="17"/>
      <c r="K1969" s="17"/>
      <c r="L1969" s="17"/>
      <c r="M1969" s="17"/>
      <c r="N1969" s="17"/>
      <c r="O1969" s="17"/>
      <c r="P1969" s="17"/>
      <c r="Q1969" s="17"/>
      <c r="R1969" s="17"/>
      <c r="S1969" s="17"/>
      <c r="T1969" s="17"/>
      <c r="U1969" s="17"/>
      <c r="V1969" s="17"/>
      <c r="W1969" s="17"/>
      <c r="X1969" s="17"/>
      <c r="Y1969" s="17"/>
      <c r="Z1969" s="31"/>
      <c r="AA1969" s="32"/>
    </row>
    <row r="1970" spans="1:27" ht="12.75">
      <c r="A1970" s="17"/>
      <c r="B1970" s="17"/>
      <c r="C1970" s="17"/>
      <c r="D1970" s="17"/>
      <c r="E1970" s="17"/>
      <c r="F1970" s="17"/>
      <c r="G1970" s="17"/>
      <c r="H1970" s="17"/>
      <c r="I1970" s="31"/>
      <c r="J1970" s="17"/>
      <c r="K1970" s="17"/>
      <c r="L1970" s="17"/>
      <c r="M1970" s="17"/>
      <c r="N1970" s="17"/>
      <c r="O1970" s="17"/>
      <c r="P1970" s="17"/>
      <c r="Q1970" s="17"/>
      <c r="R1970" s="17"/>
      <c r="S1970" s="17"/>
      <c r="T1970" s="17"/>
      <c r="U1970" s="17"/>
      <c r="V1970" s="17"/>
      <c r="W1970" s="17"/>
      <c r="X1970" s="17"/>
      <c r="Y1970" s="17"/>
      <c r="Z1970" s="31"/>
      <c r="AA1970" s="32"/>
    </row>
    <row r="1971" spans="1:27" ht="12.75">
      <c r="A1971" s="17"/>
      <c r="B1971" s="17"/>
      <c r="C1971" s="17"/>
      <c r="D1971" s="17"/>
      <c r="E1971" s="17"/>
      <c r="F1971" s="17"/>
      <c r="G1971" s="17"/>
      <c r="H1971" s="17"/>
      <c r="I1971" s="31"/>
      <c r="J1971" s="17"/>
      <c r="K1971" s="17"/>
      <c r="L1971" s="17"/>
      <c r="M1971" s="17"/>
      <c r="N1971" s="17"/>
      <c r="O1971" s="17"/>
      <c r="P1971" s="17"/>
      <c r="Q1971" s="17"/>
      <c r="R1971" s="17"/>
      <c r="S1971" s="17"/>
      <c r="T1971" s="17"/>
      <c r="U1971" s="17"/>
      <c r="V1971" s="17"/>
      <c r="W1971" s="17"/>
      <c r="X1971" s="17"/>
      <c r="Y1971" s="17"/>
      <c r="Z1971" s="31"/>
      <c r="AA1971" s="32"/>
    </row>
    <row r="1972" spans="1:27" ht="12.75">
      <c r="A1972" s="17"/>
      <c r="B1972" s="17"/>
      <c r="C1972" s="17"/>
      <c r="D1972" s="17"/>
      <c r="E1972" s="17"/>
      <c r="F1972" s="17"/>
      <c r="G1972" s="17"/>
      <c r="H1972" s="17"/>
      <c r="I1972" s="31"/>
      <c r="J1972" s="17"/>
      <c r="K1972" s="17"/>
      <c r="L1972" s="17"/>
      <c r="M1972" s="17"/>
      <c r="N1972" s="17"/>
      <c r="O1972" s="17"/>
      <c r="P1972" s="17"/>
      <c r="Q1972" s="17"/>
      <c r="R1972" s="17"/>
      <c r="S1972" s="17"/>
      <c r="T1972" s="17"/>
      <c r="U1972" s="17"/>
      <c r="V1972" s="17"/>
      <c r="W1972" s="17"/>
      <c r="X1972" s="17"/>
      <c r="Y1972" s="17"/>
      <c r="Z1972" s="31"/>
      <c r="AA1972" s="32"/>
    </row>
    <row r="1973" spans="1:27" ht="12.75">
      <c r="A1973" s="17"/>
      <c r="B1973" s="17"/>
      <c r="C1973" s="17"/>
      <c r="D1973" s="17"/>
      <c r="E1973" s="17"/>
      <c r="F1973" s="17"/>
      <c r="G1973" s="17"/>
      <c r="H1973" s="17"/>
      <c r="I1973" s="31"/>
      <c r="J1973" s="17"/>
      <c r="K1973" s="17"/>
      <c r="L1973" s="17"/>
      <c r="M1973" s="17"/>
      <c r="N1973" s="17"/>
      <c r="O1973" s="17"/>
      <c r="P1973" s="17"/>
      <c r="Q1973" s="17"/>
      <c r="R1973" s="17"/>
      <c r="S1973" s="17"/>
      <c r="T1973" s="17"/>
      <c r="U1973" s="17"/>
      <c r="V1973" s="17"/>
      <c r="W1973" s="17"/>
      <c r="X1973" s="17"/>
      <c r="Y1973" s="17"/>
      <c r="Z1973" s="31"/>
      <c r="AA1973" s="32"/>
    </row>
    <row r="1974" spans="1:27" ht="12.75">
      <c r="A1974" s="17"/>
      <c r="B1974" s="17"/>
      <c r="C1974" s="17"/>
      <c r="D1974" s="17"/>
      <c r="E1974" s="17"/>
      <c r="F1974" s="17"/>
      <c r="G1974" s="17"/>
      <c r="H1974" s="17"/>
      <c r="I1974" s="31"/>
      <c r="J1974" s="17"/>
      <c r="K1974" s="17"/>
      <c r="L1974" s="17"/>
      <c r="M1974" s="17"/>
      <c r="N1974" s="17"/>
      <c r="O1974" s="17"/>
      <c r="P1974" s="17"/>
      <c r="Q1974" s="17"/>
      <c r="R1974" s="17"/>
      <c r="S1974" s="17"/>
      <c r="T1974" s="17"/>
      <c r="U1974" s="17"/>
      <c r="V1974" s="17"/>
      <c r="W1974" s="17"/>
      <c r="X1974" s="17"/>
      <c r="Y1974" s="17"/>
      <c r="Z1974" s="31"/>
      <c r="AA1974" s="32"/>
    </row>
    <row r="1975" spans="1:27" ht="12.75">
      <c r="A1975" s="17"/>
      <c r="B1975" s="17"/>
      <c r="C1975" s="17"/>
      <c r="D1975" s="17"/>
      <c r="E1975" s="17"/>
      <c r="F1975" s="17"/>
      <c r="G1975" s="17"/>
      <c r="H1975" s="17"/>
      <c r="I1975" s="31"/>
      <c r="J1975" s="17"/>
      <c r="K1975" s="17"/>
      <c r="L1975" s="17"/>
      <c r="M1975" s="17"/>
      <c r="N1975" s="17"/>
      <c r="O1975" s="17"/>
      <c r="P1975" s="17"/>
      <c r="Q1975" s="17"/>
      <c r="R1975" s="17"/>
      <c r="S1975" s="17"/>
      <c r="T1975" s="17"/>
      <c r="U1975" s="17"/>
      <c r="V1975" s="17"/>
      <c r="W1975" s="17"/>
      <c r="X1975" s="17"/>
      <c r="Y1975" s="17"/>
      <c r="Z1975" s="31"/>
      <c r="AA1975" s="32"/>
    </row>
    <row r="1976" spans="1:27" ht="12.75">
      <c r="A1976" s="17"/>
      <c r="B1976" s="17"/>
      <c r="C1976" s="17"/>
      <c r="D1976" s="17"/>
      <c r="E1976" s="17"/>
      <c r="F1976" s="17"/>
      <c r="G1976" s="17"/>
      <c r="H1976" s="17"/>
      <c r="I1976" s="31"/>
      <c r="J1976" s="17"/>
      <c r="K1976" s="17"/>
      <c r="L1976" s="17"/>
      <c r="M1976" s="17"/>
      <c r="N1976" s="17"/>
      <c r="O1976" s="17"/>
      <c r="P1976" s="17"/>
      <c r="Q1976" s="17"/>
      <c r="R1976" s="17"/>
      <c r="S1976" s="17"/>
      <c r="T1976" s="17"/>
      <c r="U1976" s="17"/>
      <c r="V1976" s="17"/>
      <c r="W1976" s="17"/>
      <c r="X1976" s="17"/>
      <c r="Y1976" s="17"/>
      <c r="Z1976" s="31"/>
      <c r="AA1976" s="32"/>
    </row>
    <row r="1977" spans="1:27" ht="12.75">
      <c r="A1977" s="17"/>
      <c r="B1977" s="17"/>
      <c r="C1977" s="17"/>
      <c r="D1977" s="17"/>
      <c r="E1977" s="17"/>
      <c r="F1977" s="17"/>
      <c r="G1977" s="17"/>
      <c r="H1977" s="17"/>
      <c r="I1977" s="31"/>
      <c r="J1977" s="17"/>
      <c r="K1977" s="17"/>
      <c r="L1977" s="17"/>
      <c r="M1977" s="17"/>
      <c r="N1977" s="17"/>
      <c r="O1977" s="17"/>
      <c r="P1977" s="17"/>
      <c r="Q1977" s="17"/>
      <c r="R1977" s="17"/>
      <c r="S1977" s="17"/>
      <c r="T1977" s="17"/>
      <c r="U1977" s="17"/>
      <c r="V1977" s="17"/>
      <c r="W1977" s="17"/>
      <c r="X1977" s="17"/>
      <c r="Y1977" s="17"/>
      <c r="Z1977" s="31"/>
      <c r="AA1977" s="32"/>
    </row>
    <row r="1978" spans="1:27" ht="12.75">
      <c r="A1978" s="17"/>
      <c r="B1978" s="17"/>
      <c r="C1978" s="17"/>
      <c r="D1978" s="17"/>
      <c r="E1978" s="17"/>
      <c r="F1978" s="17"/>
      <c r="G1978" s="17"/>
      <c r="H1978" s="17"/>
      <c r="I1978" s="31"/>
      <c r="J1978" s="17"/>
      <c r="K1978" s="17"/>
      <c r="L1978" s="17"/>
      <c r="M1978" s="17"/>
      <c r="N1978" s="17"/>
      <c r="O1978" s="17"/>
      <c r="P1978" s="17"/>
      <c r="Q1978" s="17"/>
      <c r="R1978" s="17"/>
      <c r="S1978" s="17"/>
      <c r="T1978" s="17"/>
      <c r="U1978" s="17"/>
      <c r="V1978" s="17"/>
      <c r="W1978" s="17"/>
      <c r="X1978" s="17"/>
      <c r="Y1978" s="17"/>
      <c r="Z1978" s="31"/>
      <c r="AA1978" s="32"/>
    </row>
    <row r="1979" spans="1:27" ht="12.75">
      <c r="A1979" s="17"/>
      <c r="B1979" s="17"/>
      <c r="C1979" s="17"/>
      <c r="D1979" s="17"/>
      <c r="E1979" s="17"/>
      <c r="F1979" s="17"/>
      <c r="G1979" s="17"/>
      <c r="H1979" s="17"/>
      <c r="I1979" s="31"/>
      <c r="J1979" s="17"/>
      <c r="K1979" s="17"/>
      <c r="L1979" s="17"/>
      <c r="M1979" s="17"/>
      <c r="N1979" s="17"/>
      <c r="O1979" s="17"/>
      <c r="P1979" s="17"/>
      <c r="Q1979" s="17"/>
      <c r="R1979" s="17"/>
      <c r="S1979" s="17"/>
      <c r="T1979" s="17"/>
      <c r="U1979" s="17"/>
      <c r="V1979" s="17"/>
      <c r="W1979" s="17"/>
      <c r="X1979" s="17"/>
      <c r="Y1979" s="17"/>
      <c r="Z1979" s="31"/>
      <c r="AA1979" s="32"/>
    </row>
    <row r="1980" spans="1:27" ht="12.75">
      <c r="A1980" s="17"/>
      <c r="B1980" s="17"/>
      <c r="C1980" s="17"/>
      <c r="D1980" s="17"/>
      <c r="E1980" s="17"/>
      <c r="F1980" s="17"/>
      <c r="G1980" s="17"/>
      <c r="H1980" s="17"/>
      <c r="I1980" s="31"/>
      <c r="J1980" s="17"/>
      <c r="K1980" s="17"/>
      <c r="L1980" s="17"/>
      <c r="M1980" s="17"/>
      <c r="N1980" s="17"/>
      <c r="O1980" s="17"/>
      <c r="P1980" s="17"/>
      <c r="Q1980" s="17"/>
      <c r="R1980" s="17"/>
      <c r="S1980" s="17"/>
      <c r="T1980" s="17"/>
      <c r="U1980" s="17"/>
      <c r="V1980" s="17"/>
      <c r="W1980" s="17"/>
      <c r="X1980" s="17"/>
      <c r="Y1980" s="17"/>
      <c r="Z1980" s="31"/>
      <c r="AA1980" s="32"/>
    </row>
    <row r="1981" spans="1:27" ht="12.75">
      <c r="A1981" s="17"/>
      <c r="B1981" s="17"/>
      <c r="C1981" s="17"/>
      <c r="D1981" s="17"/>
      <c r="E1981" s="17"/>
      <c r="F1981" s="17"/>
      <c r="G1981" s="17"/>
      <c r="H1981" s="17"/>
      <c r="I1981" s="31"/>
      <c r="J1981" s="17"/>
      <c r="K1981" s="17"/>
      <c r="L1981" s="17"/>
      <c r="M1981" s="17"/>
      <c r="N1981" s="17"/>
      <c r="O1981" s="17"/>
      <c r="P1981" s="17"/>
      <c r="Q1981" s="17"/>
      <c r="R1981" s="17"/>
      <c r="S1981" s="17"/>
      <c r="T1981" s="17"/>
      <c r="U1981" s="17"/>
      <c r="V1981" s="17"/>
      <c r="W1981" s="17"/>
      <c r="X1981" s="17"/>
      <c r="Y1981" s="17"/>
      <c r="Z1981" s="31"/>
      <c r="AA1981" s="32"/>
    </row>
    <row r="1982" spans="1:27" ht="12.75">
      <c r="A1982" s="17"/>
      <c r="B1982" s="17"/>
      <c r="C1982" s="17"/>
      <c r="D1982" s="17"/>
      <c r="E1982" s="17"/>
      <c r="F1982" s="17"/>
      <c r="G1982" s="17"/>
      <c r="H1982" s="17"/>
      <c r="I1982" s="31"/>
      <c r="J1982" s="17"/>
      <c r="K1982" s="17"/>
      <c r="L1982" s="17"/>
      <c r="M1982" s="17"/>
      <c r="N1982" s="17"/>
      <c r="O1982" s="17"/>
      <c r="P1982" s="17"/>
      <c r="Q1982" s="17"/>
      <c r="R1982" s="17"/>
      <c r="S1982" s="17"/>
      <c r="T1982" s="17"/>
      <c r="U1982" s="17"/>
      <c r="V1982" s="17"/>
      <c r="W1982" s="17"/>
      <c r="X1982" s="17"/>
      <c r="Y1982" s="17"/>
      <c r="Z1982" s="31"/>
      <c r="AA1982" s="32"/>
    </row>
    <row r="1983" spans="1:27" ht="12.75">
      <c r="A1983" s="17"/>
      <c r="B1983" s="17"/>
      <c r="C1983" s="17"/>
      <c r="D1983" s="17"/>
      <c r="E1983" s="17"/>
      <c r="F1983" s="17"/>
      <c r="G1983" s="17"/>
      <c r="H1983" s="17"/>
      <c r="I1983" s="31"/>
      <c r="J1983" s="17"/>
      <c r="K1983" s="17"/>
      <c r="L1983" s="17"/>
      <c r="M1983" s="17"/>
      <c r="N1983" s="17"/>
      <c r="O1983" s="17"/>
      <c r="P1983" s="17"/>
      <c r="Q1983" s="17"/>
      <c r="R1983" s="17"/>
      <c r="S1983" s="17"/>
      <c r="T1983" s="17"/>
      <c r="U1983" s="17"/>
      <c r="V1983" s="17"/>
      <c r="W1983" s="17"/>
      <c r="X1983" s="17"/>
      <c r="Y1983" s="17"/>
      <c r="Z1983" s="31"/>
      <c r="AA1983" s="32"/>
    </row>
    <row r="1984" spans="1:27" ht="12.75">
      <c r="A1984" s="17"/>
      <c r="B1984" s="17"/>
      <c r="C1984" s="17"/>
      <c r="D1984" s="17"/>
      <c r="E1984" s="17"/>
      <c r="F1984" s="17"/>
      <c r="G1984" s="17"/>
      <c r="H1984" s="17"/>
      <c r="I1984" s="31"/>
      <c r="J1984" s="17"/>
      <c r="K1984" s="17"/>
      <c r="L1984" s="17"/>
      <c r="M1984" s="17"/>
      <c r="N1984" s="17"/>
      <c r="O1984" s="17"/>
      <c r="P1984" s="17"/>
      <c r="Q1984" s="17"/>
      <c r="R1984" s="17"/>
      <c r="S1984" s="17"/>
      <c r="T1984" s="17"/>
      <c r="U1984" s="17"/>
      <c r="V1984" s="17"/>
      <c r="W1984" s="17"/>
      <c r="X1984" s="17"/>
      <c r="Y1984" s="17"/>
      <c r="Z1984" s="31"/>
      <c r="AA1984" s="32"/>
    </row>
    <row r="1985" spans="1:27" ht="12.75">
      <c r="A1985" s="17"/>
      <c r="B1985" s="17"/>
      <c r="C1985" s="17"/>
      <c r="D1985" s="17"/>
      <c r="E1985" s="17"/>
      <c r="F1985" s="17"/>
      <c r="G1985" s="17"/>
      <c r="H1985" s="17"/>
      <c r="I1985" s="31"/>
      <c r="J1985" s="17"/>
      <c r="K1985" s="17"/>
      <c r="L1985" s="17"/>
      <c r="M1985" s="17"/>
      <c r="N1985" s="17"/>
      <c r="O1985" s="17"/>
      <c r="P1985" s="17"/>
      <c r="Q1985" s="17"/>
      <c r="R1985" s="17"/>
      <c r="S1985" s="17"/>
      <c r="T1985" s="17"/>
      <c r="U1985" s="17"/>
      <c r="V1985" s="17"/>
      <c r="W1985" s="17"/>
      <c r="X1985" s="17"/>
      <c r="Y1985" s="17"/>
      <c r="Z1985" s="31"/>
      <c r="AA1985" s="32"/>
    </row>
    <row r="1986" spans="1:27" ht="12.75">
      <c r="A1986" s="17"/>
      <c r="B1986" s="17"/>
      <c r="C1986" s="17"/>
      <c r="D1986" s="17"/>
      <c r="E1986" s="17"/>
      <c r="F1986" s="17"/>
      <c r="G1986" s="17"/>
      <c r="H1986" s="17"/>
      <c r="I1986" s="31"/>
      <c r="J1986" s="17"/>
      <c r="K1986" s="17"/>
      <c r="L1986" s="17"/>
      <c r="M1986" s="17"/>
      <c r="N1986" s="17"/>
      <c r="O1986" s="17"/>
      <c r="P1986" s="17"/>
      <c r="Q1986" s="17"/>
      <c r="R1986" s="17"/>
      <c r="S1986" s="17"/>
      <c r="T1986" s="17"/>
      <c r="U1986" s="17"/>
      <c r="V1986" s="17"/>
      <c r="W1986" s="17"/>
      <c r="X1986" s="17"/>
      <c r="Y1986" s="17"/>
      <c r="Z1986" s="31"/>
      <c r="AA1986" s="32"/>
    </row>
    <row r="1987" spans="1:27" ht="12.75">
      <c r="A1987" s="17"/>
      <c r="B1987" s="17"/>
      <c r="C1987" s="17"/>
      <c r="D1987" s="17"/>
      <c r="E1987" s="17"/>
      <c r="F1987" s="17"/>
      <c r="G1987" s="17"/>
      <c r="H1987" s="17"/>
      <c r="I1987" s="31"/>
      <c r="J1987" s="17"/>
      <c r="K1987" s="17"/>
      <c r="L1987" s="17"/>
      <c r="M1987" s="17"/>
      <c r="N1987" s="17"/>
      <c r="O1987" s="17"/>
      <c r="P1987" s="17"/>
      <c r="Q1987" s="17"/>
      <c r="R1987" s="17"/>
      <c r="S1987" s="17"/>
      <c r="T1987" s="17"/>
      <c r="U1987" s="17"/>
      <c r="V1987" s="17"/>
      <c r="W1987" s="17"/>
      <c r="X1987" s="17"/>
      <c r="Y1987" s="17"/>
      <c r="Z1987" s="31"/>
      <c r="AA1987" s="32"/>
    </row>
    <row r="1988" spans="1:27" ht="12.75">
      <c r="A1988" s="17"/>
      <c r="B1988" s="17"/>
      <c r="C1988" s="17"/>
      <c r="D1988" s="17"/>
      <c r="E1988" s="17"/>
      <c r="F1988" s="17"/>
      <c r="G1988" s="17"/>
      <c r="H1988" s="17"/>
      <c r="I1988" s="31"/>
      <c r="J1988" s="17"/>
      <c r="K1988" s="17"/>
      <c r="L1988" s="17"/>
      <c r="M1988" s="17"/>
      <c r="N1988" s="17"/>
      <c r="O1988" s="17"/>
      <c r="P1988" s="17"/>
      <c r="Q1988" s="17"/>
      <c r="R1988" s="17"/>
      <c r="S1988" s="17"/>
      <c r="T1988" s="17"/>
      <c r="U1988" s="17"/>
      <c r="V1988" s="17"/>
      <c r="W1988" s="17"/>
      <c r="X1988" s="17"/>
      <c r="Y1988" s="17"/>
      <c r="Z1988" s="31"/>
      <c r="AA1988" s="32"/>
    </row>
    <row r="1989" spans="1:27" ht="12.75">
      <c r="A1989" s="17"/>
      <c r="B1989" s="17"/>
      <c r="C1989" s="17"/>
      <c r="D1989" s="17"/>
      <c r="E1989" s="17"/>
      <c r="F1989" s="17"/>
      <c r="G1989" s="17"/>
      <c r="H1989" s="17"/>
      <c r="I1989" s="31"/>
      <c r="J1989" s="17"/>
      <c r="K1989" s="17"/>
      <c r="L1989" s="17"/>
      <c r="M1989" s="17"/>
      <c r="N1989" s="17"/>
      <c r="O1989" s="17"/>
      <c r="P1989" s="17"/>
      <c r="Q1989" s="17"/>
      <c r="R1989" s="17"/>
      <c r="S1989" s="17"/>
      <c r="T1989" s="17"/>
      <c r="U1989" s="17"/>
      <c r="V1989" s="17"/>
      <c r="W1989" s="17"/>
      <c r="X1989" s="17"/>
      <c r="Y1989" s="17"/>
      <c r="Z1989" s="31"/>
      <c r="AA1989" s="32"/>
    </row>
    <row r="1990" spans="1:27" ht="12.75">
      <c r="A1990" s="17"/>
      <c r="B1990" s="17"/>
      <c r="C1990" s="17"/>
      <c r="D1990" s="17"/>
      <c r="E1990" s="17"/>
      <c r="F1990" s="17"/>
      <c r="G1990" s="17"/>
      <c r="H1990" s="17"/>
      <c r="I1990" s="31"/>
      <c r="J1990" s="17"/>
      <c r="K1990" s="17"/>
      <c r="L1990" s="17"/>
      <c r="M1990" s="17"/>
      <c r="N1990" s="17"/>
      <c r="O1990" s="17"/>
      <c r="P1990" s="17"/>
      <c r="Q1990" s="17"/>
      <c r="R1990" s="17"/>
      <c r="S1990" s="17"/>
      <c r="T1990" s="17"/>
      <c r="U1990" s="17"/>
      <c r="V1990" s="17"/>
      <c r="W1990" s="17"/>
      <c r="X1990" s="17"/>
      <c r="Y1990" s="17"/>
      <c r="Z1990" s="31"/>
      <c r="AA1990" s="32"/>
    </row>
    <row r="1991" spans="1:27" ht="12.75">
      <c r="A1991" s="17"/>
      <c r="B1991" s="17"/>
      <c r="C1991" s="17"/>
      <c r="D1991" s="17"/>
      <c r="E1991" s="17"/>
      <c r="F1991" s="17"/>
      <c r="G1991" s="17"/>
      <c r="H1991" s="17"/>
      <c r="I1991" s="31"/>
      <c r="J1991" s="17"/>
      <c r="K1991" s="17"/>
      <c r="L1991" s="17"/>
      <c r="M1991" s="17"/>
      <c r="N1991" s="17"/>
      <c r="O1991" s="17"/>
      <c r="P1991" s="17"/>
      <c r="Q1991" s="17"/>
      <c r="R1991" s="17"/>
      <c r="S1991" s="17"/>
      <c r="T1991" s="17"/>
      <c r="U1991" s="17"/>
      <c r="V1991" s="17"/>
      <c r="W1991" s="17"/>
      <c r="X1991" s="17"/>
      <c r="Y1991" s="17"/>
      <c r="Z1991" s="31"/>
      <c r="AA1991" s="32"/>
    </row>
    <row r="1992" spans="1:27" ht="12.75">
      <c r="A1992" s="17"/>
      <c r="B1992" s="17"/>
      <c r="C1992" s="17"/>
      <c r="D1992" s="17"/>
      <c r="E1992" s="17"/>
      <c r="F1992" s="17"/>
      <c r="G1992" s="17"/>
      <c r="H1992" s="17"/>
      <c r="I1992" s="31"/>
      <c r="J1992" s="17"/>
      <c r="K1992" s="17"/>
      <c r="L1992" s="17"/>
      <c r="M1992" s="17"/>
      <c r="N1992" s="17"/>
      <c r="O1992" s="17"/>
      <c r="P1992" s="17"/>
      <c r="Q1992" s="17"/>
      <c r="R1992" s="17"/>
      <c r="S1992" s="17"/>
      <c r="T1992" s="17"/>
      <c r="U1992" s="17"/>
      <c r="V1992" s="17"/>
      <c r="W1992" s="17"/>
      <c r="X1992" s="17"/>
      <c r="Y1992" s="17"/>
      <c r="Z1992" s="31"/>
      <c r="AA1992" s="32"/>
    </row>
    <row r="1993" spans="1:27" ht="12.75">
      <c r="A1993" s="17"/>
      <c r="B1993" s="17"/>
      <c r="C1993" s="17"/>
      <c r="D1993" s="17"/>
      <c r="E1993" s="17"/>
      <c r="F1993" s="17"/>
      <c r="G1993" s="17"/>
      <c r="H1993" s="17"/>
      <c r="I1993" s="31"/>
      <c r="J1993" s="17"/>
      <c r="K1993" s="17"/>
      <c r="L1993" s="17"/>
      <c r="M1993" s="17"/>
      <c r="N1993" s="17"/>
      <c r="O1993" s="17"/>
      <c r="P1993" s="17"/>
      <c r="Q1993" s="17"/>
      <c r="R1993" s="17"/>
      <c r="S1993" s="17"/>
      <c r="T1993" s="17"/>
      <c r="U1993" s="17"/>
      <c r="V1993" s="17"/>
      <c r="W1993" s="17"/>
      <c r="X1993" s="17"/>
      <c r="Y1993" s="17"/>
      <c r="Z1993" s="31"/>
      <c r="AA1993" s="32"/>
    </row>
    <row r="1994" spans="1:27" ht="12.75">
      <c r="A1994" s="17"/>
      <c r="B1994" s="17"/>
      <c r="C1994" s="17"/>
      <c r="D1994" s="17"/>
      <c r="E1994" s="17"/>
      <c r="F1994" s="17"/>
      <c r="G1994" s="17"/>
      <c r="H1994" s="17"/>
      <c r="I1994" s="31"/>
      <c r="J1994" s="17"/>
      <c r="K1994" s="17"/>
      <c r="L1994" s="17"/>
      <c r="M1994" s="17"/>
      <c r="N1994" s="17"/>
      <c r="O1994" s="17"/>
      <c r="P1994" s="17"/>
      <c r="Q1994" s="17"/>
      <c r="R1994" s="17"/>
      <c r="S1994" s="17"/>
      <c r="T1994" s="17"/>
      <c r="U1994" s="17"/>
      <c r="V1994" s="17"/>
      <c r="W1994" s="17"/>
      <c r="X1994" s="17"/>
      <c r="Y1994" s="17"/>
      <c r="Z1994" s="31"/>
      <c r="AA1994" s="32"/>
    </row>
    <row r="1995" spans="1:27" ht="12.75">
      <c r="A1995" s="17"/>
      <c r="B1995" s="17"/>
      <c r="C1995" s="17"/>
      <c r="D1995" s="17"/>
      <c r="E1995" s="17"/>
      <c r="F1995" s="17"/>
      <c r="G1995" s="17"/>
      <c r="H1995" s="17"/>
      <c r="I1995" s="31"/>
      <c r="J1995" s="17"/>
      <c r="K1995" s="17"/>
      <c r="L1995" s="17"/>
      <c r="M1995" s="17"/>
      <c r="N1995" s="17"/>
      <c r="O1995" s="17"/>
      <c r="P1995" s="17"/>
      <c r="Q1995" s="17"/>
      <c r="R1995" s="17"/>
      <c r="S1995" s="17"/>
      <c r="T1995" s="17"/>
      <c r="U1995" s="17"/>
      <c r="V1995" s="17"/>
      <c r="W1995" s="17"/>
      <c r="X1995" s="17"/>
      <c r="Y1995" s="17"/>
      <c r="Z1995" s="31"/>
      <c r="AA1995" s="32"/>
    </row>
    <row r="1996" spans="1:27" ht="12.75">
      <c r="A1996" s="17"/>
      <c r="B1996" s="17"/>
      <c r="C1996" s="17"/>
      <c r="D1996" s="17"/>
      <c r="E1996" s="17"/>
      <c r="F1996" s="17"/>
      <c r="G1996" s="17"/>
      <c r="H1996" s="17"/>
      <c r="I1996" s="31"/>
      <c r="J1996" s="17"/>
      <c r="K1996" s="17"/>
      <c r="L1996" s="17"/>
      <c r="M1996" s="17"/>
      <c r="N1996" s="17"/>
      <c r="O1996" s="17"/>
      <c r="P1996" s="17"/>
      <c r="Q1996" s="17"/>
      <c r="R1996" s="17"/>
      <c r="S1996" s="17"/>
      <c r="T1996" s="17"/>
      <c r="U1996" s="17"/>
      <c r="V1996" s="17"/>
      <c r="W1996" s="17"/>
      <c r="X1996" s="17"/>
      <c r="Y1996" s="17"/>
      <c r="Z1996" s="31"/>
      <c r="AA1996" s="32"/>
    </row>
    <row r="1997" spans="1:27" ht="12.75">
      <c r="A1997" s="17"/>
      <c r="B1997" s="17"/>
      <c r="C1997" s="17"/>
      <c r="D1997" s="17"/>
      <c r="E1997" s="17"/>
      <c r="F1997" s="17"/>
      <c r="G1997" s="17"/>
      <c r="H1997" s="17"/>
      <c r="I1997" s="31"/>
      <c r="J1997" s="17"/>
      <c r="K1997" s="17"/>
      <c r="L1997" s="17"/>
      <c r="M1997" s="17"/>
      <c r="N1997" s="17"/>
      <c r="O1997" s="17"/>
      <c r="P1997" s="17"/>
      <c r="Q1997" s="17"/>
      <c r="R1997" s="17"/>
      <c r="S1997" s="17"/>
      <c r="T1997" s="17"/>
      <c r="U1997" s="17"/>
      <c r="V1997" s="17"/>
      <c r="W1997" s="17"/>
      <c r="X1997" s="17"/>
      <c r="Y1997" s="17"/>
      <c r="Z1997" s="31"/>
      <c r="AA1997" s="32"/>
    </row>
    <row r="1998" spans="1:27" ht="12.75">
      <c r="A1998" s="17"/>
      <c r="B1998" s="17"/>
      <c r="C1998" s="17"/>
      <c r="D1998" s="17"/>
      <c r="E1998" s="17"/>
      <c r="F1998" s="17"/>
      <c r="G1998" s="17"/>
      <c r="H1998" s="17"/>
      <c r="I1998" s="31"/>
      <c r="J1998" s="17"/>
      <c r="K1998" s="17"/>
      <c r="L1998" s="17"/>
      <c r="M1998" s="17"/>
      <c r="N1998" s="17"/>
      <c r="O1998" s="17"/>
      <c r="P1998" s="17"/>
      <c r="Q1998" s="17"/>
      <c r="R1998" s="17"/>
      <c r="S1998" s="17"/>
      <c r="T1998" s="17"/>
      <c r="U1998" s="17"/>
      <c r="V1998" s="17"/>
      <c r="W1998" s="17"/>
      <c r="X1998" s="17"/>
      <c r="Y1998" s="17"/>
      <c r="Z1998" s="31"/>
      <c r="AA1998" s="32"/>
    </row>
    <row r="1999" spans="1:27" ht="12.75">
      <c r="A1999" s="17"/>
      <c r="B1999" s="17"/>
      <c r="C1999" s="17"/>
      <c r="D1999" s="17"/>
      <c r="E1999" s="17"/>
      <c r="F1999" s="17"/>
      <c r="G1999" s="17"/>
      <c r="H1999" s="17"/>
      <c r="I1999" s="31"/>
      <c r="J1999" s="17"/>
      <c r="K1999" s="17"/>
      <c r="L1999" s="17"/>
      <c r="M1999" s="17"/>
      <c r="N1999" s="17"/>
      <c r="O1999" s="17"/>
      <c r="P1999" s="17"/>
      <c r="Q1999" s="17"/>
      <c r="R1999" s="17"/>
      <c r="S1999" s="17"/>
      <c r="T1999" s="17"/>
      <c r="U1999" s="17"/>
      <c r="V1999" s="17"/>
      <c r="W1999" s="17"/>
      <c r="X1999" s="17"/>
      <c r="Y1999" s="17"/>
      <c r="Z1999" s="31"/>
      <c r="AA1999" s="32"/>
    </row>
    <row r="2000" spans="1:27" ht="12.75">
      <c r="A2000" s="17"/>
      <c r="B2000" s="17"/>
      <c r="C2000" s="17"/>
      <c r="D2000" s="17"/>
      <c r="E2000" s="17"/>
      <c r="F2000" s="17"/>
      <c r="G2000" s="17"/>
      <c r="H2000" s="17"/>
      <c r="I2000" s="31"/>
      <c r="J2000" s="17"/>
      <c r="K2000" s="17"/>
      <c r="L2000" s="17"/>
      <c r="M2000" s="17"/>
      <c r="N2000" s="17"/>
      <c r="O2000" s="17"/>
      <c r="P2000" s="17"/>
      <c r="Q2000" s="17"/>
      <c r="R2000" s="17"/>
      <c r="S2000" s="17"/>
      <c r="T2000" s="17"/>
      <c r="U2000" s="17"/>
      <c r="V2000" s="17"/>
      <c r="W2000" s="17"/>
      <c r="X2000" s="17"/>
      <c r="Y2000" s="17"/>
      <c r="Z2000" s="31"/>
      <c r="AA2000" s="32"/>
    </row>
    <row r="2001" spans="1:27" ht="12.75">
      <c r="A2001" s="17"/>
      <c r="B2001" s="17"/>
      <c r="C2001" s="17"/>
      <c r="D2001" s="17"/>
      <c r="E2001" s="17"/>
      <c r="F2001" s="17"/>
      <c r="G2001" s="17"/>
      <c r="H2001" s="17"/>
      <c r="I2001" s="31"/>
      <c r="J2001" s="17"/>
      <c r="K2001" s="17"/>
      <c r="L2001" s="17"/>
      <c r="M2001" s="17"/>
      <c r="N2001" s="17"/>
      <c r="O2001" s="17"/>
      <c r="P2001" s="17"/>
      <c r="Q2001" s="17"/>
      <c r="R2001" s="17"/>
      <c r="S2001" s="17"/>
      <c r="T2001" s="17"/>
      <c r="U2001" s="17"/>
      <c r="V2001" s="17"/>
      <c r="W2001" s="17"/>
      <c r="X2001" s="17"/>
      <c r="Y2001" s="17"/>
      <c r="Z2001" s="31"/>
      <c r="AA2001" s="32"/>
    </row>
    <row r="2002" spans="1:27" ht="12.75">
      <c r="A2002" s="17"/>
      <c r="B2002" s="17"/>
      <c r="C2002" s="17"/>
      <c r="D2002" s="17"/>
      <c r="E2002" s="17"/>
      <c r="F2002" s="17"/>
      <c r="G2002" s="17"/>
      <c r="H2002" s="17"/>
      <c r="I2002" s="31"/>
      <c r="J2002" s="17"/>
      <c r="K2002" s="17"/>
      <c r="L2002" s="17"/>
      <c r="M2002" s="17"/>
      <c r="N2002" s="17"/>
      <c r="O2002" s="17"/>
      <c r="P2002" s="17"/>
      <c r="Q2002" s="17"/>
      <c r="R2002" s="17"/>
      <c r="S2002" s="17"/>
      <c r="T2002" s="17"/>
      <c r="U2002" s="17"/>
      <c r="V2002" s="17"/>
      <c r="W2002" s="17"/>
      <c r="X2002" s="17"/>
      <c r="Y2002" s="17"/>
      <c r="Z2002" s="31"/>
      <c r="AA2002" s="32"/>
    </row>
    <row r="2003" spans="1:27" ht="12.75">
      <c r="A2003" s="17"/>
      <c r="B2003" s="17"/>
      <c r="C2003" s="17"/>
      <c r="D2003" s="17"/>
      <c r="E2003" s="17"/>
      <c r="F2003" s="17"/>
      <c r="G2003" s="17"/>
      <c r="H2003" s="17"/>
      <c r="I2003" s="31"/>
      <c r="J2003" s="17"/>
      <c r="K2003" s="17"/>
      <c r="L2003" s="17"/>
      <c r="M2003" s="17"/>
      <c r="N2003" s="17"/>
      <c r="O2003" s="17"/>
      <c r="P2003" s="17"/>
      <c r="Q2003" s="17"/>
      <c r="R2003" s="17"/>
      <c r="S2003" s="17"/>
      <c r="T2003" s="17"/>
      <c r="U2003" s="17"/>
      <c r="V2003" s="17"/>
      <c r="W2003" s="17"/>
      <c r="X2003" s="17"/>
      <c r="Y2003" s="17"/>
      <c r="Z2003" s="31"/>
      <c r="AA2003" s="32"/>
    </row>
    <row r="2004" spans="1:27" ht="12.75">
      <c r="A2004" s="17"/>
      <c r="B2004" s="17"/>
      <c r="C2004" s="17"/>
      <c r="D2004" s="17"/>
      <c r="E2004" s="17"/>
      <c r="F2004" s="17"/>
      <c r="G2004" s="17"/>
      <c r="H2004" s="17"/>
      <c r="I2004" s="31"/>
      <c r="J2004" s="17"/>
      <c r="K2004" s="17"/>
      <c r="L2004" s="17"/>
      <c r="M2004" s="17"/>
      <c r="N2004" s="17"/>
      <c r="O2004" s="17"/>
      <c r="P2004" s="17"/>
      <c r="Q2004" s="17"/>
      <c r="R2004" s="17"/>
      <c r="S2004" s="17"/>
      <c r="T2004" s="17"/>
      <c r="U2004" s="17"/>
      <c r="V2004" s="17"/>
      <c r="W2004" s="17"/>
      <c r="X2004" s="17"/>
      <c r="Y2004" s="17"/>
      <c r="Z2004" s="31"/>
      <c r="AA2004" s="32"/>
    </row>
    <row r="2005" spans="1:27" ht="12.75">
      <c r="A2005" s="17"/>
      <c r="B2005" s="17"/>
      <c r="C2005" s="17"/>
      <c r="D2005" s="17"/>
      <c r="E2005" s="17"/>
      <c r="F2005" s="17"/>
      <c r="G2005" s="17"/>
      <c r="H2005" s="17"/>
      <c r="I2005" s="31"/>
      <c r="J2005" s="17"/>
      <c r="K2005" s="17"/>
      <c r="L2005" s="17"/>
      <c r="M2005" s="17"/>
      <c r="N2005" s="17"/>
      <c r="O2005" s="17"/>
      <c r="P2005" s="17"/>
      <c r="Q2005" s="17"/>
      <c r="R2005" s="17"/>
      <c r="S2005" s="17"/>
      <c r="T2005" s="17"/>
      <c r="U2005" s="17"/>
      <c r="V2005" s="17"/>
      <c r="W2005" s="17"/>
      <c r="X2005" s="17"/>
      <c r="Y2005" s="17"/>
      <c r="Z2005" s="31"/>
      <c r="AA2005" s="32"/>
    </row>
    <row r="2006" spans="1:27" ht="12.75">
      <c r="A2006" s="17"/>
      <c r="B2006" s="17"/>
      <c r="C2006" s="17"/>
      <c r="D2006" s="17"/>
      <c r="E2006" s="17"/>
      <c r="F2006" s="17"/>
      <c r="G2006" s="17"/>
      <c r="H2006" s="17"/>
      <c r="I2006" s="31"/>
      <c r="J2006" s="17"/>
      <c r="K2006" s="17"/>
      <c r="L2006" s="17"/>
      <c r="M2006" s="17"/>
      <c r="N2006" s="17"/>
      <c r="O2006" s="17"/>
      <c r="P2006" s="17"/>
      <c r="Q2006" s="17"/>
      <c r="R2006" s="17"/>
      <c r="S2006" s="17"/>
      <c r="T2006" s="17"/>
      <c r="U2006" s="17"/>
      <c r="V2006" s="17"/>
      <c r="W2006" s="17"/>
      <c r="X2006" s="17"/>
      <c r="Y2006" s="17"/>
      <c r="Z2006" s="31"/>
      <c r="AA2006" s="32"/>
    </row>
    <row r="2007" spans="1:27" ht="12.75">
      <c r="A2007" s="17"/>
      <c r="B2007" s="17"/>
      <c r="C2007" s="17"/>
      <c r="D2007" s="17"/>
      <c r="E2007" s="17"/>
      <c r="F2007" s="17"/>
      <c r="G2007" s="17"/>
      <c r="H2007" s="17"/>
      <c r="I2007" s="31"/>
      <c r="J2007" s="17"/>
      <c r="K2007" s="17"/>
      <c r="L2007" s="17"/>
      <c r="M2007" s="17"/>
      <c r="N2007" s="17"/>
      <c r="O2007" s="17"/>
      <c r="P2007" s="17"/>
      <c r="Q2007" s="17"/>
      <c r="R2007" s="17"/>
      <c r="S2007" s="17"/>
      <c r="T2007" s="17"/>
      <c r="U2007" s="17"/>
      <c r="V2007" s="17"/>
      <c r="W2007" s="17"/>
      <c r="X2007" s="17"/>
      <c r="Y2007" s="17"/>
      <c r="Z2007" s="31"/>
      <c r="AA2007" s="32"/>
    </row>
    <row r="2008" spans="1:27" ht="12.75">
      <c r="A2008" s="17"/>
      <c r="B2008" s="17"/>
      <c r="C2008" s="17"/>
      <c r="D2008" s="17"/>
      <c r="E2008" s="17"/>
      <c r="F2008" s="17"/>
      <c r="G2008" s="17"/>
      <c r="H2008" s="17"/>
      <c r="I2008" s="31"/>
      <c r="J2008" s="17"/>
      <c r="K2008" s="17"/>
      <c r="L2008" s="17"/>
      <c r="M2008" s="17"/>
      <c r="N2008" s="17"/>
      <c r="O2008" s="17"/>
      <c r="P2008" s="17"/>
      <c r="Q2008" s="17"/>
      <c r="R2008" s="17"/>
      <c r="S2008" s="17"/>
      <c r="T2008" s="17"/>
      <c r="U2008" s="17"/>
      <c r="V2008" s="17"/>
      <c r="W2008" s="17"/>
      <c r="X2008" s="17"/>
      <c r="Y2008" s="17"/>
      <c r="Z2008" s="31"/>
      <c r="AA2008" s="32"/>
    </row>
    <row r="2009" spans="1:27" ht="12.75">
      <c r="A2009" s="17"/>
      <c r="B2009" s="17"/>
      <c r="C2009" s="17"/>
      <c r="D2009" s="17"/>
      <c r="E2009" s="17"/>
      <c r="F2009" s="17"/>
      <c r="G2009" s="17"/>
      <c r="H2009" s="17"/>
      <c r="I2009" s="31"/>
      <c r="J2009" s="17"/>
      <c r="K2009" s="17"/>
      <c r="L2009" s="17"/>
      <c r="M2009" s="17"/>
      <c r="N2009" s="17"/>
      <c r="O2009" s="17"/>
      <c r="P2009" s="17"/>
      <c r="Q2009" s="17"/>
      <c r="R2009" s="17"/>
      <c r="S2009" s="17"/>
      <c r="T2009" s="17"/>
      <c r="U2009" s="17"/>
      <c r="V2009" s="17"/>
      <c r="W2009" s="17"/>
      <c r="X2009" s="17"/>
      <c r="Y2009" s="17"/>
      <c r="Z2009" s="31"/>
      <c r="AA2009" s="32"/>
    </row>
    <row r="2010" spans="1:27" ht="12.75">
      <c r="A2010" s="17"/>
      <c r="B2010" s="17"/>
      <c r="C2010" s="17"/>
      <c r="D2010" s="17"/>
      <c r="E2010" s="17"/>
      <c r="F2010" s="17"/>
      <c r="G2010" s="17"/>
      <c r="H2010" s="17"/>
      <c r="I2010" s="31"/>
      <c r="J2010" s="17"/>
      <c r="K2010" s="17"/>
      <c r="L2010" s="17"/>
      <c r="M2010" s="17"/>
      <c r="N2010" s="17"/>
      <c r="O2010" s="17"/>
      <c r="P2010" s="17"/>
      <c r="Q2010" s="17"/>
      <c r="R2010" s="17"/>
      <c r="S2010" s="17"/>
      <c r="T2010" s="17"/>
      <c r="U2010" s="17"/>
      <c r="V2010" s="17"/>
      <c r="W2010" s="17"/>
      <c r="X2010" s="17"/>
      <c r="Y2010" s="17"/>
      <c r="Z2010" s="31"/>
      <c r="AA2010" s="32"/>
    </row>
    <row r="2011" spans="1:27" ht="12.75">
      <c r="A2011" s="17"/>
      <c r="B2011" s="17"/>
      <c r="C2011" s="17"/>
      <c r="D2011" s="17"/>
      <c r="E2011" s="17"/>
      <c r="F2011" s="17"/>
      <c r="G2011" s="17"/>
      <c r="H2011" s="17"/>
      <c r="I2011" s="31"/>
      <c r="J2011" s="17"/>
      <c r="K2011" s="17"/>
      <c r="L2011" s="17"/>
      <c r="M2011" s="17"/>
      <c r="N2011" s="17"/>
      <c r="O2011" s="17"/>
      <c r="P2011" s="17"/>
      <c r="Q2011" s="17"/>
      <c r="R2011" s="17"/>
      <c r="S2011" s="17"/>
      <c r="T2011" s="17"/>
      <c r="U2011" s="17"/>
      <c r="V2011" s="17"/>
      <c r="W2011" s="17"/>
      <c r="X2011" s="17"/>
      <c r="Y2011" s="17"/>
      <c r="Z2011" s="31"/>
      <c r="AA2011" s="32"/>
    </row>
    <row r="2012" spans="1:27" ht="12.75">
      <c r="A2012" s="17"/>
      <c r="B2012" s="17"/>
      <c r="C2012" s="17"/>
      <c r="D2012" s="17"/>
      <c r="E2012" s="17"/>
      <c r="F2012" s="17"/>
      <c r="G2012" s="17"/>
      <c r="H2012" s="17"/>
      <c r="I2012" s="31"/>
      <c r="J2012" s="17"/>
      <c r="K2012" s="17"/>
      <c r="L2012" s="17"/>
      <c r="M2012" s="17"/>
      <c r="N2012" s="17"/>
      <c r="O2012" s="17"/>
      <c r="P2012" s="17"/>
      <c r="Q2012" s="17"/>
      <c r="R2012" s="17"/>
      <c r="S2012" s="17"/>
      <c r="T2012" s="17"/>
      <c r="U2012" s="17"/>
      <c r="V2012" s="17"/>
      <c r="W2012" s="17"/>
      <c r="X2012" s="17"/>
      <c r="Y2012" s="17"/>
      <c r="Z2012" s="31"/>
      <c r="AA2012" s="32"/>
    </row>
    <row r="2013" spans="1:27" ht="12.75">
      <c r="A2013" s="17"/>
      <c r="B2013" s="17"/>
      <c r="C2013" s="17"/>
      <c r="D2013" s="17"/>
      <c r="E2013" s="17"/>
      <c r="F2013" s="17"/>
      <c r="G2013" s="17"/>
      <c r="H2013" s="17"/>
      <c r="I2013" s="31"/>
      <c r="J2013" s="17"/>
      <c r="K2013" s="17"/>
      <c r="L2013" s="17"/>
      <c r="M2013" s="17"/>
      <c r="N2013" s="17"/>
      <c r="O2013" s="17"/>
      <c r="P2013" s="17"/>
      <c r="Q2013" s="17"/>
      <c r="R2013" s="17"/>
      <c r="S2013" s="17"/>
      <c r="T2013" s="17"/>
      <c r="U2013" s="17"/>
      <c r="V2013" s="17"/>
      <c r="W2013" s="17"/>
      <c r="X2013" s="17"/>
      <c r="Y2013" s="17"/>
      <c r="Z2013" s="31"/>
      <c r="AA2013" s="32"/>
    </row>
    <row r="2014" spans="1:27" ht="12.75">
      <c r="A2014" s="17"/>
      <c r="B2014" s="17"/>
      <c r="C2014" s="17"/>
      <c r="D2014" s="17"/>
      <c r="E2014" s="17"/>
      <c r="F2014" s="17"/>
      <c r="G2014" s="17"/>
      <c r="H2014" s="17"/>
      <c r="I2014" s="31"/>
      <c r="J2014" s="17"/>
      <c r="K2014" s="17"/>
      <c r="L2014" s="17"/>
      <c r="M2014" s="17"/>
      <c r="N2014" s="17"/>
      <c r="O2014" s="17"/>
      <c r="P2014" s="17"/>
      <c r="Q2014" s="17"/>
      <c r="R2014" s="17"/>
      <c r="S2014" s="17"/>
      <c r="T2014" s="17"/>
      <c r="U2014" s="17"/>
      <c r="V2014" s="17"/>
      <c r="W2014" s="17"/>
      <c r="X2014" s="17"/>
      <c r="Y2014" s="17"/>
      <c r="Z2014" s="31"/>
      <c r="AA2014" s="32"/>
    </row>
    <row r="2015" spans="1:27" ht="12.75">
      <c r="A2015" s="17"/>
      <c r="B2015" s="17"/>
      <c r="C2015" s="17"/>
      <c r="D2015" s="17"/>
      <c r="E2015" s="17"/>
      <c r="F2015" s="17"/>
      <c r="G2015" s="17"/>
      <c r="H2015" s="17"/>
      <c r="I2015" s="31"/>
      <c r="J2015" s="17"/>
      <c r="K2015" s="17"/>
      <c r="L2015" s="17"/>
      <c r="M2015" s="17"/>
      <c r="N2015" s="17"/>
      <c r="O2015" s="17"/>
      <c r="P2015" s="17"/>
      <c r="Q2015" s="17"/>
      <c r="R2015" s="17"/>
      <c r="S2015" s="17"/>
      <c r="T2015" s="17"/>
      <c r="U2015" s="17"/>
      <c r="V2015" s="17"/>
      <c r="W2015" s="17"/>
      <c r="X2015" s="17"/>
      <c r="Y2015" s="17"/>
      <c r="Z2015" s="31"/>
      <c r="AA2015" s="32"/>
    </row>
    <row r="2016" spans="1:27" ht="12.75">
      <c r="A2016" s="17"/>
      <c r="B2016" s="17"/>
      <c r="C2016" s="17"/>
      <c r="D2016" s="17"/>
      <c r="E2016" s="17"/>
      <c r="F2016" s="17"/>
      <c r="G2016" s="17"/>
      <c r="H2016" s="17"/>
      <c r="I2016" s="31"/>
      <c r="J2016" s="17"/>
      <c r="K2016" s="17"/>
      <c r="L2016" s="17"/>
      <c r="M2016" s="17"/>
      <c r="N2016" s="17"/>
      <c r="O2016" s="17"/>
      <c r="P2016" s="17"/>
      <c r="Q2016" s="17"/>
      <c r="R2016" s="17"/>
      <c r="S2016" s="17"/>
      <c r="T2016" s="17"/>
      <c r="U2016" s="17"/>
      <c r="V2016" s="17"/>
      <c r="W2016" s="17"/>
      <c r="X2016" s="17"/>
      <c r="Y2016" s="17"/>
      <c r="Z2016" s="31"/>
      <c r="AA2016" s="32"/>
    </row>
    <row r="2017" spans="1:27" ht="12.75">
      <c r="A2017" s="17"/>
      <c r="B2017" s="17"/>
      <c r="C2017" s="17"/>
      <c r="D2017" s="17"/>
      <c r="E2017" s="17"/>
      <c r="F2017" s="17"/>
      <c r="G2017" s="17"/>
      <c r="H2017" s="17"/>
      <c r="I2017" s="31"/>
      <c r="J2017" s="17"/>
      <c r="K2017" s="17"/>
      <c r="L2017" s="17"/>
      <c r="M2017" s="17"/>
      <c r="N2017" s="17"/>
      <c r="O2017" s="17"/>
      <c r="P2017" s="17"/>
      <c r="Q2017" s="17"/>
      <c r="R2017" s="17"/>
      <c r="S2017" s="17"/>
      <c r="T2017" s="17"/>
      <c r="U2017" s="17"/>
      <c r="V2017" s="17"/>
      <c r="W2017" s="17"/>
      <c r="X2017" s="17"/>
      <c r="Y2017" s="17"/>
      <c r="Z2017" s="31"/>
      <c r="AA2017" s="32"/>
    </row>
    <row r="2018" spans="1:27" ht="12.75">
      <c r="A2018" s="17"/>
      <c r="B2018" s="17"/>
      <c r="C2018" s="17"/>
      <c r="D2018" s="17"/>
      <c r="E2018" s="17"/>
      <c r="F2018" s="17"/>
      <c r="G2018" s="17"/>
      <c r="H2018" s="17"/>
      <c r="I2018" s="31"/>
      <c r="J2018" s="17"/>
      <c r="K2018" s="17"/>
      <c r="L2018" s="17"/>
      <c r="M2018" s="17"/>
      <c r="N2018" s="17"/>
      <c r="O2018" s="17"/>
      <c r="P2018" s="17"/>
      <c r="Q2018" s="17"/>
      <c r="R2018" s="17"/>
      <c r="S2018" s="17"/>
      <c r="T2018" s="17"/>
      <c r="U2018" s="17"/>
      <c r="V2018" s="17"/>
      <c r="W2018" s="17"/>
      <c r="X2018" s="17"/>
      <c r="Y2018" s="17"/>
      <c r="Z2018" s="31"/>
      <c r="AA2018" s="32"/>
    </row>
    <row r="2019" spans="1:27" ht="12.75">
      <c r="A2019" s="17"/>
      <c r="B2019" s="17"/>
      <c r="C2019" s="17"/>
      <c r="D2019" s="17"/>
      <c r="E2019" s="17"/>
      <c r="F2019" s="17"/>
      <c r="G2019" s="17"/>
      <c r="H2019" s="17"/>
      <c r="I2019" s="31"/>
      <c r="J2019" s="17"/>
      <c r="K2019" s="17"/>
      <c r="L2019" s="17"/>
      <c r="M2019" s="17"/>
      <c r="N2019" s="17"/>
      <c r="O2019" s="17"/>
      <c r="P2019" s="17"/>
      <c r="Q2019" s="17"/>
      <c r="R2019" s="17"/>
      <c r="S2019" s="17"/>
      <c r="T2019" s="17"/>
      <c r="U2019" s="17"/>
      <c r="V2019" s="17"/>
      <c r="W2019" s="17"/>
      <c r="X2019" s="17"/>
      <c r="Y2019" s="17"/>
      <c r="Z2019" s="31"/>
      <c r="AA2019" s="32"/>
    </row>
    <row r="2020" spans="1:27" ht="12.75">
      <c r="A2020" s="17"/>
      <c r="B2020" s="17"/>
      <c r="C2020" s="17"/>
      <c r="D2020" s="17"/>
      <c r="E2020" s="17"/>
      <c r="F2020" s="17"/>
      <c r="G2020" s="17"/>
      <c r="H2020" s="17"/>
      <c r="I2020" s="31"/>
      <c r="J2020" s="17"/>
      <c r="K2020" s="17"/>
      <c r="L2020" s="17"/>
      <c r="M2020" s="17"/>
      <c r="N2020" s="17"/>
      <c r="O2020" s="17"/>
      <c r="P2020" s="17"/>
      <c r="Q2020" s="17"/>
      <c r="R2020" s="17"/>
      <c r="S2020" s="17"/>
      <c r="T2020" s="17"/>
      <c r="U2020" s="17"/>
      <c r="V2020" s="17"/>
      <c r="W2020" s="17"/>
      <c r="X2020" s="17"/>
      <c r="Y2020" s="17"/>
      <c r="Z2020" s="31"/>
      <c r="AA2020" s="32"/>
    </row>
    <row r="2021" spans="1:27" ht="12.75">
      <c r="A2021" s="17"/>
      <c r="B2021" s="17"/>
      <c r="C2021" s="17"/>
      <c r="D2021" s="17"/>
      <c r="E2021" s="17"/>
      <c r="F2021" s="17"/>
      <c r="G2021" s="17"/>
      <c r="H2021" s="17"/>
      <c r="I2021" s="31"/>
      <c r="J2021" s="17"/>
      <c r="K2021" s="17"/>
      <c r="L2021" s="17"/>
      <c r="M2021" s="17"/>
      <c r="N2021" s="17"/>
      <c r="O2021" s="17"/>
      <c r="P2021" s="17"/>
      <c r="Q2021" s="17"/>
      <c r="R2021" s="17"/>
      <c r="S2021" s="17"/>
      <c r="T2021" s="17"/>
      <c r="U2021" s="17"/>
      <c r="V2021" s="17"/>
      <c r="W2021" s="17"/>
      <c r="X2021" s="17"/>
      <c r="Y2021" s="17"/>
      <c r="Z2021" s="31"/>
      <c r="AA2021" s="32"/>
    </row>
    <row r="2022" spans="1:27" ht="12.75">
      <c r="A2022" s="17"/>
      <c r="B2022" s="17"/>
      <c r="C2022" s="17"/>
      <c r="D2022" s="17"/>
      <c r="E2022" s="17"/>
      <c r="F2022" s="17"/>
      <c r="G2022" s="17"/>
      <c r="H2022" s="17"/>
      <c r="I2022" s="31"/>
      <c r="J2022" s="17"/>
      <c r="K2022" s="17"/>
      <c r="L2022" s="17"/>
      <c r="M2022" s="17"/>
      <c r="N2022" s="17"/>
      <c r="O2022" s="17"/>
      <c r="P2022" s="17"/>
      <c r="Q2022" s="17"/>
      <c r="R2022" s="17"/>
      <c r="S2022" s="17"/>
      <c r="T2022" s="17"/>
      <c r="U2022" s="17"/>
      <c r="V2022" s="17"/>
      <c r="W2022" s="17"/>
      <c r="X2022" s="17"/>
      <c r="Y2022" s="17"/>
      <c r="Z2022" s="31"/>
      <c r="AA2022" s="32"/>
    </row>
    <row r="2023" spans="1:27" ht="12.75">
      <c r="A2023" s="17"/>
      <c r="B2023" s="17"/>
      <c r="C2023" s="17"/>
      <c r="D2023" s="17"/>
      <c r="E2023" s="17"/>
      <c r="F2023" s="17"/>
      <c r="G2023" s="17"/>
      <c r="H2023" s="17"/>
      <c r="I2023" s="31"/>
      <c r="J2023" s="17"/>
      <c r="K2023" s="17"/>
      <c r="L2023" s="17"/>
      <c r="M2023" s="17"/>
      <c r="N2023" s="17"/>
      <c r="O2023" s="17"/>
      <c r="P2023" s="17"/>
      <c r="Q2023" s="17"/>
      <c r="R2023" s="17"/>
      <c r="S2023" s="17"/>
      <c r="T2023" s="17"/>
      <c r="U2023" s="17"/>
      <c r="V2023" s="17"/>
      <c r="W2023" s="17"/>
      <c r="X2023" s="17"/>
      <c r="Y2023" s="17"/>
      <c r="Z2023" s="31"/>
      <c r="AA2023" s="32"/>
    </row>
    <row r="2024" spans="1:27" ht="12.75">
      <c r="A2024" s="17"/>
      <c r="B2024" s="17"/>
      <c r="C2024" s="17"/>
      <c r="D2024" s="17"/>
      <c r="E2024" s="17"/>
      <c r="F2024" s="17"/>
      <c r="G2024" s="17"/>
      <c r="H2024" s="17"/>
      <c r="I2024" s="31"/>
      <c r="J2024" s="17"/>
      <c r="K2024" s="17"/>
      <c r="L2024" s="17"/>
      <c r="M2024" s="17"/>
      <c r="N2024" s="17"/>
      <c r="O2024" s="17"/>
      <c r="P2024" s="17"/>
      <c r="Q2024" s="17"/>
      <c r="R2024" s="17"/>
      <c r="S2024" s="17"/>
      <c r="T2024" s="17"/>
      <c r="U2024" s="17"/>
      <c r="V2024" s="17"/>
      <c r="W2024" s="17"/>
      <c r="X2024" s="17"/>
      <c r="Y2024" s="17"/>
      <c r="Z2024" s="31"/>
      <c r="AA2024" s="32"/>
    </row>
    <row r="2025" spans="1:27" ht="12.75">
      <c r="A2025" s="17"/>
      <c r="B2025" s="17"/>
      <c r="C2025" s="17"/>
      <c r="D2025" s="17"/>
      <c r="E2025" s="17"/>
      <c r="F2025" s="17"/>
      <c r="G2025" s="17"/>
      <c r="H2025" s="17"/>
      <c r="I2025" s="31"/>
      <c r="J2025" s="17"/>
      <c r="K2025" s="17"/>
      <c r="L2025" s="17"/>
      <c r="M2025" s="17"/>
      <c r="N2025" s="17"/>
      <c r="O2025" s="17"/>
      <c r="P2025" s="17"/>
      <c r="Q2025" s="17"/>
      <c r="R2025" s="17"/>
      <c r="S2025" s="17"/>
      <c r="T2025" s="17"/>
      <c r="U2025" s="17"/>
      <c r="V2025" s="17"/>
      <c r="W2025" s="17"/>
      <c r="X2025" s="17"/>
      <c r="Y2025" s="17"/>
      <c r="Z2025" s="31"/>
      <c r="AA2025" s="32"/>
    </row>
    <row r="2026" spans="1:27" ht="12.75">
      <c r="A2026" s="17"/>
      <c r="B2026" s="17"/>
      <c r="C2026" s="17"/>
      <c r="D2026" s="17"/>
      <c r="E2026" s="17"/>
      <c r="F2026" s="17"/>
      <c r="G2026" s="17"/>
      <c r="H2026" s="17"/>
      <c r="I2026" s="31"/>
      <c r="J2026" s="17"/>
      <c r="K2026" s="17"/>
      <c r="L2026" s="17"/>
      <c r="M2026" s="17"/>
      <c r="N2026" s="17"/>
      <c r="O2026" s="17"/>
      <c r="P2026" s="17"/>
      <c r="Q2026" s="17"/>
      <c r="R2026" s="17"/>
      <c r="S2026" s="17"/>
      <c r="T2026" s="17"/>
      <c r="U2026" s="17"/>
      <c r="V2026" s="17"/>
      <c r="W2026" s="17"/>
      <c r="X2026" s="17"/>
      <c r="Y2026" s="17"/>
      <c r="Z2026" s="31"/>
      <c r="AA2026" s="32"/>
    </row>
    <row r="2027" spans="1:27" ht="12.75">
      <c r="A2027" s="17"/>
      <c r="B2027" s="17"/>
      <c r="C2027" s="17"/>
      <c r="D2027" s="17"/>
      <c r="E2027" s="17"/>
      <c r="F2027" s="17"/>
      <c r="G2027" s="17"/>
      <c r="H2027" s="17"/>
      <c r="I2027" s="31"/>
      <c r="J2027" s="17"/>
      <c r="K2027" s="17"/>
      <c r="L2027" s="17"/>
      <c r="M2027" s="17"/>
      <c r="N2027" s="17"/>
      <c r="O2027" s="17"/>
      <c r="P2027" s="17"/>
      <c r="Q2027" s="17"/>
      <c r="R2027" s="17"/>
      <c r="S2027" s="17"/>
      <c r="T2027" s="17"/>
      <c r="U2027" s="17"/>
      <c r="V2027" s="17"/>
      <c r="W2027" s="17"/>
      <c r="X2027" s="17"/>
      <c r="Y2027" s="17"/>
      <c r="Z2027" s="31"/>
      <c r="AA2027" s="32"/>
    </row>
    <row r="2028" spans="1:27" ht="12.75">
      <c r="A2028" s="17"/>
      <c r="B2028" s="17"/>
      <c r="C2028" s="17"/>
      <c r="D2028" s="17"/>
      <c r="E2028" s="17"/>
      <c r="F2028" s="17"/>
      <c r="G2028" s="17"/>
      <c r="H2028" s="17"/>
      <c r="I2028" s="31"/>
      <c r="J2028" s="17"/>
      <c r="K2028" s="17"/>
      <c r="L2028" s="17"/>
      <c r="M2028" s="17"/>
      <c r="N2028" s="17"/>
      <c r="O2028" s="17"/>
      <c r="P2028" s="17"/>
      <c r="Q2028" s="17"/>
      <c r="R2028" s="17"/>
      <c r="S2028" s="17"/>
      <c r="T2028" s="17"/>
      <c r="U2028" s="17"/>
      <c r="V2028" s="17"/>
      <c r="W2028" s="17"/>
      <c r="X2028" s="17"/>
      <c r="Y2028" s="17"/>
      <c r="Z2028" s="31"/>
      <c r="AA2028" s="32"/>
    </row>
    <row r="2029" spans="1:27" ht="12.75">
      <c r="A2029" s="17"/>
      <c r="B2029" s="17"/>
      <c r="C2029" s="17"/>
      <c r="D2029" s="17"/>
      <c r="E2029" s="17"/>
      <c r="F2029" s="17"/>
      <c r="G2029" s="17"/>
      <c r="H2029" s="17"/>
      <c r="I2029" s="31"/>
      <c r="J2029" s="17"/>
      <c r="K2029" s="17"/>
      <c r="L2029" s="17"/>
      <c r="M2029" s="17"/>
      <c r="N2029" s="17"/>
      <c r="O2029" s="17"/>
      <c r="P2029" s="17"/>
      <c r="Q2029" s="17"/>
      <c r="R2029" s="17"/>
      <c r="S2029" s="17"/>
      <c r="T2029" s="17"/>
      <c r="U2029" s="17"/>
      <c r="V2029" s="17"/>
      <c r="W2029" s="17"/>
      <c r="X2029" s="17"/>
      <c r="Y2029" s="17"/>
      <c r="Z2029" s="31"/>
      <c r="AA2029" s="32"/>
    </row>
    <row r="2030" spans="1:27" ht="12.75">
      <c r="A2030" s="17"/>
      <c r="B2030" s="17"/>
      <c r="C2030" s="17"/>
      <c r="D2030" s="17"/>
      <c r="E2030" s="17"/>
      <c r="F2030" s="17"/>
      <c r="G2030" s="17"/>
      <c r="H2030" s="17"/>
      <c r="I2030" s="31"/>
      <c r="J2030" s="17"/>
      <c r="K2030" s="17"/>
      <c r="L2030" s="17"/>
      <c r="M2030" s="17"/>
      <c r="N2030" s="17"/>
      <c r="O2030" s="17"/>
      <c r="P2030" s="17"/>
      <c r="Q2030" s="17"/>
      <c r="R2030" s="17"/>
      <c r="S2030" s="17"/>
      <c r="T2030" s="17"/>
      <c r="U2030" s="17"/>
      <c r="V2030" s="17"/>
      <c r="W2030" s="17"/>
      <c r="X2030" s="17"/>
      <c r="Y2030" s="17"/>
      <c r="Z2030" s="31"/>
      <c r="AA2030" s="32"/>
    </row>
    <row r="2031" spans="1:27" ht="12.75">
      <c r="A2031" s="17"/>
      <c r="B2031" s="17"/>
      <c r="C2031" s="17"/>
      <c r="D2031" s="17"/>
      <c r="E2031" s="17"/>
      <c r="F2031" s="17"/>
      <c r="G2031" s="17"/>
      <c r="H2031" s="17"/>
      <c r="I2031" s="31"/>
      <c r="J2031" s="17"/>
      <c r="K2031" s="17"/>
      <c r="L2031" s="17"/>
      <c r="M2031" s="17"/>
      <c r="N2031" s="17"/>
      <c r="O2031" s="17"/>
      <c r="P2031" s="17"/>
      <c r="Q2031" s="17"/>
      <c r="R2031" s="17"/>
      <c r="S2031" s="17"/>
      <c r="T2031" s="17"/>
      <c r="U2031" s="17"/>
      <c r="V2031" s="17"/>
      <c r="W2031" s="17"/>
      <c r="X2031" s="17"/>
      <c r="Y2031" s="17"/>
      <c r="Z2031" s="31"/>
      <c r="AA2031" s="32"/>
    </row>
    <row r="2032" spans="1:27" ht="12.75">
      <c r="A2032" s="17"/>
      <c r="B2032" s="17"/>
      <c r="C2032" s="17"/>
      <c r="D2032" s="17"/>
      <c r="E2032" s="17"/>
      <c r="F2032" s="17"/>
      <c r="G2032" s="17"/>
      <c r="H2032" s="17"/>
      <c r="I2032" s="31"/>
      <c r="J2032" s="17"/>
      <c r="K2032" s="17"/>
      <c r="L2032" s="17"/>
      <c r="M2032" s="17"/>
      <c r="N2032" s="17"/>
      <c r="O2032" s="17"/>
      <c r="P2032" s="17"/>
      <c r="Q2032" s="17"/>
      <c r="R2032" s="17"/>
      <c r="S2032" s="17"/>
      <c r="T2032" s="17"/>
      <c r="U2032" s="17"/>
      <c r="V2032" s="17"/>
      <c r="W2032" s="17"/>
      <c r="X2032" s="17"/>
      <c r="Y2032" s="17"/>
      <c r="Z2032" s="31"/>
      <c r="AA2032" s="32"/>
    </row>
    <row r="2033" spans="1:27" ht="12.75">
      <c r="A2033" s="17"/>
      <c r="B2033" s="17"/>
      <c r="C2033" s="17"/>
      <c r="D2033" s="17"/>
      <c r="E2033" s="17"/>
      <c r="F2033" s="17"/>
      <c r="G2033" s="17"/>
      <c r="H2033" s="17"/>
      <c r="I2033" s="31"/>
      <c r="J2033" s="17"/>
      <c r="K2033" s="17"/>
      <c r="L2033" s="17"/>
      <c r="M2033" s="17"/>
      <c r="N2033" s="17"/>
      <c r="O2033" s="17"/>
      <c r="P2033" s="17"/>
      <c r="Q2033" s="17"/>
      <c r="R2033" s="17"/>
      <c r="S2033" s="17"/>
      <c r="T2033" s="17"/>
      <c r="U2033" s="17"/>
      <c r="V2033" s="17"/>
      <c r="W2033" s="17"/>
      <c r="X2033" s="17"/>
      <c r="Y2033" s="17"/>
      <c r="Z2033" s="31"/>
      <c r="AA2033" s="32"/>
    </row>
    <row r="2034" spans="1:27" ht="12.75">
      <c r="A2034" s="17"/>
      <c r="B2034" s="17"/>
      <c r="C2034" s="17"/>
      <c r="D2034" s="17"/>
      <c r="E2034" s="17"/>
      <c r="F2034" s="17"/>
      <c r="G2034" s="17"/>
      <c r="H2034" s="17"/>
      <c r="I2034" s="31"/>
      <c r="J2034" s="17"/>
      <c r="K2034" s="17"/>
      <c r="L2034" s="17"/>
      <c r="M2034" s="17"/>
      <c r="N2034" s="17"/>
      <c r="O2034" s="17"/>
      <c r="P2034" s="17"/>
      <c r="Q2034" s="17"/>
      <c r="R2034" s="17"/>
      <c r="S2034" s="17"/>
      <c r="T2034" s="17"/>
      <c r="U2034" s="17"/>
      <c r="V2034" s="17"/>
      <c r="W2034" s="17"/>
      <c r="X2034" s="17"/>
      <c r="Y2034" s="17"/>
      <c r="Z2034" s="31"/>
      <c r="AA2034" s="32"/>
    </row>
    <row r="2035" spans="1:27" ht="12.75">
      <c r="A2035" s="17"/>
      <c r="B2035" s="17"/>
      <c r="C2035" s="17"/>
      <c r="D2035" s="17"/>
      <c r="E2035" s="17"/>
      <c r="F2035" s="17"/>
      <c r="G2035" s="17"/>
      <c r="H2035" s="17"/>
      <c r="I2035" s="31"/>
      <c r="J2035" s="17"/>
      <c r="K2035" s="17"/>
      <c r="L2035" s="17"/>
      <c r="M2035" s="17"/>
      <c r="N2035" s="17"/>
      <c r="O2035" s="17"/>
      <c r="P2035" s="17"/>
      <c r="Q2035" s="17"/>
      <c r="R2035" s="17"/>
      <c r="S2035" s="17"/>
      <c r="T2035" s="17"/>
      <c r="U2035" s="17"/>
      <c r="V2035" s="17"/>
      <c r="W2035" s="17"/>
      <c r="X2035" s="17"/>
      <c r="Y2035" s="17"/>
      <c r="Z2035" s="31"/>
      <c r="AA2035" s="32"/>
    </row>
    <row r="2036" spans="1:27" ht="12.75">
      <c r="A2036" s="17"/>
      <c r="B2036" s="17"/>
      <c r="C2036" s="17"/>
      <c r="D2036" s="17"/>
      <c r="E2036" s="17"/>
      <c r="F2036" s="17"/>
      <c r="G2036" s="17"/>
      <c r="H2036" s="17"/>
      <c r="I2036" s="31"/>
      <c r="J2036" s="17"/>
      <c r="K2036" s="17"/>
      <c r="L2036" s="17"/>
      <c r="M2036" s="17"/>
      <c r="N2036" s="17"/>
      <c r="O2036" s="17"/>
      <c r="P2036" s="17"/>
      <c r="Q2036" s="17"/>
      <c r="R2036" s="17"/>
      <c r="S2036" s="17"/>
      <c r="T2036" s="17"/>
      <c r="U2036" s="17"/>
      <c r="V2036" s="17"/>
      <c r="W2036" s="17"/>
      <c r="X2036" s="17"/>
      <c r="Y2036" s="17"/>
      <c r="Z2036" s="31"/>
      <c r="AA2036" s="32"/>
    </row>
    <row r="2037" spans="1:27" ht="12.75">
      <c r="A2037" s="17"/>
      <c r="B2037" s="17"/>
      <c r="C2037" s="17"/>
      <c r="D2037" s="17"/>
      <c r="E2037" s="17"/>
      <c r="F2037" s="17"/>
      <c r="G2037" s="17"/>
      <c r="H2037" s="17"/>
      <c r="I2037" s="31"/>
      <c r="J2037" s="17"/>
      <c r="K2037" s="17"/>
      <c r="L2037" s="17"/>
      <c r="M2037" s="17"/>
      <c r="N2037" s="17"/>
      <c r="O2037" s="17"/>
      <c r="P2037" s="17"/>
      <c r="Q2037" s="17"/>
      <c r="R2037" s="17"/>
      <c r="S2037" s="17"/>
      <c r="T2037" s="17"/>
      <c r="U2037" s="17"/>
      <c r="V2037" s="17"/>
      <c r="W2037" s="17"/>
      <c r="X2037" s="17"/>
      <c r="Y2037" s="17"/>
      <c r="Z2037" s="31"/>
      <c r="AA2037" s="32"/>
    </row>
    <row r="2038" spans="1:27" ht="12.75">
      <c r="A2038" s="17"/>
      <c r="B2038" s="17"/>
      <c r="C2038" s="17"/>
      <c r="D2038" s="17"/>
      <c r="E2038" s="17"/>
      <c r="F2038" s="17"/>
      <c r="G2038" s="17"/>
      <c r="H2038" s="17"/>
      <c r="I2038" s="31"/>
      <c r="J2038" s="17"/>
      <c r="K2038" s="17"/>
      <c r="L2038" s="17"/>
      <c r="M2038" s="17"/>
      <c r="N2038" s="17"/>
      <c r="O2038" s="17"/>
      <c r="P2038" s="17"/>
      <c r="Q2038" s="17"/>
      <c r="R2038" s="17"/>
      <c r="S2038" s="17"/>
      <c r="T2038" s="17"/>
      <c r="U2038" s="17"/>
      <c r="V2038" s="17"/>
      <c r="W2038" s="17"/>
      <c r="X2038" s="17"/>
      <c r="Y2038" s="17"/>
      <c r="Z2038" s="31"/>
      <c r="AA2038" s="32"/>
    </row>
    <row r="2039" spans="1:27" ht="12.75">
      <c r="A2039" s="17"/>
      <c r="B2039" s="17"/>
      <c r="C2039" s="17"/>
      <c r="D2039" s="17"/>
      <c r="E2039" s="17"/>
      <c r="F2039" s="17"/>
      <c r="G2039" s="17"/>
      <c r="H2039" s="17"/>
      <c r="I2039" s="31"/>
      <c r="J2039" s="17"/>
      <c r="K2039" s="17"/>
      <c r="L2039" s="17"/>
      <c r="M2039" s="17"/>
      <c r="N2039" s="17"/>
      <c r="O2039" s="17"/>
      <c r="P2039" s="17"/>
      <c r="Q2039" s="17"/>
      <c r="R2039" s="17"/>
      <c r="S2039" s="17"/>
      <c r="T2039" s="17"/>
      <c r="U2039" s="17"/>
      <c r="V2039" s="17"/>
      <c r="W2039" s="17"/>
      <c r="X2039" s="17"/>
      <c r="Y2039" s="17"/>
      <c r="Z2039" s="31"/>
      <c r="AA2039" s="32"/>
    </row>
    <row r="2040" spans="1:27" ht="12.75">
      <c r="A2040" s="17"/>
      <c r="B2040" s="17"/>
      <c r="C2040" s="17"/>
      <c r="D2040" s="17"/>
      <c r="E2040" s="17"/>
      <c r="F2040" s="17"/>
      <c r="G2040" s="17"/>
      <c r="H2040" s="17"/>
      <c r="I2040" s="31"/>
      <c r="J2040" s="17"/>
      <c r="K2040" s="17"/>
      <c r="L2040" s="17"/>
      <c r="M2040" s="17"/>
      <c r="N2040" s="17"/>
      <c r="O2040" s="17"/>
      <c r="P2040" s="17"/>
      <c r="Q2040" s="17"/>
      <c r="R2040" s="17"/>
      <c r="S2040" s="17"/>
      <c r="T2040" s="17"/>
      <c r="U2040" s="17"/>
      <c r="V2040" s="17"/>
      <c r="W2040" s="17"/>
      <c r="X2040" s="17"/>
      <c r="Y2040" s="17"/>
      <c r="Z2040" s="31"/>
      <c r="AA2040" s="32"/>
    </row>
    <row r="2041" spans="1:27" ht="12.75">
      <c r="A2041" s="17"/>
      <c r="B2041" s="17"/>
      <c r="C2041" s="17"/>
      <c r="D2041" s="17"/>
      <c r="E2041" s="17"/>
      <c r="F2041" s="17"/>
      <c r="G2041" s="17"/>
      <c r="H2041" s="17"/>
      <c r="I2041" s="31"/>
      <c r="J2041" s="17"/>
      <c r="K2041" s="17"/>
      <c r="L2041" s="17"/>
      <c r="M2041" s="17"/>
      <c r="N2041" s="17"/>
      <c r="O2041" s="17"/>
      <c r="P2041" s="17"/>
      <c r="Q2041" s="17"/>
      <c r="R2041" s="17"/>
      <c r="S2041" s="17"/>
      <c r="T2041" s="17"/>
      <c r="U2041" s="17"/>
      <c r="V2041" s="17"/>
      <c r="W2041" s="17"/>
      <c r="X2041" s="17"/>
      <c r="Y2041" s="17"/>
      <c r="Z2041" s="31"/>
      <c r="AA2041" s="32"/>
    </row>
    <row r="2042" spans="1:27" ht="12.75">
      <c r="A2042" s="17"/>
      <c r="B2042" s="17"/>
      <c r="C2042" s="17"/>
      <c r="D2042" s="17"/>
      <c r="E2042" s="17"/>
      <c r="F2042" s="17"/>
      <c r="G2042" s="17"/>
      <c r="H2042" s="17"/>
      <c r="I2042" s="31"/>
      <c r="J2042" s="17"/>
      <c r="K2042" s="17"/>
      <c r="L2042" s="17"/>
      <c r="M2042" s="17"/>
      <c r="N2042" s="17"/>
      <c r="O2042" s="17"/>
      <c r="P2042" s="17"/>
      <c r="Q2042" s="17"/>
      <c r="R2042" s="17"/>
      <c r="S2042" s="17"/>
      <c r="T2042" s="17"/>
      <c r="U2042" s="17"/>
      <c r="V2042" s="17"/>
      <c r="W2042" s="17"/>
      <c r="X2042" s="17"/>
      <c r="Y2042" s="17"/>
      <c r="Z2042" s="31"/>
      <c r="AA2042" s="32"/>
    </row>
    <row r="2043" spans="1:27" ht="12.75">
      <c r="A2043" s="17"/>
      <c r="B2043" s="17"/>
      <c r="C2043" s="17"/>
      <c r="D2043" s="17"/>
      <c r="E2043" s="17"/>
      <c r="F2043" s="17"/>
      <c r="G2043" s="17"/>
      <c r="H2043" s="17"/>
      <c r="I2043" s="31"/>
      <c r="J2043" s="17"/>
      <c r="K2043" s="17"/>
      <c r="L2043" s="17"/>
      <c r="M2043" s="17"/>
      <c r="N2043" s="17"/>
      <c r="O2043" s="17"/>
      <c r="P2043" s="17"/>
      <c r="Q2043" s="17"/>
      <c r="R2043" s="17"/>
      <c r="S2043" s="17"/>
      <c r="T2043" s="17"/>
      <c r="U2043" s="17"/>
      <c r="V2043" s="17"/>
      <c r="W2043" s="17"/>
      <c r="X2043" s="17"/>
      <c r="Y2043" s="17"/>
      <c r="Z2043" s="31"/>
      <c r="AA2043" s="32"/>
    </row>
    <row r="2044" spans="1:27" ht="12.75">
      <c r="A2044" s="17"/>
      <c r="B2044" s="17"/>
      <c r="C2044" s="17"/>
      <c r="D2044" s="17"/>
      <c r="E2044" s="17"/>
      <c r="F2044" s="17"/>
      <c r="G2044" s="17"/>
      <c r="H2044" s="17"/>
      <c r="I2044" s="31"/>
      <c r="J2044" s="17"/>
      <c r="K2044" s="17"/>
      <c r="L2044" s="17"/>
      <c r="M2044" s="17"/>
      <c r="N2044" s="17"/>
      <c r="O2044" s="17"/>
      <c r="P2044" s="17"/>
      <c r="Q2044" s="17"/>
      <c r="R2044" s="17"/>
      <c r="S2044" s="17"/>
      <c r="T2044" s="17"/>
      <c r="U2044" s="17"/>
      <c r="V2044" s="17"/>
      <c r="W2044" s="17"/>
      <c r="X2044" s="17"/>
      <c r="Y2044" s="17"/>
      <c r="Z2044" s="31"/>
      <c r="AA2044" s="32"/>
    </row>
    <row r="2045" spans="1:27" ht="12.75">
      <c r="A2045" s="17"/>
      <c r="B2045" s="17"/>
      <c r="C2045" s="17"/>
      <c r="D2045" s="17"/>
      <c r="E2045" s="17"/>
      <c r="F2045" s="17"/>
      <c r="G2045" s="17"/>
      <c r="H2045" s="17"/>
      <c r="I2045" s="31"/>
      <c r="J2045" s="17"/>
      <c r="K2045" s="17"/>
      <c r="L2045" s="17"/>
      <c r="M2045" s="17"/>
      <c r="N2045" s="17"/>
      <c r="O2045" s="17"/>
      <c r="P2045" s="17"/>
      <c r="Q2045" s="17"/>
      <c r="R2045" s="17"/>
      <c r="S2045" s="17"/>
      <c r="T2045" s="17"/>
      <c r="U2045" s="17"/>
      <c r="V2045" s="17"/>
      <c r="W2045" s="17"/>
      <c r="X2045" s="17"/>
      <c r="Y2045" s="17"/>
      <c r="Z2045" s="31"/>
      <c r="AA2045" s="32"/>
    </row>
    <row r="2046" spans="1:27" ht="12.75">
      <c r="A2046" s="17"/>
      <c r="B2046" s="17"/>
      <c r="C2046" s="17"/>
      <c r="D2046" s="17"/>
      <c r="E2046" s="17"/>
      <c r="F2046" s="17"/>
      <c r="G2046" s="17"/>
      <c r="H2046" s="17"/>
      <c r="I2046" s="31"/>
      <c r="J2046" s="17"/>
      <c r="K2046" s="17"/>
      <c r="L2046" s="17"/>
      <c r="M2046" s="17"/>
      <c r="N2046" s="17"/>
      <c r="O2046" s="17"/>
      <c r="P2046" s="17"/>
      <c r="Q2046" s="17"/>
      <c r="R2046" s="17"/>
      <c r="S2046" s="17"/>
      <c r="T2046" s="17"/>
      <c r="U2046" s="17"/>
      <c r="V2046" s="17"/>
      <c r="W2046" s="17"/>
      <c r="X2046" s="17"/>
      <c r="Y2046" s="17"/>
      <c r="Z2046" s="31"/>
      <c r="AA2046" s="32"/>
    </row>
    <row r="2047" spans="1:27" ht="12.75">
      <c r="A2047" s="17"/>
      <c r="B2047" s="17"/>
      <c r="C2047" s="17"/>
      <c r="D2047" s="17"/>
      <c r="E2047" s="17"/>
      <c r="F2047" s="17"/>
      <c r="G2047" s="17"/>
      <c r="H2047" s="17"/>
      <c r="I2047" s="31"/>
      <c r="J2047" s="17"/>
      <c r="K2047" s="17"/>
      <c r="L2047" s="17"/>
      <c r="M2047" s="17"/>
      <c r="N2047" s="17"/>
      <c r="O2047" s="17"/>
      <c r="P2047" s="17"/>
      <c r="Q2047" s="17"/>
      <c r="R2047" s="17"/>
      <c r="S2047" s="17"/>
      <c r="T2047" s="17"/>
      <c r="U2047" s="17"/>
      <c r="V2047" s="17"/>
      <c r="W2047" s="17"/>
      <c r="X2047" s="17"/>
      <c r="Y2047" s="17"/>
      <c r="Z2047" s="31"/>
      <c r="AA2047" s="32"/>
    </row>
    <row r="2048" spans="1:27" ht="12.75">
      <c r="A2048" s="17"/>
      <c r="B2048" s="17"/>
      <c r="C2048" s="17"/>
      <c r="D2048" s="17"/>
      <c r="E2048" s="17"/>
      <c r="F2048" s="17"/>
      <c r="G2048" s="17"/>
      <c r="H2048" s="17"/>
      <c r="I2048" s="31"/>
      <c r="J2048" s="17"/>
      <c r="K2048" s="17"/>
      <c r="L2048" s="17"/>
      <c r="M2048" s="17"/>
      <c r="N2048" s="17"/>
      <c r="O2048" s="17"/>
      <c r="P2048" s="17"/>
      <c r="Q2048" s="17"/>
      <c r="R2048" s="17"/>
      <c r="S2048" s="17"/>
      <c r="T2048" s="17"/>
      <c r="U2048" s="17"/>
      <c r="V2048" s="17"/>
      <c r="W2048" s="17"/>
      <c r="X2048" s="17"/>
      <c r="Y2048" s="17"/>
      <c r="Z2048" s="31"/>
      <c r="AA2048" s="32"/>
    </row>
    <row r="2049" spans="1:27" ht="12.75">
      <c r="A2049" s="17"/>
      <c r="B2049" s="17"/>
      <c r="C2049" s="17"/>
      <c r="D2049" s="17"/>
      <c r="E2049" s="17"/>
      <c r="F2049" s="17"/>
      <c r="G2049" s="17"/>
      <c r="H2049" s="17"/>
      <c r="I2049" s="31"/>
      <c r="J2049" s="17"/>
      <c r="K2049" s="17"/>
      <c r="L2049" s="17"/>
      <c r="M2049" s="17"/>
      <c r="N2049" s="17"/>
      <c r="O2049" s="17"/>
      <c r="P2049" s="17"/>
      <c r="Q2049" s="17"/>
      <c r="R2049" s="17"/>
      <c r="S2049" s="17"/>
      <c r="T2049" s="17"/>
      <c r="U2049" s="17"/>
      <c r="V2049" s="17"/>
      <c r="W2049" s="17"/>
      <c r="X2049" s="17"/>
      <c r="Y2049" s="17"/>
      <c r="Z2049" s="31"/>
      <c r="AA2049" s="32"/>
    </row>
    <row r="2050" spans="1:27" ht="12.75">
      <c r="A2050" s="17"/>
      <c r="B2050" s="17"/>
      <c r="C2050" s="17"/>
      <c r="D2050" s="17"/>
      <c r="E2050" s="17"/>
      <c r="F2050" s="17"/>
      <c r="G2050" s="17"/>
      <c r="H2050" s="17"/>
      <c r="I2050" s="31"/>
      <c r="J2050" s="17"/>
      <c r="K2050" s="17"/>
      <c r="L2050" s="17"/>
      <c r="M2050" s="17"/>
      <c r="N2050" s="17"/>
      <c r="O2050" s="17"/>
      <c r="P2050" s="17"/>
      <c r="Q2050" s="17"/>
      <c r="R2050" s="17"/>
      <c r="S2050" s="17"/>
      <c r="T2050" s="17"/>
      <c r="U2050" s="17"/>
      <c r="V2050" s="17"/>
      <c r="W2050" s="17"/>
      <c r="X2050" s="17"/>
      <c r="Y2050" s="17"/>
      <c r="Z2050" s="31"/>
      <c r="AA2050" s="32"/>
    </row>
    <row r="2051" spans="1:27" ht="12.75">
      <c r="A2051" s="17"/>
      <c r="B2051" s="17"/>
      <c r="C2051" s="17"/>
      <c r="D2051" s="17"/>
      <c r="E2051" s="17"/>
      <c r="F2051" s="17"/>
      <c r="G2051" s="17"/>
      <c r="H2051" s="17"/>
      <c r="I2051" s="31"/>
      <c r="J2051" s="17"/>
      <c r="K2051" s="17"/>
      <c r="L2051" s="17"/>
      <c r="M2051" s="17"/>
      <c r="N2051" s="17"/>
      <c r="O2051" s="17"/>
      <c r="P2051" s="17"/>
      <c r="Q2051" s="17"/>
      <c r="R2051" s="17"/>
      <c r="S2051" s="17"/>
      <c r="T2051" s="17"/>
      <c r="U2051" s="17"/>
      <c r="V2051" s="17"/>
      <c r="W2051" s="17"/>
      <c r="X2051" s="17"/>
      <c r="Y2051" s="17"/>
      <c r="Z2051" s="31"/>
      <c r="AA2051" s="32"/>
    </row>
    <row r="2052" spans="1:27" ht="12.75">
      <c r="A2052" s="17"/>
      <c r="B2052" s="17"/>
      <c r="C2052" s="17"/>
      <c r="D2052" s="17"/>
      <c r="E2052" s="17"/>
      <c r="F2052" s="17"/>
      <c r="G2052" s="17"/>
      <c r="H2052" s="17"/>
      <c r="I2052" s="31"/>
      <c r="J2052" s="17"/>
      <c r="K2052" s="17"/>
      <c r="L2052" s="17"/>
      <c r="M2052" s="17"/>
      <c r="N2052" s="17"/>
      <c r="O2052" s="17"/>
      <c r="P2052" s="17"/>
      <c r="Q2052" s="17"/>
      <c r="R2052" s="17"/>
      <c r="S2052" s="17"/>
      <c r="T2052" s="17"/>
      <c r="U2052" s="17"/>
      <c r="V2052" s="17"/>
      <c r="W2052" s="17"/>
      <c r="X2052" s="17"/>
      <c r="Y2052" s="17"/>
      <c r="Z2052" s="31"/>
      <c r="AA2052" s="32"/>
    </row>
    <row r="2053" spans="1:27" ht="12.75">
      <c r="A2053" s="17"/>
      <c r="B2053" s="17"/>
      <c r="C2053" s="17"/>
      <c r="D2053" s="17"/>
      <c r="E2053" s="17"/>
      <c r="F2053" s="17"/>
      <c r="G2053" s="17"/>
      <c r="H2053" s="17"/>
      <c r="I2053" s="31"/>
      <c r="J2053" s="17"/>
      <c r="K2053" s="17"/>
      <c r="L2053" s="17"/>
      <c r="M2053" s="17"/>
      <c r="N2053" s="17"/>
      <c r="O2053" s="17"/>
      <c r="P2053" s="17"/>
      <c r="Q2053" s="17"/>
      <c r="R2053" s="17"/>
      <c r="S2053" s="17"/>
      <c r="T2053" s="17"/>
      <c r="U2053" s="17"/>
      <c r="V2053" s="17"/>
      <c r="W2053" s="17"/>
      <c r="X2053" s="17"/>
      <c r="Y2053" s="17"/>
      <c r="Z2053" s="31"/>
      <c r="AA2053" s="32"/>
    </row>
    <row r="2054" spans="1:27" ht="12.75">
      <c r="A2054" s="17"/>
      <c r="B2054" s="17"/>
      <c r="C2054" s="17"/>
      <c r="D2054" s="17"/>
      <c r="E2054" s="17"/>
      <c r="F2054" s="17"/>
      <c r="G2054" s="17"/>
      <c r="H2054" s="17"/>
      <c r="I2054" s="31"/>
      <c r="J2054" s="17"/>
      <c r="K2054" s="17"/>
      <c r="L2054" s="17"/>
      <c r="M2054" s="17"/>
      <c r="N2054" s="17"/>
      <c r="O2054" s="17"/>
      <c r="P2054" s="17"/>
      <c r="Q2054" s="17"/>
      <c r="R2054" s="17"/>
      <c r="S2054" s="17"/>
      <c r="T2054" s="17"/>
      <c r="U2054" s="17"/>
      <c r="V2054" s="17"/>
      <c r="W2054" s="17"/>
      <c r="X2054" s="17"/>
      <c r="Y2054" s="17"/>
      <c r="Z2054" s="31"/>
      <c r="AA2054" s="32"/>
    </row>
    <row r="2055" spans="1:27" ht="12.75">
      <c r="A2055" s="17"/>
      <c r="B2055" s="17"/>
      <c r="C2055" s="17"/>
      <c r="D2055" s="17"/>
      <c r="E2055" s="17"/>
      <c r="F2055" s="17"/>
      <c r="G2055" s="17"/>
      <c r="H2055" s="17"/>
      <c r="I2055" s="31"/>
      <c r="J2055" s="17"/>
      <c r="K2055" s="17"/>
      <c r="L2055" s="17"/>
      <c r="M2055" s="17"/>
      <c r="N2055" s="17"/>
      <c r="O2055" s="17"/>
      <c r="P2055" s="17"/>
      <c r="Q2055" s="17"/>
      <c r="R2055" s="17"/>
      <c r="S2055" s="17"/>
      <c r="T2055" s="17"/>
      <c r="U2055" s="17"/>
      <c r="V2055" s="17"/>
      <c r="W2055" s="17"/>
      <c r="X2055" s="17"/>
      <c r="Y2055" s="17"/>
      <c r="Z2055" s="31"/>
      <c r="AA2055" s="32"/>
    </row>
    <row r="2056" spans="1:27" ht="12.75">
      <c r="A2056" s="17"/>
      <c r="B2056" s="17"/>
      <c r="C2056" s="17"/>
      <c r="D2056" s="17"/>
      <c r="E2056" s="17"/>
      <c r="F2056" s="17"/>
      <c r="G2056" s="17"/>
      <c r="H2056" s="17"/>
      <c r="I2056" s="31"/>
      <c r="J2056" s="17"/>
      <c r="K2056" s="17"/>
      <c r="L2056" s="17"/>
      <c r="M2056" s="17"/>
      <c r="N2056" s="17"/>
      <c r="O2056" s="17"/>
      <c r="P2056" s="17"/>
      <c r="Q2056" s="17"/>
      <c r="R2056" s="17"/>
      <c r="S2056" s="17"/>
      <c r="T2056" s="17"/>
      <c r="U2056" s="17"/>
      <c r="V2056" s="17"/>
      <c r="W2056" s="17"/>
      <c r="X2056" s="17"/>
      <c r="Y2056" s="17"/>
      <c r="Z2056" s="31"/>
      <c r="AA2056" s="32"/>
    </row>
    <row r="2057" spans="1:27" ht="12.75">
      <c r="A2057" s="17"/>
      <c r="B2057" s="17"/>
      <c r="C2057" s="17"/>
      <c r="D2057" s="17"/>
      <c r="E2057" s="17"/>
      <c r="F2057" s="17"/>
      <c r="G2057" s="17"/>
      <c r="H2057" s="17"/>
      <c r="I2057" s="31"/>
      <c r="J2057" s="17"/>
      <c r="K2057" s="17"/>
      <c r="L2057" s="17"/>
      <c r="M2057" s="17"/>
      <c r="N2057" s="17"/>
      <c r="O2057" s="17"/>
      <c r="P2057" s="17"/>
      <c r="Q2057" s="17"/>
      <c r="R2057" s="17"/>
      <c r="S2057" s="17"/>
      <c r="T2057" s="17"/>
      <c r="U2057" s="17"/>
      <c r="V2057" s="17"/>
      <c r="W2057" s="17"/>
      <c r="X2057" s="17"/>
      <c r="Y2057" s="17"/>
      <c r="Z2057" s="31"/>
      <c r="AA2057" s="32"/>
    </row>
    <row r="2058" spans="1:27" ht="12.75">
      <c r="A2058" s="17"/>
      <c r="B2058" s="17"/>
      <c r="C2058" s="17"/>
      <c r="D2058" s="17"/>
      <c r="E2058" s="17"/>
      <c r="F2058" s="17"/>
      <c r="G2058" s="17"/>
      <c r="H2058" s="17"/>
      <c r="I2058" s="31"/>
      <c r="J2058" s="17"/>
      <c r="K2058" s="17"/>
      <c r="L2058" s="17"/>
      <c r="M2058" s="17"/>
      <c r="N2058" s="17"/>
      <c r="O2058" s="17"/>
      <c r="P2058" s="17"/>
      <c r="Q2058" s="17"/>
      <c r="R2058" s="17"/>
      <c r="S2058" s="17"/>
      <c r="T2058" s="17"/>
      <c r="U2058" s="17"/>
      <c r="V2058" s="17"/>
      <c r="W2058" s="17"/>
      <c r="X2058" s="17"/>
      <c r="Y2058" s="17"/>
      <c r="Z2058" s="31"/>
      <c r="AA2058" s="32"/>
    </row>
    <row r="2059" spans="1:27" ht="12.75">
      <c r="A2059" s="17"/>
      <c r="B2059" s="17"/>
      <c r="C2059" s="17"/>
      <c r="D2059" s="17"/>
      <c r="E2059" s="17"/>
      <c r="F2059" s="17"/>
      <c r="G2059" s="17"/>
      <c r="H2059" s="17"/>
      <c r="I2059" s="31"/>
      <c r="J2059" s="17"/>
      <c r="K2059" s="17"/>
      <c r="L2059" s="17"/>
      <c r="M2059" s="17"/>
      <c r="N2059" s="17"/>
      <c r="O2059" s="17"/>
      <c r="P2059" s="17"/>
      <c r="Q2059" s="17"/>
      <c r="R2059" s="17"/>
      <c r="S2059" s="17"/>
      <c r="T2059" s="17"/>
      <c r="U2059" s="17"/>
      <c r="V2059" s="17"/>
      <c r="W2059" s="17"/>
      <c r="X2059" s="17"/>
      <c r="Y2059" s="17"/>
      <c r="Z2059" s="31"/>
      <c r="AA2059" s="32"/>
    </row>
    <row r="2060" spans="1:27" ht="12.75">
      <c r="A2060" s="17"/>
      <c r="B2060" s="17"/>
      <c r="C2060" s="17"/>
      <c r="D2060" s="17"/>
      <c r="E2060" s="17"/>
      <c r="F2060" s="17"/>
      <c r="G2060" s="17"/>
      <c r="H2060" s="17"/>
      <c r="I2060" s="31"/>
      <c r="J2060" s="17"/>
      <c r="K2060" s="17"/>
      <c r="L2060" s="17"/>
      <c r="M2060" s="17"/>
      <c r="N2060" s="17"/>
      <c r="O2060" s="17"/>
      <c r="P2060" s="17"/>
      <c r="Q2060" s="17"/>
      <c r="R2060" s="17"/>
      <c r="S2060" s="17"/>
      <c r="T2060" s="17"/>
      <c r="U2060" s="17"/>
      <c r="V2060" s="17"/>
      <c r="W2060" s="17"/>
      <c r="X2060" s="17"/>
      <c r="Y2060" s="17"/>
      <c r="Z2060" s="31"/>
      <c r="AA2060" s="32"/>
    </row>
    <row r="2061" spans="1:27" ht="12.75">
      <c r="A2061" s="17"/>
      <c r="B2061" s="17"/>
      <c r="C2061" s="17"/>
      <c r="D2061" s="17"/>
      <c r="E2061" s="17"/>
      <c r="F2061" s="17"/>
      <c r="G2061" s="17"/>
      <c r="H2061" s="17"/>
      <c r="I2061" s="31"/>
      <c r="J2061" s="17"/>
      <c r="K2061" s="17"/>
      <c r="L2061" s="17"/>
      <c r="M2061" s="17"/>
      <c r="N2061" s="17"/>
      <c r="O2061" s="17"/>
      <c r="P2061" s="17"/>
      <c r="Q2061" s="17"/>
      <c r="R2061" s="17"/>
      <c r="S2061" s="17"/>
      <c r="T2061" s="17"/>
      <c r="U2061" s="17"/>
      <c r="V2061" s="17"/>
      <c r="W2061" s="17"/>
      <c r="X2061" s="17"/>
      <c r="Y2061" s="17"/>
      <c r="Z2061" s="31"/>
      <c r="AA2061" s="32"/>
    </row>
    <row r="2062" spans="1:27" ht="12.75">
      <c r="A2062" s="17"/>
      <c r="B2062" s="17"/>
      <c r="C2062" s="17"/>
      <c r="D2062" s="17"/>
      <c r="E2062" s="17"/>
      <c r="F2062" s="17"/>
      <c r="G2062" s="17"/>
      <c r="H2062" s="17"/>
      <c r="I2062" s="31"/>
      <c r="J2062" s="17"/>
      <c r="K2062" s="17"/>
      <c r="L2062" s="17"/>
      <c r="M2062" s="17"/>
      <c r="N2062" s="17"/>
      <c r="O2062" s="17"/>
      <c r="P2062" s="17"/>
      <c r="Q2062" s="17"/>
      <c r="R2062" s="17"/>
      <c r="S2062" s="17"/>
      <c r="T2062" s="17"/>
      <c r="U2062" s="17"/>
      <c r="V2062" s="17"/>
      <c r="W2062" s="17"/>
      <c r="X2062" s="17"/>
      <c r="Y2062" s="17"/>
      <c r="Z2062" s="31"/>
      <c r="AA2062" s="32"/>
    </row>
    <row r="2063" spans="1:27" ht="12.75">
      <c r="A2063" s="17"/>
      <c r="B2063" s="17"/>
      <c r="C2063" s="17"/>
      <c r="D2063" s="17"/>
      <c r="E2063" s="17"/>
      <c r="F2063" s="17"/>
      <c r="G2063" s="17"/>
      <c r="H2063" s="17"/>
      <c r="I2063" s="31"/>
      <c r="J2063" s="17"/>
      <c r="K2063" s="17"/>
      <c r="L2063" s="17"/>
      <c r="M2063" s="17"/>
      <c r="N2063" s="17"/>
      <c r="O2063" s="17"/>
      <c r="P2063" s="17"/>
      <c r="Q2063" s="17"/>
      <c r="R2063" s="17"/>
      <c r="S2063" s="17"/>
      <c r="T2063" s="17"/>
      <c r="U2063" s="17"/>
      <c r="V2063" s="17"/>
      <c r="W2063" s="17"/>
      <c r="X2063" s="17"/>
      <c r="Y2063" s="17"/>
      <c r="Z2063" s="31"/>
      <c r="AA2063" s="32"/>
    </row>
    <row r="2064" spans="1:27" ht="12.75">
      <c r="A2064" s="17"/>
      <c r="B2064" s="17"/>
      <c r="C2064" s="17"/>
      <c r="D2064" s="17"/>
      <c r="E2064" s="17"/>
      <c r="F2064" s="17"/>
      <c r="G2064" s="17"/>
      <c r="H2064" s="17"/>
      <c r="I2064" s="31"/>
      <c r="J2064" s="17"/>
      <c r="K2064" s="17"/>
      <c r="L2064" s="17"/>
      <c r="M2064" s="17"/>
      <c r="N2064" s="17"/>
      <c r="O2064" s="17"/>
      <c r="P2064" s="17"/>
      <c r="Q2064" s="17"/>
      <c r="R2064" s="17"/>
      <c r="S2064" s="17"/>
      <c r="T2064" s="17"/>
      <c r="U2064" s="17"/>
      <c r="V2064" s="17"/>
      <c r="W2064" s="17"/>
      <c r="X2064" s="17"/>
      <c r="Y2064" s="17"/>
      <c r="Z2064" s="31"/>
      <c r="AA2064" s="32"/>
    </row>
    <row r="2065" spans="1:27" ht="12.75">
      <c r="A2065" s="17"/>
      <c r="B2065" s="17"/>
      <c r="C2065" s="17"/>
      <c r="D2065" s="17"/>
      <c r="E2065" s="17"/>
      <c r="F2065" s="17"/>
      <c r="G2065" s="17"/>
      <c r="H2065" s="17"/>
      <c r="I2065" s="31"/>
      <c r="J2065" s="17"/>
      <c r="K2065" s="17"/>
      <c r="L2065" s="17"/>
      <c r="M2065" s="17"/>
      <c r="N2065" s="17"/>
      <c r="O2065" s="17"/>
      <c r="P2065" s="17"/>
      <c r="Q2065" s="17"/>
      <c r="R2065" s="17"/>
      <c r="S2065" s="17"/>
      <c r="T2065" s="17"/>
      <c r="U2065" s="17"/>
      <c r="V2065" s="17"/>
      <c r="W2065" s="17"/>
      <c r="X2065" s="17"/>
      <c r="Y2065" s="17"/>
      <c r="Z2065" s="31"/>
      <c r="AA2065" s="32"/>
    </row>
    <row r="2066" spans="1:27" ht="12.75">
      <c r="A2066" s="17"/>
      <c r="B2066" s="17"/>
      <c r="C2066" s="17"/>
      <c r="D2066" s="17"/>
      <c r="E2066" s="17"/>
      <c r="F2066" s="17"/>
      <c r="G2066" s="17"/>
      <c r="H2066" s="17"/>
      <c r="I2066" s="31"/>
      <c r="J2066" s="17"/>
      <c r="K2066" s="17"/>
      <c r="L2066" s="17"/>
      <c r="M2066" s="17"/>
      <c r="N2066" s="17"/>
      <c r="O2066" s="17"/>
      <c r="P2066" s="17"/>
      <c r="Q2066" s="17"/>
      <c r="R2066" s="17"/>
      <c r="S2066" s="17"/>
      <c r="T2066" s="17"/>
      <c r="U2066" s="17"/>
      <c r="V2066" s="17"/>
      <c r="W2066" s="17"/>
      <c r="X2066" s="17"/>
      <c r="Y2066" s="17"/>
      <c r="Z2066" s="31"/>
      <c r="AA2066" s="32"/>
    </row>
    <row r="2067" spans="1:27" ht="12.75">
      <c r="A2067" s="17"/>
      <c r="B2067" s="17"/>
      <c r="C2067" s="17"/>
      <c r="D2067" s="17"/>
      <c r="E2067" s="17"/>
      <c r="F2067" s="17"/>
      <c r="G2067" s="17"/>
      <c r="H2067" s="17"/>
      <c r="I2067" s="31"/>
      <c r="J2067" s="17"/>
      <c r="K2067" s="17"/>
      <c r="L2067" s="17"/>
      <c r="M2067" s="17"/>
      <c r="N2067" s="17"/>
      <c r="O2067" s="17"/>
      <c r="P2067" s="17"/>
      <c r="Q2067" s="17"/>
      <c r="R2067" s="17"/>
      <c r="S2067" s="17"/>
      <c r="T2067" s="17"/>
      <c r="U2067" s="17"/>
      <c r="V2067" s="17"/>
      <c r="W2067" s="17"/>
      <c r="X2067" s="17"/>
      <c r="Y2067" s="17"/>
      <c r="Z2067" s="31"/>
      <c r="AA2067" s="32"/>
    </row>
    <row r="2068" spans="1:27" ht="12.75">
      <c r="A2068" s="17"/>
      <c r="B2068" s="17"/>
      <c r="C2068" s="17"/>
      <c r="D2068" s="17"/>
      <c r="E2068" s="17"/>
      <c r="F2068" s="17"/>
      <c r="G2068" s="17"/>
      <c r="H2068" s="17"/>
      <c r="I2068" s="31"/>
      <c r="J2068" s="17"/>
      <c r="K2068" s="17"/>
      <c r="L2068" s="17"/>
      <c r="M2068" s="17"/>
      <c r="N2068" s="17"/>
      <c r="O2068" s="17"/>
      <c r="P2068" s="17"/>
      <c r="Q2068" s="17"/>
      <c r="R2068" s="17"/>
      <c r="S2068" s="17"/>
      <c r="T2068" s="17"/>
      <c r="U2068" s="17"/>
      <c r="V2068" s="17"/>
      <c r="W2068" s="17"/>
      <c r="X2068" s="17"/>
      <c r="Y2068" s="17"/>
      <c r="Z2068" s="31"/>
      <c r="AA2068" s="32"/>
    </row>
    <row r="2069" spans="1:27" ht="12.75">
      <c r="A2069" s="17"/>
      <c r="B2069" s="17"/>
      <c r="C2069" s="17"/>
      <c r="D2069" s="17"/>
      <c r="E2069" s="17"/>
      <c r="F2069" s="17"/>
      <c r="G2069" s="17"/>
      <c r="H2069" s="17"/>
      <c r="I2069" s="31"/>
      <c r="J2069" s="17"/>
      <c r="K2069" s="17"/>
      <c r="L2069" s="17"/>
      <c r="M2069" s="17"/>
      <c r="N2069" s="17"/>
      <c r="O2069" s="17"/>
      <c r="P2069" s="17"/>
      <c r="Q2069" s="17"/>
      <c r="R2069" s="17"/>
      <c r="S2069" s="17"/>
      <c r="T2069" s="17"/>
      <c r="U2069" s="17"/>
      <c r="V2069" s="17"/>
      <c r="W2069" s="17"/>
      <c r="X2069" s="17"/>
      <c r="Y2069" s="17"/>
      <c r="Z2069" s="31"/>
      <c r="AA2069" s="32"/>
    </row>
    <row r="2070" spans="1:27" ht="12.75">
      <c r="A2070" s="17"/>
      <c r="B2070" s="17"/>
      <c r="C2070" s="17"/>
      <c r="D2070" s="17"/>
      <c r="E2070" s="17"/>
      <c r="F2070" s="17"/>
      <c r="G2070" s="17"/>
      <c r="H2070" s="17"/>
      <c r="I2070" s="31"/>
      <c r="J2070" s="17"/>
      <c r="K2070" s="17"/>
      <c r="L2070" s="17"/>
      <c r="M2070" s="17"/>
      <c r="N2070" s="17"/>
      <c r="O2070" s="17"/>
      <c r="P2070" s="17"/>
      <c r="Q2070" s="17"/>
      <c r="R2070" s="17"/>
      <c r="S2070" s="17"/>
      <c r="T2070" s="17"/>
      <c r="U2070" s="17"/>
      <c r="V2070" s="17"/>
      <c r="W2070" s="17"/>
      <c r="X2070" s="17"/>
      <c r="Y2070" s="17"/>
      <c r="Z2070" s="31"/>
      <c r="AA2070" s="32"/>
    </row>
    <row r="2071" spans="1:27" ht="12.75">
      <c r="A2071" s="17"/>
      <c r="B2071" s="17"/>
      <c r="C2071" s="17"/>
      <c r="D2071" s="17"/>
      <c r="E2071" s="17"/>
      <c r="F2071" s="17"/>
      <c r="G2071" s="17"/>
      <c r="H2071" s="17"/>
      <c r="I2071" s="31"/>
      <c r="J2071" s="17"/>
      <c r="K2071" s="17"/>
      <c r="L2071" s="17"/>
      <c r="M2071" s="17"/>
      <c r="N2071" s="17"/>
      <c r="O2071" s="17"/>
      <c r="P2071" s="17"/>
      <c r="Q2071" s="17"/>
      <c r="R2071" s="17"/>
      <c r="S2071" s="17"/>
      <c r="T2071" s="17"/>
      <c r="U2071" s="17"/>
      <c r="V2071" s="17"/>
      <c r="W2071" s="17"/>
      <c r="X2071" s="17"/>
      <c r="Y2071" s="17"/>
      <c r="Z2071" s="31"/>
      <c r="AA2071" s="32"/>
    </row>
    <row r="2072" spans="1:27" ht="12.75">
      <c r="A2072" s="17"/>
      <c r="B2072" s="17"/>
      <c r="C2072" s="17"/>
      <c r="D2072" s="17"/>
      <c r="E2072" s="17"/>
      <c r="F2072" s="17"/>
      <c r="G2072" s="17"/>
      <c r="H2072" s="17"/>
      <c r="I2072" s="31"/>
      <c r="J2072" s="17"/>
      <c r="K2072" s="17"/>
      <c r="L2072" s="17"/>
      <c r="M2072" s="17"/>
      <c r="N2072" s="17"/>
      <c r="O2072" s="17"/>
      <c r="P2072" s="17"/>
      <c r="Q2072" s="17"/>
      <c r="R2072" s="17"/>
      <c r="S2072" s="17"/>
      <c r="T2072" s="17"/>
      <c r="U2072" s="17"/>
      <c r="V2072" s="17"/>
      <c r="W2072" s="17"/>
      <c r="X2072" s="17"/>
      <c r="Y2072" s="17"/>
      <c r="Z2072" s="31"/>
      <c r="AA2072" s="32"/>
    </row>
    <row r="2073" spans="1:27" ht="12.75">
      <c r="A2073" s="17"/>
      <c r="B2073" s="17"/>
      <c r="C2073" s="17"/>
      <c r="D2073" s="17"/>
      <c r="E2073" s="17"/>
      <c r="F2073" s="17"/>
      <c r="G2073" s="17"/>
      <c r="H2073" s="17"/>
      <c r="I2073" s="31"/>
      <c r="J2073" s="17"/>
      <c r="K2073" s="17"/>
      <c r="L2073" s="17"/>
      <c r="M2073" s="17"/>
      <c r="N2073" s="17"/>
      <c r="O2073" s="17"/>
      <c r="P2073" s="17"/>
      <c r="Q2073" s="17"/>
      <c r="R2073" s="17"/>
      <c r="S2073" s="17"/>
      <c r="T2073" s="17"/>
      <c r="U2073" s="17"/>
      <c r="V2073" s="17"/>
      <c r="W2073" s="17"/>
      <c r="X2073" s="17"/>
      <c r="Y2073" s="17"/>
      <c r="Z2073" s="31"/>
      <c r="AA2073" s="32"/>
    </row>
    <row r="2074" spans="1:27" ht="12.75">
      <c r="A2074" s="17"/>
      <c r="B2074" s="17"/>
      <c r="C2074" s="17"/>
      <c r="D2074" s="17"/>
      <c r="E2074" s="17"/>
      <c r="F2074" s="17"/>
      <c r="G2074" s="17"/>
      <c r="H2074" s="17"/>
      <c r="I2074" s="31"/>
      <c r="J2074" s="17"/>
      <c r="K2074" s="17"/>
      <c r="L2074" s="17"/>
      <c r="M2074" s="17"/>
      <c r="N2074" s="17"/>
      <c r="O2074" s="17"/>
      <c r="P2074" s="17"/>
      <c r="Q2074" s="17"/>
      <c r="R2074" s="17"/>
      <c r="S2074" s="17"/>
      <c r="T2074" s="17"/>
      <c r="U2074" s="17"/>
      <c r="V2074" s="17"/>
      <c r="W2074" s="17"/>
      <c r="X2074" s="17"/>
      <c r="Y2074" s="17"/>
      <c r="Z2074" s="31"/>
      <c r="AA2074" s="32"/>
    </row>
    <row r="2075" spans="1:27" ht="12.75">
      <c r="A2075" s="17"/>
      <c r="B2075" s="17"/>
      <c r="C2075" s="17"/>
      <c r="D2075" s="17"/>
      <c r="E2075" s="17"/>
      <c r="F2075" s="17"/>
      <c r="G2075" s="17"/>
      <c r="H2075" s="17"/>
      <c r="I2075" s="31"/>
      <c r="J2075" s="17"/>
      <c r="K2075" s="17"/>
      <c r="L2075" s="17"/>
      <c r="M2075" s="17"/>
      <c r="N2075" s="17"/>
      <c r="O2075" s="17"/>
      <c r="P2075" s="17"/>
      <c r="Q2075" s="17"/>
      <c r="R2075" s="17"/>
      <c r="S2075" s="17"/>
      <c r="T2075" s="17"/>
      <c r="U2075" s="17"/>
      <c r="V2075" s="17"/>
      <c r="W2075" s="17"/>
      <c r="X2075" s="17"/>
      <c r="Y2075" s="17"/>
      <c r="Z2075" s="31"/>
      <c r="AA2075" s="32"/>
    </row>
    <row r="2076" spans="1:27" ht="12.75">
      <c r="A2076" s="17"/>
      <c r="B2076" s="17"/>
      <c r="C2076" s="17"/>
      <c r="D2076" s="17"/>
      <c r="E2076" s="17"/>
      <c r="F2076" s="17"/>
      <c r="G2076" s="17"/>
      <c r="H2076" s="17"/>
      <c r="I2076" s="31"/>
      <c r="J2076" s="17"/>
      <c r="K2076" s="17"/>
      <c r="L2076" s="17"/>
      <c r="M2076" s="17"/>
      <c r="N2076" s="17"/>
      <c r="O2076" s="17"/>
      <c r="P2076" s="17"/>
      <c r="Q2076" s="17"/>
      <c r="R2076" s="17"/>
      <c r="S2076" s="17"/>
      <c r="T2076" s="17"/>
      <c r="U2076" s="17"/>
      <c r="V2076" s="17"/>
      <c r="W2076" s="17"/>
      <c r="X2076" s="17"/>
      <c r="Y2076" s="17"/>
      <c r="Z2076" s="31"/>
      <c r="AA2076" s="32"/>
    </row>
    <row r="2077" spans="1:27" ht="12.75">
      <c r="A2077" s="17"/>
      <c r="B2077" s="17"/>
      <c r="C2077" s="17"/>
      <c r="D2077" s="17"/>
      <c r="E2077" s="17"/>
      <c r="F2077" s="17"/>
      <c r="G2077" s="17"/>
      <c r="H2077" s="17"/>
      <c r="I2077" s="31"/>
      <c r="J2077" s="17"/>
      <c r="K2077" s="17"/>
      <c r="L2077" s="17"/>
      <c r="M2077" s="17"/>
      <c r="N2077" s="17"/>
      <c r="O2077" s="17"/>
      <c r="P2077" s="17"/>
      <c r="Q2077" s="17"/>
      <c r="R2077" s="17"/>
      <c r="S2077" s="17"/>
      <c r="T2077" s="17"/>
      <c r="U2077" s="17"/>
      <c r="V2077" s="17"/>
      <c r="W2077" s="17"/>
      <c r="X2077" s="17"/>
      <c r="Y2077" s="17"/>
      <c r="Z2077" s="31"/>
      <c r="AA2077" s="32"/>
    </row>
    <row r="2078" spans="1:27" ht="12.75">
      <c r="A2078" s="17"/>
      <c r="B2078" s="17"/>
      <c r="C2078" s="17"/>
      <c r="D2078" s="17"/>
      <c r="E2078" s="17"/>
      <c r="F2078" s="17"/>
      <c r="G2078" s="17"/>
      <c r="H2078" s="17"/>
      <c r="I2078" s="31"/>
      <c r="J2078" s="17"/>
      <c r="K2078" s="17"/>
      <c r="L2078" s="17"/>
      <c r="M2078" s="17"/>
      <c r="N2078" s="17"/>
      <c r="O2078" s="17"/>
      <c r="P2078" s="17"/>
      <c r="Q2078" s="17"/>
      <c r="R2078" s="17"/>
      <c r="S2078" s="17"/>
      <c r="T2078" s="17"/>
      <c r="U2078" s="17"/>
      <c r="V2078" s="17"/>
      <c r="W2078" s="17"/>
      <c r="X2078" s="17"/>
      <c r="Y2078" s="17"/>
      <c r="Z2078" s="31"/>
      <c r="AA2078" s="32"/>
    </row>
    <row r="2079" spans="1:27" ht="12.75">
      <c r="A2079" s="17"/>
      <c r="B2079" s="17"/>
      <c r="C2079" s="17"/>
      <c r="D2079" s="17"/>
      <c r="E2079" s="17"/>
      <c r="F2079" s="17"/>
      <c r="G2079" s="17"/>
      <c r="H2079" s="17"/>
      <c r="I2079" s="31"/>
      <c r="J2079" s="17"/>
      <c r="K2079" s="17"/>
      <c r="L2079" s="17"/>
      <c r="M2079" s="17"/>
      <c r="N2079" s="17"/>
      <c r="O2079" s="17"/>
      <c r="P2079" s="17"/>
      <c r="Q2079" s="17"/>
      <c r="R2079" s="17"/>
      <c r="S2079" s="17"/>
      <c r="T2079" s="17"/>
      <c r="U2079" s="17"/>
      <c r="V2079" s="17"/>
      <c r="W2079" s="17"/>
      <c r="X2079" s="17"/>
      <c r="Y2079" s="17"/>
      <c r="Z2079" s="31"/>
      <c r="AA2079" s="32"/>
    </row>
    <row r="2080" spans="1:27" ht="12.75">
      <c r="A2080" s="17"/>
      <c r="B2080" s="17"/>
      <c r="C2080" s="17"/>
      <c r="D2080" s="17"/>
      <c r="E2080" s="17"/>
      <c r="F2080" s="17"/>
      <c r="G2080" s="17"/>
      <c r="H2080" s="17"/>
      <c r="I2080" s="31"/>
      <c r="J2080" s="17"/>
      <c r="K2080" s="17"/>
      <c r="L2080" s="17"/>
      <c r="M2080" s="17"/>
      <c r="N2080" s="17"/>
      <c r="O2080" s="17"/>
      <c r="P2080" s="17"/>
      <c r="Q2080" s="17"/>
      <c r="R2080" s="17"/>
      <c r="S2080" s="17"/>
      <c r="T2080" s="17"/>
      <c r="U2080" s="17"/>
      <c r="V2080" s="17"/>
      <c r="W2080" s="17"/>
      <c r="X2080" s="17"/>
      <c r="Y2080" s="17"/>
      <c r="Z2080" s="31"/>
      <c r="AA2080" s="32"/>
    </row>
    <row r="2081" spans="1:27" ht="12.75">
      <c r="A2081" s="17"/>
      <c r="B2081" s="17"/>
      <c r="C2081" s="17"/>
      <c r="D2081" s="17"/>
      <c r="E2081" s="17"/>
      <c r="F2081" s="17"/>
      <c r="G2081" s="17"/>
      <c r="H2081" s="17"/>
      <c r="I2081" s="31"/>
      <c r="J2081" s="17"/>
      <c r="K2081" s="17"/>
      <c r="L2081" s="17"/>
      <c r="M2081" s="17"/>
      <c r="N2081" s="17"/>
      <c r="O2081" s="17"/>
      <c r="P2081" s="17"/>
      <c r="Q2081" s="17"/>
      <c r="R2081" s="17"/>
      <c r="S2081" s="17"/>
      <c r="T2081" s="17"/>
      <c r="U2081" s="17"/>
      <c r="V2081" s="17"/>
      <c r="W2081" s="17"/>
      <c r="X2081" s="17"/>
      <c r="Y2081" s="17"/>
      <c r="Z2081" s="31"/>
      <c r="AA2081" s="32"/>
    </row>
    <row r="2082" spans="1:27" ht="12.75">
      <c r="A2082" s="17"/>
      <c r="B2082" s="17"/>
      <c r="C2082" s="17"/>
      <c r="D2082" s="17"/>
      <c r="E2082" s="17"/>
      <c r="F2082" s="17"/>
      <c r="G2082" s="17"/>
      <c r="H2082" s="17"/>
      <c r="I2082" s="31"/>
      <c r="J2082" s="17"/>
      <c r="K2082" s="17"/>
      <c r="L2082" s="17"/>
      <c r="M2082" s="17"/>
      <c r="N2082" s="17"/>
      <c r="O2082" s="17"/>
      <c r="P2082" s="17"/>
      <c r="Q2082" s="17"/>
      <c r="R2082" s="17"/>
      <c r="S2082" s="17"/>
      <c r="T2082" s="17"/>
      <c r="U2082" s="17"/>
      <c r="V2082" s="17"/>
      <c r="W2082" s="17"/>
      <c r="X2082" s="17"/>
      <c r="Y2082" s="17"/>
      <c r="Z2082" s="31"/>
      <c r="AA2082" s="32"/>
    </row>
    <row r="2083" spans="1:27" ht="12.75">
      <c r="A2083" s="17"/>
      <c r="B2083" s="17"/>
      <c r="C2083" s="17"/>
      <c r="D2083" s="17"/>
      <c r="E2083" s="17"/>
      <c r="F2083" s="17"/>
      <c r="G2083" s="17"/>
      <c r="H2083" s="17"/>
      <c r="I2083" s="31"/>
      <c r="J2083" s="17"/>
      <c r="K2083" s="17"/>
      <c r="L2083" s="17"/>
      <c r="M2083" s="17"/>
      <c r="N2083" s="17"/>
      <c r="O2083" s="17"/>
      <c r="P2083" s="17"/>
      <c r="Q2083" s="17"/>
      <c r="R2083" s="17"/>
      <c r="S2083" s="17"/>
      <c r="T2083" s="17"/>
      <c r="U2083" s="17"/>
      <c r="V2083" s="17"/>
      <c r="W2083" s="17"/>
      <c r="X2083" s="17"/>
      <c r="Y2083" s="17"/>
      <c r="Z2083" s="31"/>
      <c r="AA2083" s="32"/>
    </row>
    <row r="2084" spans="1:27" ht="12.75">
      <c r="A2084" s="17"/>
      <c r="B2084" s="17"/>
      <c r="C2084" s="17"/>
      <c r="D2084" s="17"/>
      <c r="E2084" s="17"/>
      <c r="F2084" s="17"/>
      <c r="G2084" s="17"/>
      <c r="H2084" s="17"/>
      <c r="I2084" s="31"/>
      <c r="J2084" s="17"/>
      <c r="K2084" s="17"/>
      <c r="L2084" s="17"/>
      <c r="M2084" s="17"/>
      <c r="N2084" s="17"/>
      <c r="O2084" s="17"/>
      <c r="P2084" s="17"/>
      <c r="Q2084" s="17"/>
      <c r="R2084" s="17"/>
      <c r="S2084" s="17"/>
      <c r="T2084" s="17"/>
      <c r="U2084" s="17"/>
      <c r="V2084" s="17"/>
      <c r="W2084" s="17"/>
      <c r="X2084" s="17"/>
      <c r="Y2084" s="17"/>
      <c r="Z2084" s="31"/>
      <c r="AA2084" s="32"/>
    </row>
    <row r="2085" spans="1:27" ht="12.75">
      <c r="A2085" s="17"/>
      <c r="B2085" s="17"/>
      <c r="C2085" s="17"/>
      <c r="D2085" s="17"/>
      <c r="E2085" s="17"/>
      <c r="F2085" s="17"/>
      <c r="G2085" s="17"/>
      <c r="H2085" s="17"/>
      <c r="I2085" s="31"/>
      <c r="J2085" s="17"/>
      <c r="K2085" s="17"/>
      <c r="L2085" s="17"/>
      <c r="M2085" s="17"/>
      <c r="N2085" s="17"/>
      <c r="O2085" s="17"/>
      <c r="P2085" s="17"/>
      <c r="Q2085" s="17"/>
      <c r="R2085" s="17"/>
      <c r="S2085" s="17"/>
      <c r="T2085" s="17"/>
      <c r="U2085" s="17"/>
      <c r="V2085" s="17"/>
      <c r="W2085" s="17"/>
      <c r="X2085" s="17"/>
      <c r="Y2085" s="17"/>
      <c r="Z2085" s="31"/>
      <c r="AA2085" s="32"/>
    </row>
    <row r="2086" spans="1:27" ht="12.75">
      <c r="A2086" s="17"/>
      <c r="B2086" s="17"/>
      <c r="C2086" s="17"/>
      <c r="D2086" s="17"/>
      <c r="E2086" s="17"/>
      <c r="F2086" s="17"/>
      <c r="G2086" s="17"/>
      <c r="H2086" s="17"/>
      <c r="I2086" s="31"/>
      <c r="J2086" s="17"/>
      <c r="K2086" s="17"/>
      <c r="L2086" s="17"/>
      <c r="M2086" s="17"/>
      <c r="N2086" s="17"/>
      <c r="O2086" s="17"/>
      <c r="P2086" s="17"/>
      <c r="Q2086" s="17"/>
      <c r="R2086" s="17"/>
      <c r="S2086" s="17"/>
      <c r="T2086" s="17"/>
      <c r="U2086" s="17"/>
      <c r="V2086" s="17"/>
      <c r="W2086" s="17"/>
      <c r="X2086" s="17"/>
      <c r="Y2086" s="17"/>
      <c r="Z2086" s="31"/>
      <c r="AA2086" s="32"/>
    </row>
    <row r="2087" spans="1:27" ht="12.75">
      <c r="A2087" s="17"/>
      <c r="B2087" s="17"/>
      <c r="C2087" s="17"/>
      <c r="D2087" s="17"/>
      <c r="E2087" s="17"/>
      <c r="F2087" s="17"/>
      <c r="G2087" s="17"/>
      <c r="H2087" s="17"/>
      <c r="I2087" s="31"/>
      <c r="J2087" s="17"/>
      <c r="K2087" s="17"/>
      <c r="L2087" s="17"/>
      <c r="M2087" s="17"/>
      <c r="N2087" s="17"/>
      <c r="O2087" s="17"/>
      <c r="P2087" s="17"/>
      <c r="Q2087" s="17"/>
      <c r="R2087" s="17"/>
      <c r="S2087" s="17"/>
      <c r="T2087" s="17"/>
      <c r="U2087" s="17"/>
      <c r="V2087" s="17"/>
      <c r="W2087" s="17"/>
      <c r="X2087" s="17"/>
      <c r="Y2087" s="17"/>
      <c r="Z2087" s="31"/>
      <c r="AA2087" s="32"/>
    </row>
    <row r="2088" spans="1:27" ht="12.75">
      <c r="A2088" s="17"/>
      <c r="B2088" s="17"/>
      <c r="C2088" s="17"/>
      <c r="D2088" s="17"/>
      <c r="E2088" s="17"/>
      <c r="F2088" s="17"/>
      <c r="G2088" s="17"/>
      <c r="H2088" s="17"/>
      <c r="I2088" s="31"/>
      <c r="J2088" s="17"/>
      <c r="K2088" s="17"/>
      <c r="L2088" s="17"/>
      <c r="M2088" s="17"/>
      <c r="N2088" s="17"/>
      <c r="O2088" s="17"/>
      <c r="P2088" s="17"/>
      <c r="Q2088" s="17"/>
      <c r="R2088" s="17"/>
      <c r="S2088" s="17"/>
      <c r="T2088" s="17"/>
      <c r="U2088" s="17"/>
      <c r="V2088" s="17"/>
      <c r="W2088" s="17"/>
      <c r="X2088" s="17"/>
      <c r="Y2088" s="17"/>
      <c r="Z2088" s="31"/>
      <c r="AA2088" s="32"/>
    </row>
    <row r="2089" spans="1:27" ht="12.75">
      <c r="A2089" s="17"/>
      <c r="B2089" s="17"/>
      <c r="C2089" s="17"/>
      <c r="D2089" s="17"/>
      <c r="E2089" s="17"/>
      <c r="F2089" s="17"/>
      <c r="G2089" s="17"/>
      <c r="H2089" s="17"/>
      <c r="I2089" s="31"/>
      <c r="J2089" s="17"/>
      <c r="K2089" s="17"/>
      <c r="L2089" s="17"/>
      <c r="M2089" s="17"/>
      <c r="N2089" s="17"/>
      <c r="O2089" s="17"/>
      <c r="P2089" s="17"/>
      <c r="Q2089" s="17"/>
      <c r="R2089" s="17"/>
      <c r="S2089" s="17"/>
      <c r="T2089" s="17"/>
      <c r="U2089" s="17"/>
      <c r="V2089" s="17"/>
      <c r="W2089" s="17"/>
      <c r="X2089" s="17"/>
      <c r="Y2089" s="17"/>
      <c r="Z2089" s="31"/>
      <c r="AA2089" s="32"/>
    </row>
    <row r="2090" spans="1:27" ht="12.75">
      <c r="A2090" s="17"/>
      <c r="B2090" s="17"/>
      <c r="C2090" s="17"/>
      <c r="D2090" s="17"/>
      <c r="E2090" s="17"/>
      <c r="F2090" s="17"/>
      <c r="G2090" s="17"/>
      <c r="H2090" s="17"/>
      <c r="I2090" s="31"/>
      <c r="J2090" s="17"/>
      <c r="K2090" s="17"/>
      <c r="L2090" s="17"/>
      <c r="M2090" s="17"/>
      <c r="N2090" s="17"/>
      <c r="O2090" s="17"/>
      <c r="P2090" s="17"/>
      <c r="Q2090" s="17"/>
      <c r="R2090" s="17"/>
      <c r="S2090" s="17"/>
      <c r="T2090" s="17"/>
      <c r="U2090" s="17"/>
      <c r="V2090" s="17"/>
      <c r="W2090" s="17"/>
      <c r="X2090" s="17"/>
      <c r="Y2090" s="17"/>
      <c r="Z2090" s="31"/>
      <c r="AA2090" s="32"/>
    </row>
    <row r="2091" spans="1:27" ht="12.75">
      <c r="A2091" s="17"/>
      <c r="B2091" s="17"/>
      <c r="C2091" s="17"/>
      <c r="D2091" s="17"/>
      <c r="E2091" s="17"/>
      <c r="F2091" s="17"/>
      <c r="G2091" s="17"/>
      <c r="H2091" s="17"/>
      <c r="I2091" s="31"/>
      <c r="J2091" s="17"/>
      <c r="K2091" s="17"/>
      <c r="L2091" s="17"/>
      <c r="M2091" s="17"/>
      <c r="N2091" s="17"/>
      <c r="O2091" s="17"/>
      <c r="P2091" s="17"/>
      <c r="Q2091" s="17"/>
      <c r="R2091" s="17"/>
      <c r="S2091" s="17"/>
      <c r="T2091" s="17"/>
      <c r="U2091" s="17"/>
      <c r="V2091" s="17"/>
      <c r="W2091" s="17"/>
      <c r="X2091" s="17"/>
      <c r="Y2091" s="17"/>
      <c r="Z2091" s="31"/>
      <c r="AA2091" s="32"/>
    </row>
    <row r="2092" spans="1:27" ht="12.75">
      <c r="A2092" s="17"/>
      <c r="B2092" s="17"/>
      <c r="C2092" s="17"/>
      <c r="D2092" s="17"/>
      <c r="E2092" s="17"/>
      <c r="F2092" s="17"/>
      <c r="G2092" s="17"/>
      <c r="H2092" s="17"/>
      <c r="I2092" s="31"/>
      <c r="J2092" s="17"/>
      <c r="K2092" s="17"/>
      <c r="L2092" s="17"/>
      <c r="M2092" s="17"/>
      <c r="N2092" s="17"/>
      <c r="O2092" s="17"/>
      <c r="P2092" s="17"/>
      <c r="Q2092" s="17"/>
      <c r="R2092" s="17"/>
      <c r="S2092" s="17"/>
      <c r="T2092" s="17"/>
      <c r="U2092" s="17"/>
      <c r="V2092" s="17"/>
      <c r="W2092" s="17"/>
      <c r="X2092" s="17"/>
      <c r="Y2092" s="17"/>
      <c r="Z2092" s="31"/>
      <c r="AA2092" s="32"/>
    </row>
    <row r="2093" spans="1:27" ht="12.75">
      <c r="A2093" s="17"/>
      <c r="B2093" s="17"/>
      <c r="C2093" s="17"/>
      <c r="D2093" s="17"/>
      <c r="E2093" s="17"/>
      <c r="F2093" s="17"/>
      <c r="G2093" s="17"/>
      <c r="H2093" s="17"/>
      <c r="I2093" s="31"/>
      <c r="J2093" s="17"/>
      <c r="K2093" s="17"/>
      <c r="L2093" s="17"/>
      <c r="M2093" s="17"/>
      <c r="N2093" s="17"/>
      <c r="O2093" s="17"/>
      <c r="P2093" s="17"/>
      <c r="Q2093" s="17"/>
      <c r="R2093" s="17"/>
      <c r="S2093" s="17"/>
      <c r="T2093" s="17"/>
      <c r="U2093" s="17"/>
      <c r="V2093" s="17"/>
      <c r="W2093" s="17"/>
      <c r="X2093" s="17"/>
      <c r="Y2093" s="17"/>
      <c r="Z2093" s="31"/>
      <c r="AA2093" s="32"/>
    </row>
    <row r="2094" spans="1:27" ht="12.75">
      <c r="A2094" s="17"/>
      <c r="B2094" s="17"/>
      <c r="C2094" s="17"/>
      <c r="D2094" s="17"/>
      <c r="E2094" s="17"/>
      <c r="F2094" s="17"/>
      <c r="G2094" s="17"/>
      <c r="H2094" s="17"/>
      <c r="I2094" s="31"/>
      <c r="J2094" s="17"/>
      <c r="K2094" s="17"/>
      <c r="L2094" s="17"/>
      <c r="M2094" s="17"/>
      <c r="N2094" s="17"/>
      <c r="O2094" s="17"/>
      <c r="P2094" s="17"/>
      <c r="Q2094" s="17"/>
      <c r="R2094" s="17"/>
      <c r="S2094" s="17"/>
      <c r="T2094" s="17"/>
      <c r="U2094" s="17"/>
      <c r="V2094" s="17"/>
      <c r="W2094" s="17"/>
      <c r="X2094" s="17"/>
      <c r="Y2094" s="17"/>
      <c r="Z2094" s="31"/>
      <c r="AA2094" s="32"/>
    </row>
    <row r="2095" spans="1:27" ht="12.75">
      <c r="A2095" s="17"/>
      <c r="B2095" s="17"/>
      <c r="C2095" s="17"/>
      <c r="D2095" s="17"/>
      <c r="E2095" s="17"/>
      <c r="F2095" s="17"/>
      <c r="G2095" s="17"/>
      <c r="H2095" s="17"/>
      <c r="I2095" s="31"/>
      <c r="J2095" s="17"/>
      <c r="K2095" s="17"/>
      <c r="L2095" s="17"/>
      <c r="M2095" s="17"/>
      <c r="N2095" s="17"/>
      <c r="O2095" s="17"/>
      <c r="P2095" s="17"/>
      <c r="Q2095" s="17"/>
      <c r="R2095" s="17"/>
      <c r="S2095" s="17"/>
      <c r="T2095" s="17"/>
      <c r="U2095" s="17"/>
      <c r="V2095" s="17"/>
      <c r="W2095" s="17"/>
      <c r="X2095" s="17"/>
      <c r="Y2095" s="17"/>
      <c r="Z2095" s="31"/>
      <c r="AA2095" s="32"/>
    </row>
    <row r="2096" spans="1:27" ht="12.75">
      <c r="A2096" s="17"/>
      <c r="B2096" s="17"/>
      <c r="C2096" s="17"/>
      <c r="D2096" s="17"/>
      <c r="E2096" s="17"/>
      <c r="F2096" s="17"/>
      <c r="G2096" s="17"/>
      <c r="H2096" s="17"/>
      <c r="I2096" s="31"/>
      <c r="J2096" s="17"/>
      <c r="K2096" s="17"/>
      <c r="L2096" s="17"/>
      <c r="M2096" s="17"/>
      <c r="N2096" s="17"/>
      <c r="O2096" s="17"/>
      <c r="P2096" s="17"/>
      <c r="Q2096" s="17"/>
      <c r="R2096" s="17"/>
      <c r="S2096" s="17"/>
      <c r="T2096" s="17"/>
      <c r="U2096" s="17"/>
      <c r="V2096" s="17"/>
      <c r="W2096" s="17"/>
      <c r="X2096" s="17"/>
      <c r="Y2096" s="17"/>
      <c r="Z2096" s="31"/>
      <c r="AA2096" s="32"/>
    </row>
    <row r="2097" spans="1:27" ht="12.75">
      <c r="A2097" s="17"/>
      <c r="B2097" s="17"/>
      <c r="C2097" s="17"/>
      <c r="D2097" s="17"/>
      <c r="E2097" s="17"/>
      <c r="F2097" s="17"/>
      <c r="G2097" s="17"/>
      <c r="H2097" s="17"/>
      <c r="I2097" s="31"/>
      <c r="J2097" s="17"/>
      <c r="K2097" s="17"/>
      <c r="L2097" s="17"/>
      <c r="M2097" s="17"/>
      <c r="N2097" s="17"/>
      <c r="O2097" s="17"/>
      <c r="P2097" s="17"/>
      <c r="Q2097" s="17"/>
      <c r="R2097" s="17"/>
      <c r="S2097" s="17"/>
      <c r="T2097" s="17"/>
      <c r="U2097" s="17"/>
      <c r="V2097" s="17"/>
      <c r="W2097" s="17"/>
      <c r="X2097" s="17"/>
      <c r="Y2097" s="17"/>
      <c r="Z2097" s="31"/>
      <c r="AA2097" s="32"/>
    </row>
    <row r="2098" spans="1:27" ht="12.75">
      <c r="A2098" s="17"/>
      <c r="B2098" s="17"/>
      <c r="C2098" s="17"/>
      <c r="D2098" s="17"/>
      <c r="E2098" s="17"/>
      <c r="F2098" s="17"/>
      <c r="G2098" s="17"/>
      <c r="H2098" s="17"/>
      <c r="I2098" s="31"/>
      <c r="J2098" s="17"/>
      <c r="K2098" s="17"/>
      <c r="L2098" s="17"/>
      <c r="M2098" s="17"/>
      <c r="N2098" s="17"/>
      <c r="O2098" s="17"/>
      <c r="P2098" s="17"/>
      <c r="Q2098" s="17"/>
      <c r="R2098" s="17"/>
      <c r="S2098" s="17"/>
      <c r="T2098" s="17"/>
      <c r="U2098" s="17"/>
      <c r="V2098" s="17"/>
      <c r="W2098" s="17"/>
      <c r="X2098" s="17"/>
      <c r="Y2098" s="17"/>
      <c r="Z2098" s="31"/>
      <c r="AA2098" s="32"/>
    </row>
    <row r="2099" spans="1:27" ht="12.75">
      <c r="A2099" s="17"/>
      <c r="B2099" s="17"/>
      <c r="C2099" s="17"/>
      <c r="D2099" s="17"/>
      <c r="E2099" s="17"/>
      <c r="F2099" s="17"/>
      <c r="G2099" s="17"/>
      <c r="H2099" s="17"/>
      <c r="I2099" s="31"/>
      <c r="J2099" s="17"/>
      <c r="K2099" s="17"/>
      <c r="L2099" s="17"/>
      <c r="M2099" s="17"/>
      <c r="N2099" s="17"/>
      <c r="O2099" s="17"/>
      <c r="P2099" s="17"/>
      <c r="Q2099" s="17"/>
      <c r="R2099" s="17"/>
      <c r="S2099" s="17"/>
      <c r="T2099" s="17"/>
      <c r="U2099" s="17"/>
      <c r="V2099" s="17"/>
      <c r="W2099" s="17"/>
      <c r="X2099" s="17"/>
      <c r="Y2099" s="17"/>
      <c r="Z2099" s="31"/>
      <c r="AA2099" s="32"/>
    </row>
    <row r="2100" spans="1:27" ht="12.75">
      <c r="A2100" s="17"/>
      <c r="B2100" s="17"/>
      <c r="C2100" s="17"/>
      <c r="D2100" s="17"/>
      <c r="E2100" s="17"/>
      <c r="F2100" s="17"/>
      <c r="G2100" s="17"/>
      <c r="H2100" s="17"/>
      <c r="I2100" s="31"/>
      <c r="J2100" s="17"/>
      <c r="K2100" s="17"/>
      <c r="L2100" s="17"/>
      <c r="M2100" s="17"/>
      <c r="N2100" s="17"/>
      <c r="O2100" s="17"/>
      <c r="P2100" s="17"/>
      <c r="Q2100" s="17"/>
      <c r="R2100" s="17"/>
      <c r="S2100" s="17"/>
      <c r="T2100" s="17"/>
      <c r="U2100" s="17"/>
      <c r="V2100" s="17"/>
      <c r="W2100" s="17"/>
      <c r="X2100" s="17"/>
      <c r="Y2100" s="17"/>
      <c r="Z2100" s="31"/>
      <c r="AA2100" s="32"/>
    </row>
    <row r="2101" spans="1:27" ht="12.75">
      <c r="A2101" s="17"/>
      <c r="B2101" s="17"/>
      <c r="C2101" s="17"/>
      <c r="D2101" s="17"/>
      <c r="E2101" s="17"/>
      <c r="F2101" s="17"/>
      <c r="G2101" s="17"/>
      <c r="H2101" s="17"/>
      <c r="I2101" s="31"/>
      <c r="J2101" s="17"/>
      <c r="K2101" s="17"/>
      <c r="L2101" s="17"/>
      <c r="M2101" s="17"/>
      <c r="N2101" s="17"/>
      <c r="O2101" s="17"/>
      <c r="P2101" s="17"/>
      <c r="Q2101" s="17"/>
      <c r="R2101" s="17"/>
      <c r="S2101" s="17"/>
      <c r="T2101" s="17"/>
      <c r="U2101" s="17"/>
      <c r="V2101" s="17"/>
      <c r="W2101" s="17"/>
      <c r="X2101" s="17"/>
      <c r="Y2101" s="17"/>
      <c r="Z2101" s="31"/>
      <c r="AA2101" s="32"/>
    </row>
    <row r="2102" spans="1:27" ht="12.75">
      <c r="A2102" s="17"/>
      <c r="B2102" s="17"/>
      <c r="C2102" s="17"/>
      <c r="D2102" s="17"/>
      <c r="E2102" s="17"/>
      <c r="F2102" s="17"/>
      <c r="G2102" s="17"/>
      <c r="H2102" s="17"/>
      <c r="I2102" s="31"/>
      <c r="J2102" s="17"/>
      <c r="K2102" s="17"/>
      <c r="L2102" s="17"/>
      <c r="M2102" s="17"/>
      <c r="N2102" s="17"/>
      <c r="O2102" s="17"/>
      <c r="P2102" s="17"/>
      <c r="Q2102" s="17"/>
      <c r="R2102" s="17"/>
      <c r="S2102" s="17"/>
      <c r="T2102" s="17"/>
      <c r="U2102" s="17"/>
      <c r="V2102" s="17"/>
      <c r="W2102" s="17"/>
      <c r="X2102" s="17"/>
      <c r="Y2102" s="17"/>
      <c r="Z2102" s="31"/>
      <c r="AA2102" s="32"/>
    </row>
    <row r="2103" spans="1:27" ht="12.75">
      <c r="A2103" s="17"/>
      <c r="B2103" s="17"/>
      <c r="C2103" s="17"/>
      <c r="D2103" s="17"/>
      <c r="E2103" s="17"/>
      <c r="F2103" s="17"/>
      <c r="G2103" s="17"/>
      <c r="H2103" s="17"/>
      <c r="I2103" s="31"/>
      <c r="J2103" s="17"/>
      <c r="K2103" s="17"/>
      <c r="L2103" s="17"/>
      <c r="M2103" s="17"/>
      <c r="N2103" s="17"/>
      <c r="O2103" s="17"/>
      <c r="P2103" s="17"/>
      <c r="Q2103" s="17"/>
      <c r="R2103" s="17"/>
      <c r="S2103" s="17"/>
      <c r="T2103" s="17"/>
      <c r="U2103" s="17"/>
      <c r="V2103" s="17"/>
      <c r="W2103" s="17"/>
      <c r="X2103" s="17"/>
      <c r="Y2103" s="17"/>
      <c r="Z2103" s="31"/>
      <c r="AA2103" s="32"/>
    </row>
    <row r="2104" spans="1:27" ht="12.75">
      <c r="A2104" s="17"/>
      <c r="B2104" s="17"/>
      <c r="C2104" s="17"/>
      <c r="D2104" s="17"/>
      <c r="E2104" s="17"/>
      <c r="F2104" s="17"/>
      <c r="G2104" s="17"/>
      <c r="H2104" s="17"/>
      <c r="I2104" s="31"/>
      <c r="J2104" s="17"/>
      <c r="K2104" s="17"/>
      <c r="L2104" s="17"/>
      <c r="M2104" s="17"/>
      <c r="N2104" s="17"/>
      <c r="O2104" s="17"/>
      <c r="P2104" s="17"/>
      <c r="Q2104" s="17"/>
      <c r="R2104" s="17"/>
      <c r="S2104" s="17"/>
      <c r="T2104" s="17"/>
      <c r="U2104" s="17"/>
      <c r="V2104" s="17"/>
      <c r="W2104" s="17"/>
      <c r="X2104" s="17"/>
      <c r="Y2104" s="17"/>
      <c r="Z2104" s="31"/>
      <c r="AA2104" s="32"/>
    </row>
    <row r="2105" spans="1:27" ht="12.75">
      <c r="A2105" s="17"/>
      <c r="B2105" s="17"/>
      <c r="C2105" s="17"/>
      <c r="D2105" s="17"/>
      <c r="E2105" s="17"/>
      <c r="F2105" s="17"/>
      <c r="G2105" s="17"/>
      <c r="H2105" s="17"/>
      <c r="I2105" s="31"/>
      <c r="J2105" s="17"/>
      <c r="K2105" s="17"/>
      <c r="L2105" s="17"/>
      <c r="M2105" s="17"/>
      <c r="N2105" s="17"/>
      <c r="O2105" s="17"/>
      <c r="P2105" s="17"/>
      <c r="Q2105" s="17"/>
      <c r="R2105" s="17"/>
      <c r="S2105" s="17"/>
      <c r="T2105" s="17"/>
      <c r="U2105" s="17"/>
      <c r="V2105" s="17"/>
      <c r="W2105" s="17"/>
      <c r="X2105" s="17"/>
      <c r="Y2105" s="17"/>
      <c r="Z2105" s="31"/>
      <c r="AA2105" s="32"/>
    </row>
    <row r="2106" spans="1:27" ht="12.75">
      <c r="A2106" s="17"/>
      <c r="B2106" s="17"/>
      <c r="C2106" s="17"/>
      <c r="D2106" s="17"/>
      <c r="E2106" s="17"/>
      <c r="F2106" s="17"/>
      <c r="G2106" s="17"/>
      <c r="H2106" s="17"/>
      <c r="I2106" s="31"/>
      <c r="J2106" s="17"/>
      <c r="K2106" s="17"/>
      <c r="L2106" s="17"/>
      <c r="M2106" s="17"/>
      <c r="N2106" s="17"/>
      <c r="O2106" s="17"/>
      <c r="P2106" s="17"/>
      <c r="Q2106" s="17"/>
      <c r="R2106" s="17"/>
      <c r="S2106" s="17"/>
      <c r="T2106" s="17"/>
      <c r="U2106" s="17"/>
      <c r="V2106" s="17"/>
      <c r="W2106" s="17"/>
      <c r="X2106" s="17"/>
      <c r="Y2106" s="17"/>
      <c r="Z2106" s="31"/>
      <c r="AA2106" s="32"/>
    </row>
    <row r="2107" spans="1:27" ht="12.75">
      <c r="A2107" s="17"/>
      <c r="B2107" s="17"/>
      <c r="C2107" s="17"/>
      <c r="D2107" s="17"/>
      <c r="E2107" s="17"/>
      <c r="F2107" s="17"/>
      <c r="G2107" s="17"/>
      <c r="H2107" s="17"/>
      <c r="I2107" s="31"/>
      <c r="J2107" s="17"/>
      <c r="K2107" s="17"/>
      <c r="L2107" s="17"/>
      <c r="M2107" s="17"/>
      <c r="N2107" s="17"/>
      <c r="O2107" s="17"/>
      <c r="P2107" s="17"/>
      <c r="Q2107" s="17"/>
      <c r="R2107" s="17"/>
      <c r="S2107" s="17"/>
      <c r="T2107" s="17"/>
      <c r="U2107" s="17"/>
      <c r="V2107" s="17"/>
      <c r="W2107" s="17"/>
      <c r="X2107" s="17"/>
      <c r="Y2107" s="17"/>
      <c r="Z2107" s="31"/>
      <c r="AA2107" s="32"/>
    </row>
    <row r="2108" spans="1:27" ht="12.75">
      <c r="A2108" s="17"/>
      <c r="B2108" s="17"/>
      <c r="C2108" s="17"/>
      <c r="D2108" s="17"/>
      <c r="E2108" s="17"/>
      <c r="F2108" s="17"/>
      <c r="G2108" s="17"/>
      <c r="H2108" s="17"/>
      <c r="I2108" s="31"/>
      <c r="J2108" s="17"/>
      <c r="K2108" s="17"/>
      <c r="L2108" s="17"/>
      <c r="M2108" s="17"/>
      <c r="N2108" s="17"/>
      <c r="O2108" s="17"/>
      <c r="P2108" s="17"/>
      <c r="Q2108" s="17"/>
      <c r="R2108" s="17"/>
      <c r="S2108" s="17"/>
      <c r="T2108" s="17"/>
      <c r="U2108" s="17"/>
      <c r="V2108" s="17"/>
      <c r="W2108" s="17"/>
      <c r="X2108" s="17"/>
      <c r="Y2108" s="17"/>
      <c r="Z2108" s="31"/>
      <c r="AA2108" s="32"/>
    </row>
    <row r="2109" spans="1:27" ht="12.75">
      <c r="A2109" s="17"/>
      <c r="B2109" s="17"/>
      <c r="C2109" s="17"/>
      <c r="D2109" s="17"/>
      <c r="E2109" s="17"/>
      <c r="F2109" s="17"/>
      <c r="G2109" s="17"/>
      <c r="H2109" s="17"/>
      <c r="I2109" s="31"/>
      <c r="J2109" s="17"/>
      <c r="K2109" s="17"/>
      <c r="L2109" s="17"/>
      <c r="M2109" s="17"/>
      <c r="N2109" s="17"/>
      <c r="O2109" s="17"/>
      <c r="P2109" s="17"/>
      <c r="Q2109" s="17"/>
      <c r="R2109" s="17"/>
      <c r="S2109" s="17"/>
      <c r="T2109" s="17"/>
      <c r="U2109" s="17"/>
      <c r="V2109" s="17"/>
      <c r="W2109" s="17"/>
      <c r="X2109" s="17"/>
      <c r="Y2109" s="17"/>
      <c r="Z2109" s="31"/>
      <c r="AA2109" s="32"/>
    </row>
    <row r="2110" spans="1:27" ht="12.75">
      <c r="A2110" s="17"/>
      <c r="B2110" s="17"/>
      <c r="C2110" s="17"/>
      <c r="D2110" s="17"/>
      <c r="E2110" s="17"/>
      <c r="F2110" s="17"/>
      <c r="G2110" s="17"/>
      <c r="H2110" s="17"/>
      <c r="I2110" s="31"/>
      <c r="J2110" s="17"/>
      <c r="K2110" s="17"/>
      <c r="L2110" s="17"/>
      <c r="M2110" s="17"/>
      <c r="N2110" s="17"/>
      <c r="O2110" s="17"/>
      <c r="P2110" s="17"/>
      <c r="Q2110" s="17"/>
      <c r="R2110" s="17"/>
      <c r="S2110" s="17"/>
      <c r="T2110" s="17"/>
      <c r="U2110" s="17"/>
      <c r="V2110" s="17"/>
      <c r="W2110" s="17"/>
      <c r="X2110" s="17"/>
      <c r="Y2110" s="17"/>
      <c r="Z2110" s="31"/>
      <c r="AA2110" s="32"/>
    </row>
    <row r="2111" spans="1:27" ht="12.75">
      <c r="A2111" s="17"/>
      <c r="B2111" s="17"/>
      <c r="C2111" s="17"/>
      <c r="D2111" s="17"/>
      <c r="E2111" s="17"/>
      <c r="F2111" s="17"/>
      <c r="G2111" s="17"/>
      <c r="H2111" s="17"/>
      <c r="I2111" s="31"/>
      <c r="J2111" s="17"/>
      <c r="K2111" s="17"/>
      <c r="L2111" s="17"/>
      <c r="M2111" s="17"/>
      <c r="N2111" s="17"/>
      <c r="O2111" s="17"/>
      <c r="P2111" s="17"/>
      <c r="Q2111" s="17"/>
      <c r="R2111" s="17"/>
      <c r="S2111" s="17"/>
      <c r="T2111" s="17"/>
      <c r="U2111" s="17"/>
      <c r="V2111" s="17"/>
      <c r="W2111" s="17"/>
      <c r="X2111" s="17"/>
      <c r="Y2111" s="17"/>
      <c r="Z2111" s="31"/>
      <c r="AA2111" s="32"/>
    </row>
    <row r="2112" spans="1:27" ht="12.75">
      <c r="A2112" s="17"/>
      <c r="B2112" s="17"/>
      <c r="C2112" s="17"/>
      <c r="D2112" s="17"/>
      <c r="E2112" s="17"/>
      <c r="F2112" s="17"/>
      <c r="G2112" s="17"/>
      <c r="H2112" s="17"/>
      <c r="I2112" s="31"/>
      <c r="J2112" s="17"/>
      <c r="K2112" s="17"/>
      <c r="L2112" s="17"/>
      <c r="M2112" s="17"/>
      <c r="N2112" s="17"/>
      <c r="O2112" s="17"/>
      <c r="P2112" s="17"/>
      <c r="Q2112" s="17"/>
      <c r="R2112" s="17"/>
      <c r="S2112" s="17"/>
      <c r="T2112" s="17"/>
      <c r="U2112" s="17"/>
      <c r="V2112" s="17"/>
      <c r="W2112" s="17"/>
      <c r="X2112" s="17"/>
      <c r="Y2112" s="17"/>
      <c r="Z2112" s="31"/>
      <c r="AA2112" s="32"/>
    </row>
    <row r="2113" spans="1:27" ht="12.75">
      <c r="A2113" s="17"/>
      <c r="B2113" s="17"/>
      <c r="C2113" s="17"/>
      <c r="D2113" s="17"/>
      <c r="E2113" s="17"/>
      <c r="F2113" s="17"/>
      <c r="G2113" s="17"/>
      <c r="H2113" s="17"/>
      <c r="I2113" s="31"/>
      <c r="J2113" s="17"/>
      <c r="K2113" s="17"/>
      <c r="L2113" s="17"/>
      <c r="M2113" s="17"/>
      <c r="N2113" s="17"/>
      <c r="O2113" s="17"/>
      <c r="P2113" s="17"/>
      <c r="Q2113" s="17"/>
      <c r="R2113" s="17"/>
      <c r="S2113" s="17"/>
      <c r="T2113" s="17"/>
      <c r="U2113" s="17"/>
      <c r="V2113" s="17"/>
      <c r="W2113" s="17"/>
      <c r="X2113" s="17"/>
      <c r="Y2113" s="17"/>
      <c r="Z2113" s="31"/>
      <c r="AA2113" s="32"/>
    </row>
    <row r="2114" spans="1:27" ht="12.75">
      <c r="A2114" s="17"/>
      <c r="B2114" s="17"/>
      <c r="C2114" s="17"/>
      <c r="D2114" s="17"/>
      <c r="E2114" s="17"/>
      <c r="F2114" s="17"/>
      <c r="G2114" s="17"/>
      <c r="H2114" s="17"/>
      <c r="I2114" s="31"/>
      <c r="J2114" s="17"/>
      <c r="K2114" s="17"/>
      <c r="L2114" s="17"/>
      <c r="M2114" s="17"/>
      <c r="N2114" s="17"/>
      <c r="O2114" s="17"/>
      <c r="P2114" s="17"/>
      <c r="Q2114" s="17"/>
      <c r="R2114" s="17"/>
      <c r="S2114" s="17"/>
      <c r="T2114" s="17"/>
      <c r="U2114" s="17"/>
      <c r="V2114" s="17"/>
      <c r="W2114" s="17"/>
      <c r="X2114" s="17"/>
      <c r="Y2114" s="17"/>
      <c r="Z2114" s="31"/>
      <c r="AA2114" s="32"/>
    </row>
    <row r="2115" spans="1:27" ht="12.75">
      <c r="A2115" s="17"/>
      <c r="B2115" s="17"/>
      <c r="C2115" s="17"/>
      <c r="D2115" s="17"/>
      <c r="E2115" s="17"/>
      <c r="F2115" s="17"/>
      <c r="G2115" s="17"/>
      <c r="H2115" s="17"/>
      <c r="I2115" s="31"/>
      <c r="J2115" s="17"/>
      <c r="K2115" s="17"/>
      <c r="L2115" s="17"/>
      <c r="M2115" s="17"/>
      <c r="N2115" s="17"/>
      <c r="O2115" s="17"/>
      <c r="P2115" s="17"/>
      <c r="Q2115" s="17"/>
      <c r="R2115" s="17"/>
      <c r="S2115" s="17"/>
      <c r="T2115" s="17"/>
      <c r="U2115" s="17"/>
      <c r="V2115" s="17"/>
      <c r="W2115" s="17"/>
      <c r="X2115" s="17"/>
      <c r="Y2115" s="17"/>
      <c r="Z2115" s="31"/>
      <c r="AA2115" s="32"/>
    </row>
    <row r="2116" spans="1:27" ht="12.75">
      <c r="A2116" s="17"/>
      <c r="B2116" s="17"/>
      <c r="C2116" s="17"/>
      <c r="D2116" s="17"/>
      <c r="E2116" s="17"/>
      <c r="F2116" s="17"/>
      <c r="G2116" s="17"/>
      <c r="H2116" s="17"/>
      <c r="I2116" s="31"/>
      <c r="J2116" s="17"/>
      <c r="K2116" s="17"/>
      <c r="L2116" s="17"/>
      <c r="M2116" s="17"/>
      <c r="N2116" s="17"/>
      <c r="O2116" s="17"/>
      <c r="P2116" s="17"/>
      <c r="Q2116" s="17"/>
      <c r="R2116" s="17"/>
      <c r="S2116" s="17"/>
      <c r="T2116" s="17"/>
      <c r="U2116" s="17"/>
      <c r="V2116" s="17"/>
      <c r="W2116" s="17"/>
      <c r="X2116" s="17"/>
      <c r="Y2116" s="17"/>
      <c r="Z2116" s="31"/>
      <c r="AA2116" s="32"/>
    </row>
    <row r="2117" spans="1:27" ht="12.75">
      <c r="A2117" s="17"/>
      <c r="B2117" s="17"/>
      <c r="C2117" s="17"/>
      <c r="D2117" s="17"/>
      <c r="E2117" s="17"/>
      <c r="F2117" s="17"/>
      <c r="G2117" s="17"/>
      <c r="H2117" s="17"/>
      <c r="I2117" s="31"/>
      <c r="J2117" s="17"/>
      <c r="K2117" s="17"/>
      <c r="L2117" s="17"/>
      <c r="M2117" s="17"/>
      <c r="N2117" s="17"/>
      <c r="O2117" s="17"/>
      <c r="P2117" s="17"/>
      <c r="Q2117" s="17"/>
      <c r="R2117" s="17"/>
      <c r="S2117" s="17"/>
      <c r="T2117" s="17"/>
      <c r="U2117" s="17"/>
      <c r="V2117" s="17"/>
      <c r="W2117" s="17"/>
      <c r="X2117" s="17"/>
      <c r="Y2117" s="17"/>
      <c r="Z2117" s="31"/>
      <c r="AA2117" s="32"/>
    </row>
    <row r="2118" spans="1:27" ht="12.75">
      <c r="A2118" s="17"/>
      <c r="B2118" s="17"/>
      <c r="C2118" s="17"/>
      <c r="D2118" s="17"/>
      <c r="E2118" s="17"/>
      <c r="F2118" s="17"/>
      <c r="G2118" s="17"/>
      <c r="H2118" s="17"/>
      <c r="I2118" s="31"/>
      <c r="J2118" s="17"/>
      <c r="K2118" s="17"/>
      <c r="L2118" s="17"/>
      <c r="M2118" s="17"/>
      <c r="N2118" s="17"/>
      <c r="O2118" s="17"/>
      <c r="P2118" s="17"/>
      <c r="Q2118" s="17"/>
      <c r="R2118" s="17"/>
      <c r="S2118" s="17"/>
      <c r="T2118" s="17"/>
      <c r="U2118" s="17"/>
      <c r="V2118" s="17"/>
      <c r="W2118" s="17"/>
      <c r="X2118" s="17"/>
      <c r="Y2118" s="17"/>
      <c r="Z2118" s="31"/>
      <c r="AA2118" s="32"/>
    </row>
    <row r="2119" spans="1:27" ht="12.75">
      <c r="A2119" s="17"/>
      <c r="B2119" s="17"/>
      <c r="C2119" s="17"/>
      <c r="D2119" s="17"/>
      <c r="E2119" s="17"/>
      <c r="F2119" s="17"/>
      <c r="G2119" s="17"/>
      <c r="H2119" s="17"/>
      <c r="I2119" s="31"/>
      <c r="J2119" s="17"/>
      <c r="K2119" s="17"/>
      <c r="L2119" s="17"/>
      <c r="M2119" s="17"/>
      <c r="N2119" s="17"/>
      <c r="O2119" s="17"/>
      <c r="P2119" s="17"/>
      <c r="Q2119" s="17"/>
      <c r="R2119" s="17"/>
      <c r="S2119" s="17"/>
      <c r="T2119" s="17"/>
      <c r="U2119" s="17"/>
      <c r="V2119" s="17"/>
      <c r="W2119" s="17"/>
      <c r="X2119" s="17"/>
      <c r="Y2119" s="17"/>
      <c r="Z2119" s="31"/>
      <c r="AA2119" s="32"/>
    </row>
    <row r="2120" spans="1:27" ht="12.75">
      <c r="A2120" s="17"/>
      <c r="B2120" s="17"/>
      <c r="C2120" s="17"/>
      <c r="D2120" s="17"/>
      <c r="E2120" s="17"/>
      <c r="F2120" s="17"/>
      <c r="G2120" s="17"/>
      <c r="H2120" s="17"/>
      <c r="I2120" s="31"/>
      <c r="J2120" s="17"/>
      <c r="K2120" s="17"/>
      <c r="L2120" s="17"/>
      <c r="M2120" s="17"/>
      <c r="N2120" s="17"/>
      <c r="O2120" s="17"/>
      <c r="P2120" s="17"/>
      <c r="Q2120" s="17"/>
      <c r="R2120" s="17"/>
      <c r="S2120" s="17"/>
      <c r="T2120" s="17"/>
      <c r="U2120" s="17"/>
      <c r="V2120" s="17"/>
      <c r="W2120" s="17"/>
      <c r="X2120" s="17"/>
      <c r="Y2120" s="17"/>
      <c r="Z2120" s="31"/>
      <c r="AA2120" s="32"/>
    </row>
    <row r="2121" spans="1:27" ht="12.75">
      <c r="A2121" s="17"/>
      <c r="B2121" s="17"/>
      <c r="C2121" s="17"/>
      <c r="D2121" s="17"/>
      <c r="E2121" s="17"/>
      <c r="F2121" s="17"/>
      <c r="G2121" s="17"/>
      <c r="H2121" s="17"/>
      <c r="I2121" s="31"/>
      <c r="J2121" s="17"/>
      <c r="K2121" s="17"/>
      <c r="L2121" s="17"/>
      <c r="M2121" s="17"/>
      <c r="N2121" s="17"/>
      <c r="O2121" s="17"/>
      <c r="P2121" s="17"/>
      <c r="Q2121" s="17"/>
      <c r="R2121" s="17"/>
      <c r="S2121" s="17"/>
      <c r="T2121" s="17"/>
      <c r="U2121" s="17"/>
      <c r="V2121" s="17"/>
      <c r="W2121" s="17"/>
      <c r="X2121" s="17"/>
      <c r="Y2121" s="17"/>
      <c r="Z2121" s="31"/>
      <c r="AA2121" s="32"/>
    </row>
    <row r="2122" spans="1:27" ht="12.75">
      <c r="A2122" s="17"/>
      <c r="B2122" s="17"/>
      <c r="C2122" s="17"/>
      <c r="D2122" s="17"/>
      <c r="E2122" s="17"/>
      <c r="F2122" s="17"/>
      <c r="G2122" s="17"/>
      <c r="H2122" s="17"/>
      <c r="I2122" s="31"/>
      <c r="J2122" s="17"/>
      <c r="K2122" s="17"/>
      <c r="L2122" s="17"/>
      <c r="M2122" s="17"/>
      <c r="N2122" s="17"/>
      <c r="O2122" s="17"/>
      <c r="P2122" s="17"/>
      <c r="Q2122" s="17"/>
      <c r="R2122" s="17"/>
      <c r="S2122" s="17"/>
      <c r="T2122" s="17"/>
      <c r="U2122" s="17"/>
      <c r="V2122" s="17"/>
      <c r="W2122" s="17"/>
      <c r="X2122" s="17"/>
      <c r="Y2122" s="17"/>
      <c r="Z2122" s="31"/>
      <c r="AA2122" s="32"/>
    </row>
    <row r="2123" spans="1:27" ht="12.75">
      <c r="A2123" s="17"/>
      <c r="B2123" s="17"/>
      <c r="C2123" s="17"/>
      <c r="D2123" s="17"/>
      <c r="E2123" s="17"/>
      <c r="F2123" s="17"/>
      <c r="G2123" s="17"/>
      <c r="H2123" s="17"/>
      <c r="I2123" s="31"/>
      <c r="J2123" s="17"/>
      <c r="K2123" s="17"/>
      <c r="L2123" s="17"/>
      <c r="M2123" s="17"/>
      <c r="N2123" s="17"/>
      <c r="O2123" s="17"/>
      <c r="P2123" s="17"/>
      <c r="Q2123" s="17"/>
      <c r="R2123" s="17"/>
      <c r="S2123" s="17"/>
      <c r="T2123" s="17"/>
      <c r="U2123" s="17"/>
      <c r="V2123" s="17"/>
      <c r="W2123" s="17"/>
      <c r="X2123" s="17"/>
      <c r="Y2123" s="17"/>
      <c r="Z2123" s="31"/>
      <c r="AA2123" s="32"/>
    </row>
    <row r="2124" spans="1:27" ht="12.75">
      <c r="A2124" s="17"/>
      <c r="B2124" s="17"/>
      <c r="C2124" s="17"/>
      <c r="D2124" s="17"/>
      <c r="E2124" s="17"/>
      <c r="F2124" s="17"/>
      <c r="G2124" s="17"/>
      <c r="H2124" s="17"/>
      <c r="I2124" s="31"/>
      <c r="J2124" s="17"/>
      <c r="K2124" s="17"/>
      <c r="L2124" s="17"/>
      <c r="M2124" s="17"/>
      <c r="N2124" s="17"/>
      <c r="O2124" s="17"/>
      <c r="P2124" s="17"/>
      <c r="Q2124" s="17"/>
      <c r="R2124" s="17"/>
      <c r="S2124" s="17"/>
      <c r="T2124" s="17"/>
      <c r="U2124" s="17"/>
      <c r="V2124" s="17"/>
      <c r="W2124" s="17"/>
      <c r="X2124" s="17"/>
      <c r="Y2124" s="17"/>
      <c r="Z2124" s="31"/>
      <c r="AA2124" s="32"/>
    </row>
    <row r="2125" spans="1:27" ht="12.75">
      <c r="A2125" s="17"/>
      <c r="B2125" s="17"/>
      <c r="C2125" s="17"/>
      <c r="D2125" s="17"/>
      <c r="E2125" s="17"/>
      <c r="F2125" s="17"/>
      <c r="G2125" s="17"/>
      <c r="H2125" s="17"/>
      <c r="I2125" s="31"/>
      <c r="J2125" s="17"/>
      <c r="K2125" s="17"/>
      <c r="L2125" s="17"/>
      <c r="M2125" s="17"/>
      <c r="N2125" s="17"/>
      <c r="O2125" s="17"/>
      <c r="P2125" s="17"/>
      <c r="Q2125" s="17"/>
      <c r="R2125" s="17"/>
      <c r="S2125" s="17"/>
      <c r="T2125" s="17"/>
      <c r="U2125" s="17"/>
      <c r="V2125" s="17"/>
      <c r="W2125" s="17"/>
      <c r="X2125" s="17"/>
      <c r="Y2125" s="17"/>
      <c r="Z2125" s="31"/>
      <c r="AA2125" s="32"/>
    </row>
    <row r="2126" spans="1:27" ht="12.75">
      <c r="A2126" s="17"/>
      <c r="B2126" s="17"/>
      <c r="C2126" s="17"/>
      <c r="D2126" s="17"/>
      <c r="E2126" s="17"/>
      <c r="F2126" s="17"/>
      <c r="G2126" s="17"/>
      <c r="H2126" s="17"/>
      <c r="I2126" s="31"/>
      <c r="J2126" s="17"/>
      <c r="K2126" s="17"/>
      <c r="L2126" s="17"/>
      <c r="M2126" s="17"/>
      <c r="N2126" s="17"/>
      <c r="O2126" s="17"/>
      <c r="P2126" s="17"/>
      <c r="Q2126" s="17"/>
      <c r="R2126" s="17"/>
      <c r="S2126" s="17"/>
      <c r="T2126" s="17"/>
      <c r="U2126" s="17"/>
      <c r="V2126" s="17"/>
      <c r="W2126" s="17"/>
      <c r="X2126" s="17"/>
      <c r="Y2126" s="17"/>
      <c r="Z2126" s="31"/>
      <c r="AA2126" s="32"/>
    </row>
    <row r="2127" spans="1:27" ht="12.75">
      <c r="A2127" s="17"/>
      <c r="B2127" s="17"/>
      <c r="C2127" s="17"/>
      <c r="D2127" s="17"/>
      <c r="E2127" s="17"/>
      <c r="F2127" s="17"/>
      <c r="G2127" s="17"/>
      <c r="H2127" s="17"/>
      <c r="I2127" s="31"/>
      <c r="J2127" s="17"/>
      <c r="K2127" s="17"/>
      <c r="L2127" s="17"/>
      <c r="M2127" s="17"/>
      <c r="N2127" s="17"/>
      <c r="O2127" s="17"/>
      <c r="P2127" s="17"/>
      <c r="Q2127" s="17"/>
      <c r="R2127" s="17"/>
      <c r="S2127" s="17"/>
      <c r="T2127" s="17"/>
      <c r="U2127" s="17"/>
      <c r="V2127" s="17"/>
      <c r="W2127" s="17"/>
      <c r="X2127" s="17"/>
      <c r="Y2127" s="17"/>
      <c r="Z2127" s="31"/>
      <c r="AA2127" s="32"/>
    </row>
    <row r="2128" spans="1:27" ht="12.75">
      <c r="A2128" s="17"/>
      <c r="B2128" s="17"/>
      <c r="C2128" s="17"/>
      <c r="D2128" s="17"/>
      <c r="E2128" s="17"/>
      <c r="F2128" s="17"/>
      <c r="G2128" s="17"/>
      <c r="H2128" s="17"/>
      <c r="I2128" s="31"/>
      <c r="J2128" s="17"/>
      <c r="K2128" s="17"/>
      <c r="L2128" s="17"/>
      <c r="M2128" s="17"/>
      <c r="N2128" s="17"/>
      <c r="O2128" s="17"/>
      <c r="P2128" s="17"/>
      <c r="Q2128" s="17"/>
      <c r="R2128" s="17"/>
      <c r="S2128" s="17"/>
      <c r="T2128" s="17"/>
      <c r="U2128" s="17"/>
      <c r="V2128" s="17"/>
      <c r="W2128" s="17"/>
      <c r="X2128" s="17"/>
      <c r="Y2128" s="17"/>
      <c r="Z2128" s="31"/>
      <c r="AA2128" s="32"/>
    </row>
    <row r="2129" spans="1:27" ht="12.75">
      <c r="A2129" s="17"/>
      <c r="B2129" s="17"/>
      <c r="C2129" s="17"/>
      <c r="D2129" s="17"/>
      <c r="E2129" s="17"/>
      <c r="F2129" s="17"/>
      <c r="G2129" s="17"/>
      <c r="H2129" s="17"/>
      <c r="I2129" s="31"/>
      <c r="J2129" s="17"/>
      <c r="K2129" s="17"/>
      <c r="L2129" s="17"/>
      <c r="M2129" s="17"/>
      <c r="N2129" s="17"/>
      <c r="O2129" s="17"/>
      <c r="P2129" s="17"/>
      <c r="Q2129" s="17"/>
      <c r="R2129" s="17"/>
      <c r="S2129" s="17"/>
      <c r="T2129" s="17"/>
      <c r="U2129" s="17"/>
      <c r="V2129" s="17"/>
      <c r="W2129" s="17"/>
      <c r="X2129" s="17"/>
      <c r="Y2129" s="17"/>
      <c r="Z2129" s="31"/>
      <c r="AA2129" s="32"/>
    </row>
    <row r="2130" spans="1:27" ht="12.75">
      <c r="A2130" s="17"/>
      <c r="B2130" s="17"/>
      <c r="C2130" s="17"/>
      <c r="D2130" s="17"/>
      <c r="E2130" s="17"/>
      <c r="F2130" s="17"/>
      <c r="G2130" s="17"/>
      <c r="H2130" s="17"/>
      <c r="I2130" s="31"/>
      <c r="J2130" s="17"/>
      <c r="K2130" s="17"/>
      <c r="L2130" s="17"/>
      <c r="M2130" s="17"/>
      <c r="N2130" s="17"/>
      <c r="O2130" s="17"/>
      <c r="P2130" s="17"/>
      <c r="Q2130" s="17"/>
      <c r="R2130" s="17"/>
      <c r="S2130" s="17"/>
      <c r="T2130" s="17"/>
      <c r="U2130" s="17"/>
      <c r="V2130" s="17"/>
      <c r="W2130" s="17"/>
      <c r="X2130" s="17"/>
      <c r="Y2130" s="17"/>
      <c r="Z2130" s="31"/>
      <c r="AA2130" s="32"/>
    </row>
    <row r="2131" spans="1:27" ht="12.75">
      <c r="A2131" s="17"/>
      <c r="B2131" s="17"/>
      <c r="C2131" s="17"/>
      <c r="D2131" s="17"/>
      <c r="E2131" s="17"/>
      <c r="F2131" s="17"/>
      <c r="G2131" s="17"/>
      <c r="H2131" s="17"/>
      <c r="I2131" s="31"/>
      <c r="J2131" s="17"/>
      <c r="K2131" s="17"/>
      <c r="L2131" s="17"/>
      <c r="M2131" s="17"/>
      <c r="N2131" s="17"/>
      <c r="O2131" s="17"/>
      <c r="P2131" s="17"/>
      <c r="Q2131" s="17"/>
      <c r="R2131" s="17"/>
      <c r="S2131" s="17"/>
      <c r="T2131" s="17"/>
      <c r="U2131" s="17"/>
      <c r="V2131" s="17"/>
      <c r="W2131" s="17"/>
      <c r="X2131" s="17"/>
      <c r="Y2131" s="17"/>
      <c r="Z2131" s="31"/>
      <c r="AA2131" s="32"/>
    </row>
    <row r="2132" spans="1:27" ht="12.75">
      <c r="A2132" s="17"/>
      <c r="B2132" s="17"/>
      <c r="C2132" s="17"/>
      <c r="D2132" s="17"/>
      <c r="E2132" s="17"/>
      <c r="F2132" s="17"/>
      <c r="G2132" s="17"/>
      <c r="H2132" s="17"/>
      <c r="I2132" s="31"/>
      <c r="J2132" s="17"/>
      <c r="K2132" s="17"/>
      <c r="L2132" s="17"/>
      <c r="M2132" s="17"/>
      <c r="N2132" s="17"/>
      <c r="O2132" s="17"/>
      <c r="P2132" s="17"/>
      <c r="Q2132" s="17"/>
      <c r="R2132" s="17"/>
      <c r="S2132" s="17"/>
      <c r="T2132" s="17"/>
      <c r="U2132" s="17"/>
      <c r="V2132" s="17"/>
      <c r="W2132" s="17"/>
      <c r="X2132" s="17"/>
      <c r="Y2132" s="17"/>
      <c r="Z2132" s="31"/>
      <c r="AA2132" s="32"/>
    </row>
    <row r="2133" spans="1:27" ht="12.75">
      <c r="A2133" s="17"/>
      <c r="B2133" s="17"/>
      <c r="C2133" s="17"/>
      <c r="D2133" s="17"/>
      <c r="E2133" s="17"/>
      <c r="F2133" s="17"/>
      <c r="G2133" s="17"/>
      <c r="H2133" s="17"/>
      <c r="I2133" s="31"/>
      <c r="J2133" s="17"/>
      <c r="K2133" s="17"/>
      <c r="L2133" s="17"/>
      <c r="M2133" s="17"/>
      <c r="N2133" s="17"/>
      <c r="O2133" s="17"/>
      <c r="P2133" s="17"/>
      <c r="Q2133" s="17"/>
      <c r="R2133" s="17"/>
      <c r="S2133" s="17"/>
      <c r="T2133" s="17"/>
      <c r="U2133" s="17"/>
      <c r="V2133" s="17"/>
      <c r="W2133" s="17"/>
      <c r="X2133" s="17"/>
      <c r="Y2133" s="17"/>
      <c r="Z2133" s="31"/>
      <c r="AA2133" s="32"/>
    </row>
    <row r="2134" spans="1:27" ht="12.75">
      <c r="A2134" s="17"/>
      <c r="B2134" s="17"/>
      <c r="C2134" s="17"/>
      <c r="D2134" s="17"/>
      <c r="E2134" s="17"/>
      <c r="F2134" s="17"/>
      <c r="G2134" s="17"/>
      <c r="H2134" s="17"/>
      <c r="I2134" s="31"/>
      <c r="J2134" s="17"/>
      <c r="K2134" s="17"/>
      <c r="L2134" s="17"/>
      <c r="M2134" s="17"/>
      <c r="N2134" s="17"/>
      <c r="O2134" s="17"/>
      <c r="P2134" s="17"/>
      <c r="Q2134" s="17"/>
      <c r="R2134" s="17"/>
      <c r="S2134" s="17"/>
      <c r="T2134" s="17"/>
      <c r="U2134" s="17"/>
      <c r="V2134" s="17"/>
      <c r="W2134" s="17"/>
      <c r="X2134" s="17"/>
      <c r="Y2134" s="17"/>
      <c r="Z2134" s="31"/>
      <c r="AA2134" s="32"/>
    </row>
    <row r="2135" spans="1:27" ht="12.75">
      <c r="A2135" s="17"/>
      <c r="B2135" s="17"/>
      <c r="C2135" s="17"/>
      <c r="D2135" s="17"/>
      <c r="E2135" s="17"/>
      <c r="F2135" s="17"/>
      <c r="G2135" s="17"/>
      <c r="H2135" s="17"/>
      <c r="I2135" s="31"/>
      <c r="J2135" s="17"/>
      <c r="K2135" s="17"/>
      <c r="L2135" s="17"/>
      <c r="M2135" s="17"/>
      <c r="N2135" s="17"/>
      <c r="O2135" s="17"/>
      <c r="P2135" s="17"/>
      <c r="Q2135" s="17"/>
      <c r="R2135" s="17"/>
      <c r="S2135" s="17"/>
      <c r="T2135" s="17"/>
      <c r="U2135" s="17"/>
      <c r="V2135" s="17"/>
      <c r="W2135" s="17"/>
      <c r="X2135" s="17"/>
      <c r="Y2135" s="17"/>
      <c r="Z2135" s="31"/>
      <c r="AA2135" s="32"/>
    </row>
    <row r="2136" spans="1:27" ht="12.75">
      <c r="A2136" s="17"/>
      <c r="B2136" s="17"/>
      <c r="C2136" s="17"/>
      <c r="D2136" s="17"/>
      <c r="E2136" s="17"/>
      <c r="F2136" s="17"/>
      <c r="G2136" s="17"/>
      <c r="H2136" s="17"/>
      <c r="I2136" s="31"/>
      <c r="J2136" s="17"/>
      <c r="K2136" s="17"/>
      <c r="L2136" s="17"/>
      <c r="M2136" s="17"/>
      <c r="N2136" s="17"/>
      <c r="O2136" s="17"/>
      <c r="P2136" s="17"/>
      <c r="Q2136" s="17"/>
      <c r="R2136" s="17"/>
      <c r="S2136" s="17"/>
      <c r="T2136" s="17"/>
      <c r="U2136" s="17"/>
      <c r="V2136" s="17"/>
      <c r="W2136" s="17"/>
      <c r="X2136" s="17"/>
      <c r="Y2136" s="17"/>
      <c r="Z2136" s="31"/>
      <c r="AA2136" s="32"/>
    </row>
    <row r="2137" spans="1:27" ht="12.75">
      <c r="A2137" s="17"/>
      <c r="B2137" s="17"/>
      <c r="C2137" s="17"/>
      <c r="D2137" s="17"/>
      <c r="E2137" s="17"/>
      <c r="F2137" s="17"/>
      <c r="G2137" s="17"/>
      <c r="H2137" s="17"/>
      <c r="I2137" s="31"/>
      <c r="J2137" s="17"/>
      <c r="K2137" s="17"/>
      <c r="L2137" s="17"/>
      <c r="M2137" s="17"/>
      <c r="N2137" s="17"/>
      <c r="O2137" s="17"/>
      <c r="P2137" s="17"/>
      <c r="Q2137" s="17"/>
      <c r="R2137" s="17"/>
      <c r="S2137" s="17"/>
      <c r="T2137" s="17"/>
      <c r="U2137" s="17"/>
      <c r="V2137" s="17"/>
      <c r="W2137" s="17"/>
      <c r="X2137" s="17"/>
      <c r="Y2137" s="17"/>
      <c r="Z2137" s="31"/>
      <c r="AA2137" s="32"/>
    </row>
    <row r="2138" spans="1:27" ht="12.75">
      <c r="A2138" s="17"/>
      <c r="B2138" s="17"/>
      <c r="C2138" s="17"/>
      <c r="D2138" s="17"/>
      <c r="E2138" s="17"/>
      <c r="F2138" s="17"/>
      <c r="G2138" s="17"/>
      <c r="H2138" s="17"/>
      <c r="I2138" s="31"/>
      <c r="J2138" s="17"/>
      <c r="K2138" s="17"/>
      <c r="L2138" s="17"/>
      <c r="M2138" s="17"/>
      <c r="N2138" s="17"/>
      <c r="O2138" s="17"/>
      <c r="P2138" s="17"/>
      <c r="Q2138" s="17"/>
      <c r="R2138" s="17"/>
      <c r="S2138" s="17"/>
      <c r="T2138" s="17"/>
      <c r="U2138" s="17"/>
      <c r="V2138" s="17"/>
      <c r="W2138" s="17"/>
      <c r="X2138" s="17"/>
      <c r="Y2138" s="17"/>
      <c r="Z2138" s="31"/>
      <c r="AA2138" s="32"/>
    </row>
    <row r="2139" spans="1:27" ht="12.75">
      <c r="A2139" s="17"/>
      <c r="B2139" s="17"/>
      <c r="C2139" s="17"/>
      <c r="D2139" s="17"/>
      <c r="E2139" s="17"/>
      <c r="F2139" s="17"/>
      <c r="G2139" s="17"/>
      <c r="H2139" s="17"/>
      <c r="I2139" s="31"/>
      <c r="J2139" s="17"/>
      <c r="K2139" s="17"/>
      <c r="L2139" s="17"/>
      <c r="M2139" s="17"/>
      <c r="N2139" s="17"/>
      <c r="O2139" s="17"/>
      <c r="P2139" s="17"/>
      <c r="Q2139" s="17"/>
      <c r="R2139" s="17"/>
      <c r="S2139" s="17"/>
      <c r="T2139" s="17"/>
      <c r="U2139" s="17"/>
      <c r="V2139" s="17"/>
      <c r="W2139" s="17"/>
      <c r="X2139" s="17"/>
      <c r="Y2139" s="17"/>
      <c r="Z2139" s="31"/>
      <c r="AA2139" s="32"/>
    </row>
    <row r="2140" spans="1:27" ht="12.75">
      <c r="A2140" s="17"/>
      <c r="B2140" s="17"/>
      <c r="C2140" s="17"/>
      <c r="D2140" s="17"/>
      <c r="E2140" s="17"/>
      <c r="F2140" s="17"/>
      <c r="G2140" s="17"/>
      <c r="H2140" s="17"/>
      <c r="I2140" s="31"/>
      <c r="J2140" s="17"/>
      <c r="K2140" s="17"/>
      <c r="L2140" s="17"/>
      <c r="M2140" s="17"/>
      <c r="N2140" s="17"/>
      <c r="O2140" s="17"/>
      <c r="P2140" s="17"/>
      <c r="Q2140" s="17"/>
      <c r="R2140" s="17"/>
      <c r="S2140" s="17"/>
      <c r="T2140" s="17"/>
      <c r="U2140" s="17"/>
      <c r="V2140" s="17"/>
      <c r="W2140" s="17"/>
      <c r="X2140" s="17"/>
      <c r="Y2140" s="17"/>
      <c r="Z2140" s="31"/>
      <c r="AA2140" s="32"/>
    </row>
    <row r="2141" spans="1:27" ht="12.75">
      <c r="A2141" s="17"/>
      <c r="B2141" s="17"/>
      <c r="C2141" s="17"/>
      <c r="D2141" s="17"/>
      <c r="E2141" s="17"/>
      <c r="F2141" s="17"/>
      <c r="G2141" s="17"/>
      <c r="H2141" s="17"/>
      <c r="I2141" s="31"/>
      <c r="J2141" s="17"/>
      <c r="K2141" s="17"/>
      <c r="L2141" s="17"/>
      <c r="M2141" s="17"/>
      <c r="N2141" s="17"/>
      <c r="O2141" s="17"/>
      <c r="P2141" s="17"/>
      <c r="Q2141" s="17"/>
      <c r="R2141" s="17"/>
      <c r="S2141" s="17"/>
      <c r="T2141" s="17"/>
      <c r="U2141" s="17"/>
      <c r="V2141" s="17"/>
      <c r="W2141" s="17"/>
      <c r="X2141" s="17"/>
      <c r="Y2141" s="17"/>
      <c r="Z2141" s="31"/>
      <c r="AA2141" s="32"/>
    </row>
    <row r="2142" spans="1:27" ht="12.75">
      <c r="A2142" s="17"/>
      <c r="B2142" s="17"/>
      <c r="C2142" s="17"/>
      <c r="D2142" s="17"/>
      <c r="E2142" s="17"/>
      <c r="F2142" s="17"/>
      <c r="G2142" s="17"/>
      <c r="H2142" s="17"/>
      <c r="I2142" s="31"/>
      <c r="J2142" s="17"/>
      <c r="K2142" s="17"/>
      <c r="L2142" s="17"/>
      <c r="M2142" s="17"/>
      <c r="N2142" s="17"/>
      <c r="O2142" s="17"/>
      <c r="P2142" s="17"/>
      <c r="Q2142" s="17"/>
      <c r="R2142" s="17"/>
      <c r="S2142" s="17"/>
      <c r="T2142" s="17"/>
      <c r="U2142" s="17"/>
      <c r="V2142" s="17"/>
      <c r="W2142" s="17"/>
      <c r="X2142" s="17"/>
      <c r="Y2142" s="17"/>
      <c r="Z2142" s="31"/>
      <c r="AA2142" s="32"/>
    </row>
    <row r="2143" spans="1:27" ht="12.75">
      <c r="A2143" s="17"/>
      <c r="B2143" s="17"/>
      <c r="C2143" s="17"/>
      <c r="D2143" s="17"/>
      <c r="E2143" s="17"/>
      <c r="F2143" s="17"/>
      <c r="G2143" s="17"/>
      <c r="H2143" s="17"/>
      <c r="I2143" s="31"/>
      <c r="J2143" s="17"/>
      <c r="K2143" s="17"/>
      <c r="L2143" s="17"/>
      <c r="M2143" s="17"/>
      <c r="N2143" s="17"/>
      <c r="O2143" s="17"/>
      <c r="P2143" s="17"/>
      <c r="Q2143" s="17"/>
      <c r="R2143" s="17"/>
      <c r="S2143" s="17"/>
      <c r="T2143" s="17"/>
      <c r="U2143" s="17"/>
      <c r="V2143" s="17"/>
      <c r="W2143" s="17"/>
      <c r="X2143" s="17"/>
      <c r="Y2143" s="17"/>
      <c r="Z2143" s="31"/>
      <c r="AA2143" s="32"/>
    </row>
    <row r="2144" spans="1:27" ht="12.75">
      <c r="A2144" s="17"/>
      <c r="B2144" s="17"/>
      <c r="C2144" s="17"/>
      <c r="D2144" s="17"/>
      <c r="E2144" s="17"/>
      <c r="F2144" s="17"/>
      <c r="G2144" s="17"/>
      <c r="H2144" s="17"/>
      <c r="I2144" s="31"/>
      <c r="J2144" s="17"/>
      <c r="K2144" s="17"/>
      <c r="L2144" s="17"/>
      <c r="M2144" s="17"/>
      <c r="N2144" s="17"/>
      <c r="O2144" s="17"/>
      <c r="P2144" s="17"/>
      <c r="Q2144" s="17"/>
      <c r="R2144" s="17"/>
      <c r="S2144" s="17"/>
      <c r="T2144" s="17"/>
      <c r="U2144" s="17"/>
      <c r="V2144" s="17"/>
      <c r="W2144" s="17"/>
      <c r="X2144" s="17"/>
      <c r="Y2144" s="17"/>
      <c r="Z2144" s="31"/>
      <c r="AA2144" s="32"/>
    </row>
    <row r="2145" spans="1:27" ht="12.75">
      <c r="A2145" s="17"/>
      <c r="B2145" s="17"/>
      <c r="C2145" s="17"/>
      <c r="D2145" s="17"/>
      <c r="E2145" s="17"/>
      <c r="F2145" s="17"/>
      <c r="G2145" s="17"/>
      <c r="H2145" s="17"/>
      <c r="I2145" s="31"/>
      <c r="J2145" s="17"/>
      <c r="K2145" s="17"/>
      <c r="L2145" s="17"/>
      <c r="M2145" s="17"/>
      <c r="N2145" s="17"/>
      <c r="O2145" s="17"/>
      <c r="P2145" s="17"/>
      <c r="Q2145" s="17"/>
      <c r="R2145" s="17"/>
      <c r="S2145" s="17"/>
      <c r="T2145" s="17"/>
      <c r="U2145" s="17"/>
      <c r="V2145" s="17"/>
      <c r="W2145" s="17"/>
      <c r="X2145" s="17"/>
      <c r="Y2145" s="17"/>
      <c r="Z2145" s="31"/>
      <c r="AA2145" s="32"/>
    </row>
    <row r="2146" spans="1:27" ht="12.75">
      <c r="A2146" s="17"/>
      <c r="B2146" s="17"/>
      <c r="C2146" s="17"/>
      <c r="D2146" s="17"/>
      <c r="E2146" s="17"/>
      <c r="F2146" s="17"/>
      <c r="G2146" s="17"/>
      <c r="H2146" s="17"/>
      <c r="I2146" s="31"/>
      <c r="J2146" s="17"/>
      <c r="K2146" s="17"/>
      <c r="L2146" s="17"/>
      <c r="M2146" s="17"/>
      <c r="N2146" s="17"/>
      <c r="O2146" s="17"/>
      <c r="P2146" s="17"/>
      <c r="Q2146" s="17"/>
      <c r="R2146" s="17"/>
      <c r="S2146" s="17"/>
      <c r="T2146" s="17"/>
      <c r="U2146" s="17"/>
      <c r="V2146" s="17"/>
      <c r="W2146" s="17"/>
      <c r="X2146" s="17"/>
      <c r="Y2146" s="17"/>
      <c r="Z2146" s="31"/>
      <c r="AA2146" s="32"/>
    </row>
    <row r="2147" spans="1:27" ht="12.75">
      <c r="A2147" s="17"/>
      <c r="B2147" s="17"/>
      <c r="C2147" s="17"/>
      <c r="D2147" s="17"/>
      <c r="E2147" s="17"/>
      <c r="F2147" s="17"/>
      <c r="G2147" s="17"/>
      <c r="H2147" s="17"/>
      <c r="I2147" s="31"/>
      <c r="J2147" s="17"/>
      <c r="K2147" s="17"/>
      <c r="L2147" s="17"/>
      <c r="M2147" s="17"/>
      <c r="N2147" s="17"/>
      <c r="O2147" s="17"/>
      <c r="P2147" s="17"/>
      <c r="Q2147" s="17"/>
      <c r="R2147" s="17"/>
      <c r="S2147" s="17"/>
      <c r="T2147" s="17"/>
      <c r="U2147" s="17"/>
      <c r="V2147" s="17"/>
      <c r="W2147" s="17"/>
      <c r="X2147" s="17"/>
      <c r="Y2147" s="17"/>
      <c r="Z2147" s="31"/>
      <c r="AA2147" s="32"/>
    </row>
    <row r="2148" spans="1:27" ht="12.75">
      <c r="A2148" s="17"/>
      <c r="B2148" s="17"/>
      <c r="C2148" s="17"/>
      <c r="D2148" s="17"/>
      <c r="E2148" s="17"/>
      <c r="F2148" s="17"/>
      <c r="G2148" s="17"/>
      <c r="H2148" s="17"/>
      <c r="I2148" s="31"/>
      <c r="J2148" s="17"/>
      <c r="K2148" s="17"/>
      <c r="L2148" s="17"/>
      <c r="M2148" s="17"/>
      <c r="N2148" s="17"/>
      <c r="O2148" s="17"/>
      <c r="P2148" s="17"/>
      <c r="Q2148" s="17"/>
      <c r="R2148" s="17"/>
      <c r="S2148" s="17"/>
      <c r="T2148" s="17"/>
      <c r="U2148" s="17"/>
      <c r="V2148" s="17"/>
      <c r="W2148" s="17"/>
      <c r="X2148" s="17"/>
      <c r="Y2148" s="17"/>
      <c r="Z2148" s="31"/>
      <c r="AA2148" s="32"/>
    </row>
    <row r="2149" spans="1:27" ht="12.75">
      <c r="A2149" s="17"/>
      <c r="B2149" s="17"/>
      <c r="C2149" s="17"/>
      <c r="D2149" s="17"/>
      <c r="E2149" s="17"/>
      <c r="F2149" s="17"/>
      <c r="G2149" s="17"/>
      <c r="H2149" s="17"/>
      <c r="I2149" s="31"/>
      <c r="J2149" s="17"/>
      <c r="K2149" s="17"/>
      <c r="L2149" s="17"/>
      <c r="M2149" s="17"/>
      <c r="N2149" s="17"/>
      <c r="O2149" s="17"/>
      <c r="P2149" s="17"/>
      <c r="Q2149" s="17"/>
      <c r="R2149" s="17"/>
      <c r="S2149" s="17"/>
      <c r="T2149" s="17"/>
      <c r="U2149" s="17"/>
      <c r="V2149" s="17"/>
      <c r="W2149" s="17"/>
      <c r="X2149" s="17"/>
      <c r="Y2149" s="17"/>
      <c r="Z2149" s="31"/>
      <c r="AA2149" s="32"/>
    </row>
    <row r="2150" spans="1:27" ht="12.75">
      <c r="A2150" s="17"/>
      <c r="B2150" s="17"/>
      <c r="C2150" s="17"/>
      <c r="D2150" s="17"/>
      <c r="E2150" s="17"/>
      <c r="F2150" s="17"/>
      <c r="G2150" s="17"/>
      <c r="H2150" s="17"/>
      <c r="I2150" s="31"/>
      <c r="J2150" s="17"/>
      <c r="K2150" s="17"/>
      <c r="L2150" s="17"/>
      <c r="M2150" s="17"/>
      <c r="N2150" s="17"/>
      <c r="O2150" s="17"/>
      <c r="P2150" s="17"/>
      <c r="Q2150" s="17"/>
      <c r="R2150" s="17"/>
      <c r="S2150" s="17"/>
      <c r="T2150" s="17"/>
      <c r="U2150" s="17"/>
      <c r="V2150" s="17"/>
      <c r="W2150" s="17"/>
      <c r="X2150" s="17"/>
      <c r="Y2150" s="17"/>
      <c r="Z2150" s="31"/>
      <c r="AA2150" s="32"/>
    </row>
    <row r="2151" spans="1:27" ht="12.75">
      <c r="A2151" s="17"/>
      <c r="B2151" s="17"/>
      <c r="C2151" s="17"/>
      <c r="D2151" s="17"/>
      <c r="E2151" s="17"/>
      <c r="F2151" s="17"/>
      <c r="G2151" s="17"/>
      <c r="H2151" s="17"/>
      <c r="I2151" s="31"/>
      <c r="J2151" s="17"/>
      <c r="K2151" s="17"/>
      <c r="L2151" s="17"/>
      <c r="M2151" s="17"/>
      <c r="N2151" s="17"/>
      <c r="O2151" s="17"/>
      <c r="P2151" s="17"/>
      <c r="Q2151" s="17"/>
      <c r="R2151" s="17"/>
      <c r="S2151" s="17"/>
      <c r="T2151" s="17"/>
      <c r="U2151" s="17"/>
      <c r="V2151" s="17"/>
      <c r="W2151" s="17"/>
      <c r="X2151" s="17"/>
      <c r="Y2151" s="17"/>
      <c r="Z2151" s="31"/>
      <c r="AA2151" s="32"/>
    </row>
    <row r="2152" spans="1:27" ht="12.75">
      <c r="A2152" s="17"/>
      <c r="B2152" s="17"/>
      <c r="C2152" s="17"/>
      <c r="D2152" s="17"/>
      <c r="E2152" s="17"/>
      <c r="F2152" s="17"/>
      <c r="G2152" s="17"/>
      <c r="H2152" s="17"/>
      <c r="I2152" s="31"/>
      <c r="J2152" s="17"/>
      <c r="K2152" s="17"/>
      <c r="L2152" s="17"/>
      <c r="M2152" s="17"/>
      <c r="N2152" s="17"/>
      <c r="O2152" s="17"/>
      <c r="P2152" s="17"/>
      <c r="Q2152" s="17"/>
      <c r="R2152" s="17"/>
      <c r="S2152" s="17"/>
      <c r="T2152" s="17"/>
      <c r="U2152" s="17"/>
      <c r="V2152" s="17"/>
      <c r="W2152" s="17"/>
      <c r="X2152" s="17"/>
      <c r="Y2152" s="17"/>
      <c r="Z2152" s="31"/>
      <c r="AA2152" s="32"/>
    </row>
    <row r="2153" spans="1:27" ht="12.75">
      <c r="A2153" s="17"/>
      <c r="B2153" s="17"/>
      <c r="C2153" s="17"/>
      <c r="D2153" s="17"/>
      <c r="E2153" s="17"/>
      <c r="F2153" s="17"/>
      <c r="G2153" s="17"/>
      <c r="H2153" s="17"/>
      <c r="I2153" s="31"/>
      <c r="J2153" s="17"/>
      <c r="K2153" s="17"/>
      <c r="L2153" s="17"/>
      <c r="M2153" s="17"/>
      <c r="N2153" s="17"/>
      <c r="O2153" s="17"/>
      <c r="P2153" s="17"/>
      <c r="Q2153" s="17"/>
      <c r="R2153" s="17"/>
      <c r="S2153" s="17"/>
      <c r="T2153" s="17"/>
      <c r="U2153" s="17"/>
      <c r="V2153" s="17"/>
      <c r="W2153" s="17"/>
      <c r="X2153" s="17"/>
      <c r="Y2153" s="17"/>
      <c r="Z2153" s="31"/>
      <c r="AA2153" s="32"/>
    </row>
    <row r="2154" spans="1:27" ht="12.75">
      <c r="A2154" s="17"/>
      <c r="B2154" s="17"/>
      <c r="C2154" s="17"/>
      <c r="D2154" s="17"/>
      <c r="E2154" s="17"/>
      <c r="F2154" s="17"/>
      <c r="G2154" s="17"/>
      <c r="H2154" s="17"/>
      <c r="I2154" s="31"/>
      <c r="J2154" s="17"/>
      <c r="K2154" s="17"/>
      <c r="L2154" s="17"/>
      <c r="M2154" s="17"/>
      <c r="N2154" s="17"/>
      <c r="O2154" s="17"/>
      <c r="P2154" s="17"/>
      <c r="Q2154" s="17"/>
      <c r="R2154" s="17"/>
      <c r="S2154" s="17"/>
      <c r="T2154" s="17"/>
      <c r="U2154" s="17"/>
      <c r="V2154" s="17"/>
      <c r="W2154" s="17"/>
      <c r="X2154" s="17"/>
      <c r="Y2154" s="17"/>
      <c r="Z2154" s="31"/>
      <c r="AA2154" s="32"/>
    </row>
    <row r="2155" spans="1:27" ht="12.75">
      <c r="A2155" s="17"/>
      <c r="B2155" s="17"/>
      <c r="C2155" s="17"/>
      <c r="D2155" s="17"/>
      <c r="E2155" s="17"/>
      <c r="F2155" s="17"/>
      <c r="G2155" s="17"/>
      <c r="H2155" s="17"/>
      <c r="I2155" s="31"/>
      <c r="J2155" s="17"/>
      <c r="K2155" s="17"/>
      <c r="L2155" s="17"/>
      <c r="M2155" s="17"/>
      <c r="N2155" s="17"/>
      <c r="O2155" s="17"/>
      <c r="P2155" s="17"/>
      <c r="Q2155" s="17"/>
      <c r="R2155" s="17"/>
      <c r="S2155" s="17"/>
      <c r="T2155" s="17"/>
      <c r="U2155" s="17"/>
      <c r="V2155" s="17"/>
      <c r="W2155" s="17"/>
      <c r="X2155" s="17"/>
      <c r="Y2155" s="17"/>
      <c r="Z2155" s="31"/>
      <c r="AA2155" s="32"/>
    </row>
    <row r="2156" spans="1:27" ht="12.75">
      <c r="A2156" s="17"/>
      <c r="B2156" s="17"/>
      <c r="C2156" s="17"/>
      <c r="D2156" s="17"/>
      <c r="E2156" s="17"/>
      <c r="F2156" s="17"/>
      <c r="G2156" s="17"/>
      <c r="H2156" s="17"/>
      <c r="I2156" s="31"/>
      <c r="J2156" s="17"/>
      <c r="K2156" s="17"/>
      <c r="L2156" s="17"/>
      <c r="M2156" s="17"/>
      <c r="N2156" s="17"/>
      <c r="O2156" s="17"/>
      <c r="P2156" s="17"/>
      <c r="Q2156" s="17"/>
      <c r="R2156" s="17"/>
      <c r="S2156" s="17"/>
      <c r="T2156" s="17"/>
      <c r="U2156" s="17"/>
      <c r="V2156" s="17"/>
      <c r="W2156" s="17"/>
      <c r="X2156" s="17"/>
      <c r="Y2156" s="17"/>
      <c r="Z2156" s="31"/>
      <c r="AA2156" s="32"/>
    </row>
    <row r="2157" spans="1:27" ht="12.75">
      <c r="A2157" s="17"/>
      <c r="B2157" s="17"/>
      <c r="C2157" s="17"/>
      <c r="D2157" s="17"/>
      <c r="E2157" s="17"/>
      <c r="F2157" s="17"/>
      <c r="G2157" s="17"/>
      <c r="H2157" s="17"/>
      <c r="I2157" s="31"/>
      <c r="J2157" s="17"/>
      <c r="K2157" s="17"/>
      <c r="L2157" s="17"/>
      <c r="M2157" s="17"/>
      <c r="N2157" s="17"/>
      <c r="O2157" s="17"/>
      <c r="P2157" s="17"/>
      <c r="Q2157" s="17"/>
      <c r="R2157" s="17"/>
      <c r="S2157" s="17"/>
      <c r="T2157" s="17"/>
      <c r="U2157" s="17"/>
      <c r="V2157" s="17"/>
      <c r="W2157" s="17"/>
      <c r="X2157" s="17"/>
      <c r="Y2157" s="17"/>
      <c r="Z2157" s="31"/>
      <c r="AA2157" s="32"/>
    </row>
    <row r="2158" spans="1:27" ht="12.75">
      <c r="A2158" s="17"/>
      <c r="B2158" s="17"/>
      <c r="C2158" s="17"/>
      <c r="D2158" s="17"/>
      <c r="E2158" s="17"/>
      <c r="F2158" s="17"/>
      <c r="G2158" s="17"/>
      <c r="H2158" s="17"/>
      <c r="I2158" s="31"/>
      <c r="J2158" s="17"/>
      <c r="K2158" s="17"/>
      <c r="L2158" s="17"/>
      <c r="M2158" s="17"/>
      <c r="N2158" s="17"/>
      <c r="O2158" s="17"/>
      <c r="P2158" s="17"/>
      <c r="Q2158" s="17"/>
      <c r="R2158" s="17"/>
      <c r="S2158" s="17"/>
      <c r="T2158" s="17"/>
      <c r="U2158" s="17"/>
      <c r="V2158" s="17"/>
      <c r="W2158" s="17"/>
      <c r="X2158" s="17"/>
      <c r="Y2158" s="17"/>
      <c r="Z2158" s="31"/>
      <c r="AA2158" s="32"/>
    </row>
    <row r="2159" spans="1:27" ht="12.75">
      <c r="A2159" s="17"/>
      <c r="B2159" s="17"/>
      <c r="C2159" s="17"/>
      <c r="D2159" s="17"/>
      <c r="E2159" s="17"/>
      <c r="F2159" s="17"/>
      <c r="G2159" s="17"/>
      <c r="H2159" s="17"/>
      <c r="I2159" s="31"/>
      <c r="J2159" s="17"/>
      <c r="K2159" s="17"/>
      <c r="L2159" s="17"/>
      <c r="M2159" s="17"/>
      <c r="N2159" s="17"/>
      <c r="O2159" s="17"/>
      <c r="P2159" s="17"/>
      <c r="Q2159" s="17"/>
      <c r="R2159" s="17"/>
      <c r="S2159" s="17"/>
      <c r="T2159" s="17"/>
      <c r="U2159" s="17"/>
      <c r="V2159" s="17"/>
      <c r="W2159" s="17"/>
      <c r="X2159" s="17"/>
      <c r="Y2159" s="17"/>
      <c r="Z2159" s="31"/>
      <c r="AA2159" s="32"/>
    </row>
    <row r="2160" spans="1:27" ht="12.75">
      <c r="A2160" s="17"/>
      <c r="B2160" s="17"/>
      <c r="C2160" s="17"/>
      <c r="D2160" s="17"/>
      <c r="E2160" s="17"/>
      <c r="F2160" s="17"/>
      <c r="G2160" s="17"/>
      <c r="H2160" s="17"/>
      <c r="I2160" s="31"/>
      <c r="J2160" s="17"/>
      <c r="K2160" s="17"/>
      <c r="L2160" s="17"/>
      <c r="M2160" s="17"/>
      <c r="N2160" s="17"/>
      <c r="O2160" s="17"/>
      <c r="P2160" s="17"/>
      <c r="Q2160" s="17"/>
      <c r="R2160" s="17"/>
      <c r="S2160" s="17"/>
      <c r="T2160" s="17"/>
      <c r="U2160" s="17"/>
      <c r="V2160" s="17"/>
      <c r="W2160" s="17"/>
      <c r="X2160" s="17"/>
      <c r="Y2160" s="17"/>
      <c r="Z2160" s="31"/>
      <c r="AA2160" s="32"/>
    </row>
    <row r="2161" spans="1:27" ht="12.75">
      <c r="A2161" s="17"/>
      <c r="B2161" s="17"/>
      <c r="C2161" s="17"/>
      <c r="D2161" s="17"/>
      <c r="E2161" s="17"/>
      <c r="F2161" s="17"/>
      <c r="G2161" s="17"/>
      <c r="H2161" s="17"/>
      <c r="I2161" s="31"/>
      <c r="J2161" s="17"/>
      <c r="K2161" s="17"/>
      <c r="L2161" s="17"/>
      <c r="M2161" s="17"/>
      <c r="N2161" s="17"/>
      <c r="O2161" s="17"/>
      <c r="P2161" s="17"/>
      <c r="Q2161" s="17"/>
      <c r="R2161" s="17"/>
      <c r="S2161" s="17"/>
      <c r="T2161" s="17"/>
      <c r="U2161" s="17"/>
      <c r="V2161" s="17"/>
      <c r="W2161" s="17"/>
      <c r="X2161" s="17"/>
      <c r="Y2161" s="17"/>
      <c r="Z2161" s="31"/>
      <c r="AA2161" s="32"/>
    </row>
    <row r="2162" spans="1:27" ht="12.75">
      <c r="A2162" s="17"/>
      <c r="B2162" s="17"/>
      <c r="C2162" s="17"/>
      <c r="D2162" s="17"/>
      <c r="E2162" s="17"/>
      <c r="F2162" s="17"/>
      <c r="G2162" s="17"/>
      <c r="H2162" s="17"/>
      <c r="I2162" s="31"/>
      <c r="J2162" s="17"/>
      <c r="K2162" s="17"/>
      <c r="L2162" s="17"/>
      <c r="M2162" s="17"/>
      <c r="N2162" s="17"/>
      <c r="O2162" s="17"/>
      <c r="P2162" s="17"/>
      <c r="Q2162" s="17"/>
      <c r="R2162" s="17"/>
      <c r="S2162" s="17"/>
      <c r="T2162" s="17"/>
      <c r="U2162" s="17"/>
      <c r="V2162" s="17"/>
      <c r="W2162" s="17"/>
      <c r="X2162" s="17"/>
      <c r="Y2162" s="17"/>
      <c r="Z2162" s="31"/>
      <c r="AA2162" s="32"/>
    </row>
    <row r="2163" spans="1:27" ht="12.75">
      <c r="A2163" s="17"/>
      <c r="B2163" s="17"/>
      <c r="C2163" s="17"/>
      <c r="D2163" s="17"/>
      <c r="E2163" s="17"/>
      <c r="F2163" s="17"/>
      <c r="G2163" s="17"/>
      <c r="H2163" s="17"/>
      <c r="I2163" s="31"/>
      <c r="J2163" s="17"/>
      <c r="K2163" s="17"/>
      <c r="L2163" s="17"/>
      <c r="M2163" s="17"/>
      <c r="N2163" s="17"/>
      <c r="O2163" s="17"/>
      <c r="P2163" s="17"/>
      <c r="Q2163" s="17"/>
      <c r="R2163" s="17"/>
      <c r="S2163" s="17"/>
      <c r="T2163" s="17"/>
      <c r="U2163" s="17"/>
      <c r="V2163" s="17"/>
      <c r="W2163" s="17"/>
      <c r="X2163" s="17"/>
      <c r="Y2163" s="17"/>
      <c r="Z2163" s="31"/>
      <c r="AA2163" s="32"/>
    </row>
    <row r="2164" spans="1:27" ht="12.75">
      <c r="A2164" s="17"/>
      <c r="B2164" s="17"/>
      <c r="C2164" s="17"/>
      <c r="D2164" s="17"/>
      <c r="E2164" s="17"/>
      <c r="F2164" s="17"/>
      <c r="G2164" s="17"/>
      <c r="H2164" s="17"/>
      <c r="I2164" s="31"/>
      <c r="J2164" s="17"/>
      <c r="K2164" s="17"/>
      <c r="L2164" s="17"/>
      <c r="M2164" s="17"/>
      <c r="N2164" s="17"/>
      <c r="O2164" s="17"/>
      <c r="P2164" s="17"/>
      <c r="Q2164" s="17"/>
      <c r="R2164" s="17"/>
      <c r="S2164" s="17"/>
      <c r="T2164" s="17"/>
      <c r="U2164" s="17"/>
      <c r="V2164" s="17"/>
      <c r="W2164" s="17"/>
      <c r="X2164" s="17"/>
      <c r="Y2164" s="17"/>
      <c r="Z2164" s="31"/>
      <c r="AA2164" s="32"/>
    </row>
    <row r="2165" spans="1:27" ht="12.75">
      <c r="A2165" s="17"/>
      <c r="B2165" s="17"/>
      <c r="C2165" s="17"/>
      <c r="D2165" s="17"/>
      <c r="E2165" s="17"/>
      <c r="F2165" s="17"/>
      <c r="G2165" s="17"/>
      <c r="H2165" s="17"/>
      <c r="I2165" s="31"/>
      <c r="J2165" s="17"/>
      <c r="K2165" s="17"/>
      <c r="L2165" s="17"/>
      <c r="M2165" s="17"/>
      <c r="N2165" s="17"/>
      <c r="O2165" s="17"/>
      <c r="P2165" s="17"/>
      <c r="Q2165" s="17"/>
      <c r="R2165" s="17"/>
      <c r="S2165" s="17"/>
      <c r="T2165" s="17"/>
      <c r="U2165" s="17"/>
      <c r="V2165" s="17"/>
      <c r="W2165" s="17"/>
      <c r="X2165" s="17"/>
      <c r="Y2165" s="17"/>
      <c r="Z2165" s="31"/>
      <c r="AA2165" s="32"/>
    </row>
    <row r="2166" spans="1:27" ht="12.75">
      <c r="A2166" s="17"/>
      <c r="B2166" s="17"/>
      <c r="C2166" s="17"/>
      <c r="D2166" s="17"/>
      <c r="E2166" s="17"/>
      <c r="F2166" s="17"/>
      <c r="G2166" s="17"/>
      <c r="H2166" s="17"/>
      <c r="I2166" s="31"/>
      <c r="J2166" s="17"/>
      <c r="K2166" s="17"/>
      <c r="L2166" s="17"/>
      <c r="M2166" s="17"/>
      <c r="N2166" s="17"/>
      <c r="O2166" s="17"/>
      <c r="P2166" s="17"/>
      <c r="Q2166" s="17"/>
      <c r="R2166" s="17"/>
      <c r="S2166" s="17"/>
      <c r="T2166" s="17"/>
      <c r="U2166" s="17"/>
      <c r="V2166" s="17"/>
      <c r="W2166" s="17"/>
      <c r="X2166" s="17"/>
      <c r="Y2166" s="17"/>
      <c r="Z2166" s="31"/>
      <c r="AA2166" s="32"/>
    </row>
    <row r="2167" spans="1:27" ht="12.75">
      <c r="A2167" s="17"/>
      <c r="B2167" s="17"/>
      <c r="C2167" s="17"/>
      <c r="D2167" s="17"/>
      <c r="E2167" s="17"/>
      <c r="F2167" s="17"/>
      <c r="G2167" s="17"/>
      <c r="H2167" s="17"/>
      <c r="I2167" s="31"/>
      <c r="J2167" s="17"/>
      <c r="K2167" s="17"/>
      <c r="L2167" s="17"/>
      <c r="M2167" s="17"/>
      <c r="N2167" s="17"/>
      <c r="O2167" s="17"/>
      <c r="P2167" s="17"/>
      <c r="Q2167" s="17"/>
      <c r="R2167" s="17"/>
      <c r="S2167" s="17"/>
      <c r="T2167" s="17"/>
      <c r="U2167" s="17"/>
      <c r="V2167" s="17"/>
      <c r="W2167" s="17"/>
      <c r="X2167" s="17"/>
      <c r="Y2167" s="17"/>
      <c r="Z2167" s="31"/>
      <c r="AA2167" s="32"/>
    </row>
    <row r="2168" spans="1:27" ht="12.75">
      <c r="A2168" s="17"/>
      <c r="B2168" s="17"/>
      <c r="C2168" s="17"/>
      <c r="D2168" s="17"/>
      <c r="E2168" s="17"/>
      <c r="F2168" s="17"/>
      <c r="G2168" s="17"/>
      <c r="H2168" s="17"/>
      <c r="I2168" s="31"/>
      <c r="J2168" s="17"/>
      <c r="K2168" s="17"/>
      <c r="L2168" s="17"/>
      <c r="M2168" s="17"/>
      <c r="N2168" s="17"/>
      <c r="O2168" s="17"/>
      <c r="P2168" s="17"/>
      <c r="Q2168" s="17"/>
      <c r="R2168" s="17"/>
      <c r="S2168" s="17"/>
      <c r="T2168" s="17"/>
      <c r="U2168" s="17"/>
      <c r="V2168" s="17"/>
      <c r="W2168" s="17"/>
      <c r="X2168" s="17"/>
      <c r="Y2168" s="17"/>
      <c r="Z2168" s="31"/>
      <c r="AA2168" s="32"/>
    </row>
    <row r="2169" spans="1:27" ht="12.75">
      <c r="A2169" s="17"/>
      <c r="B2169" s="17"/>
      <c r="C2169" s="17"/>
      <c r="D2169" s="17"/>
      <c r="E2169" s="17"/>
      <c r="F2169" s="17"/>
      <c r="G2169" s="17"/>
      <c r="H2169" s="17"/>
      <c r="I2169" s="31"/>
      <c r="J2169" s="17"/>
      <c r="K2169" s="17"/>
      <c r="L2169" s="17"/>
      <c r="M2169" s="17"/>
      <c r="N2169" s="17"/>
      <c r="O2169" s="17"/>
      <c r="P2169" s="17"/>
      <c r="Q2169" s="17"/>
      <c r="R2169" s="17"/>
      <c r="S2169" s="17"/>
      <c r="T2169" s="17"/>
      <c r="U2169" s="17"/>
      <c r="V2169" s="17"/>
      <c r="W2169" s="17"/>
      <c r="X2169" s="17"/>
      <c r="Y2169" s="17"/>
      <c r="Z2169" s="31"/>
      <c r="AA2169" s="32"/>
    </row>
    <row r="2170" spans="1:27" ht="12.75">
      <c r="A2170" s="17"/>
      <c r="B2170" s="17"/>
      <c r="C2170" s="17"/>
      <c r="D2170" s="17"/>
      <c r="E2170" s="17"/>
      <c r="F2170" s="17"/>
      <c r="G2170" s="17"/>
      <c r="H2170" s="17"/>
      <c r="I2170" s="31"/>
      <c r="J2170" s="17"/>
      <c r="K2170" s="17"/>
      <c r="L2170" s="17"/>
      <c r="M2170" s="17"/>
      <c r="N2170" s="17"/>
      <c r="O2170" s="17"/>
      <c r="P2170" s="17"/>
      <c r="Q2170" s="17"/>
      <c r="R2170" s="17"/>
      <c r="S2170" s="17"/>
      <c r="T2170" s="17"/>
      <c r="U2170" s="17"/>
      <c r="V2170" s="17"/>
      <c r="W2170" s="17"/>
      <c r="X2170" s="17"/>
      <c r="Y2170" s="17"/>
      <c r="Z2170" s="31"/>
      <c r="AA2170" s="32"/>
    </row>
    <row r="2171" spans="1:27" ht="12.75">
      <c r="A2171" s="17"/>
      <c r="B2171" s="17"/>
      <c r="C2171" s="17"/>
      <c r="D2171" s="17"/>
      <c r="E2171" s="17"/>
      <c r="F2171" s="17"/>
      <c r="G2171" s="17"/>
      <c r="H2171" s="17"/>
      <c r="I2171" s="31"/>
      <c r="J2171" s="17"/>
      <c r="K2171" s="17"/>
      <c r="L2171" s="17"/>
      <c r="M2171" s="17"/>
      <c r="N2171" s="17"/>
      <c r="O2171" s="17"/>
      <c r="P2171" s="17"/>
      <c r="Q2171" s="17"/>
      <c r="R2171" s="17"/>
      <c r="S2171" s="17"/>
      <c r="T2171" s="17"/>
      <c r="U2171" s="17"/>
      <c r="V2171" s="17"/>
      <c r="W2171" s="17"/>
      <c r="X2171" s="17"/>
      <c r="Y2171" s="17"/>
      <c r="Z2171" s="31"/>
      <c r="AA2171" s="32"/>
    </row>
    <row r="2172" spans="1:27" ht="12.75">
      <c r="A2172" s="17"/>
      <c r="B2172" s="17"/>
      <c r="C2172" s="17"/>
      <c r="D2172" s="17"/>
      <c r="E2172" s="17"/>
      <c r="F2172" s="17"/>
      <c r="G2172" s="17"/>
      <c r="H2172" s="17"/>
      <c r="I2172" s="31"/>
      <c r="J2172" s="17"/>
      <c r="K2172" s="17"/>
      <c r="L2172" s="17"/>
      <c r="M2172" s="17"/>
      <c r="N2172" s="17"/>
      <c r="O2172" s="17"/>
      <c r="P2172" s="17"/>
      <c r="Q2172" s="17"/>
      <c r="R2172" s="17"/>
      <c r="S2172" s="17"/>
      <c r="T2172" s="17"/>
      <c r="U2172" s="17"/>
      <c r="V2172" s="17"/>
      <c r="W2172" s="17"/>
      <c r="X2172" s="17"/>
      <c r="Y2172" s="17"/>
      <c r="Z2172" s="31"/>
      <c r="AA2172" s="32"/>
    </row>
    <row r="2173" spans="1:27" ht="12.75">
      <c r="A2173" s="17"/>
      <c r="B2173" s="17"/>
      <c r="C2173" s="17"/>
      <c r="D2173" s="17"/>
      <c r="E2173" s="17"/>
      <c r="F2173" s="17"/>
      <c r="G2173" s="17"/>
      <c r="H2173" s="17"/>
      <c r="I2173" s="31"/>
      <c r="J2173" s="17"/>
      <c r="K2173" s="17"/>
      <c r="L2173" s="17"/>
      <c r="M2173" s="17"/>
      <c r="N2173" s="17"/>
      <c r="O2173" s="17"/>
      <c r="P2173" s="17"/>
      <c r="Q2173" s="17"/>
      <c r="R2173" s="17"/>
      <c r="S2173" s="17"/>
      <c r="T2173" s="17"/>
      <c r="U2173" s="17"/>
      <c r="V2173" s="17"/>
      <c r="W2173" s="17"/>
      <c r="X2173" s="17"/>
      <c r="Y2173" s="17"/>
      <c r="Z2173" s="31"/>
      <c r="AA2173" s="32"/>
    </row>
    <row r="2174" spans="1:27" ht="12.75">
      <c r="A2174" s="17"/>
      <c r="B2174" s="17"/>
      <c r="C2174" s="17"/>
      <c r="D2174" s="17"/>
      <c r="E2174" s="17"/>
      <c r="F2174" s="17"/>
      <c r="G2174" s="17"/>
      <c r="H2174" s="17"/>
      <c r="I2174" s="31"/>
      <c r="J2174" s="17"/>
      <c r="K2174" s="17"/>
      <c r="L2174" s="17"/>
      <c r="M2174" s="17"/>
      <c r="N2174" s="17"/>
      <c r="O2174" s="17"/>
      <c r="P2174" s="17"/>
      <c r="Q2174" s="17"/>
      <c r="R2174" s="17"/>
      <c r="S2174" s="17"/>
      <c r="T2174" s="17"/>
      <c r="U2174" s="17"/>
      <c r="V2174" s="17"/>
      <c r="W2174" s="17"/>
      <c r="X2174" s="17"/>
      <c r="Y2174" s="17"/>
      <c r="Z2174" s="31"/>
      <c r="AA2174" s="32"/>
    </row>
    <row r="2175" spans="1:27" ht="12.75">
      <c r="A2175" s="17"/>
      <c r="B2175" s="17"/>
      <c r="C2175" s="17"/>
      <c r="D2175" s="17"/>
      <c r="E2175" s="17"/>
      <c r="F2175" s="17"/>
      <c r="G2175" s="17"/>
      <c r="H2175" s="17"/>
      <c r="I2175" s="31"/>
      <c r="J2175" s="17"/>
      <c r="K2175" s="17"/>
      <c r="L2175" s="17"/>
      <c r="M2175" s="17"/>
      <c r="N2175" s="17"/>
      <c r="O2175" s="17"/>
      <c r="P2175" s="17"/>
      <c r="Q2175" s="17"/>
      <c r="R2175" s="17"/>
      <c r="S2175" s="17"/>
      <c r="T2175" s="17"/>
      <c r="U2175" s="17"/>
      <c r="V2175" s="17"/>
      <c r="W2175" s="17"/>
      <c r="X2175" s="17"/>
      <c r="Y2175" s="17"/>
      <c r="Z2175" s="31"/>
      <c r="AA2175" s="32"/>
    </row>
    <row r="2176" spans="1:27" ht="12.75">
      <c r="A2176" s="17"/>
      <c r="B2176" s="17"/>
      <c r="C2176" s="17"/>
      <c r="D2176" s="17"/>
      <c r="E2176" s="17"/>
      <c r="F2176" s="17"/>
      <c r="G2176" s="17"/>
      <c r="H2176" s="17"/>
      <c r="I2176" s="31"/>
      <c r="J2176" s="17"/>
      <c r="K2176" s="17"/>
      <c r="L2176" s="17"/>
      <c r="M2176" s="17"/>
      <c r="N2176" s="17"/>
      <c r="O2176" s="17"/>
      <c r="P2176" s="17"/>
      <c r="Q2176" s="17"/>
      <c r="R2176" s="17"/>
      <c r="S2176" s="17"/>
      <c r="T2176" s="17"/>
      <c r="U2176" s="17"/>
      <c r="V2176" s="17"/>
      <c r="W2176" s="17"/>
      <c r="X2176" s="17"/>
      <c r="Y2176" s="17"/>
      <c r="Z2176" s="31"/>
      <c r="AA2176" s="32"/>
    </row>
    <row r="2177" spans="1:27" ht="12.75">
      <c r="A2177" s="17"/>
      <c r="B2177" s="17"/>
      <c r="C2177" s="17"/>
      <c r="D2177" s="17"/>
      <c r="E2177" s="17"/>
      <c r="F2177" s="17"/>
      <c r="G2177" s="17"/>
      <c r="H2177" s="17"/>
      <c r="I2177" s="31"/>
      <c r="J2177" s="17"/>
      <c r="K2177" s="17"/>
      <c r="L2177" s="17"/>
      <c r="M2177" s="17"/>
      <c r="N2177" s="17"/>
      <c r="O2177" s="17"/>
      <c r="P2177" s="17"/>
      <c r="Q2177" s="17"/>
      <c r="R2177" s="17"/>
      <c r="S2177" s="17"/>
      <c r="T2177" s="17"/>
      <c r="U2177" s="17"/>
      <c r="V2177" s="17"/>
      <c r="W2177" s="17"/>
      <c r="X2177" s="17"/>
      <c r="Y2177" s="17"/>
      <c r="Z2177" s="31"/>
      <c r="AA2177" s="32"/>
    </row>
    <row r="2178" spans="1:27" ht="12.75">
      <c r="A2178" s="17"/>
      <c r="B2178" s="17"/>
      <c r="C2178" s="17"/>
      <c r="D2178" s="17"/>
      <c r="E2178" s="17"/>
      <c r="F2178" s="17"/>
      <c r="G2178" s="17"/>
      <c r="H2178" s="17"/>
      <c r="I2178" s="31"/>
      <c r="J2178" s="17"/>
      <c r="K2178" s="17"/>
      <c r="L2178" s="17"/>
      <c r="M2178" s="17"/>
      <c r="N2178" s="17"/>
      <c r="O2178" s="17"/>
      <c r="P2178" s="17"/>
      <c r="Q2178" s="17"/>
      <c r="R2178" s="17"/>
      <c r="S2178" s="17"/>
      <c r="T2178" s="17"/>
      <c r="U2178" s="17"/>
      <c r="V2178" s="17"/>
      <c r="W2178" s="17"/>
      <c r="X2178" s="17"/>
      <c r="Y2178" s="17"/>
      <c r="Z2178" s="31"/>
      <c r="AA2178" s="32"/>
    </row>
    <row r="2179" spans="1:27" ht="12.75">
      <c r="A2179" s="17"/>
      <c r="B2179" s="17"/>
      <c r="C2179" s="17"/>
      <c r="D2179" s="17"/>
      <c r="E2179" s="17"/>
      <c r="F2179" s="17"/>
      <c r="G2179" s="17"/>
      <c r="H2179" s="17"/>
      <c r="I2179" s="31"/>
      <c r="J2179" s="17"/>
      <c r="K2179" s="17"/>
      <c r="L2179" s="17"/>
      <c r="M2179" s="17"/>
      <c r="N2179" s="17"/>
      <c r="O2179" s="17"/>
      <c r="P2179" s="17"/>
      <c r="Q2179" s="17"/>
      <c r="R2179" s="17"/>
      <c r="S2179" s="17"/>
      <c r="T2179" s="17"/>
      <c r="U2179" s="17"/>
      <c r="V2179" s="17"/>
      <c r="W2179" s="17"/>
      <c r="X2179" s="17"/>
      <c r="Y2179" s="17"/>
      <c r="Z2179" s="31"/>
      <c r="AA2179" s="32"/>
    </row>
    <row r="2180" spans="1:27" ht="12.75">
      <c r="A2180" s="17"/>
      <c r="B2180" s="17"/>
      <c r="C2180" s="17"/>
      <c r="D2180" s="17"/>
      <c r="E2180" s="17"/>
      <c r="F2180" s="17"/>
      <c r="G2180" s="17"/>
      <c r="H2180" s="17"/>
      <c r="I2180" s="31"/>
      <c r="J2180" s="17"/>
      <c r="K2180" s="17"/>
      <c r="L2180" s="17"/>
      <c r="M2180" s="17"/>
      <c r="N2180" s="17"/>
      <c r="O2180" s="17"/>
      <c r="P2180" s="17"/>
      <c r="Q2180" s="17"/>
      <c r="R2180" s="17"/>
      <c r="S2180" s="17"/>
      <c r="T2180" s="17"/>
      <c r="U2180" s="17"/>
      <c r="V2180" s="17"/>
      <c r="W2180" s="17"/>
      <c r="X2180" s="17"/>
      <c r="Y2180" s="17"/>
      <c r="Z2180" s="31"/>
      <c r="AA2180" s="32"/>
    </row>
    <row r="2181" spans="1:27" ht="12.75">
      <c r="A2181" s="17"/>
      <c r="B2181" s="17"/>
      <c r="C2181" s="17"/>
      <c r="D2181" s="17"/>
      <c r="E2181" s="17"/>
      <c r="F2181" s="17"/>
      <c r="G2181" s="17"/>
      <c r="H2181" s="17"/>
      <c r="I2181" s="31"/>
      <c r="J2181" s="17"/>
      <c r="K2181" s="17"/>
      <c r="L2181" s="17"/>
      <c r="M2181" s="17"/>
      <c r="N2181" s="17"/>
      <c r="O2181" s="17"/>
      <c r="P2181" s="17"/>
      <c r="Q2181" s="17"/>
      <c r="R2181" s="17"/>
      <c r="S2181" s="17"/>
      <c r="T2181" s="17"/>
      <c r="U2181" s="17"/>
      <c r="V2181" s="17"/>
      <c r="W2181" s="17"/>
      <c r="X2181" s="17"/>
      <c r="Y2181" s="17"/>
      <c r="Z2181" s="31"/>
      <c r="AA2181" s="32"/>
    </row>
    <row r="2182" spans="1:27" ht="12.75">
      <c r="A2182" s="17"/>
      <c r="B2182" s="17"/>
      <c r="C2182" s="17"/>
      <c r="D2182" s="17"/>
      <c r="E2182" s="17"/>
      <c r="F2182" s="17"/>
      <c r="G2182" s="17"/>
      <c r="H2182" s="17"/>
      <c r="I2182" s="31"/>
      <c r="J2182" s="17"/>
      <c r="K2182" s="17"/>
      <c r="L2182" s="17"/>
      <c r="M2182" s="17"/>
      <c r="N2182" s="17"/>
      <c r="O2182" s="17"/>
      <c r="P2182" s="17"/>
      <c r="Q2182" s="17"/>
      <c r="R2182" s="17"/>
      <c r="S2182" s="17"/>
      <c r="T2182" s="17"/>
      <c r="U2182" s="17"/>
      <c r="V2182" s="17"/>
      <c r="W2182" s="17"/>
      <c r="X2182" s="17"/>
      <c r="Y2182" s="17"/>
      <c r="Z2182" s="31"/>
      <c r="AA2182" s="32"/>
    </row>
    <row r="2183" spans="1:27" ht="12.75">
      <c r="A2183" s="17"/>
      <c r="B2183" s="17"/>
      <c r="C2183" s="17"/>
      <c r="D2183" s="17"/>
      <c r="E2183" s="17"/>
      <c r="F2183" s="17"/>
      <c r="G2183" s="17"/>
      <c r="H2183" s="17"/>
      <c r="I2183" s="31"/>
      <c r="J2183" s="17"/>
      <c r="K2183" s="17"/>
      <c r="L2183" s="17"/>
      <c r="M2183" s="17"/>
      <c r="N2183" s="17"/>
      <c r="O2183" s="17"/>
      <c r="P2183" s="17"/>
      <c r="Q2183" s="17"/>
      <c r="R2183" s="17"/>
      <c r="S2183" s="17"/>
      <c r="T2183" s="17"/>
      <c r="U2183" s="17"/>
      <c r="V2183" s="17"/>
      <c r="W2183" s="17"/>
      <c r="X2183" s="17"/>
      <c r="Y2183" s="17"/>
      <c r="Z2183" s="31"/>
      <c r="AA2183" s="32"/>
    </row>
    <row r="2184" spans="1:27" ht="12.75">
      <c r="A2184" s="17"/>
      <c r="B2184" s="17"/>
      <c r="C2184" s="17"/>
      <c r="D2184" s="17"/>
      <c r="E2184" s="17"/>
      <c r="F2184" s="17"/>
      <c r="G2184" s="17"/>
      <c r="H2184" s="17"/>
      <c r="I2184" s="31"/>
      <c r="J2184" s="17"/>
      <c r="K2184" s="17"/>
      <c r="L2184" s="17"/>
      <c r="M2184" s="17"/>
      <c r="N2184" s="17"/>
      <c r="O2184" s="17"/>
      <c r="P2184" s="17"/>
      <c r="Q2184" s="17"/>
      <c r="R2184" s="17"/>
      <c r="S2184" s="17"/>
      <c r="T2184" s="17"/>
      <c r="U2184" s="17"/>
      <c r="V2184" s="17"/>
      <c r="W2184" s="17"/>
      <c r="X2184" s="17"/>
      <c r="Y2184" s="17"/>
      <c r="Z2184" s="31"/>
      <c r="AA2184" s="32"/>
    </row>
    <row r="2185" spans="1:27" ht="12.75">
      <c r="A2185" s="17"/>
      <c r="B2185" s="17"/>
      <c r="C2185" s="17"/>
      <c r="D2185" s="17"/>
      <c r="E2185" s="17"/>
      <c r="F2185" s="17"/>
      <c r="G2185" s="17"/>
      <c r="H2185" s="17"/>
      <c r="I2185" s="31"/>
      <c r="J2185" s="17"/>
      <c r="K2185" s="17"/>
      <c r="L2185" s="17"/>
      <c r="M2185" s="17"/>
      <c r="N2185" s="17"/>
      <c r="O2185" s="17"/>
      <c r="P2185" s="17"/>
      <c r="Q2185" s="17"/>
      <c r="R2185" s="17"/>
      <c r="S2185" s="17"/>
      <c r="T2185" s="17"/>
      <c r="U2185" s="17"/>
      <c r="V2185" s="17"/>
      <c r="W2185" s="17"/>
      <c r="X2185" s="17"/>
      <c r="Y2185" s="17"/>
      <c r="Z2185" s="31"/>
      <c r="AA2185" s="32"/>
    </row>
    <row r="2186" spans="1:27" ht="12.75">
      <c r="A2186" s="17"/>
      <c r="B2186" s="17"/>
      <c r="C2186" s="17"/>
      <c r="D2186" s="17"/>
      <c r="E2186" s="17"/>
      <c r="F2186" s="17"/>
      <c r="G2186" s="17"/>
      <c r="H2186" s="17"/>
      <c r="I2186" s="31"/>
      <c r="J2186" s="17"/>
      <c r="K2186" s="17"/>
      <c r="L2186" s="17"/>
      <c r="M2186" s="17"/>
      <c r="N2186" s="17"/>
      <c r="O2186" s="17"/>
      <c r="P2186" s="17"/>
      <c r="Q2186" s="17"/>
      <c r="R2186" s="17"/>
      <c r="S2186" s="17"/>
      <c r="T2186" s="17"/>
      <c r="U2186" s="17"/>
      <c r="V2186" s="17"/>
      <c r="W2186" s="17"/>
      <c r="X2186" s="17"/>
      <c r="Y2186" s="17"/>
      <c r="Z2186" s="31"/>
      <c r="AA2186" s="32"/>
    </row>
    <row r="2187" spans="1:27" ht="12.75">
      <c r="A2187" s="17"/>
      <c r="B2187" s="17"/>
      <c r="C2187" s="17"/>
      <c r="D2187" s="17"/>
      <c r="E2187" s="17"/>
      <c r="F2187" s="17"/>
      <c r="G2187" s="17"/>
      <c r="H2187" s="17"/>
      <c r="I2187" s="31"/>
      <c r="J2187" s="17"/>
      <c r="K2187" s="17"/>
      <c r="L2187" s="17"/>
      <c r="M2187" s="17"/>
      <c r="N2187" s="17"/>
      <c r="O2187" s="17"/>
      <c r="P2187" s="17"/>
      <c r="Q2187" s="17"/>
      <c r="R2187" s="17"/>
      <c r="S2187" s="17"/>
      <c r="T2187" s="17"/>
      <c r="U2187" s="17"/>
      <c r="V2187" s="17"/>
      <c r="W2187" s="17"/>
      <c r="X2187" s="17"/>
      <c r="Y2187" s="17"/>
      <c r="Z2187" s="31"/>
      <c r="AA2187" s="32"/>
    </row>
    <row r="2188" spans="1:27" ht="12.75">
      <c r="A2188" s="17"/>
      <c r="B2188" s="17"/>
      <c r="C2188" s="17"/>
      <c r="D2188" s="17"/>
      <c r="E2188" s="17"/>
      <c r="F2188" s="17"/>
      <c r="G2188" s="17"/>
      <c r="H2188" s="17"/>
      <c r="I2188" s="31"/>
      <c r="J2188" s="17"/>
      <c r="K2188" s="17"/>
      <c r="L2188" s="17"/>
      <c r="M2188" s="17"/>
      <c r="N2188" s="17"/>
      <c r="O2188" s="17"/>
      <c r="P2188" s="17"/>
      <c r="Q2188" s="17"/>
      <c r="R2188" s="17"/>
      <c r="S2188" s="17"/>
      <c r="T2188" s="17"/>
      <c r="U2188" s="17"/>
      <c r="V2188" s="17"/>
      <c r="W2188" s="17"/>
      <c r="X2188" s="17"/>
      <c r="Y2188" s="17"/>
      <c r="Z2188" s="31"/>
      <c r="AA2188" s="32"/>
    </row>
    <row r="2189" spans="1:27" ht="12.75">
      <c r="A2189" s="17"/>
      <c r="B2189" s="17"/>
      <c r="C2189" s="17"/>
      <c r="D2189" s="17"/>
      <c r="E2189" s="17"/>
      <c r="F2189" s="17"/>
      <c r="G2189" s="17"/>
      <c r="H2189" s="17"/>
      <c r="I2189" s="31"/>
      <c r="J2189" s="17"/>
      <c r="K2189" s="17"/>
      <c r="L2189" s="17"/>
      <c r="M2189" s="17"/>
      <c r="N2189" s="17"/>
      <c r="O2189" s="17"/>
      <c r="P2189" s="17"/>
      <c r="Q2189" s="17"/>
      <c r="R2189" s="17"/>
      <c r="S2189" s="17"/>
      <c r="T2189" s="17"/>
      <c r="U2189" s="17"/>
      <c r="V2189" s="17"/>
      <c r="W2189" s="17"/>
      <c r="X2189" s="17"/>
      <c r="Y2189" s="17"/>
      <c r="Z2189" s="31"/>
      <c r="AA2189" s="32"/>
    </row>
    <row r="2190" spans="1:27" ht="12.75">
      <c r="A2190" s="17"/>
      <c r="B2190" s="17"/>
      <c r="C2190" s="17"/>
      <c r="D2190" s="17"/>
      <c r="E2190" s="17"/>
      <c r="F2190" s="17"/>
      <c r="G2190" s="17"/>
      <c r="H2190" s="17"/>
      <c r="I2190" s="31"/>
      <c r="J2190" s="17"/>
      <c r="K2190" s="17"/>
      <c r="L2190" s="17"/>
      <c r="M2190" s="17"/>
      <c r="N2190" s="17"/>
      <c r="O2190" s="17"/>
      <c r="P2190" s="17"/>
      <c r="Q2190" s="17"/>
      <c r="R2190" s="17"/>
      <c r="S2190" s="17"/>
      <c r="T2190" s="17"/>
      <c r="U2190" s="17"/>
      <c r="V2190" s="17"/>
      <c r="W2190" s="17"/>
      <c r="X2190" s="17"/>
      <c r="Y2190" s="17"/>
      <c r="Z2190" s="31"/>
      <c r="AA2190" s="32"/>
    </row>
    <row r="2191" spans="1:27" ht="12.75">
      <c r="A2191" s="17"/>
      <c r="B2191" s="17"/>
      <c r="C2191" s="17"/>
      <c r="D2191" s="17"/>
      <c r="E2191" s="17"/>
      <c r="F2191" s="17"/>
      <c r="G2191" s="17"/>
      <c r="H2191" s="17"/>
      <c r="I2191" s="31"/>
      <c r="J2191" s="17"/>
      <c r="K2191" s="17"/>
      <c r="L2191" s="17"/>
      <c r="M2191" s="17"/>
      <c r="N2191" s="17"/>
      <c r="O2191" s="17"/>
      <c r="P2191" s="17"/>
      <c r="Q2191" s="17"/>
      <c r="R2191" s="17"/>
      <c r="S2191" s="17"/>
      <c r="T2191" s="17"/>
      <c r="U2191" s="17"/>
      <c r="V2191" s="17"/>
      <c r="W2191" s="17"/>
      <c r="X2191" s="17"/>
      <c r="Y2191" s="17"/>
      <c r="Z2191" s="31"/>
      <c r="AA2191" s="32"/>
    </row>
    <row r="2192" spans="1:27" ht="12.75">
      <c r="A2192" s="17"/>
      <c r="B2192" s="17"/>
      <c r="C2192" s="17"/>
      <c r="D2192" s="17"/>
      <c r="E2192" s="17"/>
      <c r="F2192" s="17"/>
      <c r="G2192" s="17"/>
      <c r="H2192" s="17"/>
      <c r="I2192" s="31"/>
      <c r="J2192" s="17"/>
      <c r="K2192" s="17"/>
      <c r="L2192" s="17"/>
      <c r="M2192" s="17"/>
      <c r="N2192" s="17"/>
      <c r="O2192" s="17"/>
      <c r="P2192" s="17"/>
      <c r="Q2192" s="17"/>
      <c r="R2192" s="17"/>
      <c r="S2192" s="17"/>
      <c r="T2192" s="17"/>
      <c r="U2192" s="17"/>
      <c r="V2192" s="17"/>
      <c r="W2192" s="17"/>
      <c r="X2192" s="17"/>
      <c r="Y2192" s="17"/>
      <c r="Z2192" s="31"/>
      <c r="AA2192" s="32"/>
    </row>
    <row r="2193" spans="1:27" ht="12.75">
      <c r="A2193" s="17"/>
      <c r="B2193" s="17"/>
      <c r="C2193" s="17"/>
      <c r="D2193" s="17"/>
      <c r="E2193" s="17"/>
      <c r="F2193" s="17"/>
      <c r="G2193" s="17"/>
      <c r="H2193" s="17"/>
      <c r="I2193" s="31"/>
      <c r="J2193" s="17"/>
      <c r="K2193" s="17"/>
      <c r="L2193" s="17"/>
      <c r="M2193" s="17"/>
      <c r="N2193" s="17"/>
      <c r="O2193" s="17"/>
      <c r="P2193" s="17"/>
      <c r="Q2193" s="17"/>
      <c r="R2193" s="17"/>
      <c r="S2193" s="17"/>
      <c r="T2193" s="17"/>
      <c r="U2193" s="17"/>
      <c r="V2193" s="17"/>
      <c r="W2193" s="17"/>
      <c r="X2193" s="17"/>
      <c r="Y2193" s="17"/>
      <c r="Z2193" s="31"/>
      <c r="AA2193" s="32"/>
    </row>
    <row r="2194" spans="1:27" ht="12.75">
      <c r="A2194" s="17"/>
      <c r="B2194" s="17"/>
      <c r="C2194" s="17"/>
      <c r="D2194" s="17"/>
      <c r="E2194" s="17"/>
      <c r="F2194" s="17"/>
      <c r="G2194" s="17"/>
      <c r="H2194" s="17"/>
      <c r="I2194" s="31"/>
      <c r="J2194" s="17"/>
      <c r="K2194" s="17"/>
      <c r="L2194" s="17"/>
      <c r="M2194" s="17"/>
      <c r="N2194" s="17"/>
      <c r="O2194" s="17"/>
      <c r="P2194" s="17"/>
      <c r="Q2194" s="17"/>
      <c r="R2194" s="17"/>
      <c r="S2194" s="17"/>
      <c r="T2194" s="17"/>
      <c r="U2194" s="17"/>
      <c r="V2194" s="17"/>
      <c r="W2194" s="17"/>
      <c r="X2194" s="17"/>
      <c r="Y2194" s="17"/>
      <c r="Z2194" s="31"/>
      <c r="AA2194" s="32"/>
    </row>
    <row r="2195" spans="1:27" ht="12.75">
      <c r="A2195" s="17"/>
      <c r="B2195" s="17"/>
      <c r="C2195" s="17"/>
      <c r="D2195" s="17"/>
      <c r="E2195" s="17"/>
      <c r="F2195" s="17"/>
      <c r="G2195" s="17"/>
      <c r="H2195" s="17"/>
      <c r="I2195" s="31"/>
      <c r="J2195" s="17"/>
      <c r="K2195" s="17"/>
      <c r="L2195" s="17"/>
      <c r="M2195" s="17"/>
      <c r="N2195" s="17"/>
      <c r="O2195" s="17"/>
      <c r="P2195" s="17"/>
      <c r="Q2195" s="17"/>
      <c r="R2195" s="17"/>
      <c r="S2195" s="17"/>
      <c r="T2195" s="17"/>
      <c r="U2195" s="17"/>
      <c r="V2195" s="17"/>
      <c r="W2195" s="17"/>
      <c r="X2195" s="17"/>
      <c r="Y2195" s="17"/>
      <c r="Z2195" s="31"/>
      <c r="AA2195" s="32"/>
    </row>
    <row r="2196" spans="1:27" ht="12.75">
      <c r="A2196" s="17"/>
      <c r="B2196" s="17"/>
      <c r="C2196" s="17"/>
      <c r="D2196" s="17"/>
      <c r="E2196" s="17"/>
      <c r="F2196" s="17"/>
      <c r="G2196" s="17"/>
      <c r="H2196" s="17"/>
      <c r="I2196" s="31"/>
      <c r="J2196" s="17"/>
      <c r="K2196" s="17"/>
      <c r="L2196" s="17"/>
      <c r="M2196" s="17"/>
      <c r="N2196" s="17"/>
      <c r="O2196" s="17"/>
      <c r="P2196" s="17"/>
      <c r="Q2196" s="17"/>
      <c r="R2196" s="17"/>
      <c r="S2196" s="17"/>
      <c r="T2196" s="17"/>
      <c r="U2196" s="17"/>
      <c r="V2196" s="17"/>
      <c r="W2196" s="17"/>
      <c r="X2196" s="17"/>
      <c r="Y2196" s="17"/>
      <c r="Z2196" s="31"/>
      <c r="AA2196" s="32"/>
    </row>
    <row r="2197" spans="1:27" ht="12.75">
      <c r="A2197" s="17"/>
      <c r="B2197" s="17"/>
      <c r="C2197" s="17"/>
      <c r="D2197" s="17"/>
      <c r="E2197" s="17"/>
      <c r="F2197" s="17"/>
      <c r="G2197" s="17"/>
      <c r="H2197" s="17"/>
      <c r="I2197" s="31"/>
      <c r="J2197" s="17"/>
      <c r="K2197" s="17"/>
      <c r="L2197" s="17"/>
      <c r="M2197" s="17"/>
      <c r="N2197" s="17"/>
      <c r="O2197" s="17"/>
      <c r="P2197" s="17"/>
      <c r="Q2197" s="17"/>
      <c r="R2197" s="17"/>
      <c r="S2197" s="17"/>
      <c r="T2197" s="17"/>
      <c r="U2197" s="17"/>
      <c r="V2197" s="17"/>
      <c r="W2197" s="17"/>
      <c r="X2197" s="17"/>
      <c r="Y2197" s="17"/>
      <c r="Z2197" s="31"/>
      <c r="AA2197" s="32"/>
    </row>
    <row r="2198" spans="1:27" ht="12.75">
      <c r="A2198" s="17"/>
      <c r="B2198" s="17"/>
      <c r="C2198" s="17"/>
      <c r="D2198" s="17"/>
      <c r="E2198" s="17"/>
      <c r="F2198" s="17"/>
      <c r="G2198" s="17"/>
      <c r="H2198" s="17"/>
      <c r="I2198" s="31"/>
      <c r="J2198" s="17"/>
      <c r="K2198" s="17"/>
      <c r="L2198" s="17"/>
      <c r="M2198" s="17"/>
      <c r="N2198" s="17"/>
      <c r="O2198" s="17"/>
      <c r="P2198" s="17"/>
      <c r="Q2198" s="17"/>
      <c r="R2198" s="17"/>
      <c r="S2198" s="17"/>
      <c r="T2198" s="17"/>
      <c r="U2198" s="17"/>
      <c r="V2198" s="17"/>
      <c r="W2198" s="17"/>
      <c r="X2198" s="17"/>
      <c r="Y2198" s="17"/>
      <c r="Z2198" s="31"/>
      <c r="AA2198" s="32"/>
    </row>
    <row r="2199" spans="1:27" ht="12.75">
      <c r="A2199" s="17"/>
      <c r="B2199" s="17"/>
      <c r="C2199" s="17"/>
      <c r="D2199" s="17"/>
      <c r="E2199" s="17"/>
      <c r="F2199" s="17"/>
      <c r="G2199" s="17"/>
      <c r="H2199" s="17"/>
      <c r="I2199" s="31"/>
      <c r="J2199" s="17"/>
      <c r="K2199" s="17"/>
      <c r="L2199" s="17"/>
      <c r="M2199" s="17"/>
      <c r="N2199" s="17"/>
      <c r="O2199" s="17"/>
      <c r="P2199" s="17"/>
      <c r="Q2199" s="17"/>
      <c r="R2199" s="17"/>
      <c r="S2199" s="17"/>
      <c r="T2199" s="17"/>
      <c r="U2199" s="17"/>
      <c r="V2199" s="17"/>
      <c r="W2199" s="17"/>
      <c r="X2199" s="17"/>
      <c r="Y2199" s="17"/>
      <c r="Z2199" s="31"/>
      <c r="AA2199" s="32"/>
    </row>
    <row r="2200" spans="1:27" ht="12.75">
      <c r="A2200" s="17"/>
      <c r="B2200" s="17"/>
      <c r="C2200" s="17"/>
      <c r="D2200" s="17"/>
      <c r="E2200" s="17"/>
      <c r="F2200" s="17"/>
      <c r="G2200" s="17"/>
      <c r="H2200" s="17"/>
      <c r="I2200" s="31"/>
      <c r="J2200" s="17"/>
      <c r="K2200" s="17"/>
      <c r="L2200" s="17"/>
      <c r="M2200" s="17"/>
      <c r="N2200" s="17"/>
      <c r="O2200" s="17"/>
      <c r="P2200" s="17"/>
      <c r="Q2200" s="17"/>
      <c r="R2200" s="17"/>
      <c r="S2200" s="17"/>
      <c r="T2200" s="17"/>
      <c r="U2200" s="17"/>
      <c r="V2200" s="17"/>
      <c r="W2200" s="17"/>
      <c r="X2200" s="17"/>
      <c r="Y2200" s="17"/>
      <c r="Z2200" s="31"/>
      <c r="AA2200" s="32"/>
    </row>
    <row r="2201" spans="1:27" ht="12.75">
      <c r="A2201" s="17"/>
      <c r="B2201" s="17"/>
      <c r="C2201" s="17"/>
      <c r="D2201" s="17"/>
      <c r="E2201" s="17"/>
      <c r="F2201" s="17"/>
      <c r="G2201" s="17"/>
      <c r="H2201" s="17"/>
      <c r="I2201" s="31"/>
      <c r="J2201" s="17"/>
      <c r="K2201" s="17"/>
      <c r="L2201" s="17"/>
      <c r="M2201" s="17"/>
      <c r="N2201" s="17"/>
      <c r="O2201" s="17"/>
      <c r="P2201" s="17"/>
      <c r="Q2201" s="17"/>
      <c r="R2201" s="17"/>
      <c r="S2201" s="17"/>
      <c r="T2201" s="17"/>
      <c r="U2201" s="17"/>
      <c r="V2201" s="17"/>
      <c r="W2201" s="17"/>
      <c r="X2201" s="17"/>
      <c r="Y2201" s="17"/>
      <c r="Z2201" s="31"/>
      <c r="AA2201" s="32"/>
    </row>
    <row r="2202" spans="1:27" ht="12.75">
      <c r="A2202" s="17"/>
      <c r="B2202" s="17"/>
      <c r="C2202" s="17"/>
      <c r="D2202" s="17"/>
      <c r="E2202" s="17"/>
      <c r="F2202" s="17"/>
      <c r="G2202" s="17"/>
      <c r="H2202" s="17"/>
      <c r="I2202" s="31"/>
      <c r="J2202" s="17"/>
      <c r="K2202" s="17"/>
      <c r="L2202" s="17"/>
      <c r="M2202" s="17"/>
      <c r="N2202" s="17"/>
      <c r="O2202" s="17"/>
      <c r="P2202" s="17"/>
      <c r="Q2202" s="17"/>
      <c r="R2202" s="17"/>
      <c r="S2202" s="17"/>
      <c r="T2202" s="17"/>
      <c r="U2202" s="17"/>
      <c r="V2202" s="17"/>
      <c r="W2202" s="17"/>
      <c r="X2202" s="17"/>
      <c r="Y2202" s="17"/>
      <c r="Z2202" s="31"/>
      <c r="AA2202" s="32"/>
    </row>
    <row r="2203" spans="1:27" ht="12.75">
      <c r="A2203" s="17"/>
      <c r="B2203" s="17"/>
      <c r="C2203" s="17"/>
      <c r="D2203" s="17"/>
      <c r="E2203" s="17"/>
      <c r="F2203" s="17"/>
      <c r="G2203" s="17"/>
      <c r="H2203" s="17"/>
      <c r="I2203" s="31"/>
      <c r="J2203" s="17"/>
      <c r="K2203" s="17"/>
      <c r="L2203" s="17"/>
      <c r="M2203" s="17"/>
      <c r="N2203" s="17"/>
      <c r="O2203" s="17"/>
      <c r="P2203" s="17"/>
      <c r="Q2203" s="17"/>
      <c r="R2203" s="17"/>
      <c r="S2203" s="17"/>
      <c r="T2203" s="17"/>
      <c r="U2203" s="17"/>
      <c r="V2203" s="17"/>
      <c r="W2203" s="17"/>
      <c r="X2203" s="17"/>
      <c r="Y2203" s="17"/>
      <c r="Z2203" s="31"/>
      <c r="AA2203" s="32"/>
    </row>
    <row r="2204" spans="1:27" ht="12.75">
      <c r="A2204" s="17"/>
      <c r="B2204" s="17"/>
      <c r="C2204" s="17"/>
      <c r="D2204" s="17"/>
      <c r="E2204" s="17"/>
      <c r="F2204" s="17"/>
      <c r="G2204" s="17"/>
      <c r="H2204" s="17"/>
      <c r="I2204" s="31"/>
      <c r="J2204" s="17"/>
      <c r="K2204" s="17"/>
      <c r="L2204" s="17"/>
      <c r="M2204" s="17"/>
      <c r="N2204" s="17"/>
      <c r="O2204" s="17"/>
      <c r="P2204" s="17"/>
      <c r="Q2204" s="17"/>
      <c r="R2204" s="17"/>
      <c r="S2204" s="17"/>
      <c r="T2204" s="17"/>
      <c r="U2204" s="17"/>
      <c r="V2204" s="17"/>
      <c r="W2204" s="17"/>
      <c r="X2204" s="17"/>
      <c r="Y2204" s="17"/>
      <c r="Z2204" s="31"/>
      <c r="AA2204" s="32"/>
    </row>
    <row r="2205" spans="1:27" ht="12.75">
      <c r="A2205" s="17"/>
      <c r="B2205" s="17"/>
      <c r="C2205" s="17"/>
      <c r="D2205" s="17"/>
      <c r="E2205" s="17"/>
      <c r="F2205" s="17"/>
      <c r="G2205" s="17"/>
      <c r="H2205" s="17"/>
      <c r="I2205" s="31"/>
      <c r="J2205" s="17"/>
      <c r="K2205" s="17"/>
      <c r="L2205" s="17"/>
      <c r="M2205" s="17"/>
      <c r="N2205" s="17"/>
      <c r="O2205" s="17"/>
      <c r="P2205" s="17"/>
      <c r="Q2205" s="17"/>
      <c r="R2205" s="17"/>
      <c r="S2205" s="17"/>
      <c r="T2205" s="17"/>
      <c r="U2205" s="17"/>
      <c r="V2205" s="17"/>
      <c r="W2205" s="17"/>
      <c r="X2205" s="17"/>
      <c r="Y2205" s="17"/>
      <c r="Z2205" s="31"/>
      <c r="AA2205" s="32"/>
    </row>
    <row r="2206" spans="1:27" ht="12.75">
      <c r="A2206" s="17"/>
      <c r="B2206" s="17"/>
      <c r="C2206" s="17"/>
      <c r="D2206" s="17"/>
      <c r="E2206" s="17"/>
      <c r="F2206" s="17"/>
      <c r="G2206" s="17"/>
      <c r="H2206" s="17"/>
      <c r="I2206" s="31"/>
      <c r="J2206" s="17"/>
      <c r="K2206" s="17"/>
      <c r="L2206" s="17"/>
      <c r="M2206" s="17"/>
      <c r="N2206" s="17"/>
      <c r="O2206" s="17"/>
      <c r="P2206" s="17"/>
      <c r="Q2206" s="17"/>
      <c r="R2206" s="17"/>
      <c r="S2206" s="17"/>
      <c r="T2206" s="17"/>
      <c r="U2206" s="17"/>
      <c r="V2206" s="17"/>
      <c r="W2206" s="17"/>
      <c r="X2206" s="17"/>
      <c r="Y2206" s="17"/>
      <c r="Z2206" s="31"/>
      <c r="AA2206" s="32"/>
    </row>
    <row r="2207" spans="1:27" ht="12.75">
      <c r="A2207" s="17"/>
      <c r="B2207" s="17"/>
      <c r="C2207" s="17"/>
      <c r="D2207" s="17"/>
      <c r="E2207" s="17"/>
      <c r="F2207" s="17"/>
      <c r="G2207" s="17"/>
      <c r="H2207" s="17"/>
      <c r="I2207" s="31"/>
      <c r="J2207" s="17"/>
      <c r="K2207" s="17"/>
      <c r="L2207" s="17"/>
      <c r="M2207" s="17"/>
      <c r="N2207" s="17"/>
      <c r="O2207" s="17"/>
      <c r="P2207" s="17"/>
      <c r="Q2207" s="17"/>
      <c r="R2207" s="17"/>
      <c r="S2207" s="17"/>
      <c r="T2207" s="17"/>
      <c r="U2207" s="17"/>
      <c r="V2207" s="17"/>
      <c r="W2207" s="17"/>
      <c r="X2207" s="17"/>
      <c r="Y2207" s="17"/>
      <c r="Z2207" s="31"/>
      <c r="AA2207" s="32"/>
    </row>
    <row r="2208" spans="1:27" ht="12.75">
      <c r="A2208" s="17"/>
      <c r="B2208" s="17"/>
      <c r="C2208" s="17"/>
      <c r="D2208" s="17"/>
      <c r="E2208" s="17"/>
      <c r="F2208" s="17"/>
      <c r="G2208" s="17"/>
      <c r="H2208" s="17"/>
      <c r="I2208" s="31"/>
      <c r="J2208" s="17"/>
      <c r="K2208" s="17"/>
      <c r="L2208" s="17"/>
      <c r="M2208" s="17"/>
      <c r="N2208" s="17"/>
      <c r="O2208" s="17"/>
      <c r="P2208" s="17"/>
      <c r="Q2208" s="17"/>
      <c r="R2208" s="17"/>
      <c r="S2208" s="17"/>
      <c r="T2208" s="17"/>
      <c r="U2208" s="17"/>
      <c r="V2208" s="17"/>
      <c r="W2208" s="17"/>
      <c r="X2208" s="17"/>
      <c r="Y2208" s="17"/>
      <c r="Z2208" s="31"/>
      <c r="AA2208" s="32"/>
    </row>
    <row r="2209" spans="1:27" ht="12.75">
      <c r="A2209" s="17"/>
      <c r="B2209" s="17"/>
      <c r="C2209" s="17"/>
      <c r="D2209" s="17"/>
      <c r="E2209" s="17"/>
      <c r="F2209" s="17"/>
      <c r="G2209" s="17"/>
      <c r="H2209" s="17"/>
      <c r="I2209" s="31"/>
      <c r="J2209" s="17"/>
      <c r="K2209" s="17"/>
      <c r="L2209" s="17"/>
      <c r="M2209" s="17"/>
      <c r="N2209" s="17"/>
      <c r="O2209" s="17"/>
      <c r="P2209" s="17"/>
      <c r="Q2209" s="17"/>
      <c r="R2209" s="17"/>
      <c r="S2209" s="17"/>
      <c r="T2209" s="17"/>
      <c r="U2209" s="17"/>
      <c r="V2209" s="17"/>
      <c r="W2209" s="17"/>
      <c r="X2209" s="17"/>
      <c r="Y2209" s="17"/>
      <c r="Z2209" s="31"/>
      <c r="AA2209" s="32"/>
    </row>
    <row r="2210" spans="1:27" ht="12.75">
      <c r="A2210" s="17"/>
      <c r="B2210" s="17"/>
      <c r="C2210" s="17"/>
      <c r="D2210" s="17"/>
      <c r="E2210" s="17"/>
      <c r="F2210" s="17"/>
      <c r="G2210" s="17"/>
      <c r="H2210" s="17"/>
      <c r="I2210" s="31"/>
      <c r="J2210" s="17"/>
      <c r="K2210" s="17"/>
      <c r="L2210" s="17"/>
      <c r="M2210" s="17"/>
      <c r="N2210" s="17"/>
      <c r="O2210" s="17"/>
      <c r="P2210" s="17"/>
      <c r="Q2210" s="17"/>
      <c r="R2210" s="17"/>
      <c r="S2210" s="17"/>
      <c r="T2210" s="17"/>
      <c r="U2210" s="17"/>
      <c r="V2210" s="17"/>
      <c r="W2210" s="17"/>
      <c r="X2210" s="17"/>
      <c r="Y2210" s="17"/>
      <c r="Z2210" s="31"/>
      <c r="AA2210" s="32"/>
    </row>
    <row r="2211" spans="1:27" ht="12.75">
      <c r="A2211" s="17"/>
      <c r="B2211" s="17"/>
      <c r="C2211" s="17"/>
      <c r="D2211" s="17"/>
      <c r="E2211" s="17"/>
      <c r="F2211" s="17"/>
      <c r="G2211" s="17"/>
      <c r="H2211" s="17"/>
      <c r="I2211" s="31"/>
      <c r="J2211" s="17"/>
      <c r="K2211" s="17"/>
      <c r="L2211" s="17"/>
      <c r="M2211" s="17"/>
      <c r="N2211" s="17"/>
      <c r="O2211" s="17"/>
      <c r="P2211" s="17"/>
      <c r="Q2211" s="17"/>
      <c r="R2211" s="17"/>
      <c r="S2211" s="17"/>
      <c r="T2211" s="17"/>
      <c r="U2211" s="17"/>
      <c r="V2211" s="17"/>
      <c r="W2211" s="17"/>
      <c r="X2211" s="17"/>
      <c r="Y2211" s="17"/>
      <c r="Z2211" s="31"/>
      <c r="AA2211" s="32"/>
    </row>
    <row r="2212" spans="1:27" ht="12.75">
      <c r="A2212" s="17"/>
      <c r="B2212" s="17"/>
      <c r="C2212" s="17"/>
      <c r="D2212" s="17"/>
      <c r="E2212" s="17"/>
      <c r="F2212" s="17"/>
      <c r="G2212" s="17"/>
      <c r="H2212" s="17"/>
      <c r="I2212" s="31"/>
      <c r="J2212" s="17"/>
      <c r="K2212" s="17"/>
      <c r="L2212" s="17"/>
      <c r="M2212" s="17"/>
      <c r="N2212" s="17"/>
      <c r="O2212" s="17"/>
      <c r="P2212" s="17"/>
      <c r="Q2212" s="17"/>
      <c r="R2212" s="17"/>
      <c r="S2212" s="17"/>
      <c r="T2212" s="17"/>
      <c r="U2212" s="17"/>
      <c r="V2212" s="17"/>
      <c r="W2212" s="17"/>
      <c r="X2212" s="17"/>
      <c r="Y2212" s="17"/>
      <c r="Z2212" s="31"/>
      <c r="AA2212" s="32"/>
    </row>
    <row r="2213" spans="1:27" ht="12.75">
      <c r="A2213" s="17"/>
      <c r="B2213" s="17"/>
      <c r="C2213" s="17"/>
      <c r="D2213" s="17"/>
      <c r="E2213" s="17"/>
      <c r="F2213" s="17"/>
      <c r="G2213" s="17"/>
      <c r="H2213" s="17"/>
      <c r="I2213" s="31"/>
      <c r="J2213" s="17"/>
      <c r="K2213" s="17"/>
      <c r="L2213" s="17"/>
      <c r="M2213" s="17"/>
      <c r="N2213" s="17"/>
      <c r="O2213" s="17"/>
      <c r="P2213" s="17"/>
      <c r="Q2213" s="17"/>
      <c r="R2213" s="17"/>
      <c r="S2213" s="17"/>
      <c r="T2213" s="17"/>
      <c r="U2213" s="17"/>
      <c r="V2213" s="17"/>
      <c r="W2213" s="17"/>
      <c r="X2213" s="17"/>
      <c r="Y2213" s="17"/>
      <c r="Z2213" s="31"/>
      <c r="AA2213" s="32"/>
    </row>
    <row r="2214" spans="1:27" ht="12.75">
      <c r="A2214" s="17"/>
      <c r="B2214" s="17"/>
      <c r="C2214" s="17"/>
      <c r="D2214" s="17"/>
      <c r="E2214" s="17"/>
      <c r="F2214" s="17"/>
      <c r="G2214" s="17"/>
      <c r="H2214" s="17"/>
      <c r="I2214" s="31"/>
      <c r="J2214" s="17"/>
      <c r="K2214" s="17"/>
      <c r="L2214" s="17"/>
      <c r="M2214" s="17"/>
      <c r="N2214" s="17"/>
      <c r="O2214" s="17"/>
      <c r="P2214" s="17"/>
      <c r="Q2214" s="17"/>
      <c r="R2214" s="17"/>
      <c r="S2214" s="17"/>
      <c r="T2214" s="17"/>
      <c r="U2214" s="17"/>
      <c r="V2214" s="17"/>
      <c r="W2214" s="17"/>
      <c r="X2214" s="17"/>
      <c r="Y2214" s="17"/>
      <c r="Z2214" s="31"/>
      <c r="AA2214" s="32"/>
    </row>
    <row r="2215" spans="1:27" ht="12.75">
      <c r="A2215" s="17"/>
      <c r="B2215" s="17"/>
      <c r="C2215" s="17"/>
      <c r="D2215" s="17"/>
      <c r="E2215" s="17"/>
      <c r="F2215" s="17"/>
      <c r="G2215" s="17"/>
      <c r="H2215" s="17"/>
      <c r="I2215" s="31"/>
      <c r="J2215" s="17"/>
      <c r="K2215" s="17"/>
      <c r="L2215" s="17"/>
      <c r="M2215" s="17"/>
      <c r="N2215" s="17"/>
      <c r="O2215" s="17"/>
      <c r="P2215" s="17"/>
      <c r="Q2215" s="17"/>
      <c r="R2215" s="17"/>
      <c r="S2215" s="17"/>
      <c r="T2215" s="17"/>
      <c r="U2215" s="17"/>
      <c r="V2215" s="17"/>
      <c r="W2215" s="17"/>
      <c r="X2215" s="17"/>
      <c r="Y2215" s="17"/>
      <c r="Z2215" s="31"/>
      <c r="AA2215" s="32"/>
    </row>
    <row r="2216" spans="1:27" ht="12.75">
      <c r="A2216" s="17"/>
      <c r="B2216" s="17"/>
      <c r="C2216" s="17"/>
      <c r="D2216" s="17"/>
      <c r="E2216" s="17"/>
      <c r="F2216" s="17"/>
      <c r="G2216" s="17"/>
      <c r="H2216" s="17"/>
      <c r="I2216" s="31"/>
      <c r="J2216" s="17"/>
      <c r="K2216" s="17"/>
      <c r="L2216" s="17"/>
      <c r="M2216" s="17"/>
      <c r="N2216" s="17"/>
      <c r="O2216" s="17"/>
      <c r="P2216" s="17"/>
      <c r="Q2216" s="17"/>
      <c r="R2216" s="17"/>
      <c r="S2216" s="17"/>
      <c r="T2216" s="17"/>
      <c r="U2216" s="17"/>
      <c r="V2216" s="17"/>
      <c r="W2216" s="17"/>
      <c r="X2216" s="17"/>
      <c r="Y2216" s="17"/>
      <c r="Z2216" s="31"/>
      <c r="AA2216" s="32"/>
    </row>
    <row r="2217" spans="1:27" ht="12.75">
      <c r="A2217" s="17"/>
      <c r="B2217" s="17"/>
      <c r="C2217" s="17"/>
      <c r="D2217" s="17"/>
      <c r="E2217" s="17"/>
      <c r="F2217" s="17"/>
      <c r="G2217" s="17"/>
      <c r="H2217" s="17"/>
      <c r="I2217" s="31"/>
      <c r="J2217" s="17"/>
      <c r="K2217" s="17"/>
      <c r="L2217" s="17"/>
      <c r="M2217" s="17"/>
      <c r="N2217" s="17"/>
      <c r="O2217" s="17"/>
      <c r="P2217" s="17"/>
      <c r="Q2217" s="17"/>
      <c r="R2217" s="17"/>
      <c r="S2217" s="17"/>
      <c r="T2217" s="17"/>
      <c r="U2217" s="17"/>
      <c r="V2217" s="17"/>
      <c r="W2217" s="17"/>
      <c r="X2217" s="17"/>
      <c r="Y2217" s="17"/>
      <c r="Z2217" s="31"/>
      <c r="AA2217" s="32"/>
    </row>
    <row r="2218" spans="1:27" ht="12.75">
      <c r="A2218" s="17"/>
      <c r="B2218" s="17"/>
      <c r="C2218" s="17"/>
      <c r="D2218" s="17"/>
      <c r="E2218" s="17"/>
      <c r="F2218" s="17"/>
      <c r="G2218" s="17"/>
      <c r="H2218" s="17"/>
      <c r="I2218" s="31"/>
      <c r="J2218" s="17"/>
      <c r="K2218" s="17"/>
      <c r="L2218" s="17"/>
      <c r="M2218" s="17"/>
      <c r="N2218" s="17"/>
      <c r="O2218" s="17"/>
      <c r="P2218" s="17"/>
      <c r="Q2218" s="17"/>
      <c r="R2218" s="17"/>
      <c r="S2218" s="17"/>
      <c r="T2218" s="17"/>
      <c r="U2218" s="17"/>
      <c r="V2218" s="17"/>
      <c r="W2218" s="17"/>
      <c r="X2218" s="17"/>
      <c r="Y2218" s="17"/>
      <c r="Z2218" s="31"/>
      <c r="AA2218" s="32"/>
    </row>
    <row r="2219" spans="1:27" ht="12.75">
      <c r="A2219" s="17"/>
      <c r="B2219" s="17"/>
      <c r="C2219" s="17"/>
      <c r="D2219" s="17"/>
      <c r="E2219" s="17"/>
      <c r="F2219" s="17"/>
      <c r="G2219" s="17"/>
      <c r="H2219" s="17"/>
      <c r="I2219" s="31"/>
      <c r="J2219" s="17"/>
      <c r="K2219" s="17"/>
      <c r="L2219" s="17"/>
      <c r="M2219" s="17"/>
      <c r="N2219" s="17"/>
      <c r="O2219" s="17"/>
      <c r="P2219" s="17"/>
      <c r="Q2219" s="17"/>
      <c r="R2219" s="17"/>
      <c r="S2219" s="17"/>
      <c r="T2219" s="17"/>
      <c r="U2219" s="17"/>
      <c r="V2219" s="17"/>
      <c r="W2219" s="17"/>
      <c r="X2219" s="17"/>
      <c r="Y2219" s="17"/>
      <c r="Z2219" s="31"/>
      <c r="AA2219" s="32"/>
    </row>
    <row r="2220" spans="1:27" ht="12.75">
      <c r="A2220" s="17"/>
      <c r="B2220" s="17"/>
      <c r="C2220" s="17"/>
      <c r="D2220" s="17"/>
      <c r="E2220" s="17"/>
      <c r="F2220" s="17"/>
      <c r="G2220" s="17"/>
      <c r="H2220" s="17"/>
      <c r="I2220" s="31"/>
      <c r="J2220" s="17"/>
      <c r="K2220" s="17"/>
      <c r="L2220" s="17"/>
      <c r="M2220" s="17"/>
      <c r="N2220" s="17"/>
      <c r="O2220" s="17"/>
      <c r="P2220" s="17"/>
      <c r="Q2220" s="17"/>
      <c r="R2220" s="17"/>
      <c r="S2220" s="17"/>
      <c r="T2220" s="17"/>
      <c r="U2220" s="17"/>
      <c r="V2220" s="17"/>
      <c r="W2220" s="17"/>
      <c r="X2220" s="17"/>
      <c r="Y2220" s="17"/>
      <c r="Z2220" s="31"/>
      <c r="AA2220" s="32"/>
    </row>
    <row r="2221" spans="1:27" ht="12.75">
      <c r="A2221" s="17"/>
      <c r="B2221" s="17"/>
      <c r="C2221" s="17"/>
      <c r="D2221" s="17"/>
      <c r="E2221" s="17"/>
      <c r="F2221" s="17"/>
      <c r="G2221" s="17"/>
      <c r="H2221" s="17"/>
      <c r="I2221" s="31"/>
      <c r="J2221" s="17"/>
      <c r="K2221" s="17"/>
      <c r="L2221" s="17"/>
      <c r="M2221" s="17"/>
      <c r="N2221" s="17"/>
      <c r="O2221" s="17"/>
      <c r="P2221" s="17"/>
      <c r="Q2221" s="17"/>
      <c r="R2221" s="17"/>
      <c r="S2221" s="17"/>
      <c r="T2221" s="17"/>
      <c r="U2221" s="17"/>
      <c r="V2221" s="17"/>
      <c r="W2221" s="17"/>
      <c r="X2221" s="17"/>
      <c r="Y2221" s="17"/>
      <c r="Z2221" s="31"/>
      <c r="AA2221" s="32"/>
    </row>
    <row r="2222" spans="1:27" ht="12.75">
      <c r="A2222" s="17"/>
      <c r="B2222" s="17"/>
      <c r="C2222" s="17"/>
      <c r="D2222" s="17"/>
      <c r="E2222" s="17"/>
      <c r="F2222" s="17"/>
      <c r="G2222" s="17"/>
      <c r="H2222" s="17"/>
      <c r="I2222" s="31"/>
      <c r="J2222" s="17"/>
      <c r="K2222" s="17"/>
      <c r="L2222" s="17"/>
      <c r="M2222" s="17"/>
      <c r="N2222" s="17"/>
      <c r="O2222" s="17"/>
      <c r="P2222" s="17"/>
      <c r="Q2222" s="17"/>
      <c r="R2222" s="17"/>
      <c r="S2222" s="17"/>
      <c r="T2222" s="17"/>
      <c r="U2222" s="17"/>
      <c r="V2222" s="17"/>
      <c r="W2222" s="17"/>
      <c r="X2222" s="17"/>
      <c r="Y2222" s="17"/>
      <c r="Z2222" s="31"/>
      <c r="AA2222" s="32"/>
    </row>
    <row r="2223" spans="1:27" ht="12.75">
      <c r="A2223" s="17"/>
      <c r="B2223" s="17"/>
      <c r="C2223" s="17"/>
      <c r="D2223" s="17"/>
      <c r="E2223" s="17"/>
      <c r="F2223" s="17"/>
      <c r="G2223" s="17"/>
      <c r="H2223" s="17"/>
      <c r="I2223" s="31"/>
      <c r="J2223" s="17"/>
      <c r="K2223" s="17"/>
      <c r="L2223" s="17"/>
      <c r="M2223" s="17"/>
      <c r="N2223" s="17"/>
      <c r="O2223" s="17"/>
      <c r="P2223" s="17"/>
      <c r="Q2223" s="17"/>
      <c r="R2223" s="17"/>
      <c r="S2223" s="17"/>
      <c r="T2223" s="17"/>
      <c r="U2223" s="17"/>
      <c r="V2223" s="17"/>
      <c r="W2223" s="17"/>
      <c r="X2223" s="17"/>
      <c r="Y2223" s="17"/>
      <c r="Z2223" s="31"/>
      <c r="AA2223" s="32"/>
    </row>
    <row r="2224" spans="1:27" ht="12.75">
      <c r="A2224" s="17"/>
      <c r="B2224" s="17"/>
      <c r="C2224" s="17"/>
      <c r="D2224" s="17"/>
      <c r="E2224" s="17"/>
      <c r="F2224" s="17"/>
      <c r="G2224" s="17"/>
      <c r="H2224" s="17"/>
      <c r="I2224" s="31"/>
      <c r="J2224" s="17"/>
      <c r="K2224" s="17"/>
      <c r="L2224" s="17"/>
      <c r="M2224" s="17"/>
      <c r="N2224" s="17"/>
      <c r="O2224" s="17"/>
      <c r="P2224" s="17"/>
      <c r="Q2224" s="17"/>
      <c r="R2224" s="17"/>
      <c r="S2224" s="17"/>
      <c r="T2224" s="17"/>
      <c r="U2224" s="17"/>
      <c r="V2224" s="17"/>
      <c r="W2224" s="17"/>
      <c r="X2224" s="17"/>
      <c r="Y2224" s="17"/>
      <c r="Z2224" s="31"/>
      <c r="AA2224" s="32"/>
    </row>
    <row r="2225" spans="1:27" ht="12.75">
      <c r="A2225" s="17"/>
      <c r="B2225" s="17"/>
      <c r="C2225" s="17"/>
      <c r="D2225" s="17"/>
      <c r="E2225" s="17"/>
      <c r="F2225" s="17"/>
      <c r="G2225" s="17"/>
      <c r="H2225" s="17"/>
      <c r="I2225" s="31"/>
      <c r="J2225" s="17"/>
      <c r="K2225" s="17"/>
      <c r="L2225" s="17"/>
      <c r="M2225" s="17"/>
      <c r="N2225" s="17"/>
      <c r="O2225" s="17"/>
      <c r="P2225" s="17"/>
      <c r="Q2225" s="17"/>
      <c r="R2225" s="17"/>
      <c r="S2225" s="17"/>
      <c r="T2225" s="17"/>
      <c r="U2225" s="17"/>
      <c r="V2225" s="17"/>
      <c r="W2225" s="17"/>
      <c r="X2225" s="17"/>
      <c r="Y2225" s="17"/>
      <c r="Z2225" s="31"/>
      <c r="AA2225" s="32"/>
    </row>
    <row r="2226" spans="1:27" ht="12.75">
      <c r="A2226" s="17"/>
      <c r="B2226" s="17"/>
      <c r="C2226" s="17"/>
      <c r="D2226" s="17"/>
      <c r="E2226" s="17"/>
      <c r="F2226" s="17"/>
      <c r="G2226" s="17"/>
      <c r="H2226" s="17"/>
      <c r="I2226" s="31"/>
      <c r="J2226" s="17"/>
      <c r="K2226" s="17"/>
      <c r="L2226" s="17"/>
      <c r="M2226" s="17"/>
      <c r="N2226" s="17"/>
      <c r="O2226" s="17"/>
      <c r="P2226" s="17"/>
      <c r="Q2226" s="17"/>
      <c r="R2226" s="17"/>
      <c r="S2226" s="17"/>
      <c r="T2226" s="17"/>
      <c r="U2226" s="17"/>
      <c r="V2226" s="17"/>
      <c r="W2226" s="17"/>
      <c r="X2226" s="17"/>
      <c r="Y2226" s="17"/>
      <c r="Z2226" s="31"/>
      <c r="AA2226" s="32"/>
    </row>
    <row r="2227" spans="1:27" ht="12.75">
      <c r="A2227" s="17"/>
      <c r="B2227" s="17"/>
      <c r="C2227" s="17"/>
      <c r="D2227" s="17"/>
      <c r="E2227" s="17"/>
      <c r="F2227" s="17"/>
      <c r="G2227" s="17"/>
      <c r="H2227" s="17"/>
      <c r="I2227" s="31"/>
      <c r="J2227" s="17"/>
      <c r="K2227" s="17"/>
      <c r="L2227" s="17"/>
      <c r="M2227" s="17"/>
      <c r="N2227" s="17"/>
      <c r="O2227" s="17"/>
      <c r="P2227" s="17"/>
      <c r="Q2227" s="17"/>
      <c r="R2227" s="17"/>
      <c r="S2227" s="17"/>
      <c r="T2227" s="17"/>
      <c r="U2227" s="17"/>
      <c r="V2227" s="17"/>
      <c r="W2227" s="17"/>
      <c r="X2227" s="17"/>
      <c r="Y2227" s="17"/>
      <c r="Z2227" s="31"/>
      <c r="AA2227" s="32"/>
    </row>
    <row r="2228" spans="1:27" ht="12.75">
      <c r="A2228" s="17"/>
      <c r="B2228" s="17"/>
      <c r="C2228" s="17"/>
      <c r="D2228" s="17"/>
      <c r="E2228" s="17"/>
      <c r="F2228" s="17"/>
      <c r="G2228" s="17"/>
      <c r="H2228" s="17"/>
      <c r="I2228" s="31"/>
      <c r="J2228" s="17"/>
      <c r="K2228" s="17"/>
      <c r="L2228" s="17"/>
      <c r="M2228" s="17"/>
      <c r="N2228" s="17"/>
      <c r="O2228" s="17"/>
      <c r="P2228" s="17"/>
      <c r="Q2228" s="17"/>
      <c r="R2228" s="17"/>
      <c r="S2228" s="17"/>
      <c r="T2228" s="17"/>
      <c r="U2228" s="17"/>
      <c r="V2228" s="17"/>
      <c r="W2228" s="17"/>
      <c r="X2228" s="17"/>
      <c r="Y2228" s="17"/>
      <c r="Z2228" s="31"/>
      <c r="AA2228" s="32"/>
    </row>
    <row r="2229" spans="1:27" ht="12.75">
      <c r="A2229" s="17"/>
      <c r="B2229" s="17"/>
      <c r="C2229" s="17"/>
      <c r="D2229" s="17"/>
      <c r="E2229" s="17"/>
      <c r="F2229" s="17"/>
      <c r="G2229" s="17"/>
      <c r="H2229" s="17"/>
      <c r="I2229" s="31"/>
      <c r="J2229" s="17"/>
      <c r="K2229" s="17"/>
      <c r="L2229" s="17"/>
      <c r="M2229" s="17"/>
      <c r="N2229" s="17"/>
      <c r="O2229" s="17"/>
      <c r="P2229" s="17"/>
      <c r="Q2229" s="17"/>
      <c r="R2229" s="17"/>
      <c r="S2229" s="17"/>
      <c r="T2229" s="17"/>
      <c r="U2229" s="17"/>
      <c r="V2229" s="17"/>
      <c r="W2229" s="17"/>
      <c r="X2229" s="17"/>
      <c r="Y2229" s="17"/>
      <c r="Z2229" s="31"/>
      <c r="AA2229" s="32"/>
    </row>
    <row r="2230" spans="1:27" ht="12.75">
      <c r="A2230" s="17"/>
      <c r="B2230" s="17"/>
      <c r="C2230" s="17"/>
      <c r="D2230" s="17"/>
      <c r="E2230" s="17"/>
      <c r="F2230" s="17"/>
      <c r="G2230" s="17"/>
      <c r="H2230" s="17"/>
      <c r="I2230" s="31"/>
      <c r="J2230" s="17"/>
      <c r="K2230" s="17"/>
      <c r="L2230" s="17"/>
      <c r="M2230" s="17"/>
      <c r="N2230" s="17"/>
      <c r="O2230" s="17"/>
      <c r="P2230" s="17"/>
      <c r="Q2230" s="17"/>
      <c r="R2230" s="17"/>
      <c r="S2230" s="17"/>
      <c r="T2230" s="17"/>
      <c r="U2230" s="17"/>
      <c r="V2230" s="17"/>
      <c r="W2230" s="17"/>
      <c r="X2230" s="17"/>
      <c r="Y2230" s="17"/>
      <c r="Z2230" s="31"/>
      <c r="AA2230" s="32"/>
    </row>
    <row r="2231" spans="1:27" ht="12.75">
      <c r="A2231" s="17"/>
      <c r="B2231" s="17"/>
      <c r="C2231" s="17"/>
      <c r="D2231" s="17"/>
      <c r="E2231" s="17"/>
      <c r="F2231" s="17"/>
      <c r="G2231" s="17"/>
      <c r="H2231" s="17"/>
      <c r="I2231" s="31"/>
      <c r="J2231" s="17"/>
      <c r="K2231" s="17"/>
      <c r="L2231" s="17"/>
      <c r="M2231" s="17"/>
      <c r="N2231" s="17"/>
      <c r="O2231" s="17"/>
      <c r="P2231" s="17"/>
      <c r="Q2231" s="17"/>
      <c r="R2231" s="17"/>
      <c r="S2231" s="17"/>
      <c r="T2231" s="17"/>
      <c r="U2231" s="17"/>
      <c r="V2231" s="17"/>
      <c r="W2231" s="17"/>
      <c r="X2231" s="17"/>
      <c r="Y2231" s="17"/>
      <c r="Z2231" s="31"/>
      <c r="AA2231" s="32"/>
    </row>
    <row r="2232" spans="1:27" ht="12.75">
      <c r="A2232" s="17"/>
      <c r="B2232" s="17"/>
      <c r="C2232" s="17"/>
      <c r="D2232" s="17"/>
      <c r="E2232" s="17"/>
      <c r="F2232" s="17"/>
      <c r="G2232" s="17"/>
      <c r="H2232" s="17"/>
      <c r="I2232" s="31"/>
      <c r="J2232" s="17"/>
      <c r="K2232" s="17"/>
      <c r="L2232" s="17"/>
      <c r="M2232" s="17"/>
      <c r="N2232" s="17"/>
      <c r="O2232" s="17"/>
      <c r="P2232" s="17"/>
      <c r="Q2232" s="17"/>
      <c r="R2232" s="17"/>
      <c r="S2232" s="17"/>
      <c r="T2232" s="17"/>
      <c r="U2232" s="17"/>
      <c r="V2232" s="17"/>
      <c r="W2232" s="17"/>
      <c r="X2232" s="17"/>
      <c r="Y2232" s="17"/>
      <c r="Z2232" s="31"/>
      <c r="AA2232" s="32"/>
    </row>
    <row r="2233" spans="1:27" ht="12.75">
      <c r="A2233" s="17"/>
      <c r="B2233" s="17"/>
      <c r="C2233" s="17"/>
      <c r="D2233" s="17"/>
      <c r="E2233" s="17"/>
      <c r="F2233" s="17"/>
      <c r="G2233" s="17"/>
      <c r="H2233" s="17"/>
      <c r="I2233" s="31"/>
      <c r="J2233" s="17"/>
      <c r="K2233" s="17"/>
      <c r="L2233" s="17"/>
      <c r="M2233" s="17"/>
      <c r="N2233" s="17"/>
      <c r="O2233" s="17"/>
      <c r="P2233" s="17"/>
      <c r="Q2233" s="17"/>
      <c r="R2233" s="17"/>
      <c r="S2233" s="17"/>
      <c r="T2233" s="17"/>
      <c r="U2233" s="17"/>
      <c r="V2233" s="17"/>
      <c r="W2233" s="17"/>
      <c r="X2233" s="17"/>
      <c r="Y2233" s="17"/>
      <c r="Z2233" s="31"/>
      <c r="AA2233" s="32"/>
    </row>
    <row r="2234" spans="1:27" ht="12.75">
      <c r="A2234" s="17"/>
      <c r="B2234" s="17"/>
      <c r="C2234" s="17"/>
      <c r="D2234" s="17"/>
      <c r="E2234" s="17"/>
      <c r="F2234" s="17"/>
      <c r="G2234" s="17"/>
      <c r="H2234" s="17"/>
      <c r="I2234" s="31"/>
      <c r="J2234" s="17"/>
      <c r="K2234" s="17"/>
      <c r="L2234" s="17"/>
      <c r="M2234" s="17"/>
      <c r="N2234" s="17"/>
      <c r="O2234" s="17"/>
      <c r="P2234" s="17"/>
      <c r="Q2234" s="17"/>
      <c r="R2234" s="17"/>
      <c r="S2234" s="17"/>
      <c r="T2234" s="17"/>
      <c r="U2234" s="17"/>
      <c r="V2234" s="17"/>
      <c r="W2234" s="17"/>
      <c r="X2234" s="17"/>
      <c r="Y2234" s="17"/>
      <c r="Z2234" s="31"/>
      <c r="AA2234" s="32"/>
    </row>
    <row r="2235" spans="1:27" ht="12.75">
      <c r="A2235" s="17"/>
      <c r="B2235" s="17"/>
      <c r="C2235" s="17"/>
      <c r="D2235" s="17"/>
      <c r="E2235" s="17"/>
      <c r="F2235" s="17"/>
      <c r="G2235" s="17"/>
      <c r="H2235" s="17"/>
      <c r="I2235" s="31"/>
      <c r="J2235" s="17"/>
      <c r="K2235" s="17"/>
      <c r="L2235" s="17"/>
      <c r="M2235" s="17"/>
      <c r="N2235" s="17"/>
      <c r="O2235" s="17"/>
      <c r="P2235" s="17"/>
      <c r="Q2235" s="17"/>
      <c r="R2235" s="17"/>
      <c r="S2235" s="17"/>
      <c r="T2235" s="17"/>
      <c r="U2235" s="17"/>
      <c r="V2235" s="17"/>
      <c r="W2235" s="17"/>
      <c r="X2235" s="17"/>
      <c r="Y2235" s="17"/>
      <c r="Z2235" s="31"/>
      <c r="AA2235" s="32"/>
    </row>
    <row r="2236" spans="1:27" ht="12.75">
      <c r="A2236" s="17"/>
      <c r="B2236" s="17"/>
      <c r="C2236" s="17"/>
      <c r="D2236" s="17"/>
      <c r="E2236" s="17"/>
      <c r="F2236" s="17"/>
      <c r="G2236" s="17"/>
      <c r="H2236" s="17"/>
      <c r="I2236" s="31"/>
      <c r="J2236" s="17"/>
      <c r="K2236" s="17"/>
      <c r="L2236" s="17"/>
      <c r="M2236" s="17"/>
      <c r="N2236" s="17"/>
      <c r="O2236" s="17"/>
      <c r="P2236" s="17"/>
      <c r="Q2236" s="17"/>
      <c r="R2236" s="17"/>
      <c r="S2236" s="17"/>
      <c r="T2236" s="17"/>
      <c r="U2236" s="17"/>
      <c r="V2236" s="17"/>
      <c r="W2236" s="17"/>
      <c r="X2236" s="17"/>
      <c r="Y2236" s="17"/>
      <c r="Z2236" s="31"/>
      <c r="AA2236" s="32"/>
    </row>
    <row r="2237" spans="1:27" ht="12.75">
      <c r="A2237" s="17"/>
      <c r="B2237" s="17"/>
      <c r="C2237" s="17"/>
      <c r="D2237" s="17"/>
      <c r="E2237" s="17"/>
      <c r="F2237" s="17"/>
      <c r="G2237" s="17"/>
      <c r="H2237" s="17"/>
      <c r="I2237" s="31"/>
      <c r="J2237" s="17"/>
      <c r="K2237" s="17"/>
      <c r="L2237" s="17"/>
      <c r="M2237" s="17"/>
      <c r="N2237" s="17"/>
      <c r="O2237" s="17"/>
      <c r="P2237" s="17"/>
      <c r="Q2237" s="17"/>
      <c r="R2237" s="17"/>
      <c r="S2237" s="17"/>
      <c r="T2237" s="17"/>
      <c r="U2237" s="17"/>
      <c r="V2237" s="17"/>
      <c r="W2237" s="17"/>
      <c r="X2237" s="17"/>
      <c r="Y2237" s="17"/>
      <c r="Z2237" s="31"/>
      <c r="AA2237" s="32"/>
    </row>
    <row r="2238" spans="1:27" ht="12.75">
      <c r="A2238" s="17"/>
      <c r="B2238" s="17"/>
      <c r="C2238" s="17"/>
      <c r="D2238" s="17"/>
      <c r="E2238" s="17"/>
      <c r="F2238" s="17"/>
      <c r="G2238" s="17"/>
      <c r="H2238" s="17"/>
      <c r="I2238" s="31"/>
      <c r="J2238" s="17"/>
      <c r="K2238" s="17"/>
      <c r="L2238" s="17"/>
      <c r="M2238" s="17"/>
      <c r="N2238" s="17"/>
      <c r="O2238" s="17"/>
      <c r="P2238" s="17"/>
      <c r="Q2238" s="17"/>
      <c r="R2238" s="17"/>
      <c r="S2238" s="17"/>
      <c r="T2238" s="17"/>
      <c r="U2238" s="17"/>
      <c r="V2238" s="17"/>
      <c r="W2238" s="17"/>
      <c r="X2238" s="17"/>
      <c r="Y2238" s="17"/>
      <c r="Z2238" s="31"/>
      <c r="AA2238" s="32"/>
    </row>
    <row r="2239" spans="1:27" ht="12.75">
      <c r="A2239" s="17"/>
      <c r="B2239" s="17"/>
      <c r="C2239" s="17"/>
      <c r="D2239" s="17"/>
      <c r="E2239" s="17"/>
      <c r="F2239" s="17"/>
      <c r="G2239" s="17"/>
      <c r="H2239" s="17"/>
      <c r="I2239" s="31"/>
      <c r="J2239" s="17"/>
      <c r="K2239" s="17"/>
      <c r="L2239" s="17"/>
      <c r="M2239" s="17"/>
      <c r="N2239" s="17"/>
      <c r="O2239" s="17"/>
      <c r="P2239" s="17"/>
      <c r="Q2239" s="17"/>
      <c r="R2239" s="17"/>
      <c r="S2239" s="17"/>
      <c r="T2239" s="17"/>
      <c r="U2239" s="17"/>
      <c r="V2239" s="17"/>
      <c r="W2239" s="17"/>
      <c r="X2239" s="17"/>
      <c r="Y2239" s="17"/>
      <c r="Z2239" s="31"/>
      <c r="AA2239" s="32"/>
    </row>
    <row r="2240" spans="1:27" ht="12.75">
      <c r="A2240" s="17"/>
      <c r="B2240" s="17"/>
      <c r="C2240" s="17"/>
      <c r="D2240" s="17"/>
      <c r="E2240" s="17"/>
      <c r="F2240" s="17"/>
      <c r="G2240" s="17"/>
      <c r="H2240" s="17"/>
      <c r="I2240" s="31"/>
      <c r="J2240" s="17"/>
      <c r="K2240" s="17"/>
      <c r="L2240" s="17"/>
      <c r="M2240" s="17"/>
      <c r="N2240" s="17"/>
      <c r="O2240" s="17"/>
      <c r="P2240" s="17"/>
      <c r="Q2240" s="17"/>
      <c r="R2240" s="17"/>
      <c r="S2240" s="17"/>
      <c r="T2240" s="17"/>
      <c r="U2240" s="17"/>
      <c r="V2240" s="17"/>
      <c r="W2240" s="17"/>
      <c r="X2240" s="17"/>
      <c r="Y2240" s="17"/>
      <c r="Z2240" s="31"/>
      <c r="AA2240" s="32"/>
    </row>
    <row r="2241" spans="1:27" ht="12.75">
      <c r="A2241" s="17"/>
      <c r="B2241" s="17"/>
      <c r="C2241" s="17"/>
      <c r="D2241" s="17"/>
      <c r="E2241" s="17"/>
      <c r="F2241" s="17"/>
      <c r="G2241" s="17"/>
      <c r="H2241" s="17"/>
      <c r="I2241" s="31"/>
      <c r="J2241" s="17"/>
      <c r="K2241" s="17"/>
      <c r="L2241" s="17"/>
      <c r="M2241" s="17"/>
      <c r="N2241" s="17"/>
      <c r="O2241" s="17"/>
      <c r="P2241" s="17"/>
      <c r="Q2241" s="17"/>
      <c r="R2241" s="17"/>
      <c r="S2241" s="17"/>
      <c r="T2241" s="17"/>
      <c r="U2241" s="17"/>
      <c r="V2241" s="17"/>
      <c r="W2241" s="17"/>
      <c r="X2241" s="17"/>
      <c r="Y2241" s="17"/>
      <c r="Z2241" s="31"/>
      <c r="AA2241" s="32"/>
    </row>
    <row r="2242" spans="1:27" ht="12.75">
      <c r="A2242" s="17"/>
      <c r="B2242" s="17"/>
      <c r="C2242" s="17"/>
      <c r="D2242" s="17"/>
      <c r="E2242" s="17"/>
      <c r="F2242" s="17"/>
      <c r="G2242" s="17"/>
      <c r="H2242" s="17"/>
      <c r="I2242" s="31"/>
      <c r="J2242" s="17"/>
      <c r="K2242" s="17"/>
      <c r="L2242" s="17"/>
      <c r="M2242" s="17"/>
      <c r="N2242" s="17"/>
      <c r="O2242" s="17"/>
      <c r="P2242" s="17"/>
      <c r="Q2242" s="17"/>
      <c r="R2242" s="17"/>
      <c r="S2242" s="17"/>
      <c r="T2242" s="17"/>
      <c r="U2242" s="17"/>
      <c r="V2242" s="17"/>
      <c r="W2242" s="17"/>
      <c r="X2242" s="17"/>
      <c r="Y2242" s="17"/>
      <c r="Z2242" s="31"/>
      <c r="AA2242" s="32"/>
    </row>
    <row r="2243" spans="1:27" ht="12.75">
      <c r="A2243" s="17"/>
      <c r="B2243" s="17"/>
      <c r="C2243" s="17"/>
      <c r="D2243" s="17"/>
      <c r="E2243" s="17"/>
      <c r="F2243" s="17"/>
      <c r="G2243" s="17"/>
      <c r="H2243" s="17"/>
      <c r="I2243" s="31"/>
      <c r="J2243" s="17"/>
      <c r="K2243" s="17"/>
      <c r="L2243" s="17"/>
      <c r="M2243" s="17"/>
      <c r="N2243" s="17"/>
      <c r="O2243" s="17"/>
      <c r="P2243" s="17"/>
      <c r="Q2243" s="17"/>
      <c r="R2243" s="17"/>
      <c r="S2243" s="17"/>
      <c r="T2243" s="17"/>
      <c r="U2243" s="17"/>
      <c r="V2243" s="17"/>
      <c r="W2243" s="17"/>
      <c r="X2243" s="17"/>
      <c r="Y2243" s="17"/>
      <c r="Z2243" s="31"/>
      <c r="AA2243" s="32"/>
    </row>
    <row r="2244" spans="1:27" ht="12.75">
      <c r="A2244" s="17"/>
      <c r="B2244" s="17"/>
      <c r="C2244" s="17"/>
      <c r="D2244" s="17"/>
      <c r="E2244" s="17"/>
      <c r="F2244" s="17"/>
      <c r="G2244" s="17"/>
      <c r="H2244" s="17"/>
      <c r="I2244" s="31"/>
      <c r="J2244" s="17"/>
      <c r="K2244" s="17"/>
      <c r="L2244" s="17"/>
      <c r="M2244" s="17"/>
      <c r="N2244" s="17"/>
      <c r="O2244" s="17"/>
      <c r="P2244" s="17"/>
      <c r="Q2244" s="17"/>
      <c r="R2244" s="17"/>
      <c r="S2244" s="17"/>
      <c r="T2244" s="17"/>
      <c r="U2244" s="17"/>
      <c r="V2244" s="17"/>
      <c r="W2244" s="17"/>
      <c r="X2244" s="17"/>
      <c r="Y2244" s="17"/>
      <c r="Z2244" s="31"/>
      <c r="AA2244" s="32"/>
    </row>
    <row r="2245" spans="1:27" ht="12.75">
      <c r="A2245" s="17"/>
      <c r="B2245" s="17"/>
      <c r="C2245" s="17"/>
      <c r="D2245" s="17"/>
      <c r="E2245" s="17"/>
      <c r="F2245" s="17"/>
      <c r="G2245" s="17"/>
      <c r="H2245" s="17"/>
      <c r="I2245" s="31"/>
      <c r="J2245" s="17"/>
      <c r="K2245" s="17"/>
      <c r="L2245" s="17"/>
      <c r="M2245" s="17"/>
      <c r="N2245" s="17"/>
      <c r="O2245" s="17"/>
      <c r="P2245" s="17"/>
      <c r="Q2245" s="17"/>
      <c r="R2245" s="17"/>
      <c r="S2245" s="17"/>
      <c r="T2245" s="17"/>
      <c r="U2245" s="17"/>
      <c r="V2245" s="17"/>
      <c r="W2245" s="17"/>
      <c r="X2245" s="17"/>
      <c r="Y2245" s="17"/>
      <c r="Z2245" s="31"/>
      <c r="AA2245" s="32"/>
    </row>
    <row r="2246" spans="1:27" ht="12.75">
      <c r="A2246" s="17"/>
      <c r="B2246" s="17"/>
      <c r="C2246" s="17"/>
      <c r="D2246" s="17"/>
      <c r="E2246" s="17"/>
      <c r="F2246" s="17"/>
      <c r="G2246" s="17"/>
      <c r="H2246" s="17"/>
      <c r="I2246" s="31"/>
      <c r="J2246" s="17"/>
      <c r="K2246" s="17"/>
      <c r="L2246" s="17"/>
      <c r="M2246" s="17"/>
      <c r="N2246" s="17"/>
      <c r="O2246" s="17"/>
      <c r="P2246" s="17"/>
      <c r="Q2246" s="17"/>
      <c r="R2246" s="17"/>
      <c r="S2246" s="17"/>
      <c r="T2246" s="17"/>
      <c r="U2246" s="17"/>
      <c r="V2246" s="17"/>
      <c r="W2246" s="17"/>
      <c r="X2246" s="17"/>
      <c r="Y2246" s="17"/>
      <c r="Z2246" s="31"/>
      <c r="AA2246" s="32"/>
    </row>
    <row r="2247" spans="1:27" ht="12.75">
      <c r="A2247" s="17"/>
      <c r="B2247" s="17"/>
      <c r="C2247" s="17"/>
      <c r="D2247" s="17"/>
      <c r="E2247" s="17"/>
      <c r="F2247" s="17"/>
      <c r="G2247" s="17"/>
      <c r="H2247" s="17"/>
      <c r="I2247" s="31"/>
      <c r="J2247" s="17"/>
      <c r="K2247" s="17"/>
      <c r="L2247" s="17"/>
      <c r="M2247" s="17"/>
      <c r="N2247" s="17"/>
      <c r="O2247" s="17"/>
      <c r="P2247" s="17"/>
      <c r="Q2247" s="17"/>
      <c r="R2247" s="17"/>
      <c r="S2247" s="17"/>
      <c r="T2247" s="17"/>
      <c r="U2247" s="17"/>
      <c r="V2247" s="17"/>
      <c r="W2247" s="17"/>
      <c r="X2247" s="17"/>
      <c r="Y2247" s="17"/>
      <c r="Z2247" s="31"/>
      <c r="AA2247" s="32"/>
    </row>
    <row r="2248" spans="1:27" ht="12.75">
      <c r="A2248" s="17"/>
      <c r="B2248" s="17"/>
      <c r="C2248" s="17"/>
      <c r="D2248" s="17"/>
      <c r="E2248" s="17"/>
      <c r="F2248" s="17"/>
      <c r="G2248" s="17"/>
      <c r="H2248" s="17"/>
      <c r="I2248" s="31"/>
      <c r="J2248" s="17"/>
      <c r="K2248" s="17"/>
      <c r="L2248" s="17"/>
      <c r="M2248" s="17"/>
      <c r="N2248" s="17"/>
      <c r="O2248" s="17"/>
      <c r="P2248" s="17"/>
      <c r="Q2248" s="17"/>
      <c r="R2248" s="17"/>
      <c r="S2248" s="17"/>
      <c r="T2248" s="17"/>
      <c r="U2248" s="17"/>
      <c r="V2248" s="17"/>
      <c r="W2248" s="17"/>
      <c r="X2248" s="17"/>
      <c r="Y2248" s="17"/>
      <c r="Z2248" s="31"/>
      <c r="AA2248" s="32"/>
    </row>
    <row r="2249" spans="1:27" ht="12.75">
      <c r="A2249" s="17"/>
      <c r="B2249" s="17"/>
      <c r="C2249" s="17"/>
      <c r="D2249" s="17"/>
      <c r="E2249" s="17"/>
      <c r="F2249" s="17"/>
      <c r="G2249" s="17"/>
      <c r="H2249" s="17"/>
      <c r="I2249" s="31"/>
      <c r="J2249" s="17"/>
      <c r="K2249" s="17"/>
      <c r="L2249" s="17"/>
      <c r="M2249" s="17"/>
      <c r="N2249" s="17"/>
      <c r="O2249" s="17"/>
      <c r="P2249" s="17"/>
      <c r="Q2249" s="17"/>
      <c r="R2249" s="17"/>
      <c r="S2249" s="17"/>
      <c r="T2249" s="17"/>
      <c r="U2249" s="17"/>
      <c r="V2249" s="17"/>
      <c r="W2249" s="17"/>
      <c r="X2249" s="17"/>
      <c r="Y2249" s="17"/>
      <c r="Z2249" s="31"/>
      <c r="AA2249" s="32"/>
    </row>
    <row r="2250" spans="1:27" ht="12.75">
      <c r="A2250" s="17"/>
      <c r="B2250" s="17"/>
      <c r="C2250" s="17"/>
      <c r="D2250" s="17"/>
      <c r="E2250" s="17"/>
      <c r="F2250" s="17"/>
      <c r="G2250" s="17"/>
      <c r="H2250" s="17"/>
      <c r="I2250" s="31"/>
      <c r="J2250" s="17"/>
      <c r="K2250" s="17"/>
      <c r="L2250" s="17"/>
      <c r="M2250" s="17"/>
      <c r="N2250" s="17"/>
      <c r="O2250" s="17"/>
      <c r="P2250" s="17"/>
      <c r="Q2250" s="17"/>
      <c r="R2250" s="17"/>
      <c r="S2250" s="17"/>
      <c r="T2250" s="17"/>
      <c r="U2250" s="17"/>
      <c r="V2250" s="17"/>
      <c r="W2250" s="17"/>
      <c r="X2250" s="17"/>
      <c r="Y2250" s="17"/>
      <c r="Z2250" s="31"/>
      <c r="AA2250" s="32"/>
    </row>
    <row r="2251" spans="1:27" ht="12.75">
      <c r="A2251" s="17"/>
      <c r="B2251" s="17"/>
      <c r="C2251" s="17"/>
      <c r="D2251" s="17"/>
      <c r="E2251" s="17"/>
      <c r="F2251" s="17"/>
      <c r="G2251" s="17"/>
      <c r="H2251" s="17"/>
      <c r="I2251" s="31"/>
      <c r="J2251" s="17"/>
      <c r="K2251" s="17"/>
      <c r="L2251" s="17"/>
      <c r="M2251" s="17"/>
      <c r="N2251" s="17"/>
      <c r="O2251" s="17"/>
      <c r="P2251" s="17"/>
      <c r="Q2251" s="17"/>
      <c r="R2251" s="17"/>
      <c r="S2251" s="17"/>
      <c r="T2251" s="17"/>
      <c r="U2251" s="17"/>
      <c r="V2251" s="17"/>
      <c r="W2251" s="17"/>
      <c r="X2251" s="17"/>
      <c r="Y2251" s="17"/>
      <c r="Z2251" s="31"/>
      <c r="AA2251" s="32"/>
    </row>
    <row r="2252" spans="1:27" ht="12.75">
      <c r="A2252" s="17"/>
      <c r="B2252" s="17"/>
      <c r="C2252" s="17"/>
      <c r="D2252" s="17"/>
      <c r="E2252" s="17"/>
      <c r="F2252" s="17"/>
      <c r="G2252" s="17"/>
      <c r="H2252" s="17"/>
      <c r="I2252" s="31"/>
      <c r="J2252" s="17"/>
      <c r="K2252" s="17"/>
      <c r="L2252" s="17"/>
      <c r="M2252" s="17"/>
      <c r="N2252" s="17"/>
      <c r="O2252" s="17"/>
      <c r="P2252" s="17"/>
      <c r="Q2252" s="17"/>
      <c r="R2252" s="17"/>
      <c r="S2252" s="17"/>
      <c r="T2252" s="17"/>
      <c r="U2252" s="17"/>
      <c r="V2252" s="17"/>
      <c r="W2252" s="17"/>
      <c r="X2252" s="17"/>
      <c r="Y2252" s="17"/>
      <c r="Z2252" s="31"/>
      <c r="AA2252" s="32"/>
    </row>
    <row r="2253" spans="1:27" ht="12.75">
      <c r="A2253" s="17"/>
      <c r="B2253" s="17"/>
      <c r="C2253" s="17"/>
      <c r="D2253" s="17"/>
      <c r="E2253" s="17"/>
      <c r="F2253" s="17"/>
      <c r="G2253" s="17"/>
      <c r="H2253" s="17"/>
      <c r="I2253" s="31"/>
      <c r="J2253" s="17"/>
      <c r="K2253" s="17"/>
      <c r="L2253" s="17"/>
      <c r="M2253" s="17"/>
      <c r="N2253" s="17"/>
      <c r="O2253" s="17"/>
      <c r="P2253" s="17"/>
      <c r="Q2253" s="17"/>
      <c r="R2253" s="17"/>
      <c r="S2253" s="17"/>
      <c r="T2253" s="17"/>
      <c r="U2253" s="17"/>
      <c r="V2253" s="17"/>
      <c r="W2253" s="17"/>
      <c r="X2253" s="17"/>
      <c r="Y2253" s="17"/>
      <c r="Z2253" s="31"/>
      <c r="AA2253" s="32"/>
    </row>
    <row r="2254" spans="1:27" ht="12.75">
      <c r="A2254" s="17"/>
      <c r="B2254" s="17"/>
      <c r="C2254" s="17"/>
      <c r="D2254" s="17"/>
      <c r="E2254" s="17"/>
      <c r="F2254" s="17"/>
      <c r="G2254" s="17"/>
      <c r="H2254" s="17"/>
      <c r="I2254" s="31"/>
      <c r="J2254" s="17"/>
      <c r="K2254" s="17"/>
      <c r="L2254" s="17"/>
      <c r="M2254" s="17"/>
      <c r="N2254" s="17"/>
      <c r="O2254" s="17"/>
      <c r="P2254" s="17"/>
      <c r="Q2254" s="17"/>
      <c r="R2254" s="17"/>
      <c r="S2254" s="17"/>
      <c r="T2254" s="17"/>
      <c r="U2254" s="17"/>
      <c r="V2254" s="17"/>
      <c r="W2254" s="17"/>
      <c r="X2254" s="17"/>
      <c r="Y2254" s="17"/>
      <c r="Z2254" s="31"/>
      <c r="AA2254" s="32"/>
    </row>
    <row r="2255" spans="1:27" ht="12.75">
      <c r="A2255" s="17"/>
      <c r="B2255" s="17"/>
      <c r="C2255" s="17"/>
      <c r="D2255" s="17"/>
      <c r="E2255" s="17"/>
      <c r="F2255" s="17"/>
      <c r="G2255" s="17"/>
      <c r="H2255" s="17"/>
      <c r="I2255" s="31"/>
      <c r="J2255" s="17"/>
      <c r="K2255" s="17"/>
      <c r="L2255" s="17"/>
      <c r="M2255" s="17"/>
      <c r="N2255" s="17"/>
      <c r="O2255" s="17"/>
      <c r="P2255" s="17"/>
      <c r="Q2255" s="17"/>
      <c r="R2255" s="17"/>
      <c r="S2255" s="17"/>
      <c r="T2255" s="17"/>
      <c r="U2255" s="17"/>
      <c r="V2255" s="17"/>
      <c r="W2255" s="17"/>
      <c r="X2255" s="17"/>
      <c r="Y2255" s="17"/>
      <c r="Z2255" s="31"/>
      <c r="AA2255" s="32"/>
    </row>
    <row r="2256" spans="1:27" ht="12.75">
      <c r="A2256" s="17"/>
      <c r="B2256" s="17"/>
      <c r="C2256" s="17"/>
      <c r="D2256" s="17"/>
      <c r="E2256" s="17"/>
      <c r="F2256" s="17"/>
      <c r="G2256" s="17"/>
      <c r="H2256" s="17"/>
      <c r="I2256" s="31"/>
      <c r="J2256" s="17"/>
      <c r="K2256" s="17"/>
      <c r="L2256" s="17"/>
      <c r="M2256" s="17"/>
      <c r="N2256" s="17"/>
      <c r="O2256" s="17"/>
      <c r="P2256" s="17"/>
      <c r="Q2256" s="17"/>
      <c r="R2256" s="17"/>
      <c r="S2256" s="17"/>
      <c r="T2256" s="17"/>
      <c r="U2256" s="17"/>
      <c r="V2256" s="17"/>
      <c r="W2256" s="17"/>
      <c r="X2256" s="17"/>
      <c r="Y2256" s="17"/>
      <c r="Z2256" s="31"/>
      <c r="AA2256" s="32"/>
    </row>
    <row r="2257" spans="1:27" ht="12.75">
      <c r="A2257" s="17"/>
      <c r="B2257" s="17"/>
      <c r="C2257" s="17"/>
      <c r="D2257" s="17"/>
      <c r="E2257" s="17"/>
      <c r="F2257" s="17"/>
      <c r="G2257" s="17"/>
      <c r="H2257" s="17"/>
      <c r="I2257" s="31"/>
      <c r="J2257" s="17"/>
      <c r="K2257" s="17"/>
      <c r="L2257" s="17"/>
      <c r="M2257" s="17"/>
      <c r="N2257" s="17"/>
      <c r="O2257" s="17"/>
      <c r="P2257" s="17"/>
      <c r="Q2257" s="17"/>
      <c r="R2257" s="17"/>
      <c r="S2257" s="17"/>
      <c r="T2257" s="17"/>
      <c r="U2257" s="17"/>
      <c r="V2257" s="17"/>
      <c r="W2257" s="17"/>
      <c r="X2257" s="17"/>
      <c r="Y2257" s="17"/>
      <c r="Z2257" s="31"/>
      <c r="AA2257" s="32"/>
    </row>
    <row r="2258" spans="1:27" ht="12.75">
      <c r="A2258" s="17"/>
      <c r="B2258" s="17"/>
      <c r="C2258" s="17"/>
      <c r="D2258" s="17"/>
      <c r="E2258" s="17"/>
      <c r="F2258" s="17"/>
      <c r="G2258" s="17"/>
      <c r="H2258" s="17"/>
      <c r="I2258" s="31"/>
      <c r="J2258" s="17"/>
      <c r="K2258" s="17"/>
      <c r="L2258" s="17"/>
      <c r="M2258" s="17"/>
      <c r="N2258" s="17"/>
      <c r="O2258" s="17"/>
      <c r="P2258" s="17"/>
      <c r="Q2258" s="17"/>
      <c r="R2258" s="17"/>
      <c r="S2258" s="17"/>
      <c r="T2258" s="17"/>
      <c r="U2258" s="17"/>
      <c r="V2258" s="17"/>
      <c r="W2258" s="17"/>
      <c r="X2258" s="17"/>
      <c r="Y2258" s="17"/>
      <c r="Z2258" s="31"/>
      <c r="AA2258" s="32"/>
    </row>
    <row r="2259" spans="1:27" ht="12.75">
      <c r="A2259" s="17"/>
      <c r="B2259" s="17"/>
      <c r="C2259" s="17"/>
      <c r="D2259" s="17"/>
      <c r="E2259" s="17"/>
      <c r="F2259" s="17"/>
      <c r="G2259" s="17"/>
      <c r="H2259" s="17"/>
      <c r="I2259" s="31"/>
      <c r="J2259" s="17"/>
      <c r="K2259" s="17"/>
      <c r="L2259" s="17"/>
      <c r="M2259" s="17"/>
      <c r="N2259" s="17"/>
      <c r="O2259" s="17"/>
      <c r="P2259" s="17"/>
      <c r="Q2259" s="17"/>
      <c r="R2259" s="17"/>
      <c r="S2259" s="17"/>
      <c r="T2259" s="17"/>
      <c r="U2259" s="17"/>
      <c r="V2259" s="17"/>
      <c r="W2259" s="17"/>
      <c r="X2259" s="17"/>
      <c r="Y2259" s="17"/>
      <c r="Z2259" s="31"/>
      <c r="AA2259" s="32"/>
    </row>
    <row r="2260" spans="1:27" ht="12.75">
      <c r="A2260" s="17"/>
      <c r="B2260" s="17"/>
      <c r="C2260" s="17"/>
      <c r="D2260" s="17"/>
      <c r="E2260" s="17"/>
      <c r="F2260" s="17"/>
      <c r="G2260" s="17"/>
      <c r="H2260" s="17"/>
      <c r="I2260" s="31"/>
      <c r="J2260" s="17"/>
      <c r="K2260" s="17"/>
      <c r="L2260" s="17"/>
      <c r="M2260" s="17"/>
      <c r="N2260" s="17"/>
      <c r="O2260" s="17"/>
      <c r="P2260" s="17"/>
      <c r="Q2260" s="17"/>
      <c r="R2260" s="17"/>
      <c r="S2260" s="17"/>
      <c r="T2260" s="17"/>
      <c r="U2260" s="17"/>
      <c r="V2260" s="17"/>
      <c r="W2260" s="17"/>
      <c r="X2260" s="17"/>
      <c r="Y2260" s="17"/>
      <c r="Z2260" s="31"/>
      <c r="AA2260" s="32"/>
    </row>
    <row r="2261" spans="1:27" ht="12.75">
      <c r="A2261" s="17"/>
      <c r="B2261" s="17"/>
      <c r="C2261" s="17"/>
      <c r="D2261" s="17"/>
      <c r="E2261" s="17"/>
      <c r="F2261" s="17"/>
      <c r="G2261" s="17"/>
      <c r="H2261" s="17"/>
      <c r="I2261" s="31"/>
      <c r="J2261" s="17"/>
      <c r="K2261" s="17"/>
      <c r="L2261" s="17"/>
      <c r="M2261" s="17"/>
      <c r="N2261" s="17"/>
      <c r="O2261" s="17"/>
      <c r="P2261" s="17"/>
      <c r="Q2261" s="17"/>
      <c r="R2261" s="17"/>
      <c r="S2261" s="17"/>
      <c r="T2261" s="17"/>
      <c r="U2261" s="17"/>
      <c r="V2261" s="17"/>
      <c r="W2261" s="17"/>
      <c r="X2261" s="17"/>
      <c r="Y2261" s="17"/>
      <c r="Z2261" s="31"/>
      <c r="AA2261" s="32"/>
    </row>
    <row r="2262" spans="1:27" ht="12.75">
      <c r="A2262" s="17"/>
      <c r="B2262" s="17"/>
      <c r="C2262" s="17"/>
      <c r="D2262" s="17"/>
      <c r="E2262" s="17"/>
      <c r="F2262" s="17"/>
      <c r="G2262" s="17"/>
      <c r="H2262" s="17"/>
      <c r="I2262" s="31"/>
      <c r="J2262" s="17"/>
      <c r="K2262" s="17"/>
      <c r="L2262" s="17"/>
      <c r="M2262" s="17"/>
      <c r="N2262" s="17"/>
      <c r="O2262" s="17"/>
      <c r="P2262" s="17"/>
      <c r="Q2262" s="17"/>
      <c r="R2262" s="17"/>
      <c r="S2262" s="17"/>
      <c r="T2262" s="17"/>
      <c r="U2262" s="17"/>
      <c r="V2262" s="17"/>
      <c r="W2262" s="17"/>
      <c r="X2262" s="17"/>
      <c r="Y2262" s="17"/>
      <c r="Z2262" s="31"/>
      <c r="AA2262" s="32"/>
    </row>
    <row r="2263" spans="1:27" ht="12.75">
      <c r="A2263" s="17"/>
      <c r="B2263" s="17"/>
      <c r="C2263" s="17"/>
      <c r="D2263" s="17"/>
      <c r="E2263" s="17"/>
      <c r="F2263" s="17"/>
      <c r="G2263" s="17"/>
      <c r="H2263" s="17"/>
      <c r="I2263" s="31"/>
      <c r="J2263" s="17"/>
      <c r="K2263" s="17"/>
      <c r="L2263" s="17"/>
      <c r="M2263" s="17"/>
      <c r="N2263" s="17"/>
      <c r="O2263" s="17"/>
      <c r="P2263" s="17"/>
      <c r="Q2263" s="17"/>
      <c r="R2263" s="17"/>
      <c r="S2263" s="17"/>
      <c r="T2263" s="17"/>
      <c r="U2263" s="17"/>
      <c r="V2263" s="17"/>
      <c r="W2263" s="17"/>
      <c r="X2263" s="17"/>
      <c r="Y2263" s="17"/>
      <c r="Z2263" s="31"/>
      <c r="AA2263" s="32"/>
    </row>
    <row r="2264" spans="1:27" ht="12.75">
      <c r="A2264" s="17"/>
      <c r="B2264" s="17"/>
      <c r="C2264" s="17"/>
      <c r="D2264" s="17"/>
      <c r="E2264" s="17"/>
      <c r="F2264" s="17"/>
      <c r="G2264" s="17"/>
      <c r="H2264" s="17"/>
      <c r="I2264" s="31"/>
      <c r="J2264" s="17"/>
      <c r="K2264" s="17"/>
      <c r="L2264" s="17"/>
      <c r="M2264" s="17"/>
      <c r="N2264" s="17"/>
      <c r="O2264" s="17"/>
      <c r="P2264" s="17"/>
      <c r="Q2264" s="17"/>
      <c r="R2264" s="17"/>
      <c r="S2264" s="17"/>
      <c r="T2264" s="17"/>
      <c r="U2264" s="17"/>
      <c r="V2264" s="17"/>
      <c r="W2264" s="17"/>
      <c r="X2264" s="17"/>
      <c r="Y2264" s="17"/>
      <c r="Z2264" s="31"/>
      <c r="AA2264" s="32"/>
    </row>
    <row r="2265" spans="1:27" ht="12.75">
      <c r="A2265" s="17"/>
      <c r="B2265" s="17"/>
      <c r="C2265" s="17"/>
      <c r="D2265" s="17"/>
      <c r="E2265" s="17"/>
      <c r="F2265" s="17"/>
      <c r="G2265" s="17"/>
      <c r="H2265" s="17"/>
      <c r="I2265" s="31"/>
      <c r="J2265" s="17"/>
      <c r="K2265" s="17"/>
      <c r="L2265" s="17"/>
      <c r="M2265" s="17"/>
      <c r="N2265" s="17"/>
      <c r="O2265" s="17"/>
      <c r="P2265" s="17"/>
      <c r="Q2265" s="17"/>
      <c r="R2265" s="17"/>
      <c r="S2265" s="17"/>
      <c r="T2265" s="17"/>
      <c r="U2265" s="17"/>
      <c r="V2265" s="17"/>
      <c r="W2265" s="17"/>
      <c r="X2265" s="17"/>
      <c r="Y2265" s="17"/>
      <c r="Z2265" s="31"/>
      <c r="AA2265" s="32"/>
    </row>
    <row r="2266" spans="1:27" ht="12.75">
      <c r="A2266" s="17"/>
      <c r="B2266" s="17"/>
      <c r="C2266" s="17"/>
      <c r="D2266" s="17"/>
      <c r="E2266" s="17"/>
      <c r="F2266" s="17"/>
      <c r="G2266" s="17"/>
      <c r="H2266" s="17"/>
      <c r="I2266" s="31"/>
      <c r="J2266" s="17"/>
      <c r="K2266" s="17"/>
      <c r="L2266" s="17"/>
      <c r="M2266" s="17"/>
      <c r="N2266" s="17"/>
      <c r="O2266" s="17"/>
      <c r="P2266" s="17"/>
      <c r="Q2266" s="17"/>
      <c r="R2266" s="17"/>
      <c r="S2266" s="17"/>
      <c r="T2266" s="17"/>
      <c r="U2266" s="17"/>
      <c r="V2266" s="17"/>
      <c r="W2266" s="17"/>
      <c r="X2266" s="17"/>
      <c r="Y2266" s="17"/>
      <c r="Z2266" s="31"/>
      <c r="AA2266" s="32"/>
    </row>
    <row r="2267" spans="1:27" ht="12.75">
      <c r="A2267" s="17"/>
      <c r="B2267" s="17"/>
      <c r="C2267" s="17"/>
      <c r="D2267" s="17"/>
      <c r="E2267" s="17"/>
      <c r="F2267" s="17"/>
      <c r="G2267" s="17"/>
      <c r="H2267" s="17"/>
      <c r="I2267" s="31"/>
      <c r="J2267" s="17"/>
      <c r="K2267" s="17"/>
      <c r="L2267" s="17"/>
      <c r="M2267" s="17"/>
      <c r="N2267" s="17"/>
      <c r="O2267" s="17"/>
      <c r="P2267" s="17"/>
      <c r="Q2267" s="17"/>
      <c r="R2267" s="17"/>
      <c r="S2267" s="17"/>
      <c r="T2267" s="17"/>
      <c r="U2267" s="17"/>
      <c r="V2267" s="17"/>
      <c r="W2267" s="17"/>
      <c r="X2267" s="17"/>
      <c r="Y2267" s="17"/>
      <c r="Z2267" s="31"/>
      <c r="AA2267" s="32"/>
    </row>
    <row r="2268" spans="1:27" ht="12.75">
      <c r="A2268" s="17"/>
      <c r="B2268" s="17"/>
      <c r="C2268" s="17"/>
      <c r="D2268" s="17"/>
      <c r="E2268" s="17"/>
      <c r="F2268" s="17"/>
      <c r="G2268" s="17"/>
      <c r="H2268" s="17"/>
      <c r="I2268" s="31"/>
      <c r="J2268" s="17"/>
      <c r="K2268" s="17"/>
      <c r="L2268" s="17"/>
      <c r="M2268" s="17"/>
      <c r="N2268" s="17"/>
      <c r="O2268" s="17"/>
      <c r="P2268" s="17"/>
      <c r="Q2268" s="17"/>
      <c r="R2268" s="17"/>
      <c r="S2268" s="17"/>
      <c r="T2268" s="17"/>
      <c r="U2268" s="17"/>
      <c r="V2268" s="17"/>
      <c r="W2268" s="17"/>
      <c r="X2268" s="17"/>
      <c r="Y2268" s="17"/>
      <c r="Z2268" s="31"/>
      <c r="AA2268" s="32"/>
    </row>
    <row r="2269" spans="1:27" ht="12.75">
      <c r="A2269" s="17"/>
      <c r="B2269" s="17"/>
      <c r="C2269" s="17"/>
      <c r="D2269" s="17"/>
      <c r="E2269" s="17"/>
      <c r="F2269" s="17"/>
      <c r="G2269" s="17"/>
      <c r="H2269" s="17"/>
      <c r="I2269" s="31"/>
      <c r="J2269" s="17"/>
      <c r="K2269" s="17"/>
      <c r="L2269" s="17"/>
      <c r="M2269" s="17"/>
      <c r="N2269" s="17"/>
      <c r="O2269" s="17"/>
      <c r="P2269" s="17"/>
      <c r="Q2269" s="17"/>
      <c r="R2269" s="17"/>
      <c r="S2269" s="17"/>
      <c r="T2269" s="17"/>
      <c r="U2269" s="17"/>
      <c r="V2269" s="17"/>
      <c r="W2269" s="17"/>
      <c r="X2269" s="17"/>
      <c r="Y2269" s="17"/>
      <c r="Z2269" s="31"/>
      <c r="AA2269" s="32"/>
    </row>
    <row r="2270" spans="1:27" ht="12.75">
      <c r="A2270" s="17"/>
      <c r="B2270" s="17"/>
      <c r="C2270" s="17"/>
      <c r="D2270" s="17"/>
      <c r="E2270" s="17"/>
      <c r="F2270" s="17"/>
      <c r="G2270" s="17"/>
      <c r="H2270" s="17"/>
      <c r="I2270" s="31"/>
      <c r="J2270" s="17"/>
      <c r="K2270" s="17"/>
      <c r="L2270" s="17"/>
      <c r="M2270" s="17"/>
      <c r="N2270" s="17"/>
      <c r="O2270" s="17"/>
      <c r="P2270" s="17"/>
      <c r="Q2270" s="17"/>
      <c r="R2270" s="17"/>
      <c r="S2270" s="17"/>
      <c r="T2270" s="17"/>
      <c r="U2270" s="17"/>
      <c r="V2270" s="17"/>
      <c r="W2270" s="17"/>
      <c r="X2270" s="17"/>
      <c r="Y2270" s="17"/>
      <c r="Z2270" s="31"/>
      <c r="AA2270" s="32"/>
    </row>
    <row r="2271" spans="1:27" ht="12.75">
      <c r="A2271" s="17"/>
      <c r="B2271" s="17"/>
      <c r="C2271" s="17"/>
      <c r="D2271" s="17"/>
      <c r="E2271" s="17"/>
      <c r="F2271" s="17"/>
      <c r="G2271" s="17"/>
      <c r="H2271" s="17"/>
      <c r="I2271" s="31"/>
      <c r="J2271" s="17"/>
      <c r="K2271" s="17"/>
      <c r="L2271" s="17"/>
      <c r="M2271" s="17"/>
      <c r="N2271" s="17"/>
      <c r="O2271" s="17"/>
      <c r="P2271" s="17"/>
      <c r="Q2271" s="17"/>
      <c r="R2271" s="17"/>
      <c r="S2271" s="17"/>
      <c r="T2271" s="17"/>
      <c r="U2271" s="17"/>
      <c r="V2271" s="17"/>
      <c r="W2271" s="17"/>
      <c r="X2271" s="17"/>
      <c r="Y2271" s="17"/>
      <c r="Z2271" s="31"/>
      <c r="AA2271" s="32"/>
    </row>
    <row r="2272" spans="1:27" ht="12.75">
      <c r="A2272" s="17"/>
      <c r="B2272" s="17"/>
      <c r="C2272" s="17"/>
      <c r="D2272" s="17"/>
      <c r="E2272" s="17"/>
      <c r="F2272" s="17"/>
      <c r="G2272" s="17"/>
      <c r="H2272" s="17"/>
      <c r="I2272" s="31"/>
      <c r="J2272" s="17"/>
      <c r="K2272" s="17"/>
      <c r="L2272" s="17"/>
      <c r="M2272" s="17"/>
      <c r="N2272" s="17"/>
      <c r="O2272" s="17"/>
      <c r="P2272" s="17"/>
      <c r="Q2272" s="17"/>
      <c r="R2272" s="17"/>
      <c r="S2272" s="17"/>
      <c r="T2272" s="17"/>
      <c r="U2272" s="17"/>
      <c r="V2272" s="17"/>
      <c r="W2272" s="17"/>
      <c r="X2272" s="17"/>
      <c r="Y2272" s="17"/>
      <c r="Z2272" s="31"/>
      <c r="AA2272" s="32"/>
    </row>
    <row r="2273" spans="1:27" ht="12.75">
      <c r="A2273" s="17"/>
      <c r="B2273" s="17"/>
      <c r="C2273" s="17"/>
      <c r="D2273" s="17"/>
      <c r="E2273" s="17"/>
      <c r="F2273" s="17"/>
      <c r="G2273" s="17"/>
      <c r="H2273" s="17"/>
      <c r="I2273" s="31"/>
      <c r="J2273" s="17"/>
      <c r="K2273" s="17"/>
      <c r="L2273" s="17"/>
      <c r="M2273" s="17"/>
      <c r="N2273" s="17"/>
      <c r="O2273" s="17"/>
      <c r="P2273" s="17"/>
      <c r="Q2273" s="17"/>
      <c r="R2273" s="17"/>
      <c r="S2273" s="17"/>
      <c r="T2273" s="17"/>
      <c r="U2273" s="17"/>
      <c r="V2273" s="17"/>
      <c r="W2273" s="17"/>
      <c r="X2273" s="17"/>
      <c r="Y2273" s="17"/>
      <c r="Z2273" s="31"/>
      <c r="AA2273" s="32"/>
    </row>
    <row r="2274" spans="1:27" ht="12.75">
      <c r="A2274" s="17"/>
      <c r="B2274" s="17"/>
      <c r="C2274" s="17"/>
      <c r="D2274" s="17"/>
      <c r="E2274" s="17"/>
      <c r="F2274" s="17"/>
      <c r="G2274" s="17"/>
      <c r="H2274" s="17"/>
      <c r="I2274" s="31"/>
      <c r="J2274" s="17"/>
      <c r="K2274" s="17"/>
      <c r="L2274" s="17"/>
      <c r="M2274" s="17"/>
      <c r="N2274" s="17"/>
      <c r="O2274" s="17"/>
      <c r="P2274" s="17"/>
      <c r="Q2274" s="17"/>
      <c r="R2274" s="17"/>
      <c r="S2274" s="17"/>
      <c r="T2274" s="17"/>
      <c r="U2274" s="17"/>
      <c r="V2274" s="17"/>
      <c r="W2274" s="17"/>
      <c r="X2274" s="17"/>
      <c r="Y2274" s="17"/>
      <c r="Z2274" s="31"/>
      <c r="AA2274" s="32"/>
    </row>
    <row r="2275" spans="1:27" ht="12.75">
      <c r="A2275" s="17"/>
      <c r="B2275" s="17"/>
      <c r="C2275" s="17"/>
      <c r="D2275" s="17"/>
      <c r="E2275" s="17"/>
      <c r="F2275" s="17"/>
      <c r="G2275" s="17"/>
      <c r="H2275" s="17"/>
      <c r="I2275" s="31"/>
      <c r="J2275" s="17"/>
      <c r="K2275" s="17"/>
      <c r="L2275" s="17"/>
      <c r="M2275" s="17"/>
      <c r="N2275" s="17"/>
      <c r="O2275" s="17"/>
      <c r="P2275" s="17"/>
      <c r="Q2275" s="17"/>
      <c r="R2275" s="17"/>
      <c r="S2275" s="17"/>
      <c r="T2275" s="17"/>
      <c r="U2275" s="17"/>
      <c r="V2275" s="17"/>
      <c r="W2275" s="17"/>
      <c r="X2275" s="17"/>
      <c r="Y2275" s="17"/>
      <c r="Z2275" s="31"/>
      <c r="AA2275" s="32"/>
    </row>
    <row r="2276" spans="1:27" ht="12.75">
      <c r="A2276" s="17"/>
      <c r="B2276" s="17"/>
      <c r="C2276" s="17"/>
      <c r="D2276" s="17"/>
      <c r="E2276" s="17"/>
      <c r="F2276" s="17"/>
      <c r="G2276" s="17"/>
      <c r="H2276" s="17"/>
      <c r="I2276" s="31"/>
      <c r="J2276" s="17"/>
      <c r="K2276" s="17"/>
      <c r="L2276" s="17"/>
      <c r="M2276" s="17"/>
      <c r="N2276" s="17"/>
      <c r="O2276" s="17"/>
      <c r="P2276" s="17"/>
      <c r="Q2276" s="17"/>
      <c r="R2276" s="17"/>
      <c r="S2276" s="17"/>
      <c r="T2276" s="17"/>
      <c r="U2276" s="17"/>
      <c r="V2276" s="17"/>
      <c r="W2276" s="17"/>
      <c r="X2276" s="17"/>
      <c r="Y2276" s="17"/>
      <c r="Z2276" s="31"/>
      <c r="AA2276" s="32"/>
    </row>
    <row r="2277" spans="1:27" ht="12.75">
      <c r="A2277" s="17"/>
      <c r="B2277" s="17"/>
      <c r="C2277" s="17"/>
      <c r="D2277" s="17"/>
      <c r="E2277" s="17"/>
      <c r="F2277" s="17"/>
      <c r="G2277" s="17"/>
      <c r="H2277" s="17"/>
      <c r="I2277" s="31"/>
      <c r="J2277" s="17"/>
      <c r="K2277" s="17"/>
      <c r="L2277" s="17"/>
      <c r="M2277" s="17"/>
      <c r="N2277" s="17"/>
      <c r="O2277" s="17"/>
      <c r="P2277" s="17"/>
      <c r="Q2277" s="17"/>
      <c r="R2277" s="17"/>
      <c r="S2277" s="17"/>
      <c r="T2277" s="17"/>
      <c r="U2277" s="17"/>
      <c r="V2277" s="17"/>
      <c r="W2277" s="17"/>
      <c r="X2277" s="17"/>
      <c r="Y2277" s="17"/>
      <c r="Z2277" s="31"/>
      <c r="AA2277" s="32"/>
    </row>
    <row r="2278" spans="1:27" ht="12.75">
      <c r="A2278" s="17"/>
      <c r="B2278" s="17"/>
      <c r="C2278" s="17"/>
      <c r="D2278" s="17"/>
      <c r="E2278" s="17"/>
      <c r="F2278" s="17"/>
      <c r="G2278" s="17"/>
      <c r="H2278" s="17"/>
      <c r="I2278" s="31"/>
      <c r="J2278" s="17"/>
      <c r="K2278" s="17"/>
      <c r="L2278" s="17"/>
      <c r="M2278" s="17"/>
      <c r="N2278" s="17"/>
      <c r="O2278" s="17"/>
      <c r="P2278" s="17"/>
      <c r="Q2278" s="17"/>
      <c r="R2278" s="17"/>
      <c r="S2278" s="17"/>
      <c r="T2278" s="17"/>
      <c r="U2278" s="17"/>
      <c r="V2278" s="17"/>
      <c r="W2278" s="17"/>
      <c r="X2278" s="17"/>
      <c r="Y2278" s="17"/>
      <c r="Z2278" s="31"/>
      <c r="AA2278" s="32"/>
    </row>
    <row r="2279" spans="1:27" ht="12.75">
      <c r="A2279" s="17"/>
      <c r="B2279" s="17"/>
      <c r="C2279" s="17"/>
      <c r="D2279" s="17"/>
      <c r="E2279" s="17"/>
      <c r="F2279" s="17"/>
      <c r="G2279" s="17"/>
      <c r="H2279" s="17"/>
      <c r="I2279" s="31"/>
      <c r="J2279" s="17"/>
      <c r="K2279" s="17"/>
      <c r="L2279" s="17"/>
      <c r="M2279" s="17"/>
      <c r="N2279" s="17"/>
      <c r="O2279" s="17"/>
      <c r="P2279" s="17"/>
      <c r="Q2279" s="17"/>
      <c r="R2279" s="17"/>
      <c r="S2279" s="17"/>
      <c r="T2279" s="17"/>
      <c r="U2279" s="17"/>
      <c r="V2279" s="17"/>
      <c r="W2279" s="17"/>
      <c r="X2279" s="17"/>
      <c r="Y2279" s="17"/>
      <c r="Z2279" s="31"/>
      <c r="AA2279" s="32"/>
    </row>
    <row r="2280" spans="1:27" ht="12.75">
      <c r="A2280" s="17"/>
      <c r="B2280" s="17"/>
      <c r="C2280" s="17"/>
      <c r="D2280" s="17"/>
      <c r="E2280" s="17"/>
      <c r="F2280" s="17"/>
      <c r="G2280" s="17"/>
      <c r="H2280" s="17"/>
      <c r="I2280" s="31"/>
      <c r="J2280" s="17"/>
      <c r="K2280" s="17"/>
      <c r="L2280" s="17"/>
      <c r="M2280" s="17"/>
      <c r="N2280" s="17"/>
      <c r="O2280" s="17"/>
      <c r="P2280" s="17"/>
      <c r="Q2280" s="17"/>
      <c r="R2280" s="17"/>
      <c r="S2280" s="17"/>
      <c r="T2280" s="17"/>
      <c r="U2280" s="17"/>
      <c r="V2280" s="17"/>
      <c r="W2280" s="17"/>
      <c r="X2280" s="17"/>
      <c r="Y2280" s="17"/>
      <c r="Z2280" s="31"/>
      <c r="AA2280" s="32"/>
    </row>
    <row r="2281" spans="1:27" ht="12.75">
      <c r="A2281" s="17"/>
      <c r="B2281" s="17"/>
      <c r="C2281" s="17"/>
      <c r="D2281" s="17"/>
      <c r="E2281" s="17"/>
      <c r="F2281" s="17"/>
      <c r="G2281" s="17"/>
      <c r="H2281" s="17"/>
      <c r="I2281" s="31"/>
      <c r="J2281" s="17"/>
      <c r="K2281" s="17"/>
      <c r="L2281" s="17"/>
      <c r="M2281" s="17"/>
      <c r="N2281" s="17"/>
      <c r="O2281" s="17"/>
      <c r="P2281" s="17"/>
      <c r="Q2281" s="17"/>
      <c r="R2281" s="17"/>
      <c r="S2281" s="17"/>
      <c r="T2281" s="17"/>
      <c r="U2281" s="17"/>
      <c r="V2281" s="17"/>
      <c r="W2281" s="17"/>
      <c r="X2281" s="17"/>
      <c r="Y2281" s="17"/>
      <c r="Z2281" s="31"/>
      <c r="AA2281" s="32"/>
    </row>
    <row r="2282" spans="1:27" ht="12.75">
      <c r="A2282" s="17"/>
      <c r="B2282" s="17"/>
      <c r="C2282" s="17"/>
      <c r="D2282" s="17"/>
      <c r="E2282" s="17"/>
      <c r="F2282" s="17"/>
      <c r="G2282" s="17"/>
      <c r="H2282" s="17"/>
      <c r="I2282" s="31"/>
      <c r="J2282" s="17"/>
      <c r="K2282" s="17"/>
      <c r="L2282" s="17"/>
      <c r="M2282" s="17"/>
      <c r="N2282" s="17"/>
      <c r="O2282" s="17"/>
      <c r="P2282" s="17"/>
      <c r="Q2282" s="17"/>
      <c r="R2282" s="17"/>
      <c r="S2282" s="17"/>
      <c r="T2282" s="17"/>
      <c r="U2282" s="17"/>
      <c r="V2282" s="17"/>
      <c r="W2282" s="17"/>
      <c r="X2282" s="17"/>
      <c r="Y2282" s="17"/>
      <c r="Z2282" s="31"/>
      <c r="AA2282" s="32"/>
    </row>
    <row r="2283" spans="1:27" ht="12.75">
      <c r="A2283" s="17"/>
      <c r="B2283" s="17"/>
      <c r="C2283" s="17"/>
      <c r="D2283" s="17"/>
      <c r="E2283" s="17"/>
      <c r="F2283" s="17"/>
      <c r="G2283" s="17"/>
      <c r="H2283" s="17"/>
      <c r="I2283" s="31"/>
      <c r="J2283" s="17"/>
      <c r="K2283" s="17"/>
      <c r="L2283" s="17"/>
      <c r="M2283" s="17"/>
      <c r="N2283" s="17"/>
      <c r="O2283" s="17"/>
      <c r="P2283" s="17"/>
      <c r="Q2283" s="17"/>
      <c r="R2283" s="17"/>
      <c r="S2283" s="17"/>
      <c r="T2283" s="17"/>
      <c r="U2283" s="17"/>
      <c r="V2283" s="17"/>
      <c r="W2283" s="17"/>
      <c r="X2283" s="17"/>
      <c r="Y2283" s="17"/>
      <c r="Z2283" s="31"/>
      <c r="AA2283" s="32"/>
    </row>
    <row r="2284" spans="1:27" ht="12.75">
      <c r="A2284" s="17"/>
      <c r="B2284" s="17"/>
      <c r="C2284" s="17"/>
      <c r="D2284" s="17"/>
      <c r="E2284" s="17"/>
      <c r="F2284" s="17"/>
      <c r="G2284" s="17"/>
      <c r="H2284" s="17"/>
      <c r="I2284" s="31"/>
      <c r="J2284" s="17"/>
      <c r="K2284" s="17"/>
      <c r="L2284" s="17"/>
      <c r="M2284" s="17"/>
      <c r="N2284" s="17"/>
      <c r="O2284" s="17"/>
      <c r="P2284" s="17"/>
      <c r="Q2284" s="17"/>
      <c r="R2284" s="17"/>
      <c r="S2284" s="17"/>
      <c r="T2284" s="17"/>
      <c r="U2284" s="17"/>
      <c r="V2284" s="17"/>
      <c r="W2284" s="17"/>
      <c r="X2284" s="17"/>
      <c r="Y2284" s="17"/>
      <c r="Z2284" s="31"/>
      <c r="AA2284" s="32"/>
    </row>
    <row r="2285" spans="1:27" ht="12.75">
      <c r="A2285" s="17"/>
      <c r="B2285" s="17"/>
      <c r="C2285" s="17"/>
      <c r="D2285" s="17"/>
      <c r="E2285" s="17"/>
      <c r="F2285" s="17"/>
      <c r="G2285" s="17"/>
      <c r="H2285" s="17"/>
      <c r="I2285" s="31"/>
      <c r="J2285" s="17"/>
      <c r="K2285" s="17"/>
      <c r="L2285" s="17"/>
      <c r="M2285" s="17"/>
      <c r="N2285" s="17"/>
      <c r="O2285" s="17"/>
      <c r="P2285" s="17"/>
      <c r="Q2285" s="17"/>
      <c r="R2285" s="17"/>
      <c r="S2285" s="17"/>
      <c r="T2285" s="17"/>
      <c r="U2285" s="17"/>
      <c r="V2285" s="17"/>
      <c r="W2285" s="17"/>
      <c r="X2285" s="17"/>
      <c r="Y2285" s="17"/>
      <c r="Z2285" s="31"/>
      <c r="AA2285" s="32"/>
    </row>
    <row r="2286" spans="1:27" ht="12.75">
      <c r="A2286" s="17"/>
      <c r="B2286" s="17"/>
      <c r="C2286" s="17"/>
      <c r="D2286" s="17"/>
      <c r="E2286" s="17"/>
      <c r="F2286" s="17"/>
      <c r="G2286" s="17"/>
      <c r="H2286" s="17"/>
      <c r="I2286" s="31"/>
      <c r="J2286" s="17"/>
      <c r="K2286" s="17"/>
      <c r="L2286" s="17"/>
      <c r="M2286" s="17"/>
      <c r="N2286" s="17"/>
      <c r="O2286" s="17"/>
      <c r="P2286" s="17"/>
      <c r="Q2286" s="17"/>
      <c r="R2286" s="17"/>
      <c r="S2286" s="17"/>
      <c r="T2286" s="17"/>
      <c r="U2286" s="17"/>
      <c r="V2286" s="17"/>
      <c r="W2286" s="17"/>
      <c r="X2286" s="17"/>
      <c r="Y2286" s="17"/>
      <c r="Z2286" s="31"/>
      <c r="AA2286" s="32"/>
    </row>
    <row r="2287" spans="1:27" ht="12.75">
      <c r="A2287" s="17"/>
      <c r="B2287" s="17"/>
      <c r="C2287" s="17"/>
      <c r="D2287" s="17"/>
      <c r="E2287" s="17"/>
      <c r="F2287" s="17"/>
      <c r="G2287" s="17"/>
      <c r="H2287" s="17"/>
      <c r="I2287" s="31"/>
      <c r="J2287" s="17"/>
      <c r="K2287" s="17"/>
      <c r="L2287" s="17"/>
      <c r="M2287" s="17"/>
      <c r="N2287" s="17"/>
      <c r="O2287" s="17"/>
      <c r="P2287" s="17"/>
      <c r="Q2287" s="17"/>
      <c r="R2287" s="17"/>
      <c r="S2287" s="17"/>
      <c r="T2287" s="17"/>
      <c r="U2287" s="17"/>
      <c r="V2287" s="17"/>
      <c r="W2287" s="17"/>
      <c r="X2287" s="17"/>
      <c r="Y2287" s="17"/>
      <c r="Z2287" s="31"/>
      <c r="AA2287" s="32"/>
    </row>
    <row r="2288" spans="1:27" ht="12.75">
      <c r="A2288" s="17"/>
      <c r="B2288" s="17"/>
      <c r="C2288" s="17"/>
      <c r="D2288" s="17"/>
      <c r="E2288" s="17"/>
      <c r="F2288" s="17"/>
      <c r="G2288" s="17"/>
      <c r="H2288" s="17"/>
      <c r="I2288" s="31"/>
      <c r="J2288" s="17"/>
      <c r="K2288" s="17"/>
      <c r="L2288" s="17"/>
      <c r="M2288" s="17"/>
      <c r="N2288" s="17"/>
      <c r="O2288" s="17"/>
      <c r="P2288" s="17"/>
      <c r="Q2288" s="17"/>
      <c r="R2288" s="17"/>
      <c r="S2288" s="17"/>
      <c r="T2288" s="17"/>
      <c r="U2288" s="17"/>
      <c r="V2288" s="17"/>
      <c r="W2288" s="17"/>
      <c r="X2288" s="17"/>
      <c r="Y2288" s="17"/>
      <c r="Z2288" s="31"/>
      <c r="AA2288" s="32"/>
    </row>
    <row r="2289" spans="1:27" ht="12.75">
      <c r="A2289" s="17"/>
      <c r="B2289" s="17"/>
      <c r="C2289" s="17"/>
      <c r="D2289" s="17"/>
      <c r="E2289" s="17"/>
      <c r="F2289" s="17"/>
      <c r="G2289" s="17"/>
      <c r="H2289" s="17"/>
      <c r="I2289" s="31"/>
      <c r="J2289" s="17"/>
      <c r="K2289" s="17"/>
      <c r="L2289" s="17"/>
      <c r="M2289" s="17"/>
      <c r="N2289" s="17"/>
      <c r="O2289" s="17"/>
      <c r="P2289" s="17"/>
      <c r="Q2289" s="17"/>
      <c r="R2289" s="17"/>
      <c r="S2289" s="17"/>
      <c r="T2289" s="17"/>
      <c r="U2289" s="17"/>
      <c r="V2289" s="17"/>
      <c r="W2289" s="17"/>
      <c r="X2289" s="17"/>
      <c r="Y2289" s="17"/>
      <c r="Z2289" s="31"/>
      <c r="AA2289" s="32"/>
    </row>
    <row r="2290" spans="1:27" ht="12.75">
      <c r="A2290" s="17"/>
      <c r="B2290" s="17"/>
      <c r="C2290" s="17"/>
      <c r="D2290" s="17"/>
      <c r="E2290" s="17"/>
      <c r="F2290" s="17"/>
      <c r="G2290" s="17"/>
      <c r="H2290" s="17"/>
      <c r="I2290" s="31"/>
      <c r="J2290" s="17"/>
      <c r="K2290" s="17"/>
      <c r="L2290" s="17"/>
      <c r="M2290" s="17"/>
      <c r="N2290" s="17"/>
      <c r="O2290" s="17"/>
      <c r="P2290" s="17"/>
      <c r="Q2290" s="17"/>
      <c r="R2290" s="17"/>
      <c r="S2290" s="17"/>
      <c r="T2290" s="17"/>
      <c r="U2290" s="17"/>
      <c r="V2290" s="17"/>
      <c r="W2290" s="17"/>
      <c r="X2290" s="17"/>
      <c r="Y2290" s="17"/>
      <c r="Z2290" s="31"/>
      <c r="AA2290" s="32"/>
    </row>
    <row r="2291" spans="1:27" ht="12.75">
      <c r="A2291" s="17"/>
      <c r="B2291" s="17"/>
      <c r="C2291" s="17"/>
      <c r="D2291" s="17"/>
      <c r="E2291" s="17"/>
      <c r="F2291" s="17"/>
      <c r="G2291" s="17"/>
      <c r="H2291" s="17"/>
      <c r="I2291" s="31"/>
      <c r="J2291" s="17"/>
      <c r="K2291" s="17"/>
      <c r="L2291" s="17"/>
      <c r="M2291" s="17"/>
      <c r="N2291" s="17"/>
      <c r="O2291" s="17"/>
      <c r="P2291" s="17"/>
      <c r="Q2291" s="17"/>
      <c r="R2291" s="17"/>
      <c r="S2291" s="17"/>
      <c r="T2291" s="17"/>
      <c r="U2291" s="17"/>
      <c r="V2291" s="17"/>
      <c r="W2291" s="17"/>
      <c r="X2291" s="17"/>
      <c r="Y2291" s="17"/>
      <c r="Z2291" s="31"/>
      <c r="AA2291" s="32"/>
    </row>
    <row r="2292" spans="1:27" ht="12.75">
      <c r="A2292" s="17"/>
      <c r="B2292" s="17"/>
      <c r="C2292" s="17"/>
      <c r="D2292" s="17"/>
      <c r="E2292" s="17"/>
      <c r="F2292" s="17"/>
      <c r="G2292" s="17"/>
      <c r="H2292" s="17"/>
      <c r="I2292" s="31"/>
      <c r="J2292" s="17"/>
      <c r="K2292" s="17"/>
      <c r="L2292" s="17"/>
      <c r="M2292" s="17"/>
      <c r="N2292" s="17"/>
      <c r="O2292" s="17"/>
      <c r="P2292" s="17"/>
      <c r="Q2292" s="17"/>
      <c r="R2292" s="17"/>
      <c r="S2292" s="17"/>
      <c r="T2292" s="17"/>
      <c r="U2292" s="17"/>
      <c r="V2292" s="17"/>
      <c r="W2292" s="17"/>
      <c r="X2292" s="17"/>
      <c r="Y2292" s="17"/>
      <c r="Z2292" s="31"/>
      <c r="AA2292" s="32"/>
    </row>
    <row r="2293" spans="1:27" ht="12.75">
      <c r="A2293" s="17"/>
      <c r="B2293" s="17"/>
      <c r="C2293" s="17"/>
      <c r="D2293" s="17"/>
      <c r="E2293" s="17"/>
      <c r="F2293" s="17"/>
      <c r="G2293" s="17"/>
      <c r="H2293" s="17"/>
      <c r="I2293" s="31"/>
      <c r="J2293" s="17"/>
      <c r="K2293" s="17"/>
      <c r="L2293" s="17"/>
      <c r="M2293" s="17"/>
      <c r="N2293" s="17"/>
      <c r="O2293" s="17"/>
      <c r="P2293" s="17"/>
      <c r="Q2293" s="17"/>
      <c r="R2293" s="17"/>
      <c r="S2293" s="17"/>
      <c r="T2293" s="17"/>
      <c r="U2293" s="17"/>
      <c r="V2293" s="17"/>
      <c r="W2293" s="17"/>
      <c r="X2293" s="17"/>
      <c r="Y2293" s="17"/>
      <c r="Z2293" s="31"/>
      <c r="AA2293" s="32"/>
    </row>
    <row r="2294" spans="1:27" ht="12.75">
      <c r="A2294" s="17"/>
      <c r="B2294" s="17"/>
      <c r="C2294" s="17"/>
      <c r="D2294" s="17"/>
      <c r="E2294" s="17"/>
      <c r="F2294" s="17"/>
      <c r="G2294" s="17"/>
      <c r="H2294" s="17"/>
      <c r="I2294" s="31"/>
      <c r="J2294" s="17"/>
      <c r="K2294" s="17"/>
      <c r="L2294" s="17"/>
      <c r="M2294" s="17"/>
      <c r="N2294" s="17"/>
      <c r="O2294" s="17"/>
      <c r="P2294" s="17"/>
      <c r="Q2294" s="17"/>
      <c r="R2294" s="17"/>
      <c r="S2294" s="17"/>
      <c r="T2294" s="17"/>
      <c r="U2294" s="17"/>
      <c r="V2294" s="17"/>
      <c r="W2294" s="17"/>
      <c r="X2294" s="17"/>
      <c r="Y2294" s="17"/>
      <c r="Z2294" s="31"/>
      <c r="AA2294" s="32"/>
    </row>
    <row r="2295" spans="1:27" ht="12.75">
      <c r="A2295" s="17"/>
      <c r="B2295" s="17"/>
      <c r="C2295" s="17"/>
      <c r="D2295" s="17"/>
      <c r="E2295" s="17"/>
      <c r="F2295" s="17"/>
      <c r="G2295" s="17"/>
      <c r="H2295" s="17"/>
      <c r="I2295" s="31"/>
      <c r="J2295" s="17"/>
      <c r="K2295" s="17"/>
      <c r="L2295" s="17"/>
      <c r="M2295" s="17"/>
      <c r="N2295" s="17"/>
      <c r="O2295" s="17"/>
      <c r="P2295" s="17"/>
      <c r="Q2295" s="17"/>
      <c r="R2295" s="17"/>
      <c r="S2295" s="17"/>
      <c r="T2295" s="17"/>
      <c r="U2295" s="17"/>
      <c r="V2295" s="17"/>
      <c r="W2295" s="17"/>
      <c r="X2295" s="17"/>
      <c r="Y2295" s="17"/>
      <c r="Z2295" s="31"/>
      <c r="AA2295" s="32"/>
    </row>
    <row r="2296" spans="1:27" ht="12.75">
      <c r="A2296" s="17"/>
      <c r="B2296" s="17"/>
      <c r="C2296" s="17"/>
      <c r="D2296" s="17"/>
      <c r="E2296" s="17"/>
      <c r="F2296" s="17"/>
      <c r="G2296" s="17"/>
      <c r="H2296" s="17"/>
      <c r="I2296" s="31"/>
      <c r="J2296" s="17"/>
      <c r="K2296" s="17"/>
      <c r="L2296" s="17"/>
      <c r="M2296" s="17"/>
      <c r="N2296" s="17"/>
      <c r="O2296" s="17"/>
      <c r="P2296" s="17"/>
      <c r="Q2296" s="17"/>
      <c r="R2296" s="17"/>
      <c r="S2296" s="17"/>
      <c r="T2296" s="17"/>
      <c r="U2296" s="17"/>
      <c r="V2296" s="17"/>
      <c r="W2296" s="17"/>
      <c r="X2296" s="17"/>
      <c r="Y2296" s="17"/>
      <c r="Z2296" s="31"/>
      <c r="AA2296" s="32"/>
    </row>
    <row r="2297" spans="1:27" ht="12.75">
      <c r="A2297" s="17"/>
      <c r="B2297" s="17"/>
      <c r="C2297" s="17"/>
      <c r="D2297" s="17"/>
      <c r="E2297" s="17"/>
      <c r="F2297" s="17"/>
      <c r="G2297" s="17"/>
      <c r="H2297" s="17"/>
      <c r="I2297" s="31"/>
      <c r="J2297" s="17"/>
      <c r="K2297" s="17"/>
      <c r="L2297" s="17"/>
      <c r="M2297" s="17"/>
      <c r="N2297" s="17"/>
      <c r="O2297" s="17"/>
      <c r="P2297" s="17"/>
      <c r="Q2297" s="17"/>
      <c r="R2297" s="17"/>
      <c r="S2297" s="17"/>
      <c r="T2297" s="17"/>
      <c r="U2297" s="17"/>
      <c r="V2297" s="17"/>
      <c r="W2297" s="17"/>
      <c r="X2297" s="17"/>
      <c r="Y2297" s="17"/>
      <c r="Z2297" s="31"/>
      <c r="AA2297" s="32"/>
    </row>
    <row r="2298" spans="1:27" ht="12.75">
      <c r="A2298" s="17"/>
      <c r="B2298" s="17"/>
      <c r="C2298" s="17"/>
      <c r="D2298" s="17"/>
      <c r="E2298" s="17"/>
      <c r="F2298" s="17"/>
      <c r="G2298" s="17"/>
      <c r="H2298" s="17"/>
      <c r="I2298" s="31"/>
      <c r="J2298" s="17"/>
      <c r="K2298" s="17"/>
      <c r="L2298" s="17"/>
      <c r="M2298" s="17"/>
      <c r="N2298" s="17"/>
      <c r="O2298" s="17"/>
      <c r="P2298" s="17"/>
      <c r="Q2298" s="17"/>
      <c r="R2298" s="17"/>
      <c r="S2298" s="17"/>
      <c r="T2298" s="17"/>
      <c r="U2298" s="17"/>
      <c r="V2298" s="17"/>
      <c r="W2298" s="17"/>
      <c r="X2298" s="17"/>
      <c r="Y2298" s="17"/>
      <c r="Z2298" s="31"/>
      <c r="AA2298" s="32"/>
    </row>
    <row r="2299" spans="1:27" ht="12.75">
      <c r="A2299" s="17"/>
      <c r="B2299" s="17"/>
      <c r="C2299" s="17"/>
      <c r="D2299" s="17"/>
      <c r="E2299" s="17"/>
      <c r="F2299" s="17"/>
      <c r="G2299" s="17"/>
      <c r="H2299" s="17"/>
      <c r="I2299" s="31"/>
      <c r="J2299" s="17"/>
      <c r="K2299" s="17"/>
      <c r="L2299" s="17"/>
      <c r="M2299" s="17"/>
      <c r="N2299" s="17"/>
      <c r="O2299" s="17"/>
      <c r="P2299" s="17"/>
      <c r="Q2299" s="17"/>
      <c r="R2299" s="17"/>
      <c r="S2299" s="17"/>
      <c r="T2299" s="17"/>
      <c r="U2299" s="17"/>
      <c r="V2299" s="17"/>
      <c r="W2299" s="17"/>
      <c r="X2299" s="17"/>
      <c r="Y2299" s="17"/>
      <c r="Z2299" s="31"/>
      <c r="AA2299" s="32"/>
    </row>
    <row r="2300" spans="1:27" ht="12.75">
      <c r="A2300" s="17"/>
      <c r="B2300" s="17"/>
      <c r="C2300" s="17"/>
      <c r="D2300" s="17"/>
      <c r="E2300" s="17"/>
      <c r="F2300" s="17"/>
      <c r="G2300" s="17"/>
      <c r="H2300" s="17"/>
      <c r="I2300" s="31"/>
      <c r="J2300" s="17"/>
      <c r="K2300" s="17"/>
      <c r="L2300" s="17"/>
      <c r="M2300" s="17"/>
      <c r="N2300" s="17"/>
      <c r="O2300" s="17"/>
      <c r="P2300" s="17"/>
      <c r="Q2300" s="17"/>
      <c r="R2300" s="17"/>
      <c r="S2300" s="17"/>
      <c r="T2300" s="17"/>
      <c r="U2300" s="17"/>
      <c r="V2300" s="17"/>
      <c r="W2300" s="17"/>
      <c r="X2300" s="17"/>
      <c r="Y2300" s="17"/>
      <c r="Z2300" s="31"/>
      <c r="AA2300" s="32"/>
    </row>
    <row r="2301" spans="1:27" ht="12.75">
      <c r="A2301" s="17"/>
      <c r="B2301" s="17"/>
      <c r="C2301" s="17"/>
      <c r="D2301" s="17"/>
      <c r="E2301" s="17"/>
      <c r="F2301" s="17"/>
      <c r="G2301" s="17"/>
      <c r="H2301" s="17"/>
      <c r="I2301" s="31"/>
      <c r="J2301" s="17"/>
      <c r="K2301" s="17"/>
      <c r="L2301" s="17"/>
      <c r="M2301" s="17"/>
      <c r="N2301" s="17"/>
      <c r="O2301" s="17"/>
      <c r="P2301" s="17"/>
      <c r="Q2301" s="17"/>
      <c r="R2301" s="17"/>
      <c r="S2301" s="17"/>
      <c r="T2301" s="17"/>
      <c r="U2301" s="17"/>
      <c r="V2301" s="17"/>
      <c r="W2301" s="17"/>
      <c r="X2301" s="17"/>
      <c r="Y2301" s="17"/>
      <c r="Z2301" s="31"/>
      <c r="AA2301" s="32"/>
    </row>
    <row r="2302" spans="1:27" ht="12.75">
      <c r="A2302" s="17"/>
      <c r="B2302" s="17"/>
      <c r="C2302" s="17"/>
      <c r="D2302" s="17"/>
      <c r="E2302" s="17"/>
      <c r="F2302" s="17"/>
      <c r="G2302" s="17"/>
      <c r="H2302" s="17"/>
      <c r="I2302" s="31"/>
      <c r="J2302" s="17"/>
      <c r="K2302" s="17"/>
      <c r="L2302" s="17"/>
      <c r="M2302" s="17"/>
      <c r="N2302" s="17"/>
      <c r="O2302" s="17"/>
      <c r="P2302" s="17"/>
      <c r="Q2302" s="17"/>
      <c r="R2302" s="17"/>
      <c r="S2302" s="17"/>
      <c r="T2302" s="17"/>
      <c r="U2302" s="17"/>
      <c r="V2302" s="17"/>
      <c r="W2302" s="17"/>
      <c r="X2302" s="17"/>
      <c r="Y2302" s="17"/>
      <c r="Z2302" s="31"/>
      <c r="AA2302" s="32"/>
    </row>
    <row r="2303" spans="1:27" ht="12.75">
      <c r="A2303" s="17"/>
      <c r="B2303" s="17"/>
      <c r="C2303" s="17"/>
      <c r="D2303" s="17"/>
      <c r="E2303" s="17"/>
      <c r="F2303" s="17"/>
      <c r="G2303" s="17"/>
      <c r="H2303" s="17"/>
      <c r="I2303" s="31"/>
      <c r="J2303" s="17"/>
      <c r="K2303" s="17"/>
      <c r="L2303" s="17"/>
      <c r="M2303" s="17"/>
      <c r="N2303" s="17"/>
      <c r="O2303" s="17"/>
      <c r="P2303" s="17"/>
      <c r="Q2303" s="17"/>
      <c r="R2303" s="17"/>
      <c r="S2303" s="17"/>
      <c r="T2303" s="17"/>
      <c r="U2303" s="17"/>
      <c r="V2303" s="17"/>
      <c r="W2303" s="17"/>
      <c r="X2303" s="17"/>
      <c r="Y2303" s="17"/>
      <c r="Z2303" s="31"/>
      <c r="AA2303" s="32"/>
    </row>
    <row r="2304" spans="1:27" ht="12.75">
      <c r="A2304" s="17"/>
      <c r="B2304" s="17"/>
      <c r="C2304" s="17"/>
      <c r="D2304" s="17"/>
      <c r="E2304" s="17"/>
      <c r="F2304" s="17"/>
      <c r="G2304" s="17"/>
      <c r="H2304" s="17"/>
      <c r="I2304" s="31"/>
      <c r="J2304" s="17"/>
      <c r="K2304" s="17"/>
      <c r="L2304" s="17"/>
      <c r="M2304" s="17"/>
      <c r="N2304" s="17"/>
      <c r="O2304" s="17"/>
      <c r="P2304" s="17"/>
      <c r="Q2304" s="17"/>
      <c r="R2304" s="17"/>
      <c r="S2304" s="17"/>
      <c r="T2304" s="17"/>
      <c r="U2304" s="17"/>
      <c r="V2304" s="17"/>
      <c r="W2304" s="17"/>
      <c r="X2304" s="17"/>
      <c r="Y2304" s="17"/>
      <c r="Z2304" s="31"/>
      <c r="AA2304" s="32"/>
    </row>
    <row r="2305" spans="1:27" ht="12.75">
      <c r="A2305" s="17"/>
      <c r="B2305" s="17"/>
      <c r="C2305" s="17"/>
      <c r="D2305" s="17"/>
      <c r="E2305" s="17"/>
      <c r="F2305" s="17"/>
      <c r="G2305" s="17"/>
      <c r="H2305" s="17"/>
      <c r="I2305" s="31"/>
      <c r="J2305" s="17"/>
      <c r="K2305" s="17"/>
      <c r="L2305" s="17"/>
      <c r="M2305" s="17"/>
      <c r="N2305" s="17"/>
      <c r="O2305" s="17"/>
      <c r="P2305" s="17"/>
      <c r="Q2305" s="17"/>
      <c r="R2305" s="17"/>
      <c r="S2305" s="17"/>
      <c r="T2305" s="17"/>
      <c r="U2305" s="17"/>
      <c r="V2305" s="17"/>
      <c r="W2305" s="17"/>
      <c r="X2305" s="17"/>
      <c r="Y2305" s="17"/>
      <c r="Z2305" s="31"/>
      <c r="AA2305" s="32"/>
    </row>
    <row r="2306" spans="1:27" ht="12.75">
      <c r="A2306" s="17"/>
      <c r="B2306" s="17"/>
      <c r="C2306" s="17"/>
      <c r="D2306" s="17"/>
      <c r="E2306" s="17"/>
      <c r="F2306" s="17"/>
      <c r="G2306" s="17"/>
      <c r="H2306" s="17"/>
      <c r="I2306" s="31"/>
      <c r="J2306" s="17"/>
      <c r="K2306" s="17"/>
      <c r="L2306" s="17"/>
      <c r="M2306" s="17"/>
      <c r="N2306" s="17"/>
      <c r="O2306" s="17"/>
      <c r="P2306" s="17"/>
      <c r="Q2306" s="17"/>
      <c r="R2306" s="17"/>
      <c r="S2306" s="17"/>
      <c r="T2306" s="17"/>
      <c r="U2306" s="17"/>
      <c r="V2306" s="17"/>
      <c r="W2306" s="17"/>
      <c r="X2306" s="17"/>
      <c r="Y2306" s="17"/>
      <c r="Z2306" s="31"/>
      <c r="AA2306" s="32"/>
    </row>
    <row r="2307" spans="1:27" ht="12.75">
      <c r="A2307" s="17"/>
      <c r="B2307" s="17"/>
      <c r="C2307" s="17"/>
      <c r="D2307" s="17"/>
      <c r="E2307" s="17"/>
      <c r="F2307" s="17"/>
      <c r="G2307" s="17"/>
      <c r="H2307" s="17"/>
      <c r="I2307" s="31"/>
      <c r="J2307" s="17"/>
      <c r="K2307" s="17"/>
      <c r="L2307" s="17"/>
      <c r="M2307" s="17"/>
      <c r="N2307" s="17"/>
      <c r="O2307" s="17"/>
      <c r="P2307" s="17"/>
      <c r="Q2307" s="17"/>
      <c r="R2307" s="17"/>
      <c r="S2307" s="17"/>
      <c r="T2307" s="17"/>
      <c r="U2307" s="17"/>
      <c r="V2307" s="17"/>
      <c r="W2307" s="17"/>
      <c r="X2307" s="17"/>
      <c r="Y2307" s="17"/>
      <c r="Z2307" s="31"/>
      <c r="AA2307" s="32"/>
    </row>
    <row r="2308" spans="1:27" ht="12.75">
      <c r="A2308" s="17"/>
      <c r="B2308" s="17"/>
      <c r="C2308" s="17"/>
      <c r="D2308" s="17"/>
      <c r="E2308" s="17"/>
      <c r="F2308" s="17"/>
      <c r="G2308" s="17"/>
      <c r="H2308" s="17"/>
      <c r="I2308" s="31"/>
      <c r="J2308" s="17"/>
      <c r="K2308" s="17"/>
      <c r="L2308" s="17"/>
      <c r="M2308" s="17"/>
      <c r="N2308" s="17"/>
      <c r="O2308" s="17"/>
      <c r="P2308" s="17"/>
      <c r="Q2308" s="17"/>
      <c r="R2308" s="17"/>
      <c r="S2308" s="17"/>
      <c r="T2308" s="17"/>
      <c r="U2308" s="17"/>
      <c r="V2308" s="17"/>
      <c r="W2308" s="17"/>
      <c r="X2308" s="17"/>
      <c r="Y2308" s="17"/>
      <c r="Z2308" s="31"/>
      <c r="AA2308" s="32"/>
    </row>
    <row r="2309" spans="1:27" ht="12.75">
      <c r="A2309" s="17"/>
      <c r="B2309" s="17"/>
      <c r="C2309" s="17"/>
      <c r="D2309" s="17"/>
      <c r="E2309" s="17"/>
      <c r="F2309" s="17"/>
      <c r="G2309" s="17"/>
      <c r="H2309" s="17"/>
      <c r="I2309" s="31"/>
      <c r="J2309" s="17"/>
      <c r="K2309" s="17"/>
      <c r="L2309" s="17"/>
      <c r="M2309" s="17"/>
      <c r="N2309" s="17"/>
      <c r="O2309" s="17"/>
      <c r="P2309" s="17"/>
      <c r="Q2309" s="17"/>
      <c r="R2309" s="17"/>
      <c r="S2309" s="17"/>
      <c r="T2309" s="17"/>
      <c r="U2309" s="17"/>
      <c r="V2309" s="17"/>
      <c r="W2309" s="17"/>
      <c r="X2309" s="17"/>
      <c r="Y2309" s="17"/>
      <c r="Z2309" s="31"/>
      <c r="AA2309" s="32"/>
    </row>
    <row r="2310" spans="1:27" ht="12.75">
      <c r="A2310" s="17"/>
      <c r="B2310" s="17"/>
      <c r="C2310" s="17"/>
      <c r="D2310" s="17"/>
      <c r="E2310" s="17"/>
      <c r="F2310" s="17"/>
      <c r="G2310" s="17"/>
      <c r="H2310" s="17"/>
      <c r="I2310" s="31"/>
      <c r="J2310" s="17"/>
      <c r="K2310" s="17"/>
      <c r="L2310" s="17"/>
      <c r="M2310" s="17"/>
      <c r="N2310" s="17"/>
      <c r="O2310" s="17"/>
      <c r="P2310" s="17"/>
      <c r="Q2310" s="17"/>
      <c r="R2310" s="17"/>
      <c r="S2310" s="17"/>
      <c r="T2310" s="17"/>
      <c r="U2310" s="17"/>
      <c r="V2310" s="17"/>
      <c r="W2310" s="17"/>
      <c r="X2310" s="17"/>
      <c r="Y2310" s="17"/>
      <c r="Z2310" s="31"/>
      <c r="AA2310" s="32"/>
    </row>
    <row r="2311" spans="1:27" ht="12.75">
      <c r="A2311" s="17"/>
      <c r="B2311" s="17"/>
      <c r="C2311" s="17"/>
      <c r="D2311" s="17"/>
      <c r="E2311" s="17"/>
      <c r="F2311" s="17"/>
      <c r="G2311" s="17"/>
      <c r="H2311" s="17"/>
      <c r="I2311" s="31"/>
      <c r="J2311" s="17"/>
      <c r="K2311" s="17"/>
      <c r="L2311" s="17"/>
      <c r="M2311" s="17"/>
      <c r="N2311" s="17"/>
      <c r="O2311" s="17"/>
      <c r="P2311" s="17"/>
      <c r="Q2311" s="17"/>
      <c r="R2311" s="17"/>
      <c r="S2311" s="17"/>
      <c r="T2311" s="17"/>
      <c r="U2311" s="17"/>
      <c r="V2311" s="17"/>
      <c r="W2311" s="17"/>
      <c r="X2311" s="17"/>
      <c r="Y2311" s="17"/>
      <c r="Z2311" s="31"/>
      <c r="AA2311" s="32"/>
    </row>
    <row r="2312" spans="1:27" ht="12.75">
      <c r="A2312" s="17"/>
      <c r="B2312" s="17"/>
      <c r="C2312" s="17"/>
      <c r="D2312" s="17"/>
      <c r="E2312" s="17"/>
      <c r="F2312" s="17"/>
      <c r="G2312" s="17"/>
      <c r="H2312" s="17"/>
      <c r="I2312" s="31"/>
      <c r="J2312" s="17"/>
      <c r="K2312" s="17"/>
      <c r="L2312" s="17"/>
      <c r="M2312" s="17"/>
      <c r="N2312" s="17"/>
      <c r="O2312" s="17"/>
      <c r="P2312" s="17"/>
      <c r="Q2312" s="17"/>
      <c r="R2312" s="17"/>
      <c r="S2312" s="17"/>
      <c r="T2312" s="17"/>
      <c r="U2312" s="17"/>
      <c r="V2312" s="17"/>
      <c r="W2312" s="17"/>
      <c r="X2312" s="17"/>
      <c r="Y2312" s="17"/>
      <c r="Z2312" s="31"/>
      <c r="AA2312" s="32"/>
    </row>
    <row r="2313" spans="1:27" ht="12.75">
      <c r="A2313" s="17"/>
      <c r="B2313" s="17"/>
      <c r="C2313" s="17"/>
      <c r="D2313" s="17"/>
      <c r="E2313" s="17"/>
      <c r="F2313" s="17"/>
      <c r="G2313" s="17"/>
      <c r="H2313" s="17"/>
      <c r="I2313" s="31"/>
      <c r="J2313" s="17"/>
      <c r="K2313" s="17"/>
      <c r="L2313" s="17"/>
      <c r="M2313" s="17"/>
      <c r="N2313" s="17"/>
      <c r="O2313" s="17"/>
      <c r="P2313" s="17"/>
      <c r="Q2313" s="17"/>
      <c r="R2313" s="17"/>
      <c r="S2313" s="17"/>
      <c r="T2313" s="17"/>
      <c r="U2313" s="17"/>
      <c r="V2313" s="17"/>
      <c r="W2313" s="17"/>
      <c r="X2313" s="17"/>
      <c r="Y2313" s="17"/>
      <c r="Z2313" s="31"/>
      <c r="AA2313" s="32"/>
    </row>
    <row r="2314" spans="1:27" ht="12.75">
      <c r="A2314" s="17"/>
      <c r="B2314" s="17"/>
      <c r="C2314" s="17"/>
      <c r="D2314" s="17"/>
      <c r="E2314" s="17"/>
      <c r="F2314" s="17"/>
      <c r="G2314" s="17"/>
      <c r="H2314" s="17"/>
      <c r="I2314" s="31"/>
      <c r="J2314" s="17"/>
      <c r="K2314" s="17"/>
      <c r="L2314" s="17"/>
      <c r="M2314" s="17"/>
      <c r="N2314" s="17"/>
      <c r="O2314" s="17"/>
      <c r="P2314" s="17"/>
      <c r="Q2314" s="17"/>
      <c r="R2314" s="17"/>
      <c r="S2314" s="17"/>
      <c r="T2314" s="17"/>
      <c r="U2314" s="17"/>
      <c r="V2314" s="17"/>
      <c r="W2314" s="17"/>
      <c r="X2314" s="17"/>
      <c r="Y2314" s="17"/>
      <c r="Z2314" s="31"/>
      <c r="AA2314" s="32"/>
    </row>
    <row r="2315" spans="1:27" ht="12.75">
      <c r="A2315" s="17"/>
      <c r="B2315" s="17"/>
      <c r="C2315" s="17"/>
      <c r="D2315" s="17"/>
      <c r="E2315" s="17"/>
      <c r="F2315" s="17"/>
      <c r="G2315" s="17"/>
      <c r="H2315" s="17"/>
      <c r="I2315" s="31"/>
      <c r="J2315" s="17"/>
      <c r="K2315" s="17"/>
      <c r="L2315" s="17"/>
      <c r="M2315" s="17"/>
      <c r="N2315" s="17"/>
      <c r="O2315" s="17"/>
      <c r="P2315" s="17"/>
      <c r="Q2315" s="17"/>
      <c r="R2315" s="17"/>
      <c r="S2315" s="17"/>
      <c r="T2315" s="17"/>
      <c r="U2315" s="17"/>
      <c r="V2315" s="17"/>
      <c r="W2315" s="17"/>
      <c r="X2315" s="17"/>
      <c r="Y2315" s="17"/>
      <c r="Z2315" s="31"/>
      <c r="AA2315" s="32"/>
    </row>
    <row r="2316" spans="1:27" ht="12.75">
      <c r="A2316" s="17"/>
      <c r="B2316" s="17"/>
      <c r="C2316" s="17"/>
      <c r="D2316" s="17"/>
      <c r="E2316" s="17"/>
      <c r="F2316" s="17"/>
      <c r="G2316" s="17"/>
      <c r="H2316" s="17"/>
      <c r="I2316" s="31"/>
      <c r="J2316" s="17"/>
      <c r="K2316" s="17"/>
      <c r="L2316" s="17"/>
      <c r="M2316" s="17"/>
      <c r="N2316" s="17"/>
      <c r="O2316" s="17"/>
      <c r="P2316" s="17"/>
      <c r="Q2316" s="17"/>
      <c r="R2316" s="17"/>
      <c r="S2316" s="17"/>
      <c r="T2316" s="17"/>
      <c r="U2316" s="17"/>
      <c r="V2316" s="17"/>
      <c r="W2316" s="17"/>
      <c r="X2316" s="17"/>
      <c r="Y2316" s="17"/>
      <c r="Z2316" s="31"/>
      <c r="AA2316" s="32"/>
    </row>
    <row r="2317" spans="1:27" ht="12.75">
      <c r="A2317" s="17"/>
      <c r="B2317" s="17"/>
      <c r="C2317" s="17"/>
      <c r="D2317" s="17"/>
      <c r="E2317" s="17"/>
      <c r="F2317" s="17"/>
      <c r="G2317" s="17"/>
      <c r="H2317" s="17"/>
      <c r="I2317" s="31"/>
      <c r="J2317" s="17"/>
      <c r="K2317" s="17"/>
      <c r="L2317" s="17"/>
      <c r="M2317" s="17"/>
      <c r="N2317" s="17"/>
      <c r="O2317" s="17"/>
      <c r="P2317" s="17"/>
      <c r="Q2317" s="17"/>
      <c r="R2317" s="17"/>
      <c r="S2317" s="17"/>
      <c r="T2317" s="17"/>
      <c r="U2317" s="17"/>
      <c r="V2317" s="17"/>
      <c r="W2317" s="17"/>
      <c r="X2317" s="17"/>
      <c r="Y2317" s="17"/>
      <c r="Z2317" s="31"/>
      <c r="AA2317" s="32"/>
    </row>
    <row r="2318" spans="1:27" ht="12.75">
      <c r="A2318" s="17"/>
      <c r="B2318" s="17"/>
      <c r="C2318" s="17"/>
      <c r="D2318" s="17"/>
      <c r="E2318" s="17"/>
      <c r="F2318" s="17"/>
      <c r="G2318" s="17"/>
      <c r="H2318" s="17"/>
      <c r="I2318" s="31"/>
      <c r="J2318" s="17"/>
      <c r="K2318" s="17"/>
      <c r="L2318" s="17"/>
      <c r="M2318" s="17"/>
      <c r="N2318" s="17"/>
      <c r="O2318" s="17"/>
      <c r="P2318" s="17"/>
      <c r="Q2318" s="17"/>
      <c r="R2318" s="17"/>
      <c r="S2318" s="17"/>
      <c r="T2318" s="17"/>
      <c r="U2318" s="17"/>
      <c r="V2318" s="17"/>
      <c r="W2318" s="17"/>
      <c r="X2318" s="17"/>
      <c r="Y2318" s="17"/>
      <c r="Z2318" s="31"/>
      <c r="AA2318" s="32"/>
    </row>
    <row r="2319" spans="1:27" ht="12.75">
      <c r="A2319" s="17"/>
      <c r="B2319" s="17"/>
      <c r="C2319" s="17"/>
      <c r="D2319" s="17"/>
      <c r="E2319" s="17"/>
      <c r="F2319" s="17"/>
      <c r="G2319" s="17"/>
      <c r="H2319" s="17"/>
      <c r="I2319" s="31"/>
      <c r="J2319" s="17"/>
      <c r="K2319" s="17"/>
      <c r="L2319" s="17"/>
      <c r="M2319" s="17"/>
      <c r="N2319" s="17"/>
      <c r="O2319" s="17"/>
      <c r="P2319" s="17"/>
      <c r="Q2319" s="17"/>
      <c r="R2319" s="17"/>
      <c r="S2319" s="17"/>
      <c r="T2319" s="17"/>
      <c r="U2319" s="17"/>
      <c r="V2319" s="17"/>
      <c r="W2319" s="17"/>
      <c r="X2319" s="17"/>
      <c r="Y2319" s="17"/>
      <c r="Z2319" s="31"/>
      <c r="AA2319" s="32"/>
    </row>
    <row r="2320" spans="1:27" ht="12.75">
      <c r="A2320" s="17"/>
      <c r="B2320" s="17"/>
      <c r="C2320" s="17"/>
      <c r="D2320" s="17"/>
      <c r="E2320" s="17"/>
      <c r="F2320" s="17"/>
      <c r="G2320" s="17"/>
      <c r="H2320" s="17"/>
      <c r="I2320" s="31"/>
      <c r="J2320" s="17"/>
      <c r="K2320" s="17"/>
      <c r="L2320" s="17"/>
      <c r="M2320" s="17"/>
      <c r="N2320" s="17"/>
      <c r="O2320" s="17"/>
      <c r="P2320" s="17"/>
      <c r="Q2320" s="17"/>
      <c r="R2320" s="17"/>
      <c r="S2320" s="17"/>
      <c r="T2320" s="17"/>
      <c r="U2320" s="17"/>
      <c r="V2320" s="17"/>
      <c r="W2320" s="17"/>
      <c r="X2320" s="17"/>
      <c r="Y2320" s="17"/>
      <c r="Z2320" s="31"/>
      <c r="AA2320" s="32"/>
    </row>
    <row r="2321" spans="1:27" ht="12.75">
      <c r="A2321" s="17"/>
      <c r="B2321" s="17"/>
      <c r="C2321" s="17"/>
      <c r="D2321" s="17"/>
      <c r="E2321" s="17"/>
      <c r="F2321" s="17"/>
      <c r="G2321" s="17"/>
      <c r="H2321" s="17"/>
      <c r="I2321" s="31"/>
      <c r="J2321" s="17"/>
      <c r="K2321" s="17"/>
      <c r="L2321" s="17"/>
      <c r="M2321" s="17"/>
      <c r="N2321" s="17"/>
      <c r="O2321" s="17"/>
      <c r="P2321" s="17"/>
      <c r="Q2321" s="17"/>
      <c r="R2321" s="17"/>
      <c r="S2321" s="17"/>
      <c r="T2321" s="17"/>
      <c r="U2321" s="17"/>
      <c r="V2321" s="17"/>
      <c r="W2321" s="17"/>
      <c r="X2321" s="17"/>
      <c r="Y2321" s="17"/>
      <c r="Z2321" s="31"/>
      <c r="AA2321" s="32"/>
    </row>
    <row r="2322" spans="1:27" ht="12.75">
      <c r="A2322" s="17"/>
      <c r="B2322" s="17"/>
      <c r="C2322" s="17"/>
      <c r="D2322" s="17"/>
      <c r="E2322" s="17"/>
      <c r="F2322" s="17"/>
      <c r="G2322" s="17"/>
      <c r="H2322" s="17"/>
      <c r="I2322" s="31"/>
      <c r="J2322" s="17"/>
      <c r="K2322" s="17"/>
      <c r="L2322" s="17"/>
      <c r="M2322" s="17"/>
      <c r="N2322" s="17"/>
      <c r="O2322" s="17"/>
      <c r="P2322" s="17"/>
      <c r="Q2322" s="17"/>
      <c r="R2322" s="17"/>
      <c r="S2322" s="17"/>
      <c r="T2322" s="17"/>
      <c r="U2322" s="17"/>
      <c r="V2322" s="17"/>
      <c r="W2322" s="17"/>
      <c r="X2322" s="17"/>
      <c r="Y2322" s="17"/>
      <c r="Z2322" s="31"/>
      <c r="AA2322" s="32"/>
    </row>
    <row r="2323" spans="1:27" ht="12.75">
      <c r="A2323" s="17"/>
      <c r="B2323" s="17"/>
      <c r="C2323" s="17"/>
      <c r="D2323" s="17"/>
      <c r="E2323" s="17"/>
      <c r="F2323" s="17"/>
      <c r="G2323" s="17"/>
      <c r="H2323" s="17"/>
      <c r="I2323" s="31"/>
      <c r="J2323" s="17"/>
      <c r="K2323" s="17"/>
      <c r="L2323" s="17"/>
      <c r="M2323" s="17"/>
      <c r="N2323" s="17"/>
      <c r="O2323" s="17"/>
      <c r="P2323" s="17"/>
      <c r="Q2323" s="17"/>
      <c r="R2323" s="17"/>
      <c r="S2323" s="17"/>
      <c r="T2323" s="17"/>
      <c r="U2323" s="17"/>
      <c r="V2323" s="17"/>
      <c r="W2323" s="17"/>
      <c r="X2323" s="17"/>
      <c r="Y2323" s="17"/>
      <c r="Z2323" s="31"/>
      <c r="AA2323" s="32"/>
    </row>
    <row r="2324" spans="1:27" ht="12.75">
      <c r="A2324" s="17"/>
      <c r="B2324" s="17"/>
      <c r="C2324" s="17"/>
      <c r="D2324" s="17"/>
      <c r="E2324" s="17"/>
      <c r="F2324" s="17"/>
      <c r="G2324" s="17"/>
      <c r="H2324" s="17"/>
      <c r="I2324" s="31"/>
      <c r="J2324" s="17"/>
      <c r="K2324" s="17"/>
      <c r="L2324" s="17"/>
      <c r="M2324" s="17"/>
      <c r="N2324" s="17"/>
      <c r="O2324" s="17"/>
      <c r="P2324" s="17"/>
      <c r="Q2324" s="17"/>
      <c r="R2324" s="17"/>
      <c r="S2324" s="17"/>
      <c r="T2324" s="17"/>
      <c r="U2324" s="17"/>
      <c r="V2324" s="17"/>
      <c r="W2324" s="17"/>
      <c r="X2324" s="17"/>
      <c r="Y2324" s="17"/>
      <c r="Z2324" s="31"/>
      <c r="AA2324" s="32"/>
    </row>
    <row r="2325" spans="1:27" ht="12.75">
      <c r="A2325" s="17"/>
      <c r="B2325" s="17"/>
      <c r="C2325" s="17"/>
      <c r="D2325" s="17"/>
      <c r="E2325" s="17"/>
      <c r="F2325" s="17"/>
      <c r="G2325" s="17"/>
      <c r="H2325" s="17"/>
      <c r="I2325" s="31"/>
      <c r="J2325" s="17"/>
      <c r="K2325" s="17"/>
      <c r="L2325" s="17"/>
      <c r="M2325" s="17"/>
      <c r="N2325" s="17"/>
      <c r="O2325" s="17"/>
      <c r="P2325" s="17"/>
      <c r="Q2325" s="17"/>
      <c r="R2325" s="17"/>
      <c r="S2325" s="17"/>
      <c r="T2325" s="17"/>
      <c r="U2325" s="17"/>
      <c r="V2325" s="17"/>
      <c r="W2325" s="17"/>
      <c r="X2325" s="17"/>
      <c r="Y2325" s="17"/>
      <c r="Z2325" s="31"/>
      <c r="AA2325" s="32"/>
    </row>
    <row r="2326" spans="1:27" ht="12.75">
      <c r="A2326" s="17"/>
      <c r="B2326" s="17"/>
      <c r="C2326" s="17"/>
      <c r="D2326" s="17"/>
      <c r="E2326" s="17"/>
      <c r="F2326" s="17"/>
      <c r="G2326" s="17"/>
      <c r="H2326" s="17"/>
      <c r="I2326" s="31"/>
      <c r="J2326" s="17"/>
      <c r="K2326" s="17"/>
      <c r="L2326" s="17"/>
      <c r="M2326" s="17"/>
      <c r="N2326" s="17"/>
      <c r="O2326" s="17"/>
      <c r="P2326" s="17"/>
      <c r="Q2326" s="17"/>
      <c r="R2326" s="17"/>
      <c r="S2326" s="17"/>
      <c r="T2326" s="17"/>
      <c r="U2326" s="17"/>
      <c r="V2326" s="17"/>
      <c r="W2326" s="17"/>
      <c r="X2326" s="17"/>
      <c r="Y2326" s="17"/>
      <c r="Z2326" s="31"/>
      <c r="AA2326" s="32"/>
    </row>
    <row r="2327" spans="1:27" ht="12.75">
      <c r="A2327" s="17"/>
      <c r="B2327" s="17"/>
      <c r="C2327" s="17"/>
      <c r="D2327" s="17"/>
      <c r="E2327" s="17"/>
      <c r="F2327" s="17"/>
      <c r="G2327" s="17"/>
      <c r="H2327" s="17"/>
      <c r="I2327" s="31"/>
      <c r="J2327" s="17"/>
      <c r="K2327" s="17"/>
      <c r="L2327" s="17"/>
      <c r="M2327" s="17"/>
      <c r="N2327" s="17"/>
      <c r="O2327" s="17"/>
      <c r="P2327" s="17"/>
      <c r="Q2327" s="17"/>
      <c r="R2327" s="17"/>
      <c r="S2327" s="17"/>
      <c r="T2327" s="17"/>
      <c r="U2327" s="17"/>
      <c r="V2327" s="17"/>
      <c r="W2327" s="17"/>
      <c r="X2327" s="17"/>
      <c r="Y2327" s="17"/>
      <c r="Z2327" s="31"/>
      <c r="AA2327" s="32"/>
    </row>
    <row r="2328" spans="1:27" ht="12.75">
      <c r="A2328" s="17"/>
      <c r="B2328" s="17"/>
      <c r="C2328" s="17"/>
      <c r="D2328" s="17"/>
      <c r="E2328" s="17"/>
      <c r="F2328" s="17"/>
      <c r="G2328" s="17"/>
      <c r="H2328" s="17"/>
      <c r="I2328" s="31"/>
      <c r="J2328" s="17"/>
      <c r="K2328" s="17"/>
      <c r="L2328" s="17"/>
      <c r="M2328" s="17"/>
      <c r="N2328" s="17"/>
      <c r="O2328" s="17"/>
      <c r="P2328" s="17"/>
      <c r="Q2328" s="17"/>
      <c r="R2328" s="17"/>
      <c r="S2328" s="17"/>
      <c r="T2328" s="17"/>
      <c r="U2328" s="17"/>
      <c r="V2328" s="17"/>
      <c r="W2328" s="17"/>
      <c r="X2328" s="17"/>
      <c r="Y2328" s="17"/>
      <c r="Z2328" s="31"/>
      <c r="AA2328" s="32"/>
    </row>
    <row r="2329" spans="1:27" ht="12.75">
      <c r="A2329" s="17"/>
      <c r="B2329" s="17"/>
      <c r="C2329" s="17"/>
      <c r="D2329" s="17"/>
      <c r="E2329" s="17"/>
      <c r="F2329" s="17"/>
      <c r="G2329" s="17"/>
      <c r="H2329" s="17"/>
      <c r="I2329" s="31"/>
      <c r="J2329" s="17"/>
      <c r="K2329" s="17"/>
      <c r="L2329" s="17"/>
      <c r="M2329" s="17"/>
      <c r="N2329" s="17"/>
      <c r="O2329" s="17"/>
      <c r="P2329" s="17"/>
      <c r="Q2329" s="17"/>
      <c r="R2329" s="17"/>
      <c r="S2329" s="17"/>
      <c r="T2329" s="17"/>
      <c r="U2329" s="17"/>
      <c r="V2329" s="17"/>
      <c r="W2329" s="17"/>
      <c r="X2329" s="17"/>
      <c r="Y2329" s="17"/>
      <c r="Z2329" s="31"/>
      <c r="AA2329" s="32"/>
    </row>
    <row r="2330" spans="1:27" ht="12.75">
      <c r="A2330" s="17"/>
      <c r="B2330" s="17"/>
      <c r="C2330" s="17"/>
      <c r="D2330" s="17"/>
      <c r="E2330" s="17"/>
      <c r="F2330" s="17"/>
      <c r="G2330" s="17"/>
      <c r="H2330" s="17"/>
      <c r="I2330" s="31"/>
      <c r="J2330" s="17"/>
      <c r="K2330" s="17"/>
      <c r="L2330" s="17"/>
      <c r="M2330" s="17"/>
      <c r="N2330" s="17"/>
      <c r="O2330" s="17"/>
      <c r="P2330" s="17"/>
      <c r="Q2330" s="17"/>
      <c r="R2330" s="17"/>
      <c r="S2330" s="17"/>
      <c r="T2330" s="17"/>
      <c r="U2330" s="17"/>
      <c r="V2330" s="17"/>
      <c r="W2330" s="17"/>
      <c r="X2330" s="17"/>
      <c r="Y2330" s="17"/>
      <c r="Z2330" s="31"/>
      <c r="AA2330" s="32"/>
    </row>
    <row r="2331" spans="1:27" ht="12.75">
      <c r="A2331" s="17"/>
      <c r="B2331" s="17"/>
      <c r="C2331" s="17"/>
      <c r="D2331" s="17"/>
      <c r="E2331" s="17"/>
      <c r="F2331" s="17"/>
      <c r="G2331" s="17"/>
      <c r="H2331" s="17"/>
      <c r="I2331" s="31"/>
      <c r="J2331" s="17"/>
      <c r="K2331" s="17"/>
      <c r="L2331" s="17"/>
      <c r="M2331" s="17"/>
      <c r="N2331" s="17"/>
      <c r="O2331" s="17"/>
      <c r="P2331" s="17"/>
      <c r="Q2331" s="17"/>
      <c r="R2331" s="17"/>
      <c r="S2331" s="17"/>
      <c r="T2331" s="17"/>
      <c r="U2331" s="17"/>
      <c r="V2331" s="17"/>
      <c r="W2331" s="17"/>
      <c r="X2331" s="17"/>
      <c r="Y2331" s="17"/>
      <c r="Z2331" s="31"/>
      <c r="AA2331" s="32"/>
    </row>
    <row r="2332" spans="1:27" ht="12.75">
      <c r="A2332" s="17"/>
      <c r="B2332" s="17"/>
      <c r="C2332" s="17"/>
      <c r="D2332" s="17"/>
      <c r="E2332" s="17"/>
      <c r="F2332" s="17"/>
      <c r="G2332" s="17"/>
      <c r="H2332" s="17"/>
      <c r="I2332" s="31"/>
      <c r="J2332" s="17"/>
      <c r="K2332" s="17"/>
      <c r="L2332" s="17"/>
      <c r="M2332" s="17"/>
      <c r="N2332" s="17"/>
      <c r="O2332" s="17"/>
      <c r="P2332" s="17"/>
      <c r="Q2332" s="17"/>
      <c r="R2332" s="17"/>
      <c r="S2332" s="17"/>
      <c r="T2332" s="17"/>
      <c r="U2332" s="17"/>
      <c r="V2332" s="17"/>
      <c r="W2332" s="17"/>
      <c r="X2332" s="17"/>
      <c r="Y2332" s="17"/>
      <c r="Z2332" s="31"/>
      <c r="AA2332" s="32"/>
    </row>
    <row r="2333" spans="1:27" ht="12.75">
      <c r="A2333" s="17"/>
      <c r="B2333" s="17"/>
      <c r="C2333" s="17"/>
      <c r="D2333" s="17"/>
      <c r="E2333" s="17"/>
      <c r="F2333" s="17"/>
      <c r="G2333" s="17"/>
      <c r="H2333" s="17"/>
      <c r="I2333" s="31"/>
      <c r="J2333" s="17"/>
      <c r="K2333" s="17"/>
      <c r="L2333" s="17"/>
      <c r="M2333" s="17"/>
      <c r="N2333" s="17"/>
      <c r="O2333" s="17"/>
      <c r="P2333" s="17"/>
      <c r="Q2333" s="17"/>
      <c r="R2333" s="17"/>
      <c r="S2333" s="17"/>
      <c r="T2333" s="17"/>
      <c r="U2333" s="17"/>
      <c r="V2333" s="17"/>
      <c r="W2333" s="17"/>
      <c r="X2333" s="17"/>
      <c r="Y2333" s="17"/>
      <c r="Z2333" s="31"/>
      <c r="AA2333" s="32"/>
    </row>
    <row r="2334" spans="1:27" ht="12.75">
      <c r="A2334" s="17"/>
      <c r="B2334" s="17"/>
      <c r="C2334" s="17"/>
      <c r="D2334" s="17"/>
      <c r="E2334" s="17"/>
      <c r="F2334" s="17"/>
      <c r="G2334" s="17"/>
      <c r="H2334" s="17"/>
      <c r="I2334" s="31"/>
      <c r="J2334" s="17"/>
      <c r="K2334" s="17"/>
      <c r="L2334" s="17"/>
      <c r="M2334" s="17"/>
      <c r="N2334" s="17"/>
      <c r="O2334" s="17"/>
      <c r="P2334" s="17"/>
      <c r="Q2334" s="17"/>
      <c r="R2334" s="17"/>
      <c r="S2334" s="17"/>
      <c r="T2334" s="17"/>
      <c r="U2334" s="17"/>
      <c r="V2334" s="17"/>
      <c r="W2334" s="17"/>
      <c r="X2334" s="17"/>
      <c r="Y2334" s="17"/>
      <c r="Z2334" s="31"/>
      <c r="AA2334" s="32"/>
    </row>
    <row r="2335" spans="1:27" ht="12.75">
      <c r="A2335" s="17"/>
      <c r="B2335" s="17"/>
      <c r="C2335" s="17"/>
      <c r="D2335" s="17"/>
      <c r="E2335" s="17"/>
      <c r="F2335" s="17"/>
      <c r="G2335" s="17"/>
      <c r="H2335" s="17"/>
      <c r="I2335" s="31"/>
      <c r="J2335" s="17"/>
      <c r="K2335" s="17"/>
      <c r="L2335" s="17"/>
      <c r="M2335" s="17"/>
      <c r="N2335" s="17"/>
      <c r="O2335" s="17"/>
      <c r="P2335" s="17"/>
      <c r="Q2335" s="17"/>
      <c r="R2335" s="17"/>
      <c r="S2335" s="17"/>
      <c r="T2335" s="17"/>
      <c r="U2335" s="17"/>
      <c r="V2335" s="17"/>
      <c r="W2335" s="17"/>
      <c r="X2335" s="17"/>
      <c r="Y2335" s="17"/>
      <c r="Z2335" s="31"/>
      <c r="AA2335" s="32"/>
    </row>
    <row r="2336" spans="1:27" ht="12.75">
      <c r="A2336" s="17"/>
      <c r="B2336" s="17"/>
      <c r="C2336" s="17"/>
      <c r="D2336" s="17"/>
      <c r="E2336" s="17"/>
      <c r="F2336" s="17"/>
      <c r="G2336" s="17"/>
      <c r="H2336" s="17"/>
      <c r="I2336" s="31"/>
      <c r="J2336" s="17"/>
      <c r="K2336" s="17"/>
      <c r="L2336" s="17"/>
      <c r="M2336" s="17"/>
      <c r="N2336" s="17"/>
      <c r="O2336" s="17"/>
      <c r="P2336" s="17"/>
      <c r="Q2336" s="17"/>
      <c r="R2336" s="17"/>
      <c r="S2336" s="17"/>
      <c r="T2336" s="17"/>
      <c r="U2336" s="17"/>
      <c r="V2336" s="17"/>
      <c r="W2336" s="17"/>
      <c r="X2336" s="17"/>
      <c r="Y2336" s="17"/>
      <c r="Z2336" s="31"/>
      <c r="AA2336" s="32"/>
    </row>
    <row r="2337" spans="1:27" ht="12.75">
      <c r="A2337" s="17"/>
      <c r="B2337" s="17"/>
      <c r="C2337" s="17"/>
      <c r="D2337" s="17"/>
      <c r="E2337" s="17"/>
      <c r="F2337" s="17"/>
      <c r="G2337" s="17"/>
      <c r="H2337" s="17"/>
      <c r="I2337" s="31"/>
      <c r="J2337" s="17"/>
      <c r="K2337" s="17"/>
      <c r="L2337" s="17"/>
      <c r="M2337" s="17"/>
      <c r="N2337" s="17"/>
      <c r="O2337" s="17"/>
      <c r="P2337" s="17"/>
      <c r="Q2337" s="17"/>
      <c r="R2337" s="17"/>
      <c r="S2337" s="17"/>
      <c r="T2337" s="17"/>
      <c r="U2337" s="17"/>
      <c r="V2337" s="17"/>
      <c r="W2337" s="17"/>
      <c r="X2337" s="17"/>
      <c r="Y2337" s="17"/>
      <c r="Z2337" s="31"/>
      <c r="AA2337" s="32"/>
    </row>
    <row r="2338" spans="1:27" ht="12.75">
      <c r="A2338" s="17"/>
      <c r="B2338" s="17"/>
      <c r="C2338" s="17"/>
      <c r="D2338" s="17"/>
      <c r="E2338" s="17"/>
      <c r="F2338" s="17"/>
      <c r="G2338" s="17"/>
      <c r="H2338" s="17"/>
      <c r="I2338" s="31"/>
      <c r="J2338" s="17"/>
      <c r="K2338" s="17"/>
      <c r="L2338" s="17"/>
      <c r="M2338" s="17"/>
      <c r="N2338" s="17"/>
      <c r="O2338" s="17"/>
      <c r="P2338" s="17"/>
      <c r="Q2338" s="17"/>
      <c r="R2338" s="17"/>
      <c r="S2338" s="17"/>
      <c r="T2338" s="17"/>
      <c r="U2338" s="17"/>
      <c r="V2338" s="17"/>
      <c r="W2338" s="17"/>
      <c r="X2338" s="17"/>
      <c r="Y2338" s="17"/>
      <c r="Z2338" s="31"/>
      <c r="AA2338" s="32"/>
    </row>
    <row r="2339" spans="1:27" ht="12.75">
      <c r="A2339" s="17"/>
      <c r="B2339" s="17"/>
      <c r="C2339" s="17"/>
      <c r="D2339" s="17"/>
      <c r="E2339" s="17"/>
      <c r="F2339" s="17"/>
      <c r="G2339" s="17"/>
      <c r="H2339" s="17"/>
      <c r="I2339" s="31"/>
      <c r="J2339" s="17"/>
      <c r="K2339" s="17"/>
      <c r="L2339" s="17"/>
      <c r="M2339" s="17"/>
      <c r="N2339" s="17"/>
      <c r="O2339" s="17"/>
      <c r="P2339" s="17"/>
      <c r="Q2339" s="17"/>
      <c r="R2339" s="17"/>
      <c r="S2339" s="17"/>
      <c r="T2339" s="17"/>
      <c r="U2339" s="17"/>
      <c r="V2339" s="17"/>
      <c r="W2339" s="17"/>
      <c r="X2339" s="17"/>
      <c r="Y2339" s="17"/>
      <c r="Z2339" s="31"/>
      <c r="AA2339" s="32"/>
    </row>
    <row r="2340" spans="1:27" ht="12.75">
      <c r="A2340" s="17"/>
      <c r="B2340" s="17"/>
      <c r="C2340" s="17"/>
      <c r="D2340" s="17"/>
      <c r="E2340" s="17"/>
      <c r="F2340" s="17"/>
      <c r="G2340" s="17"/>
      <c r="H2340" s="17"/>
      <c r="I2340" s="31"/>
      <c r="J2340" s="17"/>
      <c r="K2340" s="17"/>
      <c r="L2340" s="17"/>
      <c r="M2340" s="17"/>
      <c r="N2340" s="17"/>
      <c r="O2340" s="17"/>
      <c r="P2340" s="17"/>
      <c r="Q2340" s="17"/>
      <c r="R2340" s="17"/>
      <c r="S2340" s="17"/>
      <c r="T2340" s="17"/>
      <c r="U2340" s="17"/>
      <c r="V2340" s="17"/>
      <c r="W2340" s="17"/>
      <c r="X2340" s="17"/>
      <c r="Y2340" s="17"/>
      <c r="Z2340" s="31"/>
      <c r="AA2340" s="32"/>
    </row>
    <row r="2341" spans="1:27" ht="12.75">
      <c r="A2341" s="17"/>
      <c r="B2341" s="17"/>
      <c r="C2341" s="17"/>
      <c r="D2341" s="17"/>
      <c r="E2341" s="17"/>
      <c r="F2341" s="17"/>
      <c r="G2341" s="17"/>
      <c r="H2341" s="17"/>
      <c r="I2341" s="31"/>
      <c r="J2341" s="17"/>
      <c r="K2341" s="17"/>
      <c r="L2341" s="17"/>
      <c r="M2341" s="17"/>
      <c r="N2341" s="17"/>
      <c r="O2341" s="17"/>
      <c r="P2341" s="17"/>
      <c r="Q2341" s="17"/>
      <c r="R2341" s="17"/>
      <c r="S2341" s="17"/>
      <c r="T2341" s="17"/>
      <c r="U2341" s="17"/>
      <c r="V2341" s="17"/>
      <c r="W2341" s="17"/>
      <c r="X2341" s="17"/>
      <c r="Y2341" s="17"/>
      <c r="Z2341" s="31"/>
      <c r="AA2341" s="32"/>
    </row>
    <row r="2342" spans="1:27" ht="12.75">
      <c r="A2342" s="17"/>
      <c r="B2342" s="17"/>
      <c r="C2342" s="17"/>
      <c r="D2342" s="17"/>
      <c r="E2342" s="17"/>
      <c r="F2342" s="17"/>
      <c r="G2342" s="17"/>
      <c r="H2342" s="17"/>
      <c r="I2342" s="31"/>
      <c r="J2342" s="17"/>
      <c r="K2342" s="17"/>
      <c r="L2342" s="17"/>
      <c r="M2342" s="17"/>
      <c r="N2342" s="17"/>
      <c r="O2342" s="17"/>
      <c r="P2342" s="17"/>
      <c r="Q2342" s="17"/>
      <c r="R2342" s="17"/>
      <c r="S2342" s="17"/>
      <c r="T2342" s="17"/>
      <c r="U2342" s="17"/>
      <c r="V2342" s="17"/>
      <c r="W2342" s="17"/>
      <c r="X2342" s="17"/>
      <c r="Y2342" s="17"/>
      <c r="Z2342" s="31"/>
      <c r="AA2342" s="32"/>
    </row>
    <row r="2343" spans="1:27" ht="12.75">
      <c r="A2343" s="17"/>
      <c r="B2343" s="17"/>
      <c r="C2343" s="17"/>
      <c r="D2343" s="17"/>
      <c r="E2343" s="17"/>
      <c r="F2343" s="17"/>
      <c r="G2343" s="17"/>
      <c r="H2343" s="17"/>
      <c r="I2343" s="31"/>
      <c r="J2343" s="17"/>
      <c r="K2343" s="17"/>
      <c r="L2343" s="17"/>
      <c r="M2343" s="17"/>
      <c r="N2343" s="17"/>
      <c r="O2343" s="17"/>
      <c r="P2343" s="17"/>
      <c r="Q2343" s="17"/>
      <c r="R2343" s="17"/>
      <c r="S2343" s="17"/>
      <c r="T2343" s="17"/>
      <c r="U2343" s="17"/>
      <c r="V2343" s="17"/>
      <c r="W2343" s="17"/>
      <c r="X2343" s="17"/>
      <c r="Y2343" s="17"/>
      <c r="Z2343" s="31"/>
      <c r="AA2343" s="32"/>
    </row>
    <row r="2344" spans="1:27" ht="12.75">
      <c r="A2344" s="17"/>
      <c r="B2344" s="17"/>
      <c r="C2344" s="17"/>
      <c r="D2344" s="17"/>
      <c r="E2344" s="17"/>
      <c r="F2344" s="17"/>
      <c r="G2344" s="17"/>
      <c r="H2344" s="17"/>
      <c r="I2344" s="31"/>
      <c r="J2344" s="17"/>
      <c r="K2344" s="17"/>
      <c r="L2344" s="17"/>
      <c r="M2344" s="17"/>
      <c r="N2344" s="17"/>
      <c r="O2344" s="17"/>
      <c r="P2344" s="17"/>
      <c r="Q2344" s="17"/>
      <c r="R2344" s="17"/>
      <c r="S2344" s="17"/>
      <c r="T2344" s="17"/>
      <c r="U2344" s="17"/>
      <c r="V2344" s="17"/>
      <c r="W2344" s="17"/>
      <c r="X2344" s="17"/>
      <c r="Y2344" s="17"/>
      <c r="Z2344" s="31"/>
      <c r="AA2344" s="32"/>
    </row>
    <row r="2345" spans="1:27" ht="12.75">
      <c r="A2345" s="17"/>
      <c r="B2345" s="17"/>
      <c r="C2345" s="17"/>
      <c r="D2345" s="17"/>
      <c r="E2345" s="17"/>
      <c r="F2345" s="17"/>
      <c r="G2345" s="17"/>
      <c r="H2345" s="17"/>
      <c r="I2345" s="31"/>
      <c r="J2345" s="17"/>
      <c r="K2345" s="17"/>
      <c r="L2345" s="17"/>
      <c r="M2345" s="17"/>
      <c r="N2345" s="17"/>
      <c r="O2345" s="17"/>
      <c r="P2345" s="17"/>
      <c r="Q2345" s="17"/>
      <c r="R2345" s="17"/>
      <c r="S2345" s="17"/>
      <c r="T2345" s="17"/>
      <c r="U2345" s="17"/>
      <c r="V2345" s="17"/>
      <c r="W2345" s="17"/>
      <c r="X2345" s="17"/>
      <c r="Y2345" s="17"/>
      <c r="Z2345" s="31"/>
      <c r="AA2345" s="32"/>
    </row>
    <row r="2346" spans="1:27" ht="12.75">
      <c r="A2346" s="17"/>
      <c r="B2346" s="17"/>
      <c r="C2346" s="17"/>
      <c r="D2346" s="17"/>
      <c r="E2346" s="17"/>
      <c r="F2346" s="17"/>
      <c r="G2346" s="17"/>
      <c r="H2346" s="17"/>
      <c r="I2346" s="31"/>
      <c r="J2346" s="17"/>
      <c r="K2346" s="17"/>
      <c r="L2346" s="17"/>
      <c r="M2346" s="17"/>
      <c r="N2346" s="17"/>
      <c r="O2346" s="17"/>
      <c r="P2346" s="17"/>
      <c r="Q2346" s="17"/>
      <c r="R2346" s="17"/>
      <c r="S2346" s="17"/>
      <c r="T2346" s="17"/>
      <c r="U2346" s="17"/>
      <c r="V2346" s="17"/>
      <c r="W2346" s="17"/>
      <c r="X2346" s="17"/>
      <c r="Y2346" s="17"/>
      <c r="Z2346" s="31"/>
      <c r="AA2346" s="32"/>
    </row>
    <row r="2347" spans="1:27" ht="12.75">
      <c r="A2347" s="17"/>
      <c r="B2347" s="17"/>
      <c r="C2347" s="17"/>
      <c r="D2347" s="17"/>
      <c r="E2347" s="17"/>
      <c r="F2347" s="17"/>
      <c r="G2347" s="17"/>
      <c r="H2347" s="17"/>
      <c r="I2347" s="31"/>
      <c r="J2347" s="17"/>
      <c r="K2347" s="17"/>
      <c r="L2347" s="17"/>
      <c r="M2347" s="17"/>
      <c r="N2347" s="17"/>
      <c r="O2347" s="17"/>
      <c r="P2347" s="17"/>
      <c r="Q2347" s="17"/>
      <c r="R2347" s="17"/>
      <c r="S2347" s="17"/>
      <c r="T2347" s="17"/>
      <c r="U2347" s="17"/>
      <c r="V2347" s="17"/>
      <c r="W2347" s="17"/>
      <c r="X2347" s="17"/>
      <c r="Y2347" s="17"/>
      <c r="Z2347" s="31"/>
      <c r="AA2347" s="32"/>
    </row>
    <row r="2348" spans="1:27" ht="12.75">
      <c r="A2348" s="17"/>
      <c r="B2348" s="17"/>
      <c r="C2348" s="17"/>
      <c r="D2348" s="17"/>
      <c r="E2348" s="17"/>
      <c r="F2348" s="17"/>
      <c r="G2348" s="17"/>
      <c r="H2348" s="17"/>
      <c r="I2348" s="31"/>
      <c r="J2348" s="17"/>
      <c r="K2348" s="17"/>
      <c r="L2348" s="17"/>
      <c r="M2348" s="17"/>
      <c r="N2348" s="17"/>
      <c r="O2348" s="17"/>
      <c r="P2348" s="17"/>
      <c r="Q2348" s="17"/>
      <c r="R2348" s="17"/>
      <c r="S2348" s="17"/>
      <c r="T2348" s="17"/>
      <c r="U2348" s="17"/>
      <c r="V2348" s="17"/>
      <c r="W2348" s="17"/>
      <c r="X2348" s="17"/>
      <c r="Y2348" s="17"/>
      <c r="Z2348" s="31"/>
      <c r="AA2348" s="32"/>
    </row>
    <row r="2349" spans="1:27" ht="12.75">
      <c r="A2349" s="17"/>
      <c r="B2349" s="17"/>
      <c r="C2349" s="17"/>
      <c r="D2349" s="17"/>
      <c r="E2349" s="17"/>
      <c r="F2349" s="17"/>
      <c r="G2349" s="17"/>
      <c r="H2349" s="17"/>
      <c r="I2349" s="31"/>
      <c r="J2349" s="17"/>
      <c r="K2349" s="17"/>
      <c r="L2349" s="17"/>
      <c r="M2349" s="17"/>
      <c r="N2349" s="17"/>
      <c r="O2349" s="17"/>
      <c r="P2349" s="17"/>
      <c r="Q2349" s="17"/>
      <c r="R2349" s="17"/>
      <c r="S2349" s="17"/>
      <c r="T2349" s="17"/>
      <c r="U2349" s="17"/>
      <c r="V2349" s="17"/>
      <c r="W2349" s="17"/>
      <c r="X2349" s="17"/>
      <c r="Y2349" s="17"/>
      <c r="Z2349" s="31"/>
      <c r="AA2349" s="32"/>
    </row>
    <row r="2350" spans="1:27" ht="12.75">
      <c r="A2350" s="17"/>
      <c r="B2350" s="17"/>
      <c r="C2350" s="17"/>
      <c r="D2350" s="17"/>
      <c r="E2350" s="17"/>
      <c r="F2350" s="17"/>
      <c r="G2350" s="17"/>
      <c r="H2350" s="17"/>
      <c r="I2350" s="31"/>
      <c r="J2350" s="17"/>
      <c r="K2350" s="17"/>
      <c r="L2350" s="17"/>
      <c r="M2350" s="17"/>
      <c r="N2350" s="17"/>
      <c r="O2350" s="17"/>
      <c r="P2350" s="17"/>
      <c r="Q2350" s="17"/>
      <c r="R2350" s="17"/>
      <c r="S2350" s="17"/>
      <c r="T2350" s="17"/>
      <c r="U2350" s="17"/>
      <c r="V2350" s="17"/>
      <c r="W2350" s="17"/>
      <c r="X2350" s="17"/>
      <c r="Y2350" s="17"/>
      <c r="Z2350" s="31"/>
      <c r="AA2350" s="32"/>
    </row>
    <row r="2351" spans="1:27" ht="12.75">
      <c r="A2351" s="17"/>
      <c r="B2351" s="17"/>
      <c r="C2351" s="17"/>
      <c r="D2351" s="17"/>
      <c r="E2351" s="17"/>
      <c r="F2351" s="17"/>
      <c r="G2351" s="17"/>
      <c r="H2351" s="17"/>
      <c r="I2351" s="31"/>
      <c r="J2351" s="17"/>
      <c r="K2351" s="17"/>
      <c r="L2351" s="17"/>
      <c r="M2351" s="17"/>
      <c r="N2351" s="17"/>
      <c r="O2351" s="17"/>
      <c r="P2351" s="17"/>
      <c r="Q2351" s="17"/>
      <c r="R2351" s="17"/>
      <c r="S2351" s="17"/>
      <c r="T2351" s="17"/>
      <c r="U2351" s="17"/>
      <c r="V2351" s="17"/>
      <c r="W2351" s="17"/>
      <c r="X2351" s="17"/>
      <c r="Y2351" s="17"/>
      <c r="Z2351" s="31"/>
      <c r="AA2351" s="32"/>
    </row>
    <row r="2352" spans="1:27" ht="12.75">
      <c r="A2352" s="17"/>
      <c r="B2352" s="17"/>
      <c r="C2352" s="17"/>
      <c r="D2352" s="17"/>
      <c r="E2352" s="17"/>
      <c r="F2352" s="17"/>
      <c r="G2352" s="17"/>
      <c r="H2352" s="17"/>
      <c r="I2352" s="31"/>
      <c r="J2352" s="17"/>
      <c r="K2352" s="17"/>
      <c r="L2352" s="17"/>
      <c r="M2352" s="17"/>
      <c r="N2352" s="17"/>
      <c r="O2352" s="17"/>
      <c r="P2352" s="17"/>
      <c r="Q2352" s="17"/>
      <c r="R2352" s="17"/>
      <c r="S2352" s="17"/>
      <c r="T2352" s="17"/>
      <c r="U2352" s="17"/>
      <c r="V2352" s="17"/>
      <c r="W2352" s="17"/>
      <c r="X2352" s="17"/>
      <c r="Y2352" s="17"/>
      <c r="Z2352" s="31"/>
      <c r="AA2352" s="32"/>
    </row>
    <row r="2353" spans="1:27" ht="12.75">
      <c r="A2353" s="17"/>
      <c r="B2353" s="17"/>
      <c r="C2353" s="17"/>
      <c r="D2353" s="17"/>
      <c r="E2353" s="17"/>
      <c r="F2353" s="17"/>
      <c r="G2353" s="17"/>
      <c r="H2353" s="17"/>
      <c r="I2353" s="31"/>
      <c r="J2353" s="17"/>
      <c r="K2353" s="17"/>
      <c r="L2353" s="17"/>
      <c r="M2353" s="17"/>
      <c r="N2353" s="17"/>
      <c r="O2353" s="17"/>
      <c r="P2353" s="17"/>
      <c r="Q2353" s="17"/>
      <c r="R2353" s="17"/>
      <c r="S2353" s="17"/>
      <c r="T2353" s="17"/>
      <c r="U2353" s="17"/>
      <c r="V2353" s="17"/>
      <c r="W2353" s="17"/>
      <c r="X2353" s="17"/>
      <c r="Y2353" s="17"/>
      <c r="Z2353" s="31"/>
      <c r="AA2353" s="32"/>
    </row>
    <row r="2354" spans="1:27" ht="12.75">
      <c r="A2354" s="17"/>
      <c r="B2354" s="17"/>
      <c r="C2354" s="17"/>
      <c r="D2354" s="17"/>
      <c r="E2354" s="17"/>
      <c r="F2354" s="17"/>
      <c r="G2354" s="17"/>
      <c r="H2354" s="17"/>
      <c r="I2354" s="31"/>
      <c r="J2354" s="17"/>
      <c r="K2354" s="17"/>
      <c r="L2354" s="17"/>
      <c r="M2354" s="17"/>
      <c r="N2354" s="17"/>
      <c r="O2354" s="17"/>
      <c r="P2354" s="17"/>
      <c r="Q2354" s="17"/>
      <c r="R2354" s="17"/>
      <c r="S2354" s="17"/>
      <c r="T2354" s="17"/>
      <c r="U2354" s="17"/>
      <c r="V2354" s="17"/>
      <c r="W2354" s="17"/>
      <c r="X2354" s="17"/>
      <c r="Y2354" s="17"/>
      <c r="Z2354" s="31"/>
      <c r="AA2354" s="32"/>
    </row>
    <row r="2355" spans="1:27" ht="12.75">
      <c r="A2355" s="17"/>
      <c r="B2355" s="17"/>
      <c r="C2355" s="17"/>
      <c r="D2355" s="17"/>
      <c r="E2355" s="17"/>
      <c r="F2355" s="17"/>
      <c r="G2355" s="17"/>
      <c r="H2355" s="17"/>
      <c r="I2355" s="31"/>
      <c r="J2355" s="17"/>
      <c r="K2355" s="17"/>
      <c r="L2355" s="17"/>
      <c r="M2355" s="17"/>
      <c r="N2355" s="17"/>
      <c r="O2355" s="17"/>
      <c r="P2355" s="17"/>
      <c r="Q2355" s="17"/>
      <c r="R2355" s="17"/>
      <c r="S2355" s="17"/>
      <c r="T2355" s="17"/>
      <c r="U2355" s="17"/>
      <c r="V2355" s="17"/>
      <c r="W2355" s="17"/>
      <c r="X2355" s="17"/>
      <c r="Y2355" s="17"/>
      <c r="Z2355" s="31"/>
      <c r="AA2355" s="32"/>
    </row>
    <row r="2356" spans="1:27" ht="12.75">
      <c r="A2356" s="17"/>
      <c r="B2356" s="17"/>
      <c r="C2356" s="17"/>
      <c r="D2356" s="17"/>
      <c r="E2356" s="17"/>
      <c r="F2356" s="17"/>
      <c r="G2356" s="17"/>
      <c r="H2356" s="17"/>
      <c r="I2356" s="31"/>
      <c r="J2356" s="17"/>
      <c r="K2356" s="17"/>
      <c r="L2356" s="17"/>
      <c r="M2356" s="17"/>
      <c r="N2356" s="17"/>
      <c r="O2356" s="17"/>
      <c r="P2356" s="17"/>
      <c r="Q2356" s="17"/>
      <c r="R2356" s="17"/>
      <c r="S2356" s="17"/>
      <c r="T2356" s="17"/>
      <c r="U2356" s="17"/>
      <c r="V2356" s="17"/>
      <c r="W2356" s="17"/>
      <c r="X2356" s="17"/>
      <c r="Y2356" s="17"/>
      <c r="Z2356" s="31"/>
      <c r="AA2356" s="32"/>
    </row>
    <row r="2357" spans="1:27" ht="12.75">
      <c r="A2357" s="17"/>
      <c r="B2357" s="17"/>
      <c r="C2357" s="17"/>
      <c r="D2357" s="17"/>
      <c r="E2357" s="17"/>
      <c r="F2357" s="17"/>
      <c r="G2357" s="17"/>
      <c r="H2357" s="17"/>
      <c r="I2357" s="31"/>
      <c r="J2357" s="17"/>
      <c r="K2357" s="17"/>
      <c r="L2357" s="17"/>
      <c r="M2357" s="17"/>
      <c r="N2357" s="17"/>
      <c r="O2357" s="17"/>
      <c r="P2357" s="17"/>
      <c r="Q2357" s="17"/>
      <c r="R2357" s="17"/>
      <c r="S2357" s="17"/>
      <c r="T2357" s="17"/>
      <c r="U2357" s="17"/>
      <c r="V2357" s="17"/>
      <c r="W2357" s="17"/>
      <c r="X2357" s="17"/>
      <c r="Y2357" s="17"/>
      <c r="Z2357" s="31"/>
      <c r="AA2357" s="32"/>
    </row>
    <row r="2358" spans="1:27" ht="12.75">
      <c r="A2358" s="17"/>
      <c r="B2358" s="17"/>
      <c r="C2358" s="17"/>
      <c r="D2358" s="17"/>
      <c r="E2358" s="17"/>
      <c r="F2358" s="17"/>
      <c r="G2358" s="17"/>
      <c r="H2358" s="17"/>
      <c r="I2358" s="31"/>
      <c r="J2358" s="17"/>
      <c r="K2358" s="17"/>
      <c r="L2358" s="17"/>
      <c r="M2358" s="17"/>
      <c r="N2358" s="17"/>
      <c r="O2358" s="17"/>
      <c r="P2358" s="17"/>
      <c r="Q2358" s="17"/>
      <c r="R2358" s="17"/>
      <c r="S2358" s="17"/>
      <c r="T2358" s="17"/>
      <c r="U2358" s="17"/>
      <c r="V2358" s="17"/>
      <c r="W2358" s="17"/>
      <c r="X2358" s="17"/>
      <c r="Y2358" s="17"/>
      <c r="Z2358" s="31"/>
      <c r="AA2358" s="32"/>
    </row>
    <row r="2359" spans="1:27" ht="12.75">
      <c r="A2359" s="17"/>
      <c r="B2359" s="17"/>
      <c r="C2359" s="17"/>
      <c r="D2359" s="17"/>
      <c r="E2359" s="17"/>
      <c r="F2359" s="17"/>
      <c r="G2359" s="17"/>
      <c r="H2359" s="17"/>
      <c r="I2359" s="31"/>
      <c r="J2359" s="17"/>
      <c r="K2359" s="17"/>
      <c r="L2359" s="17"/>
      <c r="M2359" s="17"/>
      <c r="N2359" s="17"/>
      <c r="O2359" s="17"/>
      <c r="P2359" s="17"/>
      <c r="Q2359" s="17"/>
      <c r="R2359" s="17"/>
      <c r="S2359" s="17"/>
      <c r="T2359" s="17"/>
      <c r="U2359" s="17"/>
      <c r="V2359" s="17"/>
      <c r="W2359" s="17"/>
      <c r="X2359" s="17"/>
      <c r="Y2359" s="17"/>
      <c r="Z2359" s="31"/>
      <c r="AA2359" s="32"/>
    </row>
    <row r="2360" spans="1:27" ht="12.75">
      <c r="A2360" s="17"/>
      <c r="B2360" s="17"/>
      <c r="C2360" s="17"/>
      <c r="D2360" s="17"/>
      <c r="E2360" s="17"/>
      <c r="F2360" s="17"/>
      <c r="G2360" s="17"/>
      <c r="H2360" s="17"/>
      <c r="I2360" s="31"/>
      <c r="J2360" s="17"/>
      <c r="K2360" s="17"/>
      <c r="L2360" s="17"/>
      <c r="M2360" s="17"/>
      <c r="N2360" s="17"/>
      <c r="O2360" s="17"/>
      <c r="P2360" s="17"/>
      <c r="Q2360" s="17"/>
      <c r="R2360" s="17"/>
      <c r="S2360" s="17"/>
      <c r="T2360" s="17"/>
      <c r="U2360" s="17"/>
      <c r="V2360" s="17"/>
      <c r="W2360" s="17"/>
      <c r="X2360" s="17"/>
      <c r="Y2360" s="17"/>
      <c r="Z2360" s="31"/>
      <c r="AA2360" s="32"/>
    </row>
    <row r="2361" spans="1:27" ht="12.75">
      <c r="A2361" s="17"/>
      <c r="B2361" s="17"/>
      <c r="C2361" s="17"/>
      <c r="D2361" s="17"/>
      <c r="E2361" s="17"/>
      <c r="F2361" s="17"/>
      <c r="G2361" s="17"/>
      <c r="H2361" s="17"/>
      <c r="I2361" s="31"/>
      <c r="J2361" s="17"/>
      <c r="K2361" s="17"/>
      <c r="L2361" s="17"/>
      <c r="M2361" s="17"/>
      <c r="N2361" s="17"/>
      <c r="O2361" s="17"/>
      <c r="P2361" s="17"/>
      <c r="Q2361" s="17"/>
      <c r="R2361" s="17"/>
      <c r="S2361" s="17"/>
      <c r="T2361" s="17"/>
      <c r="U2361" s="17"/>
      <c r="V2361" s="17"/>
      <c r="W2361" s="17"/>
      <c r="X2361" s="17"/>
      <c r="Y2361" s="17"/>
      <c r="Z2361" s="31"/>
      <c r="AA2361" s="32"/>
    </row>
    <row r="2362" spans="1:27" ht="12.75">
      <c r="A2362" s="17"/>
      <c r="B2362" s="17"/>
      <c r="C2362" s="17"/>
      <c r="D2362" s="17"/>
      <c r="E2362" s="17"/>
      <c r="F2362" s="17"/>
      <c r="G2362" s="17"/>
      <c r="H2362" s="17"/>
      <c r="I2362" s="31"/>
      <c r="J2362" s="17"/>
      <c r="K2362" s="17"/>
      <c r="L2362" s="17"/>
      <c r="M2362" s="17"/>
      <c r="N2362" s="17"/>
      <c r="O2362" s="17"/>
      <c r="P2362" s="17"/>
      <c r="Q2362" s="17"/>
      <c r="R2362" s="17"/>
      <c r="S2362" s="17"/>
      <c r="T2362" s="17"/>
      <c r="U2362" s="17"/>
      <c r="V2362" s="17"/>
      <c r="W2362" s="17"/>
      <c r="X2362" s="17"/>
      <c r="Y2362" s="17"/>
      <c r="Z2362" s="31"/>
      <c r="AA2362" s="32"/>
    </row>
    <row r="2363" spans="1:27" ht="12.75">
      <c r="A2363" s="17"/>
      <c r="B2363" s="17"/>
      <c r="C2363" s="17"/>
      <c r="D2363" s="17"/>
      <c r="E2363" s="17"/>
      <c r="F2363" s="17"/>
      <c r="G2363" s="17"/>
      <c r="H2363" s="17"/>
      <c r="I2363" s="31"/>
      <c r="J2363" s="17"/>
      <c r="K2363" s="17"/>
      <c r="L2363" s="17"/>
      <c r="M2363" s="17"/>
      <c r="N2363" s="17"/>
      <c r="O2363" s="17"/>
      <c r="P2363" s="17"/>
      <c r="Q2363" s="17"/>
      <c r="R2363" s="17"/>
      <c r="S2363" s="17"/>
      <c r="T2363" s="17"/>
      <c r="U2363" s="17"/>
      <c r="V2363" s="17"/>
      <c r="W2363" s="17"/>
      <c r="X2363" s="17"/>
      <c r="Y2363" s="17"/>
      <c r="Z2363" s="31"/>
      <c r="AA2363" s="32"/>
    </row>
    <row r="2364" spans="1:27" ht="12.75">
      <c r="A2364" s="17"/>
      <c r="B2364" s="17"/>
      <c r="C2364" s="17"/>
      <c r="D2364" s="17"/>
      <c r="E2364" s="17"/>
      <c r="F2364" s="17"/>
      <c r="G2364" s="17"/>
      <c r="H2364" s="17"/>
      <c r="I2364" s="31"/>
      <c r="J2364" s="17"/>
      <c r="K2364" s="17"/>
      <c r="L2364" s="17"/>
      <c r="M2364" s="17"/>
      <c r="N2364" s="17"/>
      <c r="O2364" s="17"/>
      <c r="P2364" s="17"/>
      <c r="Q2364" s="17"/>
      <c r="R2364" s="17"/>
      <c r="S2364" s="17"/>
      <c r="T2364" s="17"/>
      <c r="U2364" s="17"/>
      <c r="V2364" s="17"/>
      <c r="W2364" s="17"/>
      <c r="X2364" s="17"/>
      <c r="Y2364" s="17"/>
      <c r="Z2364" s="31"/>
      <c r="AA2364" s="32"/>
    </row>
    <row r="2365" spans="1:27" ht="12.75">
      <c r="A2365" s="17"/>
      <c r="B2365" s="17"/>
      <c r="C2365" s="17"/>
      <c r="D2365" s="17"/>
      <c r="E2365" s="17"/>
      <c r="F2365" s="17"/>
      <c r="G2365" s="17"/>
      <c r="H2365" s="17"/>
      <c r="I2365" s="31"/>
      <c r="J2365" s="17"/>
      <c r="K2365" s="17"/>
      <c r="L2365" s="17"/>
      <c r="M2365" s="17"/>
      <c r="N2365" s="17"/>
      <c r="O2365" s="17"/>
      <c r="P2365" s="17"/>
      <c r="Q2365" s="17"/>
      <c r="R2365" s="17"/>
      <c r="S2365" s="17"/>
      <c r="T2365" s="17"/>
      <c r="U2365" s="17"/>
      <c r="V2365" s="17"/>
      <c r="W2365" s="17"/>
      <c r="X2365" s="17"/>
      <c r="Y2365" s="17"/>
      <c r="Z2365" s="31"/>
      <c r="AA2365" s="32"/>
    </row>
    <row r="2366" spans="1:27" ht="12.75">
      <c r="A2366" s="17"/>
      <c r="B2366" s="17"/>
      <c r="C2366" s="17"/>
      <c r="D2366" s="17"/>
      <c r="E2366" s="17"/>
      <c r="F2366" s="17"/>
      <c r="G2366" s="17"/>
      <c r="H2366" s="17"/>
      <c r="I2366" s="31"/>
      <c r="J2366" s="17"/>
      <c r="K2366" s="17"/>
      <c r="L2366" s="17"/>
      <c r="M2366" s="17"/>
      <c r="N2366" s="17"/>
      <c r="O2366" s="17"/>
      <c r="P2366" s="17"/>
      <c r="Q2366" s="17"/>
      <c r="R2366" s="17"/>
      <c r="S2366" s="17"/>
      <c r="T2366" s="17"/>
      <c r="U2366" s="17"/>
      <c r="V2366" s="17"/>
      <c r="W2366" s="17"/>
      <c r="X2366" s="17"/>
      <c r="Y2366" s="17"/>
      <c r="Z2366" s="31"/>
      <c r="AA2366" s="32"/>
    </row>
    <row r="2367" spans="1:27" ht="12.75">
      <c r="A2367" s="17"/>
      <c r="B2367" s="17"/>
      <c r="C2367" s="17"/>
      <c r="D2367" s="17"/>
      <c r="E2367" s="17"/>
      <c r="F2367" s="17"/>
      <c r="G2367" s="17"/>
      <c r="H2367" s="17"/>
      <c r="I2367" s="31"/>
      <c r="J2367" s="17"/>
      <c r="K2367" s="17"/>
      <c r="L2367" s="17"/>
      <c r="M2367" s="17"/>
      <c r="N2367" s="17"/>
      <c r="O2367" s="17"/>
      <c r="P2367" s="17"/>
      <c r="Q2367" s="17"/>
      <c r="R2367" s="17"/>
      <c r="S2367" s="17"/>
      <c r="T2367" s="17"/>
      <c r="U2367" s="17"/>
      <c r="V2367" s="17"/>
      <c r="W2367" s="17"/>
      <c r="X2367" s="17"/>
      <c r="Y2367" s="17"/>
      <c r="Z2367" s="31"/>
      <c r="AA2367" s="32"/>
    </row>
    <row r="2368" spans="1:27" ht="12.75">
      <c r="A2368" s="17"/>
      <c r="B2368" s="17"/>
      <c r="C2368" s="17"/>
      <c r="D2368" s="17"/>
      <c r="E2368" s="17"/>
      <c r="F2368" s="17"/>
      <c r="G2368" s="17"/>
      <c r="H2368" s="17"/>
      <c r="I2368" s="31"/>
      <c r="J2368" s="17"/>
      <c r="K2368" s="17"/>
      <c r="L2368" s="17"/>
      <c r="M2368" s="17"/>
      <c r="N2368" s="17"/>
      <c r="O2368" s="17"/>
      <c r="P2368" s="17"/>
      <c r="Q2368" s="17"/>
      <c r="R2368" s="17"/>
      <c r="S2368" s="17"/>
      <c r="T2368" s="17"/>
      <c r="U2368" s="17"/>
      <c r="V2368" s="17"/>
      <c r="W2368" s="17"/>
      <c r="X2368" s="17"/>
      <c r="Y2368" s="17"/>
      <c r="Z2368" s="31"/>
      <c r="AA2368" s="32"/>
    </row>
    <row r="2369" spans="1:27" ht="12.75">
      <c r="A2369" s="17"/>
      <c r="B2369" s="17"/>
      <c r="C2369" s="17"/>
      <c r="D2369" s="17"/>
      <c r="E2369" s="17"/>
      <c r="F2369" s="17"/>
      <c r="G2369" s="17"/>
      <c r="H2369" s="17"/>
      <c r="I2369" s="31"/>
      <c r="J2369" s="17"/>
      <c r="K2369" s="17"/>
      <c r="L2369" s="17"/>
      <c r="M2369" s="17"/>
      <c r="N2369" s="17"/>
      <c r="O2369" s="17"/>
      <c r="P2369" s="17"/>
      <c r="Q2369" s="17"/>
      <c r="R2369" s="17"/>
      <c r="S2369" s="17"/>
      <c r="T2369" s="17"/>
      <c r="U2369" s="17"/>
      <c r="V2369" s="17"/>
      <c r="W2369" s="17"/>
      <c r="X2369" s="17"/>
      <c r="Y2369" s="17"/>
      <c r="Z2369" s="31"/>
      <c r="AA2369" s="32"/>
    </row>
    <row r="2370" spans="1:27" ht="12.75">
      <c r="A2370" s="17"/>
      <c r="B2370" s="17"/>
      <c r="C2370" s="17"/>
      <c r="D2370" s="17"/>
      <c r="E2370" s="17"/>
      <c r="F2370" s="17"/>
      <c r="G2370" s="17"/>
      <c r="H2370" s="17"/>
      <c r="I2370" s="31"/>
      <c r="J2370" s="17"/>
      <c r="K2370" s="17"/>
      <c r="L2370" s="17"/>
      <c r="M2370" s="17"/>
      <c r="N2370" s="17"/>
      <c r="O2370" s="17"/>
      <c r="P2370" s="17"/>
      <c r="Q2370" s="17"/>
      <c r="R2370" s="17"/>
      <c r="S2370" s="17"/>
      <c r="T2370" s="17"/>
      <c r="U2370" s="17"/>
      <c r="V2370" s="17"/>
      <c r="W2370" s="17"/>
      <c r="X2370" s="17"/>
      <c r="Y2370" s="17"/>
      <c r="Z2370" s="31"/>
      <c r="AA2370" s="32"/>
    </row>
    <row r="2371" spans="1:27" ht="12.75">
      <c r="A2371" s="17"/>
      <c r="B2371" s="17"/>
      <c r="C2371" s="17"/>
      <c r="D2371" s="17"/>
      <c r="E2371" s="17"/>
      <c r="F2371" s="17"/>
      <c r="G2371" s="17"/>
      <c r="H2371" s="17"/>
      <c r="I2371" s="31"/>
      <c r="J2371" s="17"/>
      <c r="K2371" s="17"/>
      <c r="L2371" s="17"/>
      <c r="M2371" s="17"/>
      <c r="N2371" s="17"/>
      <c r="O2371" s="17"/>
      <c r="P2371" s="17"/>
      <c r="Q2371" s="17"/>
      <c r="R2371" s="17"/>
      <c r="S2371" s="17"/>
      <c r="T2371" s="17"/>
      <c r="U2371" s="17"/>
      <c r="V2371" s="17"/>
      <c r="W2371" s="17"/>
      <c r="X2371" s="17"/>
      <c r="Y2371" s="17"/>
      <c r="Z2371" s="31"/>
      <c r="AA2371" s="32"/>
    </row>
    <row r="2372" spans="1:27" ht="12.75">
      <c r="A2372" s="17"/>
      <c r="B2372" s="17"/>
      <c r="C2372" s="17"/>
      <c r="D2372" s="17"/>
      <c r="E2372" s="17"/>
      <c r="F2372" s="17"/>
      <c r="G2372" s="17"/>
      <c r="H2372" s="17"/>
      <c r="I2372" s="31"/>
      <c r="J2372" s="17"/>
      <c r="K2372" s="17"/>
      <c r="L2372" s="17"/>
      <c r="M2372" s="17"/>
      <c r="N2372" s="17"/>
      <c r="O2372" s="17"/>
      <c r="P2372" s="17"/>
      <c r="Q2372" s="17"/>
      <c r="R2372" s="17"/>
      <c r="S2372" s="17"/>
      <c r="T2372" s="17"/>
      <c r="U2372" s="17"/>
      <c r="V2372" s="17"/>
      <c r="W2372" s="17"/>
      <c r="X2372" s="17"/>
      <c r="Y2372" s="17"/>
      <c r="Z2372" s="31"/>
      <c r="AA2372" s="32"/>
    </row>
    <row r="2373" spans="1:27" ht="12.75">
      <c r="A2373" s="17"/>
      <c r="B2373" s="17"/>
      <c r="C2373" s="17"/>
      <c r="D2373" s="17"/>
      <c r="E2373" s="17"/>
      <c r="F2373" s="17"/>
      <c r="G2373" s="17"/>
      <c r="H2373" s="17"/>
      <c r="I2373" s="31"/>
      <c r="J2373" s="17"/>
      <c r="K2373" s="17"/>
      <c r="L2373" s="17"/>
      <c r="M2373" s="17"/>
      <c r="N2373" s="17"/>
      <c r="O2373" s="17"/>
      <c r="P2373" s="17"/>
      <c r="Q2373" s="17"/>
      <c r="R2373" s="17"/>
      <c r="S2373" s="17"/>
      <c r="T2373" s="17"/>
      <c r="U2373" s="17"/>
      <c r="V2373" s="17"/>
      <c r="W2373" s="17"/>
      <c r="X2373" s="17"/>
      <c r="Y2373" s="17"/>
      <c r="Z2373" s="31"/>
      <c r="AA2373" s="32"/>
    </row>
    <row r="2374" spans="1:27" ht="12.75">
      <c r="A2374" s="17"/>
      <c r="B2374" s="17"/>
      <c r="C2374" s="17"/>
      <c r="D2374" s="17"/>
      <c r="E2374" s="17"/>
      <c r="F2374" s="17"/>
      <c r="G2374" s="17"/>
      <c r="H2374" s="17"/>
      <c r="I2374" s="31"/>
      <c r="J2374" s="17"/>
      <c r="K2374" s="17"/>
      <c r="L2374" s="17"/>
      <c r="M2374" s="17"/>
      <c r="N2374" s="17"/>
      <c r="O2374" s="17"/>
      <c r="P2374" s="17"/>
      <c r="Q2374" s="17"/>
      <c r="R2374" s="17"/>
      <c r="S2374" s="17"/>
      <c r="T2374" s="17"/>
      <c r="U2374" s="17"/>
      <c r="V2374" s="17"/>
      <c r="W2374" s="17"/>
      <c r="X2374" s="17"/>
      <c r="Y2374" s="17"/>
      <c r="Z2374" s="31"/>
      <c r="AA2374" s="32"/>
    </row>
    <row r="2375" spans="1:27" ht="12.75">
      <c r="A2375" s="17"/>
      <c r="B2375" s="17"/>
      <c r="C2375" s="17"/>
      <c r="D2375" s="17"/>
      <c r="E2375" s="17"/>
      <c r="F2375" s="17"/>
      <c r="G2375" s="17"/>
      <c r="H2375" s="17"/>
      <c r="I2375" s="31"/>
      <c r="J2375" s="17"/>
      <c r="K2375" s="17"/>
      <c r="L2375" s="17"/>
      <c r="M2375" s="17"/>
      <c r="N2375" s="17"/>
      <c r="O2375" s="17"/>
      <c r="P2375" s="17"/>
      <c r="Q2375" s="17"/>
      <c r="R2375" s="17"/>
      <c r="S2375" s="17"/>
      <c r="T2375" s="17"/>
      <c r="U2375" s="17"/>
      <c r="V2375" s="17"/>
      <c r="W2375" s="17"/>
      <c r="X2375" s="17"/>
      <c r="Y2375" s="17"/>
      <c r="Z2375" s="31"/>
      <c r="AA2375" s="32"/>
    </row>
    <row r="2376" spans="1:27" ht="12.75">
      <c r="A2376" s="17"/>
      <c r="B2376" s="17"/>
      <c r="C2376" s="17"/>
      <c r="D2376" s="17"/>
      <c r="E2376" s="17"/>
      <c r="F2376" s="17"/>
      <c r="G2376" s="17"/>
      <c r="H2376" s="17"/>
      <c r="I2376" s="31"/>
      <c r="J2376" s="17"/>
      <c r="K2376" s="17"/>
      <c r="L2376" s="17"/>
      <c r="M2376" s="17"/>
      <c r="N2376" s="17"/>
      <c r="O2376" s="17"/>
      <c r="P2376" s="17"/>
      <c r="Q2376" s="17"/>
      <c r="R2376" s="17"/>
      <c r="S2376" s="17"/>
      <c r="T2376" s="17"/>
      <c r="U2376" s="17"/>
      <c r="V2376" s="17"/>
      <c r="W2376" s="17"/>
      <c r="X2376" s="17"/>
      <c r="Y2376" s="17"/>
      <c r="Z2376" s="31"/>
      <c r="AA2376" s="32"/>
    </row>
    <row r="2377" spans="1:27" ht="12.75">
      <c r="A2377" s="17"/>
      <c r="B2377" s="17"/>
      <c r="C2377" s="17"/>
      <c r="D2377" s="17"/>
      <c r="E2377" s="17"/>
      <c r="F2377" s="17"/>
      <c r="G2377" s="17"/>
      <c r="H2377" s="17"/>
      <c r="I2377" s="31"/>
      <c r="J2377" s="17"/>
      <c r="K2377" s="17"/>
      <c r="L2377" s="17"/>
      <c r="M2377" s="17"/>
      <c r="N2377" s="17"/>
      <c r="O2377" s="17"/>
      <c r="P2377" s="17"/>
      <c r="Q2377" s="17"/>
      <c r="R2377" s="17"/>
      <c r="S2377" s="17"/>
      <c r="T2377" s="17"/>
      <c r="U2377" s="17"/>
      <c r="V2377" s="17"/>
      <c r="W2377" s="17"/>
      <c r="X2377" s="17"/>
      <c r="Y2377" s="17"/>
      <c r="Z2377" s="31"/>
      <c r="AA2377" s="32"/>
    </row>
    <row r="2378" spans="1:27" ht="12.75">
      <c r="A2378" s="17"/>
      <c r="B2378" s="17"/>
      <c r="C2378" s="17"/>
      <c r="D2378" s="17"/>
      <c r="E2378" s="17"/>
      <c r="F2378" s="17"/>
      <c r="G2378" s="17"/>
      <c r="H2378" s="17"/>
      <c r="I2378" s="31"/>
      <c r="J2378" s="17"/>
      <c r="K2378" s="17"/>
      <c r="L2378" s="17"/>
      <c r="M2378" s="17"/>
      <c r="N2378" s="17"/>
      <c r="O2378" s="17"/>
      <c r="P2378" s="17"/>
      <c r="Q2378" s="17"/>
      <c r="R2378" s="17"/>
      <c r="S2378" s="17"/>
      <c r="T2378" s="17"/>
      <c r="U2378" s="17"/>
      <c r="V2378" s="17"/>
      <c r="W2378" s="17"/>
      <c r="X2378" s="17"/>
      <c r="Y2378" s="17"/>
      <c r="Z2378" s="31"/>
      <c r="AA2378" s="32"/>
    </row>
    <row r="2379" spans="1:27" ht="12.75">
      <c r="A2379" s="17"/>
      <c r="B2379" s="17"/>
      <c r="C2379" s="17"/>
      <c r="D2379" s="17"/>
      <c r="E2379" s="17"/>
      <c r="F2379" s="17"/>
      <c r="G2379" s="17"/>
      <c r="H2379" s="17"/>
      <c r="I2379" s="31"/>
      <c r="J2379" s="17"/>
      <c r="K2379" s="17"/>
      <c r="L2379" s="17"/>
      <c r="M2379" s="17"/>
      <c r="N2379" s="17"/>
      <c r="O2379" s="17"/>
      <c r="P2379" s="17"/>
      <c r="Q2379" s="17"/>
      <c r="R2379" s="17"/>
      <c r="S2379" s="17"/>
      <c r="T2379" s="17"/>
      <c r="U2379" s="17"/>
      <c r="V2379" s="17"/>
      <c r="W2379" s="17"/>
      <c r="X2379" s="17"/>
      <c r="Y2379" s="17"/>
      <c r="Z2379" s="31"/>
      <c r="AA2379" s="32"/>
    </row>
    <row r="2380" spans="1:27" ht="12.75">
      <c r="A2380" s="17"/>
      <c r="B2380" s="17"/>
      <c r="C2380" s="17"/>
      <c r="D2380" s="17"/>
      <c r="E2380" s="17"/>
      <c r="F2380" s="17"/>
      <c r="G2380" s="17"/>
      <c r="H2380" s="17"/>
      <c r="I2380" s="31"/>
      <c r="J2380" s="17"/>
      <c r="K2380" s="17"/>
      <c r="L2380" s="17"/>
      <c r="M2380" s="17"/>
      <c r="N2380" s="17"/>
      <c r="O2380" s="17"/>
      <c r="P2380" s="17"/>
      <c r="Q2380" s="17"/>
      <c r="R2380" s="17"/>
      <c r="S2380" s="17"/>
      <c r="T2380" s="17"/>
      <c r="U2380" s="17"/>
      <c r="V2380" s="17"/>
      <c r="W2380" s="17"/>
      <c r="X2380" s="17"/>
      <c r="Y2380" s="17"/>
      <c r="Z2380" s="31"/>
      <c r="AA2380" s="32"/>
    </row>
    <row r="2381" spans="1:27" ht="12.75">
      <c r="A2381" s="17"/>
      <c r="B2381" s="17"/>
      <c r="C2381" s="17"/>
      <c r="D2381" s="17"/>
      <c r="E2381" s="17"/>
      <c r="F2381" s="17"/>
      <c r="G2381" s="17"/>
      <c r="H2381" s="17"/>
      <c r="I2381" s="31"/>
      <c r="J2381" s="17"/>
      <c r="K2381" s="17"/>
      <c r="L2381" s="17"/>
      <c r="M2381" s="17"/>
      <c r="N2381" s="17"/>
      <c r="O2381" s="17"/>
      <c r="P2381" s="17"/>
      <c r="Q2381" s="17"/>
      <c r="R2381" s="17"/>
      <c r="S2381" s="17"/>
      <c r="T2381" s="17"/>
      <c r="U2381" s="17"/>
      <c r="V2381" s="17"/>
      <c r="W2381" s="17"/>
      <c r="X2381" s="17"/>
      <c r="Y2381" s="17"/>
      <c r="Z2381" s="31"/>
      <c r="AA2381" s="32"/>
    </row>
    <row r="2382" spans="1:27" ht="12.75">
      <c r="A2382" s="17"/>
      <c r="B2382" s="17"/>
      <c r="C2382" s="17"/>
      <c r="D2382" s="17"/>
      <c r="E2382" s="17"/>
      <c r="F2382" s="17"/>
      <c r="G2382" s="17"/>
      <c r="H2382" s="17"/>
      <c r="I2382" s="31"/>
      <c r="J2382" s="17"/>
      <c r="K2382" s="17"/>
      <c r="L2382" s="17"/>
      <c r="M2382" s="17"/>
      <c r="N2382" s="17"/>
      <c r="O2382" s="17"/>
      <c r="P2382" s="17"/>
      <c r="Q2382" s="17"/>
      <c r="R2382" s="17"/>
      <c r="S2382" s="17"/>
      <c r="T2382" s="17"/>
      <c r="U2382" s="17"/>
      <c r="V2382" s="17"/>
      <c r="W2382" s="17"/>
      <c r="X2382" s="17"/>
      <c r="Y2382" s="17"/>
      <c r="Z2382" s="31"/>
      <c r="AA2382" s="32"/>
    </row>
    <row r="2383" spans="1:27" ht="12.75">
      <c r="A2383" s="17"/>
      <c r="B2383" s="17"/>
      <c r="C2383" s="17"/>
      <c r="D2383" s="17"/>
      <c r="E2383" s="17"/>
      <c r="F2383" s="17"/>
      <c r="G2383" s="17"/>
      <c r="H2383" s="17"/>
      <c r="I2383" s="31"/>
      <c r="J2383" s="17"/>
      <c r="K2383" s="17"/>
      <c r="L2383" s="17"/>
      <c r="M2383" s="17"/>
      <c r="N2383" s="17"/>
      <c r="O2383" s="17"/>
      <c r="P2383" s="17"/>
      <c r="Q2383" s="17"/>
      <c r="R2383" s="17"/>
      <c r="S2383" s="17"/>
      <c r="T2383" s="17"/>
      <c r="U2383" s="17"/>
      <c r="V2383" s="17"/>
      <c r="W2383" s="17"/>
      <c r="X2383" s="17"/>
      <c r="Y2383" s="17"/>
      <c r="Z2383" s="31"/>
      <c r="AA2383" s="32"/>
    </row>
    <row r="2384" spans="1:27" ht="12.75">
      <c r="A2384" s="17"/>
      <c r="B2384" s="17"/>
      <c r="C2384" s="17"/>
      <c r="D2384" s="17"/>
      <c r="E2384" s="17"/>
      <c r="F2384" s="17"/>
      <c r="G2384" s="17"/>
      <c r="H2384" s="17"/>
      <c r="I2384" s="31"/>
      <c r="J2384" s="17"/>
      <c r="K2384" s="17"/>
      <c r="L2384" s="17"/>
      <c r="M2384" s="17"/>
      <c r="N2384" s="17"/>
      <c r="O2384" s="17"/>
      <c r="P2384" s="17"/>
      <c r="Q2384" s="17"/>
      <c r="R2384" s="17"/>
      <c r="S2384" s="17"/>
      <c r="T2384" s="17"/>
      <c r="U2384" s="17"/>
      <c r="V2384" s="17"/>
      <c r="W2384" s="17"/>
      <c r="X2384" s="17"/>
      <c r="Y2384" s="17"/>
      <c r="Z2384" s="31"/>
      <c r="AA2384" s="32"/>
    </row>
    <row r="2385" spans="1:27" ht="12.75">
      <c r="A2385" s="17"/>
      <c r="B2385" s="17"/>
      <c r="C2385" s="17"/>
      <c r="D2385" s="17"/>
      <c r="E2385" s="17"/>
      <c r="F2385" s="17"/>
      <c r="G2385" s="17"/>
      <c r="H2385" s="17"/>
      <c r="I2385" s="31"/>
      <c r="J2385" s="17"/>
      <c r="K2385" s="17"/>
      <c r="L2385" s="17"/>
      <c r="M2385" s="17"/>
      <c r="N2385" s="17"/>
      <c r="O2385" s="17"/>
      <c r="P2385" s="17"/>
      <c r="Q2385" s="17"/>
      <c r="R2385" s="17"/>
      <c r="S2385" s="17"/>
      <c r="T2385" s="17"/>
      <c r="U2385" s="17"/>
      <c r="V2385" s="17"/>
      <c r="W2385" s="17"/>
      <c r="X2385" s="17"/>
      <c r="Y2385" s="17"/>
      <c r="Z2385" s="31"/>
      <c r="AA2385" s="32"/>
    </row>
    <row r="2386" spans="1:27" ht="12.75">
      <c r="A2386" s="17"/>
      <c r="B2386" s="17"/>
      <c r="C2386" s="17"/>
      <c r="D2386" s="17"/>
      <c r="E2386" s="17"/>
      <c r="F2386" s="17"/>
      <c r="G2386" s="17"/>
      <c r="H2386" s="17"/>
      <c r="I2386" s="31"/>
      <c r="J2386" s="17"/>
      <c r="K2386" s="17"/>
      <c r="L2386" s="17"/>
      <c r="M2386" s="17"/>
      <c r="N2386" s="17"/>
      <c r="O2386" s="17"/>
      <c r="P2386" s="17"/>
      <c r="Q2386" s="17"/>
      <c r="R2386" s="17"/>
      <c r="S2386" s="17"/>
      <c r="T2386" s="17"/>
      <c r="U2386" s="17"/>
      <c r="V2386" s="17"/>
      <c r="W2386" s="17"/>
      <c r="X2386" s="17"/>
      <c r="Y2386" s="17"/>
      <c r="Z2386" s="31"/>
      <c r="AA2386" s="32"/>
    </row>
    <row r="2387" spans="1:27" ht="12.75">
      <c r="A2387" s="17"/>
      <c r="B2387" s="17"/>
      <c r="C2387" s="17"/>
      <c r="D2387" s="17"/>
      <c r="E2387" s="17"/>
      <c r="F2387" s="17"/>
      <c r="G2387" s="17"/>
      <c r="H2387" s="17"/>
      <c r="I2387" s="31"/>
      <c r="J2387" s="17"/>
      <c r="K2387" s="17"/>
      <c r="L2387" s="17"/>
      <c r="M2387" s="17"/>
      <c r="N2387" s="17"/>
      <c r="O2387" s="17"/>
      <c r="P2387" s="17"/>
      <c r="Q2387" s="17"/>
      <c r="R2387" s="17"/>
      <c r="S2387" s="17"/>
      <c r="T2387" s="17"/>
      <c r="U2387" s="17"/>
      <c r="V2387" s="17"/>
      <c r="W2387" s="17"/>
      <c r="X2387" s="17"/>
      <c r="Y2387" s="17"/>
      <c r="Z2387" s="31"/>
      <c r="AA2387" s="32"/>
    </row>
    <row r="2388" spans="1:27" ht="12.75">
      <c r="A2388" s="17"/>
      <c r="B2388" s="17"/>
      <c r="C2388" s="17"/>
      <c r="D2388" s="17"/>
      <c r="E2388" s="17"/>
      <c r="F2388" s="17"/>
      <c r="G2388" s="17"/>
      <c r="H2388" s="17"/>
      <c r="I2388" s="31"/>
      <c r="J2388" s="17"/>
      <c r="K2388" s="17"/>
      <c r="L2388" s="17"/>
      <c r="M2388" s="17"/>
      <c r="N2388" s="17"/>
      <c r="O2388" s="17"/>
      <c r="P2388" s="17"/>
      <c r="Q2388" s="17"/>
      <c r="R2388" s="17"/>
      <c r="S2388" s="17"/>
      <c r="T2388" s="17"/>
      <c r="U2388" s="17"/>
      <c r="V2388" s="17"/>
      <c r="W2388" s="17"/>
      <c r="X2388" s="17"/>
      <c r="Y2388" s="17"/>
      <c r="Z2388" s="31"/>
      <c r="AA2388" s="32"/>
    </row>
    <row r="2389" spans="1:27" ht="12.75">
      <c r="A2389" s="17"/>
      <c r="B2389" s="17"/>
      <c r="C2389" s="17"/>
      <c r="D2389" s="17"/>
      <c r="E2389" s="17"/>
      <c r="F2389" s="17"/>
      <c r="G2389" s="17"/>
      <c r="H2389" s="17"/>
      <c r="I2389" s="31"/>
      <c r="J2389" s="17"/>
      <c r="K2389" s="17"/>
      <c r="L2389" s="17"/>
      <c r="M2389" s="17"/>
      <c r="N2389" s="17"/>
      <c r="O2389" s="17"/>
      <c r="P2389" s="17"/>
      <c r="Q2389" s="17"/>
      <c r="R2389" s="17"/>
      <c r="S2389" s="17"/>
      <c r="T2389" s="17"/>
      <c r="U2389" s="17"/>
      <c r="V2389" s="17"/>
      <c r="W2389" s="17"/>
      <c r="X2389" s="17"/>
      <c r="Y2389" s="17"/>
      <c r="Z2389" s="31"/>
      <c r="AA2389" s="32"/>
    </row>
    <row r="2390" spans="1:27" ht="12.75">
      <c r="A2390" s="17"/>
      <c r="B2390" s="17"/>
      <c r="C2390" s="17"/>
      <c r="D2390" s="17"/>
      <c r="E2390" s="17"/>
      <c r="F2390" s="17"/>
      <c r="G2390" s="17"/>
      <c r="H2390" s="17"/>
      <c r="I2390" s="31"/>
      <c r="J2390" s="17"/>
      <c r="K2390" s="17"/>
      <c r="L2390" s="17"/>
      <c r="M2390" s="17"/>
      <c r="N2390" s="17"/>
      <c r="O2390" s="17"/>
      <c r="P2390" s="17"/>
      <c r="Q2390" s="17"/>
      <c r="R2390" s="17"/>
      <c r="S2390" s="17"/>
      <c r="T2390" s="17"/>
      <c r="U2390" s="17"/>
      <c r="V2390" s="17"/>
      <c r="W2390" s="17"/>
      <c r="X2390" s="17"/>
      <c r="Y2390" s="17"/>
      <c r="Z2390" s="31"/>
      <c r="AA2390" s="32"/>
    </row>
    <row r="2391" spans="1:27" ht="12.75">
      <c r="A2391" s="17"/>
      <c r="B2391" s="17"/>
      <c r="C2391" s="17"/>
      <c r="D2391" s="17"/>
      <c r="E2391" s="17"/>
      <c r="F2391" s="17"/>
      <c r="G2391" s="17"/>
      <c r="H2391" s="17"/>
      <c r="I2391" s="31"/>
      <c r="J2391" s="17"/>
      <c r="K2391" s="17"/>
      <c r="L2391" s="17"/>
      <c r="M2391" s="17"/>
      <c r="N2391" s="17"/>
      <c r="O2391" s="17"/>
      <c r="P2391" s="17"/>
      <c r="Q2391" s="17"/>
      <c r="R2391" s="17"/>
      <c r="S2391" s="17"/>
      <c r="T2391" s="17"/>
      <c r="U2391" s="17"/>
      <c r="V2391" s="17"/>
      <c r="W2391" s="17"/>
      <c r="X2391" s="17"/>
      <c r="Y2391" s="17"/>
      <c r="Z2391" s="31"/>
      <c r="AA2391" s="32"/>
    </row>
    <row r="2392" spans="1:27" ht="12.75">
      <c r="A2392" s="17"/>
      <c r="B2392" s="17"/>
      <c r="C2392" s="17"/>
      <c r="D2392" s="17"/>
      <c r="E2392" s="17"/>
      <c r="F2392" s="17"/>
      <c r="G2392" s="17"/>
      <c r="H2392" s="17"/>
      <c r="I2392" s="31"/>
      <c r="J2392" s="17"/>
      <c r="K2392" s="17"/>
      <c r="L2392" s="17"/>
      <c r="M2392" s="17"/>
      <c r="N2392" s="17"/>
      <c r="O2392" s="17"/>
      <c r="P2392" s="17"/>
      <c r="Q2392" s="17"/>
      <c r="R2392" s="17"/>
      <c r="S2392" s="17"/>
      <c r="T2392" s="17"/>
      <c r="U2392" s="17"/>
      <c r="V2392" s="17"/>
      <c r="W2392" s="17"/>
      <c r="X2392" s="17"/>
      <c r="Y2392" s="17"/>
      <c r="Z2392" s="31"/>
      <c r="AA2392" s="32"/>
    </row>
    <row r="2393" spans="1:27" ht="12.75">
      <c r="A2393" s="17"/>
      <c r="B2393" s="17"/>
      <c r="C2393" s="17"/>
      <c r="D2393" s="17"/>
      <c r="E2393" s="17"/>
      <c r="F2393" s="17"/>
      <c r="G2393" s="17"/>
      <c r="H2393" s="17"/>
      <c r="I2393" s="31"/>
      <c r="J2393" s="17"/>
      <c r="K2393" s="17"/>
      <c r="L2393" s="17"/>
      <c r="M2393" s="17"/>
      <c r="N2393" s="17"/>
      <c r="O2393" s="17"/>
      <c r="P2393" s="17"/>
      <c r="Q2393" s="17"/>
      <c r="R2393" s="17"/>
      <c r="S2393" s="17"/>
      <c r="T2393" s="17"/>
      <c r="U2393" s="17"/>
      <c r="V2393" s="17"/>
      <c r="W2393" s="17"/>
      <c r="X2393" s="17"/>
      <c r="Y2393" s="17"/>
      <c r="Z2393" s="31"/>
      <c r="AA2393" s="32"/>
    </row>
    <row r="2394" spans="1:27" ht="12.75">
      <c r="A2394" s="17"/>
      <c r="B2394" s="17"/>
      <c r="C2394" s="17"/>
      <c r="D2394" s="17"/>
      <c r="E2394" s="17"/>
      <c r="F2394" s="17"/>
      <c r="G2394" s="17"/>
      <c r="H2394" s="17"/>
      <c r="I2394" s="31"/>
      <c r="J2394" s="17"/>
      <c r="K2394" s="17"/>
      <c r="L2394" s="17"/>
      <c r="M2394" s="17"/>
      <c r="N2394" s="17"/>
      <c r="O2394" s="17"/>
      <c r="P2394" s="17"/>
      <c r="Q2394" s="17"/>
      <c r="R2394" s="17"/>
      <c r="S2394" s="17"/>
      <c r="T2394" s="17"/>
      <c r="U2394" s="17"/>
      <c r="V2394" s="17"/>
      <c r="W2394" s="17"/>
      <c r="X2394" s="17"/>
      <c r="Y2394" s="17"/>
      <c r="Z2394" s="31"/>
      <c r="AA2394" s="32"/>
    </row>
    <row r="2395" spans="1:27" ht="12.75">
      <c r="A2395" s="17"/>
      <c r="B2395" s="17"/>
      <c r="C2395" s="17"/>
      <c r="D2395" s="17"/>
      <c r="E2395" s="17"/>
      <c r="F2395" s="17"/>
      <c r="G2395" s="17"/>
      <c r="H2395" s="17"/>
      <c r="I2395" s="31"/>
      <c r="J2395" s="17"/>
      <c r="K2395" s="17"/>
      <c r="L2395" s="17"/>
      <c r="M2395" s="17"/>
      <c r="N2395" s="17"/>
      <c r="O2395" s="17"/>
      <c r="P2395" s="17"/>
      <c r="Q2395" s="17"/>
      <c r="R2395" s="17"/>
      <c r="S2395" s="17"/>
      <c r="T2395" s="17"/>
      <c r="U2395" s="17"/>
      <c r="V2395" s="17"/>
      <c r="W2395" s="17"/>
      <c r="X2395" s="17"/>
      <c r="Y2395" s="17"/>
      <c r="Z2395" s="31"/>
      <c r="AA2395" s="32"/>
    </row>
    <row r="2396" spans="1:27" ht="12.75">
      <c r="A2396" s="17"/>
      <c r="B2396" s="17"/>
      <c r="C2396" s="17"/>
      <c r="D2396" s="17"/>
      <c r="E2396" s="17"/>
      <c r="F2396" s="17"/>
      <c r="G2396" s="17"/>
      <c r="H2396" s="17"/>
      <c r="I2396" s="31"/>
      <c r="J2396" s="17"/>
      <c r="K2396" s="17"/>
      <c r="L2396" s="17"/>
      <c r="M2396" s="17"/>
      <c r="N2396" s="17"/>
      <c r="O2396" s="17"/>
      <c r="P2396" s="17"/>
      <c r="Q2396" s="17"/>
      <c r="R2396" s="17"/>
      <c r="S2396" s="17"/>
      <c r="T2396" s="17"/>
      <c r="U2396" s="17"/>
      <c r="V2396" s="17"/>
      <c r="W2396" s="17"/>
      <c r="X2396" s="17"/>
      <c r="Y2396" s="17"/>
      <c r="Z2396" s="31"/>
      <c r="AA2396" s="32"/>
    </row>
    <row r="2397" spans="1:27" ht="12.75">
      <c r="A2397" s="17"/>
      <c r="B2397" s="17"/>
      <c r="C2397" s="17"/>
      <c r="D2397" s="17"/>
      <c r="E2397" s="17"/>
      <c r="F2397" s="17"/>
      <c r="G2397" s="17"/>
      <c r="H2397" s="17"/>
      <c r="I2397" s="31"/>
      <c r="J2397" s="17"/>
      <c r="K2397" s="17"/>
      <c r="L2397" s="17"/>
      <c r="M2397" s="17"/>
      <c r="N2397" s="17"/>
      <c r="O2397" s="17"/>
      <c r="P2397" s="17"/>
      <c r="Q2397" s="17"/>
      <c r="R2397" s="17"/>
      <c r="S2397" s="17"/>
      <c r="T2397" s="17"/>
      <c r="U2397" s="17"/>
      <c r="V2397" s="17"/>
      <c r="W2397" s="17"/>
      <c r="X2397" s="17"/>
      <c r="Y2397" s="17"/>
      <c r="Z2397" s="31"/>
      <c r="AA2397" s="32"/>
    </row>
    <row r="2398" spans="1:27" ht="12.75">
      <c r="A2398" s="17"/>
      <c r="B2398" s="17"/>
      <c r="C2398" s="17"/>
      <c r="D2398" s="17"/>
      <c r="E2398" s="17"/>
      <c r="F2398" s="17"/>
      <c r="G2398" s="17"/>
      <c r="H2398" s="17"/>
      <c r="I2398" s="31"/>
      <c r="J2398" s="17"/>
      <c r="K2398" s="17"/>
      <c r="L2398" s="17"/>
      <c r="M2398" s="17"/>
      <c r="N2398" s="17"/>
      <c r="O2398" s="17"/>
      <c r="P2398" s="17"/>
      <c r="Q2398" s="17"/>
      <c r="R2398" s="17"/>
      <c r="S2398" s="17"/>
      <c r="T2398" s="17"/>
      <c r="U2398" s="17"/>
      <c r="V2398" s="17"/>
      <c r="W2398" s="17"/>
      <c r="X2398" s="17"/>
      <c r="Y2398" s="17"/>
      <c r="Z2398" s="31"/>
      <c r="AA2398" s="32"/>
    </row>
    <row r="2399" spans="1:27" ht="12.75">
      <c r="A2399" s="17"/>
      <c r="B2399" s="17"/>
      <c r="C2399" s="17"/>
      <c r="D2399" s="17"/>
      <c r="E2399" s="17"/>
      <c r="F2399" s="17"/>
      <c r="G2399" s="17"/>
      <c r="H2399" s="17"/>
      <c r="I2399" s="31"/>
      <c r="J2399" s="17"/>
      <c r="K2399" s="17"/>
      <c r="L2399" s="17"/>
      <c r="M2399" s="17"/>
      <c r="N2399" s="17"/>
      <c r="O2399" s="17"/>
      <c r="P2399" s="17"/>
      <c r="Q2399" s="17"/>
      <c r="R2399" s="17"/>
      <c r="S2399" s="17"/>
      <c r="T2399" s="17"/>
      <c r="U2399" s="17"/>
      <c r="V2399" s="17"/>
      <c r="W2399" s="17"/>
      <c r="X2399" s="17"/>
      <c r="Y2399" s="17"/>
      <c r="Z2399" s="31"/>
      <c r="AA2399" s="32"/>
    </row>
    <row r="2400" spans="1:27" ht="12.75">
      <c r="A2400" s="17"/>
      <c r="B2400" s="17"/>
      <c r="C2400" s="17"/>
      <c r="D2400" s="17"/>
      <c r="E2400" s="17"/>
      <c r="F2400" s="17"/>
      <c r="G2400" s="17"/>
      <c r="H2400" s="17"/>
      <c r="I2400" s="31"/>
      <c r="J2400" s="17"/>
      <c r="K2400" s="17"/>
      <c r="L2400" s="17"/>
      <c r="M2400" s="17"/>
      <c r="N2400" s="17"/>
      <c r="O2400" s="17"/>
      <c r="P2400" s="17"/>
      <c r="Q2400" s="17"/>
      <c r="R2400" s="17"/>
      <c r="S2400" s="17"/>
      <c r="T2400" s="17"/>
      <c r="U2400" s="17"/>
      <c r="V2400" s="17"/>
      <c r="W2400" s="17"/>
      <c r="X2400" s="17"/>
      <c r="Y2400" s="17"/>
      <c r="Z2400" s="31"/>
      <c r="AA2400" s="32"/>
    </row>
    <row r="2401" spans="1:27" ht="12.75">
      <c r="A2401" s="17"/>
      <c r="B2401" s="17"/>
      <c r="C2401" s="17"/>
      <c r="D2401" s="17"/>
      <c r="E2401" s="17"/>
      <c r="F2401" s="17"/>
      <c r="G2401" s="17"/>
      <c r="H2401" s="17"/>
      <c r="I2401" s="31"/>
      <c r="J2401" s="17"/>
      <c r="K2401" s="17"/>
      <c r="L2401" s="17"/>
      <c r="M2401" s="17"/>
      <c r="N2401" s="17"/>
      <c r="O2401" s="17"/>
      <c r="P2401" s="17"/>
      <c r="Q2401" s="17"/>
      <c r="R2401" s="17"/>
      <c r="S2401" s="17"/>
      <c r="T2401" s="17"/>
      <c r="U2401" s="17"/>
      <c r="V2401" s="17"/>
      <c r="W2401" s="17"/>
      <c r="X2401" s="17"/>
      <c r="Y2401" s="17"/>
      <c r="Z2401" s="31"/>
      <c r="AA2401" s="32"/>
    </row>
    <row r="2402" spans="1:27" ht="12.75">
      <c r="A2402" s="17"/>
      <c r="B2402" s="17"/>
      <c r="C2402" s="17"/>
      <c r="D2402" s="17"/>
      <c r="E2402" s="17"/>
      <c r="F2402" s="17"/>
      <c r="G2402" s="17"/>
      <c r="H2402" s="17"/>
      <c r="I2402" s="31"/>
      <c r="J2402" s="17"/>
      <c r="K2402" s="17"/>
      <c r="L2402" s="17"/>
      <c r="M2402" s="17"/>
      <c r="N2402" s="17"/>
      <c r="O2402" s="17"/>
      <c r="P2402" s="17"/>
      <c r="Q2402" s="17"/>
      <c r="R2402" s="17"/>
      <c r="S2402" s="17"/>
      <c r="T2402" s="17"/>
      <c r="U2402" s="17"/>
      <c r="V2402" s="17"/>
      <c r="W2402" s="17"/>
      <c r="X2402" s="17"/>
      <c r="Y2402" s="17"/>
      <c r="Z2402" s="31"/>
      <c r="AA2402" s="32"/>
    </row>
    <row r="2403" spans="1:27" ht="12.75">
      <c r="A2403" s="17"/>
      <c r="B2403" s="17"/>
      <c r="C2403" s="17"/>
      <c r="D2403" s="17"/>
      <c r="E2403" s="17"/>
      <c r="F2403" s="17"/>
      <c r="G2403" s="17"/>
      <c r="H2403" s="17"/>
      <c r="I2403" s="31"/>
      <c r="J2403" s="17"/>
      <c r="K2403" s="17"/>
      <c r="L2403" s="17"/>
      <c r="M2403" s="17"/>
      <c r="N2403" s="17"/>
      <c r="O2403" s="17"/>
      <c r="P2403" s="17"/>
      <c r="Q2403" s="17"/>
      <c r="R2403" s="17"/>
      <c r="S2403" s="17"/>
      <c r="T2403" s="17"/>
      <c r="U2403" s="17"/>
      <c r="V2403" s="17"/>
      <c r="W2403" s="17"/>
      <c r="X2403" s="17"/>
      <c r="Y2403" s="17"/>
      <c r="Z2403" s="31"/>
      <c r="AA2403" s="32"/>
    </row>
    <row r="2404" spans="1:27" ht="12.75">
      <c r="A2404" s="17"/>
      <c r="B2404" s="17"/>
      <c r="C2404" s="17"/>
      <c r="D2404" s="17"/>
      <c r="E2404" s="17"/>
      <c r="F2404" s="17"/>
      <c r="G2404" s="17"/>
      <c r="H2404" s="17"/>
      <c r="I2404" s="31"/>
      <c r="J2404" s="17"/>
      <c r="K2404" s="17"/>
      <c r="L2404" s="17"/>
      <c r="M2404" s="17"/>
      <c r="N2404" s="17"/>
      <c r="O2404" s="17"/>
      <c r="P2404" s="17"/>
      <c r="Q2404" s="17"/>
      <c r="R2404" s="17"/>
      <c r="S2404" s="17"/>
      <c r="T2404" s="17"/>
      <c r="U2404" s="17"/>
      <c r="V2404" s="17"/>
      <c r="W2404" s="17"/>
      <c r="X2404" s="17"/>
      <c r="Y2404" s="17"/>
      <c r="Z2404" s="31"/>
      <c r="AA2404" s="32"/>
    </row>
    <row r="2405" spans="1:27" ht="12.75">
      <c r="A2405" s="17"/>
      <c r="B2405" s="17"/>
      <c r="C2405" s="17"/>
      <c r="D2405" s="17"/>
      <c r="E2405" s="17"/>
      <c r="F2405" s="17"/>
      <c r="G2405" s="17"/>
      <c r="H2405" s="17"/>
      <c r="I2405" s="31"/>
      <c r="J2405" s="17"/>
      <c r="K2405" s="17"/>
      <c r="L2405" s="17"/>
      <c r="M2405" s="17"/>
      <c r="N2405" s="17"/>
      <c r="O2405" s="17"/>
      <c r="P2405" s="17"/>
      <c r="Q2405" s="17"/>
      <c r="R2405" s="17"/>
      <c r="S2405" s="17"/>
      <c r="T2405" s="17"/>
      <c r="U2405" s="17"/>
      <c r="V2405" s="17"/>
      <c r="W2405" s="17"/>
      <c r="X2405" s="17"/>
      <c r="Y2405" s="17"/>
      <c r="Z2405" s="31"/>
      <c r="AA2405" s="32"/>
    </row>
    <row r="2406" spans="1:27" ht="12.75">
      <c r="A2406" s="17"/>
      <c r="B2406" s="17"/>
      <c r="C2406" s="17"/>
      <c r="D2406" s="17"/>
      <c r="E2406" s="17"/>
      <c r="F2406" s="17"/>
      <c r="G2406" s="17"/>
      <c r="H2406" s="17"/>
      <c r="I2406" s="31"/>
      <c r="J2406" s="17"/>
      <c r="K2406" s="17"/>
      <c r="L2406" s="17"/>
      <c r="M2406" s="17"/>
      <c r="N2406" s="17"/>
      <c r="O2406" s="17"/>
      <c r="P2406" s="17"/>
      <c r="Q2406" s="17"/>
      <c r="R2406" s="17"/>
      <c r="S2406" s="17"/>
      <c r="T2406" s="17"/>
      <c r="U2406" s="17"/>
      <c r="V2406" s="17"/>
      <c r="W2406" s="17"/>
      <c r="X2406" s="17"/>
      <c r="Y2406" s="17"/>
      <c r="Z2406" s="31"/>
      <c r="AA2406" s="32"/>
    </row>
    <row r="2407" spans="1:27" ht="12.75">
      <c r="A2407" s="17"/>
      <c r="B2407" s="17"/>
      <c r="C2407" s="17"/>
      <c r="D2407" s="17"/>
      <c r="E2407" s="17"/>
      <c r="F2407" s="17"/>
      <c r="G2407" s="17"/>
      <c r="H2407" s="17"/>
      <c r="I2407" s="31"/>
      <c r="J2407" s="17"/>
      <c r="K2407" s="17"/>
      <c r="L2407" s="17"/>
      <c r="M2407" s="17"/>
      <c r="N2407" s="17"/>
      <c r="O2407" s="17"/>
      <c r="P2407" s="17"/>
      <c r="Q2407" s="17"/>
      <c r="R2407" s="17"/>
      <c r="S2407" s="17"/>
      <c r="T2407" s="17"/>
      <c r="U2407" s="17"/>
      <c r="V2407" s="17"/>
      <c r="W2407" s="17"/>
      <c r="X2407" s="17"/>
      <c r="Y2407" s="17"/>
      <c r="Z2407" s="31"/>
      <c r="AA2407" s="32"/>
    </row>
    <row r="2408" spans="1:27" ht="12.75">
      <c r="A2408" s="17"/>
      <c r="B2408" s="17"/>
      <c r="C2408" s="17"/>
      <c r="D2408" s="17"/>
      <c r="E2408" s="17"/>
      <c r="F2408" s="17"/>
      <c r="G2408" s="17"/>
      <c r="H2408" s="17"/>
      <c r="I2408" s="31"/>
      <c r="J2408" s="17"/>
      <c r="K2408" s="17"/>
      <c r="L2408" s="17"/>
      <c r="M2408" s="17"/>
      <c r="N2408" s="17"/>
      <c r="O2408" s="17"/>
      <c r="P2408" s="17"/>
      <c r="Q2408" s="17"/>
      <c r="R2408" s="17"/>
      <c r="S2408" s="17"/>
      <c r="T2408" s="17"/>
      <c r="U2408" s="17"/>
      <c r="V2408" s="17"/>
      <c r="W2408" s="17"/>
      <c r="X2408" s="17"/>
      <c r="Y2408" s="17"/>
      <c r="Z2408" s="31"/>
      <c r="AA2408" s="32"/>
    </row>
    <row r="2409" spans="1:27" ht="12.75">
      <c r="A2409" s="17"/>
      <c r="B2409" s="17"/>
      <c r="C2409" s="17"/>
      <c r="D2409" s="17"/>
      <c r="E2409" s="17"/>
      <c r="F2409" s="17"/>
      <c r="G2409" s="17"/>
      <c r="H2409" s="17"/>
      <c r="I2409" s="31"/>
      <c r="J2409" s="17"/>
      <c r="K2409" s="17"/>
      <c r="L2409" s="17"/>
      <c r="M2409" s="17"/>
      <c r="N2409" s="17"/>
      <c r="O2409" s="17"/>
      <c r="P2409" s="17"/>
      <c r="Q2409" s="17"/>
      <c r="R2409" s="17"/>
      <c r="S2409" s="17"/>
      <c r="T2409" s="17"/>
      <c r="U2409" s="17"/>
      <c r="V2409" s="17"/>
      <c r="W2409" s="17"/>
      <c r="X2409" s="17"/>
      <c r="Y2409" s="17"/>
      <c r="Z2409" s="31"/>
      <c r="AA2409" s="32"/>
    </row>
    <row r="2410" spans="1:27" ht="12.75">
      <c r="A2410" s="17"/>
      <c r="B2410" s="17"/>
      <c r="C2410" s="17"/>
      <c r="D2410" s="17"/>
      <c r="E2410" s="17"/>
      <c r="F2410" s="17"/>
      <c r="G2410" s="17"/>
      <c r="H2410" s="17"/>
      <c r="I2410" s="31"/>
      <c r="J2410" s="17"/>
      <c r="K2410" s="17"/>
      <c r="L2410" s="17"/>
      <c r="M2410" s="17"/>
      <c r="N2410" s="17"/>
      <c r="O2410" s="17"/>
      <c r="P2410" s="17"/>
      <c r="Q2410" s="17"/>
      <c r="R2410" s="17"/>
      <c r="S2410" s="17"/>
      <c r="T2410" s="17"/>
      <c r="U2410" s="17"/>
      <c r="V2410" s="17"/>
      <c r="W2410" s="17"/>
      <c r="X2410" s="17"/>
      <c r="Y2410" s="17"/>
      <c r="Z2410" s="31"/>
      <c r="AA2410" s="32"/>
    </row>
    <row r="2411" spans="1:27" ht="12.75">
      <c r="A2411" s="17"/>
      <c r="B2411" s="17"/>
      <c r="C2411" s="17"/>
      <c r="D2411" s="17"/>
      <c r="E2411" s="17"/>
      <c r="F2411" s="17"/>
      <c r="G2411" s="17"/>
      <c r="H2411" s="17"/>
      <c r="I2411" s="31"/>
      <c r="J2411" s="17"/>
      <c r="K2411" s="17"/>
      <c r="L2411" s="17"/>
      <c r="M2411" s="17"/>
      <c r="N2411" s="17"/>
      <c r="O2411" s="17"/>
      <c r="P2411" s="17"/>
      <c r="Q2411" s="17"/>
      <c r="R2411" s="17"/>
      <c r="S2411" s="17"/>
      <c r="T2411" s="17"/>
      <c r="U2411" s="17"/>
      <c r="V2411" s="17"/>
      <c r="W2411" s="17"/>
      <c r="X2411" s="17"/>
      <c r="Y2411" s="17"/>
      <c r="Z2411" s="31"/>
      <c r="AA2411" s="32"/>
    </row>
    <row r="2412" spans="1:27" ht="12.75">
      <c r="A2412" s="17"/>
      <c r="B2412" s="17"/>
      <c r="C2412" s="17"/>
      <c r="D2412" s="17"/>
      <c r="E2412" s="17"/>
      <c r="F2412" s="17"/>
      <c r="G2412" s="17"/>
      <c r="H2412" s="17"/>
      <c r="I2412" s="31"/>
      <c r="J2412" s="17"/>
      <c r="K2412" s="17"/>
      <c r="L2412" s="17"/>
      <c r="M2412" s="17"/>
      <c r="N2412" s="17"/>
      <c r="O2412" s="17"/>
      <c r="P2412" s="17"/>
      <c r="Q2412" s="17"/>
      <c r="R2412" s="17"/>
      <c r="S2412" s="17"/>
      <c r="T2412" s="17"/>
      <c r="U2412" s="17"/>
      <c r="V2412" s="17"/>
      <c r="W2412" s="17"/>
      <c r="X2412" s="17"/>
      <c r="Y2412" s="17"/>
      <c r="Z2412" s="31"/>
      <c r="AA2412" s="32"/>
    </row>
    <row r="2413" spans="1:27" ht="12.75">
      <c r="A2413" s="17"/>
      <c r="B2413" s="17"/>
      <c r="C2413" s="17"/>
      <c r="D2413" s="17"/>
      <c r="E2413" s="17"/>
      <c r="F2413" s="17"/>
      <c r="G2413" s="17"/>
      <c r="H2413" s="17"/>
      <c r="I2413" s="31"/>
      <c r="J2413" s="17"/>
      <c r="K2413" s="17"/>
      <c r="L2413" s="17"/>
      <c r="M2413" s="17"/>
      <c r="N2413" s="17"/>
      <c r="O2413" s="17"/>
      <c r="P2413" s="17"/>
      <c r="Q2413" s="17"/>
      <c r="R2413" s="17"/>
      <c r="S2413" s="17"/>
      <c r="T2413" s="17"/>
      <c r="U2413" s="17"/>
      <c r="V2413" s="17"/>
      <c r="W2413" s="17"/>
      <c r="X2413" s="17"/>
      <c r="Y2413" s="17"/>
      <c r="Z2413" s="31"/>
      <c r="AA2413" s="32"/>
    </row>
    <row r="2414" spans="1:27" ht="12.75">
      <c r="A2414" s="17"/>
      <c r="B2414" s="17"/>
      <c r="C2414" s="17"/>
      <c r="D2414" s="17"/>
      <c r="E2414" s="17"/>
      <c r="F2414" s="17"/>
      <c r="G2414" s="17"/>
      <c r="H2414" s="17"/>
      <c r="I2414" s="31"/>
      <c r="J2414" s="17"/>
      <c r="K2414" s="17"/>
      <c r="L2414" s="17"/>
      <c r="M2414" s="17"/>
      <c r="N2414" s="17"/>
      <c r="O2414" s="17"/>
      <c r="P2414" s="17"/>
      <c r="Q2414" s="17"/>
      <c r="R2414" s="17"/>
      <c r="S2414" s="17"/>
      <c r="T2414" s="17"/>
      <c r="U2414" s="17"/>
      <c r="V2414" s="17"/>
      <c r="W2414" s="17"/>
      <c r="X2414" s="17"/>
      <c r="Y2414" s="17"/>
      <c r="Z2414" s="31"/>
      <c r="AA2414" s="32"/>
    </row>
    <row r="2415" spans="1:27" ht="12.75">
      <c r="A2415" s="17"/>
      <c r="B2415" s="17"/>
      <c r="C2415" s="17"/>
      <c r="D2415" s="17"/>
      <c r="E2415" s="17"/>
      <c r="F2415" s="17"/>
      <c r="G2415" s="17"/>
      <c r="H2415" s="17"/>
      <c r="I2415" s="31"/>
      <c r="J2415" s="17"/>
      <c r="K2415" s="17"/>
      <c r="L2415" s="17"/>
      <c r="M2415" s="17"/>
      <c r="N2415" s="17"/>
      <c r="O2415" s="17"/>
      <c r="P2415" s="17"/>
      <c r="Q2415" s="17"/>
      <c r="R2415" s="17"/>
      <c r="S2415" s="17"/>
      <c r="T2415" s="17"/>
      <c r="U2415" s="17"/>
      <c r="V2415" s="17"/>
      <c r="W2415" s="17"/>
      <c r="X2415" s="17"/>
      <c r="Y2415" s="17"/>
      <c r="Z2415" s="31"/>
      <c r="AA2415" s="32"/>
    </row>
    <row r="2416" spans="1:27" ht="12.75">
      <c r="A2416" s="17"/>
      <c r="B2416" s="17"/>
      <c r="C2416" s="17"/>
      <c r="D2416" s="17"/>
      <c r="E2416" s="17"/>
      <c r="F2416" s="17"/>
      <c r="G2416" s="17"/>
      <c r="H2416" s="17"/>
      <c r="I2416" s="31"/>
      <c r="J2416" s="17"/>
      <c r="K2416" s="17"/>
      <c r="L2416" s="17"/>
      <c r="M2416" s="17"/>
      <c r="N2416" s="17"/>
      <c r="O2416" s="17"/>
      <c r="P2416" s="17"/>
      <c r="Q2416" s="17"/>
      <c r="R2416" s="17"/>
      <c r="S2416" s="17"/>
      <c r="T2416" s="17"/>
      <c r="U2416" s="17"/>
      <c r="V2416" s="17"/>
      <c r="W2416" s="17"/>
      <c r="X2416" s="17"/>
      <c r="Y2416" s="17"/>
      <c r="Z2416" s="31"/>
      <c r="AA2416" s="32"/>
    </row>
    <row r="2417" spans="1:27" ht="12.75">
      <c r="A2417" s="17"/>
      <c r="B2417" s="17"/>
      <c r="C2417" s="17"/>
      <c r="D2417" s="17"/>
      <c r="E2417" s="17"/>
      <c r="F2417" s="17"/>
      <c r="G2417" s="17"/>
      <c r="H2417" s="17"/>
      <c r="I2417" s="31"/>
      <c r="J2417" s="17"/>
      <c r="K2417" s="17"/>
      <c r="L2417" s="17"/>
      <c r="M2417" s="17"/>
      <c r="N2417" s="17"/>
      <c r="O2417" s="17"/>
      <c r="P2417" s="17"/>
      <c r="Q2417" s="17"/>
      <c r="R2417" s="17"/>
      <c r="S2417" s="17"/>
      <c r="T2417" s="17"/>
      <c r="U2417" s="17"/>
      <c r="V2417" s="17"/>
      <c r="W2417" s="17"/>
      <c r="X2417" s="17"/>
      <c r="Y2417" s="17"/>
      <c r="Z2417" s="31"/>
      <c r="AA2417" s="32"/>
    </row>
    <row r="2418" spans="1:27" ht="12.75">
      <c r="A2418" s="17"/>
      <c r="B2418" s="17"/>
      <c r="C2418" s="17"/>
      <c r="D2418" s="17"/>
      <c r="E2418" s="17"/>
      <c r="F2418" s="17"/>
      <c r="G2418" s="17"/>
      <c r="H2418" s="17"/>
      <c r="I2418" s="31"/>
      <c r="J2418" s="17"/>
      <c r="K2418" s="17"/>
      <c r="L2418" s="17"/>
      <c r="M2418" s="17"/>
      <c r="N2418" s="17"/>
      <c r="O2418" s="17"/>
      <c r="P2418" s="17"/>
      <c r="Q2418" s="17"/>
      <c r="R2418" s="17"/>
      <c r="S2418" s="17"/>
      <c r="T2418" s="17"/>
      <c r="U2418" s="17"/>
      <c r="V2418" s="17"/>
      <c r="W2418" s="17"/>
      <c r="X2418" s="17"/>
      <c r="Y2418" s="17"/>
      <c r="Z2418" s="31"/>
      <c r="AA2418" s="32"/>
    </row>
    <row r="2419" spans="1:27" ht="12.75">
      <c r="A2419" s="17"/>
      <c r="B2419" s="17"/>
      <c r="C2419" s="17"/>
      <c r="D2419" s="17"/>
      <c r="E2419" s="17"/>
      <c r="F2419" s="17"/>
      <c r="G2419" s="17"/>
      <c r="H2419" s="17"/>
      <c r="I2419" s="31"/>
      <c r="J2419" s="17"/>
      <c r="K2419" s="17"/>
      <c r="L2419" s="17"/>
      <c r="M2419" s="17"/>
      <c r="N2419" s="17"/>
      <c r="O2419" s="17"/>
      <c r="P2419" s="17"/>
      <c r="Q2419" s="17"/>
      <c r="R2419" s="17"/>
      <c r="S2419" s="17"/>
      <c r="T2419" s="17"/>
      <c r="U2419" s="17"/>
      <c r="V2419" s="17"/>
      <c r="W2419" s="17"/>
      <c r="X2419" s="17"/>
      <c r="Y2419" s="17"/>
      <c r="Z2419" s="31"/>
      <c r="AA2419" s="32"/>
    </row>
    <row r="2420" spans="1:27" ht="12.75">
      <c r="A2420" s="17"/>
      <c r="B2420" s="17"/>
      <c r="C2420" s="17"/>
      <c r="D2420" s="17"/>
      <c r="E2420" s="17"/>
      <c r="F2420" s="17"/>
      <c r="G2420" s="17"/>
      <c r="H2420" s="17"/>
      <c r="I2420" s="31"/>
      <c r="J2420" s="17"/>
      <c r="K2420" s="17"/>
      <c r="L2420" s="17"/>
      <c r="M2420" s="17"/>
      <c r="N2420" s="17"/>
      <c r="O2420" s="17"/>
      <c r="P2420" s="17"/>
      <c r="Q2420" s="17"/>
      <c r="R2420" s="17"/>
      <c r="S2420" s="17"/>
      <c r="T2420" s="17"/>
      <c r="U2420" s="17"/>
      <c r="V2420" s="17"/>
      <c r="W2420" s="17"/>
      <c r="X2420" s="17"/>
      <c r="Y2420" s="17"/>
      <c r="Z2420" s="31"/>
      <c r="AA2420" s="32"/>
    </row>
    <row r="2421" spans="1:27" ht="12.75">
      <c r="A2421" s="17"/>
      <c r="B2421" s="17"/>
      <c r="C2421" s="17"/>
      <c r="D2421" s="17"/>
      <c r="E2421" s="17"/>
      <c r="F2421" s="17"/>
      <c r="G2421" s="17"/>
      <c r="H2421" s="17"/>
      <c r="I2421" s="31"/>
      <c r="J2421" s="17"/>
      <c r="K2421" s="17"/>
      <c r="L2421" s="17"/>
      <c r="M2421" s="17"/>
      <c r="N2421" s="17"/>
      <c r="O2421" s="17"/>
      <c r="P2421" s="17"/>
      <c r="Q2421" s="17"/>
      <c r="R2421" s="17"/>
      <c r="S2421" s="17"/>
      <c r="T2421" s="17"/>
      <c r="U2421" s="17"/>
      <c r="V2421" s="17"/>
      <c r="W2421" s="17"/>
      <c r="X2421" s="17"/>
      <c r="Y2421" s="17"/>
      <c r="Z2421" s="31"/>
      <c r="AA2421" s="32"/>
    </row>
    <row r="2422" spans="1:27" ht="12.75">
      <c r="A2422" s="17"/>
      <c r="B2422" s="17"/>
      <c r="C2422" s="17"/>
      <c r="D2422" s="17"/>
      <c r="E2422" s="17"/>
      <c r="F2422" s="17"/>
      <c r="G2422" s="17"/>
      <c r="H2422" s="17"/>
      <c r="I2422" s="31"/>
      <c r="J2422" s="17"/>
      <c r="K2422" s="17"/>
      <c r="L2422" s="17"/>
      <c r="M2422" s="17"/>
      <c r="N2422" s="17"/>
      <c r="O2422" s="17"/>
      <c r="P2422" s="17"/>
      <c r="Q2422" s="17"/>
      <c r="R2422" s="17"/>
      <c r="S2422" s="17"/>
      <c r="T2422" s="17"/>
      <c r="U2422" s="17"/>
      <c r="V2422" s="17"/>
      <c r="W2422" s="17"/>
      <c r="X2422" s="17"/>
      <c r="Y2422" s="17"/>
      <c r="Z2422" s="31"/>
      <c r="AA2422" s="32"/>
    </row>
    <row r="2423" spans="1:27" ht="12.75">
      <c r="A2423" s="17"/>
      <c r="B2423" s="17"/>
      <c r="C2423" s="17"/>
      <c r="D2423" s="17"/>
      <c r="E2423" s="17"/>
      <c r="F2423" s="17"/>
      <c r="G2423" s="17"/>
      <c r="H2423" s="17"/>
      <c r="I2423" s="31"/>
      <c r="J2423" s="17"/>
      <c r="K2423" s="17"/>
      <c r="L2423" s="17"/>
      <c r="M2423" s="17"/>
      <c r="N2423" s="17"/>
      <c r="O2423" s="17"/>
      <c r="P2423" s="17"/>
      <c r="Q2423" s="17"/>
      <c r="R2423" s="17"/>
      <c r="S2423" s="17"/>
      <c r="T2423" s="17"/>
      <c r="U2423" s="17"/>
      <c r="V2423" s="17"/>
      <c r="W2423" s="17"/>
      <c r="X2423" s="17"/>
      <c r="Y2423" s="17"/>
      <c r="Z2423" s="31"/>
      <c r="AA2423" s="32"/>
    </row>
    <row r="2424" spans="1:27" ht="12.75">
      <c r="A2424" s="17"/>
      <c r="B2424" s="17"/>
      <c r="C2424" s="17"/>
      <c r="D2424" s="17"/>
      <c r="E2424" s="17"/>
      <c r="F2424" s="17"/>
      <c r="G2424" s="17"/>
      <c r="H2424" s="17"/>
      <c r="I2424" s="31"/>
      <c r="J2424" s="17"/>
      <c r="K2424" s="17"/>
      <c r="L2424" s="17"/>
      <c r="M2424" s="17"/>
      <c r="N2424" s="17"/>
      <c r="O2424" s="17"/>
      <c r="P2424" s="17"/>
      <c r="Q2424" s="17"/>
      <c r="R2424" s="17"/>
      <c r="S2424" s="17"/>
      <c r="T2424" s="17"/>
      <c r="U2424" s="17"/>
      <c r="V2424" s="17"/>
      <c r="W2424" s="17"/>
      <c r="X2424" s="17"/>
      <c r="Y2424" s="17"/>
      <c r="Z2424" s="31"/>
      <c r="AA2424" s="32"/>
    </row>
    <row r="2425" spans="1:27" ht="12.75">
      <c r="A2425" s="17"/>
      <c r="B2425" s="17"/>
      <c r="C2425" s="17"/>
      <c r="D2425" s="17"/>
      <c r="E2425" s="17"/>
      <c r="F2425" s="17"/>
      <c r="G2425" s="17"/>
      <c r="H2425" s="17"/>
      <c r="I2425" s="31"/>
      <c r="J2425" s="17"/>
      <c r="K2425" s="17"/>
      <c r="L2425" s="17"/>
      <c r="M2425" s="17"/>
      <c r="N2425" s="17"/>
      <c r="O2425" s="17"/>
      <c r="P2425" s="17"/>
      <c r="Q2425" s="17"/>
      <c r="R2425" s="17"/>
      <c r="S2425" s="17"/>
      <c r="T2425" s="17"/>
      <c r="U2425" s="17"/>
      <c r="V2425" s="17"/>
      <c r="W2425" s="17"/>
      <c r="X2425" s="17"/>
      <c r="Y2425" s="17"/>
      <c r="Z2425" s="31"/>
      <c r="AA2425" s="32"/>
    </row>
    <row r="2426" spans="1:27" ht="12.75">
      <c r="A2426" s="17"/>
      <c r="B2426" s="17"/>
      <c r="C2426" s="17"/>
      <c r="D2426" s="17"/>
      <c r="E2426" s="17"/>
      <c r="F2426" s="17"/>
      <c r="G2426" s="17"/>
      <c r="H2426" s="17"/>
      <c r="I2426" s="31"/>
      <c r="J2426" s="17"/>
      <c r="K2426" s="17"/>
      <c r="L2426" s="17"/>
      <c r="M2426" s="17"/>
      <c r="N2426" s="17"/>
      <c r="O2426" s="17"/>
      <c r="P2426" s="17"/>
      <c r="Q2426" s="17"/>
      <c r="R2426" s="17"/>
      <c r="S2426" s="17"/>
      <c r="T2426" s="17"/>
      <c r="U2426" s="17"/>
      <c r="V2426" s="17"/>
      <c r="W2426" s="17"/>
      <c r="X2426" s="17"/>
      <c r="Y2426" s="17"/>
      <c r="Z2426" s="31"/>
      <c r="AA2426" s="32"/>
    </row>
    <row r="2427" spans="1:27" ht="12.75">
      <c r="A2427" s="17"/>
      <c r="B2427" s="17"/>
      <c r="C2427" s="17"/>
      <c r="D2427" s="17"/>
      <c r="E2427" s="17"/>
      <c r="F2427" s="17"/>
      <c r="G2427" s="17"/>
      <c r="H2427" s="17"/>
      <c r="I2427" s="31"/>
      <c r="J2427" s="17"/>
      <c r="K2427" s="17"/>
      <c r="L2427" s="17"/>
      <c r="M2427" s="17"/>
      <c r="N2427" s="17"/>
      <c r="O2427" s="17"/>
      <c r="P2427" s="17"/>
      <c r="Q2427" s="17"/>
      <c r="R2427" s="17"/>
      <c r="S2427" s="17"/>
      <c r="T2427" s="17"/>
      <c r="U2427" s="17"/>
      <c r="V2427" s="17"/>
      <c r="W2427" s="17"/>
      <c r="X2427" s="17"/>
      <c r="Y2427" s="17"/>
      <c r="Z2427" s="31"/>
      <c r="AA2427" s="32"/>
    </row>
    <row r="2428" spans="1:27" ht="12.75">
      <c r="A2428" s="17"/>
      <c r="B2428" s="17"/>
      <c r="C2428" s="17"/>
      <c r="D2428" s="17"/>
      <c r="E2428" s="17"/>
      <c r="F2428" s="17"/>
      <c r="G2428" s="17"/>
      <c r="H2428" s="17"/>
      <c r="I2428" s="31"/>
      <c r="J2428" s="17"/>
      <c r="K2428" s="17"/>
      <c r="L2428" s="17"/>
      <c r="M2428" s="17"/>
      <c r="N2428" s="17"/>
      <c r="O2428" s="17"/>
      <c r="P2428" s="17"/>
      <c r="Q2428" s="17"/>
      <c r="R2428" s="17"/>
      <c r="S2428" s="17"/>
      <c r="T2428" s="17"/>
      <c r="U2428" s="17"/>
      <c r="V2428" s="17"/>
      <c r="W2428" s="17"/>
      <c r="X2428" s="17"/>
      <c r="Y2428" s="17"/>
      <c r="Z2428" s="31"/>
      <c r="AA2428" s="32"/>
    </row>
    <row r="2429" spans="1:27" ht="12.75">
      <c r="A2429" s="17"/>
      <c r="B2429" s="17"/>
      <c r="C2429" s="17"/>
      <c r="D2429" s="17"/>
      <c r="E2429" s="17"/>
      <c r="F2429" s="17"/>
      <c r="G2429" s="17"/>
      <c r="H2429" s="17"/>
      <c r="I2429" s="31"/>
      <c r="J2429" s="17"/>
      <c r="K2429" s="17"/>
      <c r="L2429" s="17"/>
      <c r="M2429" s="17"/>
      <c r="N2429" s="17"/>
      <c r="O2429" s="17"/>
      <c r="P2429" s="17"/>
      <c r="Q2429" s="17"/>
      <c r="R2429" s="17"/>
      <c r="S2429" s="17"/>
      <c r="T2429" s="17"/>
      <c r="U2429" s="17"/>
      <c r="V2429" s="17"/>
      <c r="W2429" s="17"/>
      <c r="X2429" s="17"/>
      <c r="Y2429" s="17"/>
      <c r="Z2429" s="31"/>
      <c r="AA2429" s="32"/>
    </row>
    <row r="2430" spans="1:27" ht="12.75">
      <c r="A2430" s="17"/>
      <c r="B2430" s="17"/>
      <c r="C2430" s="17"/>
      <c r="D2430" s="17"/>
      <c r="E2430" s="17"/>
      <c r="F2430" s="17"/>
      <c r="G2430" s="17"/>
      <c r="H2430" s="17"/>
      <c r="I2430" s="31"/>
      <c r="J2430" s="17"/>
      <c r="K2430" s="17"/>
      <c r="L2430" s="17"/>
      <c r="M2430" s="17"/>
      <c r="N2430" s="17"/>
      <c r="O2430" s="17"/>
      <c r="P2430" s="17"/>
      <c r="Q2430" s="17"/>
      <c r="R2430" s="17"/>
      <c r="S2430" s="17"/>
      <c r="T2430" s="17"/>
      <c r="U2430" s="17"/>
      <c r="V2430" s="17"/>
      <c r="W2430" s="17"/>
      <c r="X2430" s="17"/>
      <c r="Y2430" s="17"/>
      <c r="Z2430" s="31"/>
      <c r="AA2430" s="32"/>
    </row>
    <row r="2431" spans="1:27" ht="12.75">
      <c r="A2431" s="17"/>
      <c r="B2431" s="17"/>
      <c r="C2431" s="17"/>
      <c r="D2431" s="17"/>
      <c r="E2431" s="17"/>
      <c r="F2431" s="17"/>
      <c r="G2431" s="17"/>
      <c r="H2431" s="17"/>
      <c r="I2431" s="31"/>
      <c r="J2431" s="17"/>
      <c r="K2431" s="17"/>
      <c r="L2431" s="17"/>
      <c r="M2431" s="17"/>
      <c r="N2431" s="17"/>
      <c r="O2431" s="17"/>
      <c r="P2431" s="17"/>
      <c r="Q2431" s="17"/>
      <c r="R2431" s="17"/>
      <c r="S2431" s="17"/>
      <c r="T2431" s="17"/>
      <c r="U2431" s="17"/>
      <c r="V2431" s="17"/>
      <c r="W2431" s="17"/>
      <c r="X2431" s="17"/>
      <c r="Y2431" s="17"/>
      <c r="Z2431" s="31"/>
      <c r="AA2431" s="32"/>
    </row>
    <row r="2432" spans="1:27" ht="12.75">
      <c r="A2432" s="17"/>
      <c r="B2432" s="17"/>
      <c r="C2432" s="17"/>
      <c r="D2432" s="17"/>
      <c r="E2432" s="17"/>
      <c r="F2432" s="17"/>
      <c r="G2432" s="17"/>
      <c r="H2432" s="17"/>
      <c r="I2432" s="31"/>
      <c r="J2432" s="17"/>
      <c r="K2432" s="17"/>
      <c r="L2432" s="17"/>
      <c r="M2432" s="17"/>
      <c r="N2432" s="17"/>
      <c r="O2432" s="17"/>
      <c r="P2432" s="17"/>
      <c r="Q2432" s="17"/>
      <c r="R2432" s="17"/>
      <c r="S2432" s="17"/>
      <c r="T2432" s="17"/>
      <c r="U2432" s="17"/>
      <c r="V2432" s="17"/>
      <c r="W2432" s="17"/>
      <c r="X2432" s="17"/>
      <c r="Y2432" s="17"/>
      <c r="Z2432" s="31"/>
      <c r="AA2432" s="32"/>
    </row>
    <row r="2433" spans="1:27" ht="12.75">
      <c r="A2433" s="17"/>
      <c r="B2433" s="17"/>
      <c r="C2433" s="17"/>
      <c r="D2433" s="17"/>
      <c r="E2433" s="17"/>
      <c r="F2433" s="17"/>
      <c r="G2433" s="17"/>
      <c r="H2433" s="17"/>
      <c r="I2433" s="31"/>
      <c r="J2433" s="17"/>
      <c r="K2433" s="17"/>
      <c r="L2433" s="17"/>
      <c r="M2433" s="17"/>
      <c r="N2433" s="17"/>
      <c r="O2433" s="17"/>
      <c r="P2433" s="17"/>
      <c r="Q2433" s="17"/>
      <c r="R2433" s="17"/>
      <c r="S2433" s="17"/>
      <c r="T2433" s="17"/>
      <c r="U2433" s="17"/>
      <c r="V2433" s="17"/>
      <c r="W2433" s="17"/>
      <c r="X2433" s="17"/>
      <c r="Y2433" s="17"/>
      <c r="Z2433" s="31"/>
      <c r="AA2433" s="32"/>
    </row>
    <row r="2434" spans="1:27" ht="12.75">
      <c r="A2434" s="17"/>
      <c r="B2434" s="17"/>
      <c r="C2434" s="17"/>
      <c r="D2434" s="17"/>
      <c r="E2434" s="17"/>
      <c r="F2434" s="17"/>
      <c r="G2434" s="17"/>
      <c r="H2434" s="17"/>
      <c r="I2434" s="31"/>
      <c r="J2434" s="17"/>
      <c r="K2434" s="17"/>
      <c r="L2434" s="17"/>
      <c r="M2434" s="17"/>
      <c r="N2434" s="17"/>
      <c r="O2434" s="17"/>
      <c r="P2434" s="17"/>
      <c r="Q2434" s="17"/>
      <c r="R2434" s="17"/>
      <c r="S2434" s="17"/>
      <c r="T2434" s="17"/>
      <c r="U2434" s="17"/>
      <c r="V2434" s="17"/>
      <c r="W2434" s="17"/>
      <c r="X2434" s="17"/>
      <c r="Y2434" s="17"/>
      <c r="Z2434" s="31"/>
      <c r="AA2434" s="32"/>
    </row>
    <row r="2435" spans="1:27" ht="12.75">
      <c r="A2435" s="17"/>
      <c r="B2435" s="17"/>
      <c r="C2435" s="17"/>
      <c r="D2435" s="17"/>
      <c r="E2435" s="17"/>
      <c r="F2435" s="17"/>
      <c r="G2435" s="17"/>
      <c r="H2435" s="17"/>
      <c r="I2435" s="31"/>
      <c r="J2435" s="17"/>
      <c r="K2435" s="17"/>
      <c r="L2435" s="17"/>
      <c r="M2435" s="17"/>
      <c r="N2435" s="17"/>
      <c r="O2435" s="17"/>
      <c r="P2435" s="17"/>
      <c r="Q2435" s="17"/>
      <c r="R2435" s="17"/>
      <c r="S2435" s="17"/>
      <c r="T2435" s="17"/>
      <c r="U2435" s="17"/>
      <c r="V2435" s="17"/>
      <c r="W2435" s="17"/>
      <c r="X2435" s="17"/>
      <c r="Y2435" s="17"/>
      <c r="Z2435" s="31"/>
      <c r="AA2435" s="32"/>
    </row>
    <row r="2436" spans="1:27" ht="12.75">
      <c r="A2436" s="17"/>
      <c r="B2436" s="17"/>
      <c r="C2436" s="17"/>
      <c r="D2436" s="17"/>
      <c r="E2436" s="17"/>
      <c r="F2436" s="17"/>
      <c r="G2436" s="17"/>
      <c r="H2436" s="17"/>
      <c r="I2436" s="31"/>
      <c r="J2436" s="17"/>
      <c r="K2436" s="17"/>
      <c r="L2436" s="17"/>
      <c r="M2436" s="17"/>
      <c r="N2436" s="17"/>
      <c r="O2436" s="17"/>
      <c r="P2436" s="17"/>
      <c r="Q2436" s="17"/>
      <c r="R2436" s="17"/>
      <c r="S2436" s="17"/>
      <c r="T2436" s="17"/>
      <c r="U2436" s="17"/>
      <c r="V2436" s="17"/>
      <c r="W2436" s="17"/>
      <c r="X2436" s="17"/>
      <c r="Y2436" s="17"/>
      <c r="Z2436" s="31"/>
      <c r="AA2436" s="32"/>
    </row>
    <row r="2437" spans="1:27" ht="12.75">
      <c r="A2437" s="17"/>
      <c r="B2437" s="17"/>
      <c r="C2437" s="17"/>
      <c r="D2437" s="17"/>
      <c r="E2437" s="17"/>
      <c r="F2437" s="17"/>
      <c r="G2437" s="17"/>
      <c r="H2437" s="17"/>
      <c r="I2437" s="31"/>
      <c r="J2437" s="17"/>
      <c r="K2437" s="17"/>
      <c r="L2437" s="17"/>
      <c r="M2437" s="17"/>
      <c r="N2437" s="17"/>
      <c r="O2437" s="17"/>
      <c r="P2437" s="17"/>
      <c r="Q2437" s="17"/>
      <c r="R2437" s="17"/>
      <c r="S2437" s="17"/>
      <c r="T2437" s="17"/>
      <c r="U2437" s="17"/>
      <c r="V2437" s="17"/>
      <c r="W2437" s="17"/>
      <c r="X2437" s="17"/>
      <c r="Y2437" s="17"/>
      <c r="Z2437" s="31"/>
      <c r="AA2437" s="32"/>
    </row>
    <row r="2438" spans="1:27" ht="12.75">
      <c r="A2438" s="17"/>
      <c r="B2438" s="17"/>
      <c r="C2438" s="17"/>
      <c r="D2438" s="17"/>
      <c r="E2438" s="17"/>
      <c r="F2438" s="17"/>
      <c r="G2438" s="17"/>
      <c r="H2438" s="17"/>
      <c r="I2438" s="31"/>
      <c r="J2438" s="17"/>
      <c r="K2438" s="17"/>
      <c r="L2438" s="17"/>
      <c r="M2438" s="17"/>
      <c r="N2438" s="17"/>
      <c r="O2438" s="17"/>
      <c r="P2438" s="17"/>
      <c r="Q2438" s="17"/>
      <c r="R2438" s="17"/>
      <c r="S2438" s="17"/>
      <c r="T2438" s="17"/>
      <c r="U2438" s="17"/>
      <c r="V2438" s="17"/>
      <c r="W2438" s="17"/>
      <c r="X2438" s="17"/>
      <c r="Y2438" s="17"/>
      <c r="Z2438" s="31"/>
      <c r="AA2438" s="32"/>
    </row>
    <row r="2439" spans="1:27" ht="12.75">
      <c r="A2439" s="17"/>
      <c r="B2439" s="17"/>
      <c r="C2439" s="17"/>
      <c r="D2439" s="17"/>
      <c r="E2439" s="17"/>
      <c r="F2439" s="17"/>
      <c r="G2439" s="17"/>
      <c r="H2439" s="17"/>
      <c r="I2439" s="31"/>
      <c r="J2439" s="17"/>
      <c r="K2439" s="17"/>
      <c r="L2439" s="17"/>
      <c r="M2439" s="17"/>
      <c r="N2439" s="17"/>
      <c r="O2439" s="17"/>
      <c r="P2439" s="17"/>
      <c r="Q2439" s="17"/>
      <c r="R2439" s="17"/>
      <c r="S2439" s="17"/>
      <c r="T2439" s="17"/>
      <c r="U2439" s="17"/>
      <c r="V2439" s="17"/>
      <c r="W2439" s="17"/>
      <c r="X2439" s="17"/>
      <c r="Y2439" s="17"/>
      <c r="Z2439" s="31"/>
      <c r="AA2439" s="32"/>
    </row>
    <row r="2440" spans="1:27" ht="12.75">
      <c r="A2440" s="17"/>
      <c r="B2440" s="17"/>
      <c r="C2440" s="17"/>
      <c r="D2440" s="17"/>
      <c r="E2440" s="17"/>
      <c r="F2440" s="17"/>
      <c r="G2440" s="17"/>
      <c r="H2440" s="17"/>
      <c r="I2440" s="31"/>
      <c r="J2440" s="17"/>
      <c r="K2440" s="17"/>
      <c r="L2440" s="17"/>
      <c r="M2440" s="17"/>
      <c r="N2440" s="17"/>
      <c r="O2440" s="17"/>
      <c r="P2440" s="17"/>
      <c r="Q2440" s="17"/>
      <c r="R2440" s="17"/>
      <c r="S2440" s="17"/>
      <c r="T2440" s="17"/>
      <c r="U2440" s="17"/>
      <c r="V2440" s="17"/>
      <c r="W2440" s="17"/>
      <c r="X2440" s="17"/>
      <c r="Y2440" s="17"/>
      <c r="Z2440" s="31"/>
      <c r="AA2440" s="32"/>
    </row>
    <row r="2441" spans="1:27" ht="12.75">
      <c r="A2441" s="17"/>
      <c r="B2441" s="17"/>
      <c r="C2441" s="17"/>
      <c r="D2441" s="17"/>
      <c r="E2441" s="17"/>
      <c r="F2441" s="17"/>
      <c r="G2441" s="17"/>
      <c r="H2441" s="17"/>
      <c r="I2441" s="31"/>
      <c r="J2441" s="17"/>
      <c r="K2441" s="17"/>
      <c r="L2441" s="17"/>
      <c r="M2441" s="17"/>
      <c r="N2441" s="17"/>
      <c r="O2441" s="17"/>
      <c r="P2441" s="17"/>
      <c r="Q2441" s="17"/>
      <c r="R2441" s="17"/>
      <c r="S2441" s="17"/>
      <c r="T2441" s="17"/>
      <c r="U2441" s="17"/>
      <c r="V2441" s="17"/>
      <c r="W2441" s="17"/>
      <c r="X2441" s="17"/>
      <c r="Y2441" s="17"/>
      <c r="Z2441" s="31"/>
      <c r="AA2441" s="32"/>
    </row>
    <row r="2442" spans="1:27" ht="12.75">
      <c r="A2442" s="17"/>
      <c r="B2442" s="17"/>
      <c r="C2442" s="17"/>
      <c r="D2442" s="17"/>
      <c r="E2442" s="17"/>
      <c r="F2442" s="17"/>
      <c r="G2442" s="17"/>
      <c r="H2442" s="17"/>
      <c r="I2442" s="31"/>
      <c r="J2442" s="17"/>
      <c r="K2442" s="17"/>
      <c r="L2442" s="17"/>
      <c r="M2442" s="17"/>
      <c r="N2442" s="17"/>
      <c r="O2442" s="17"/>
      <c r="P2442" s="17"/>
      <c r="Q2442" s="17"/>
      <c r="R2442" s="17"/>
      <c r="S2442" s="17"/>
      <c r="T2442" s="17"/>
      <c r="U2442" s="17"/>
      <c r="V2442" s="17"/>
      <c r="W2442" s="17"/>
      <c r="X2442" s="17"/>
      <c r="Y2442" s="17"/>
      <c r="Z2442" s="31"/>
      <c r="AA2442" s="32"/>
    </row>
    <row r="2443" spans="1:27" ht="12.75">
      <c r="A2443" s="17"/>
      <c r="B2443" s="17"/>
      <c r="C2443" s="17"/>
      <c r="D2443" s="17"/>
      <c r="E2443" s="17"/>
      <c r="F2443" s="17"/>
      <c r="G2443" s="17"/>
      <c r="H2443" s="17"/>
      <c r="I2443" s="31"/>
      <c r="J2443" s="17"/>
      <c r="K2443" s="17"/>
      <c r="L2443" s="17"/>
      <c r="M2443" s="17"/>
      <c r="N2443" s="17"/>
      <c r="O2443" s="17"/>
      <c r="P2443" s="17"/>
      <c r="Q2443" s="17"/>
      <c r="R2443" s="17"/>
      <c r="S2443" s="17"/>
      <c r="T2443" s="17"/>
      <c r="U2443" s="17"/>
      <c r="V2443" s="17"/>
      <c r="W2443" s="17"/>
      <c r="X2443" s="17"/>
      <c r="Y2443" s="17"/>
      <c r="Z2443" s="31"/>
      <c r="AA2443" s="32"/>
    </row>
    <row r="2444" spans="1:27" ht="12.75">
      <c r="A2444" s="17"/>
      <c r="B2444" s="17"/>
      <c r="C2444" s="17"/>
      <c r="D2444" s="17"/>
      <c r="E2444" s="17"/>
      <c r="F2444" s="17"/>
      <c r="G2444" s="17"/>
      <c r="H2444" s="17"/>
      <c r="I2444" s="31"/>
      <c r="J2444" s="17"/>
      <c r="K2444" s="17"/>
      <c r="L2444" s="17"/>
      <c r="M2444" s="17"/>
      <c r="N2444" s="17"/>
      <c r="O2444" s="17"/>
      <c r="P2444" s="17"/>
      <c r="Q2444" s="17"/>
      <c r="R2444" s="17"/>
      <c r="S2444" s="17"/>
      <c r="T2444" s="17"/>
      <c r="U2444" s="17"/>
      <c r="V2444" s="17"/>
      <c r="W2444" s="17"/>
      <c r="X2444" s="17"/>
      <c r="Y2444" s="17"/>
      <c r="Z2444" s="31"/>
      <c r="AA2444" s="32"/>
    </row>
    <row r="2445" spans="1:27" ht="12.75">
      <c r="A2445" s="17"/>
      <c r="B2445" s="17"/>
      <c r="C2445" s="17"/>
      <c r="D2445" s="17"/>
      <c r="E2445" s="17"/>
      <c r="F2445" s="17"/>
      <c r="G2445" s="17"/>
      <c r="H2445" s="17"/>
      <c r="I2445" s="31"/>
      <c r="J2445" s="17"/>
      <c r="K2445" s="17"/>
      <c r="L2445" s="17"/>
      <c r="M2445" s="17"/>
      <c r="N2445" s="17"/>
      <c r="O2445" s="17"/>
      <c r="P2445" s="17"/>
      <c r="Q2445" s="17"/>
      <c r="R2445" s="17"/>
      <c r="S2445" s="17"/>
      <c r="T2445" s="17"/>
      <c r="U2445" s="17"/>
      <c r="V2445" s="17"/>
      <c r="W2445" s="17"/>
      <c r="X2445" s="17"/>
      <c r="Y2445" s="17"/>
      <c r="Z2445" s="31"/>
      <c r="AA2445" s="32"/>
    </row>
    <row r="2446" spans="1:27" ht="12.75">
      <c r="A2446" s="17"/>
      <c r="B2446" s="17"/>
      <c r="C2446" s="17"/>
      <c r="D2446" s="17"/>
      <c r="E2446" s="17"/>
      <c r="F2446" s="17"/>
      <c r="G2446" s="17"/>
      <c r="H2446" s="17"/>
      <c r="I2446" s="31"/>
      <c r="J2446" s="17"/>
      <c r="K2446" s="17"/>
      <c r="L2446" s="17"/>
      <c r="M2446" s="17"/>
      <c r="N2446" s="17"/>
      <c r="O2446" s="17"/>
      <c r="P2446" s="17"/>
      <c r="Q2446" s="17"/>
      <c r="R2446" s="17"/>
      <c r="S2446" s="17"/>
      <c r="T2446" s="17"/>
      <c r="U2446" s="17"/>
      <c r="V2446" s="17"/>
      <c r="W2446" s="17"/>
      <c r="X2446" s="17"/>
      <c r="Y2446" s="17"/>
      <c r="Z2446" s="31"/>
      <c r="AA2446" s="32"/>
    </row>
    <row r="2447" spans="1:27" ht="12.75">
      <c r="A2447" s="17"/>
      <c r="B2447" s="17"/>
      <c r="C2447" s="17"/>
      <c r="D2447" s="17"/>
      <c r="E2447" s="17"/>
      <c r="F2447" s="17"/>
      <c r="G2447" s="17"/>
      <c r="H2447" s="17"/>
      <c r="I2447" s="31"/>
      <c r="J2447" s="17"/>
      <c r="K2447" s="17"/>
      <c r="L2447" s="17"/>
      <c r="M2447" s="17"/>
      <c r="N2447" s="17"/>
      <c r="O2447" s="17"/>
      <c r="P2447" s="17"/>
      <c r="Q2447" s="17"/>
      <c r="R2447" s="17"/>
      <c r="S2447" s="17"/>
      <c r="T2447" s="17"/>
      <c r="U2447" s="17"/>
      <c r="V2447" s="17"/>
      <c r="W2447" s="17"/>
      <c r="X2447" s="17"/>
      <c r="Y2447" s="17"/>
      <c r="Z2447" s="31"/>
      <c r="AA2447" s="32"/>
    </row>
    <row r="2448" spans="1:27" ht="12.75">
      <c r="A2448" s="17"/>
      <c r="B2448" s="17"/>
      <c r="C2448" s="17"/>
      <c r="D2448" s="17"/>
      <c r="E2448" s="17"/>
      <c r="F2448" s="17"/>
      <c r="G2448" s="17"/>
      <c r="H2448" s="17"/>
      <c r="I2448" s="31"/>
      <c r="J2448" s="17"/>
      <c r="K2448" s="17"/>
      <c r="L2448" s="17"/>
      <c r="M2448" s="17"/>
      <c r="N2448" s="17"/>
      <c r="O2448" s="17"/>
      <c r="P2448" s="17"/>
      <c r="Q2448" s="17"/>
      <c r="R2448" s="17"/>
      <c r="S2448" s="17"/>
      <c r="T2448" s="17"/>
      <c r="U2448" s="17"/>
      <c r="V2448" s="17"/>
      <c r="W2448" s="17"/>
      <c r="X2448" s="17"/>
      <c r="Y2448" s="17"/>
      <c r="Z2448" s="31"/>
      <c r="AA2448" s="32"/>
    </row>
    <row r="2449" spans="1:27" ht="12.75">
      <c r="A2449" s="17"/>
      <c r="B2449" s="17"/>
      <c r="C2449" s="17"/>
      <c r="D2449" s="17"/>
      <c r="E2449" s="17"/>
      <c r="F2449" s="17"/>
      <c r="G2449" s="17"/>
      <c r="H2449" s="17"/>
      <c r="I2449" s="31"/>
      <c r="J2449" s="17"/>
      <c r="K2449" s="17"/>
      <c r="L2449" s="17"/>
      <c r="M2449" s="17"/>
      <c r="N2449" s="17"/>
      <c r="O2449" s="17"/>
      <c r="P2449" s="17"/>
      <c r="Q2449" s="17"/>
      <c r="R2449" s="17"/>
      <c r="S2449" s="17"/>
      <c r="T2449" s="17"/>
      <c r="U2449" s="17"/>
      <c r="V2449" s="17"/>
      <c r="W2449" s="17"/>
      <c r="X2449" s="17"/>
      <c r="Y2449" s="17"/>
      <c r="Z2449" s="31"/>
      <c r="AA2449" s="32"/>
    </row>
    <row r="2450" spans="1:27" ht="12.75">
      <c r="A2450" s="17"/>
      <c r="B2450" s="17"/>
      <c r="C2450" s="17"/>
      <c r="D2450" s="17"/>
      <c r="E2450" s="17"/>
      <c r="F2450" s="17"/>
      <c r="G2450" s="17"/>
      <c r="H2450" s="17"/>
      <c r="I2450" s="31"/>
      <c r="J2450" s="17"/>
      <c r="K2450" s="17"/>
      <c r="L2450" s="17"/>
      <c r="M2450" s="17"/>
      <c r="N2450" s="17"/>
      <c r="O2450" s="17"/>
      <c r="P2450" s="17"/>
      <c r="Q2450" s="17"/>
      <c r="R2450" s="17"/>
      <c r="S2450" s="17"/>
      <c r="T2450" s="17"/>
      <c r="U2450" s="17"/>
      <c r="V2450" s="17"/>
      <c r="W2450" s="17"/>
      <c r="X2450" s="17"/>
      <c r="Y2450" s="17"/>
      <c r="Z2450" s="31"/>
      <c r="AA2450" s="32"/>
    </row>
    <row r="2451" spans="1:27" ht="12.75">
      <c r="A2451" s="17"/>
      <c r="B2451" s="17"/>
      <c r="C2451" s="17"/>
      <c r="D2451" s="17"/>
      <c r="E2451" s="17"/>
      <c r="F2451" s="17"/>
      <c r="G2451" s="17"/>
      <c r="H2451" s="17"/>
      <c r="I2451" s="31"/>
      <c r="J2451" s="17"/>
      <c r="K2451" s="17"/>
      <c r="L2451" s="17"/>
      <c r="M2451" s="17"/>
      <c r="N2451" s="17"/>
      <c r="O2451" s="17"/>
      <c r="P2451" s="17"/>
      <c r="Q2451" s="17"/>
      <c r="R2451" s="17"/>
      <c r="S2451" s="17"/>
      <c r="T2451" s="17"/>
      <c r="U2451" s="17"/>
      <c r="V2451" s="17"/>
      <c r="W2451" s="17"/>
      <c r="X2451" s="17"/>
      <c r="Y2451" s="17"/>
      <c r="Z2451" s="31"/>
      <c r="AA2451" s="32"/>
    </row>
    <row r="2452" spans="1:27" ht="12.75">
      <c r="A2452" s="17"/>
      <c r="B2452" s="17"/>
      <c r="C2452" s="17"/>
      <c r="D2452" s="17"/>
      <c r="E2452" s="17"/>
      <c r="F2452" s="17"/>
      <c r="G2452" s="17"/>
      <c r="H2452" s="17"/>
      <c r="I2452" s="31"/>
      <c r="J2452" s="17"/>
      <c r="K2452" s="17"/>
      <c r="L2452" s="17"/>
      <c r="M2452" s="17"/>
      <c r="N2452" s="17"/>
      <c r="O2452" s="17"/>
      <c r="P2452" s="17"/>
      <c r="Q2452" s="17"/>
      <c r="R2452" s="17"/>
      <c r="S2452" s="17"/>
      <c r="T2452" s="17"/>
      <c r="U2452" s="17"/>
      <c r="V2452" s="17"/>
      <c r="W2452" s="17"/>
      <c r="X2452" s="17"/>
      <c r="Y2452" s="17"/>
      <c r="Z2452" s="31"/>
      <c r="AA2452" s="32"/>
    </row>
    <row r="2453" spans="1:27" ht="12.75">
      <c r="A2453" s="17"/>
      <c r="B2453" s="17"/>
      <c r="C2453" s="17"/>
      <c r="D2453" s="17"/>
      <c r="E2453" s="17"/>
      <c r="F2453" s="17"/>
      <c r="G2453" s="17"/>
      <c r="H2453" s="17"/>
      <c r="I2453" s="31"/>
      <c r="J2453" s="17"/>
      <c r="K2453" s="17"/>
      <c r="L2453" s="17"/>
      <c r="M2453" s="17"/>
      <c r="N2453" s="17"/>
      <c r="O2453" s="17"/>
      <c r="P2453" s="17"/>
      <c r="Q2453" s="17"/>
      <c r="R2453" s="17"/>
      <c r="S2453" s="17"/>
      <c r="T2453" s="17"/>
      <c r="U2453" s="17"/>
      <c r="V2453" s="17"/>
      <c r="W2453" s="17"/>
      <c r="X2453" s="17"/>
      <c r="Y2453" s="17"/>
      <c r="Z2453" s="31"/>
      <c r="AA2453" s="32"/>
    </row>
    <row r="2454" spans="1:27" ht="12.75">
      <c r="A2454" s="17"/>
      <c r="B2454" s="17"/>
      <c r="C2454" s="17"/>
      <c r="D2454" s="17"/>
      <c r="E2454" s="17"/>
      <c r="F2454" s="17"/>
      <c r="G2454" s="17"/>
      <c r="H2454" s="17"/>
      <c r="I2454" s="31"/>
      <c r="J2454" s="17"/>
      <c r="K2454" s="17"/>
      <c r="L2454" s="17"/>
      <c r="M2454" s="17"/>
      <c r="N2454" s="17"/>
      <c r="O2454" s="17"/>
      <c r="P2454" s="17"/>
      <c r="Q2454" s="17"/>
      <c r="R2454" s="17"/>
      <c r="S2454" s="17"/>
      <c r="T2454" s="17"/>
      <c r="U2454" s="17"/>
      <c r="V2454" s="17"/>
      <c r="W2454" s="17"/>
      <c r="X2454" s="17"/>
      <c r="Y2454" s="17"/>
      <c r="Z2454" s="31"/>
      <c r="AA2454" s="32"/>
    </row>
    <row r="2455" spans="1:27" ht="12.75">
      <c r="A2455" s="17"/>
      <c r="B2455" s="17"/>
      <c r="C2455" s="17"/>
      <c r="D2455" s="17"/>
      <c r="E2455" s="17"/>
      <c r="F2455" s="17"/>
      <c r="G2455" s="17"/>
      <c r="H2455" s="17"/>
      <c r="I2455" s="31"/>
      <c r="J2455" s="17"/>
      <c r="K2455" s="17"/>
      <c r="L2455" s="17"/>
      <c r="M2455" s="17"/>
      <c r="N2455" s="17"/>
      <c r="O2455" s="17"/>
      <c r="P2455" s="17"/>
      <c r="Q2455" s="17"/>
      <c r="R2455" s="17"/>
      <c r="S2455" s="17"/>
      <c r="T2455" s="17"/>
      <c r="U2455" s="17"/>
      <c r="V2455" s="17"/>
      <c r="W2455" s="17"/>
      <c r="X2455" s="17"/>
      <c r="Y2455" s="17"/>
      <c r="Z2455" s="31"/>
      <c r="AA2455" s="32"/>
    </row>
    <row r="2456" spans="1:27" ht="12.75">
      <c r="A2456" s="17"/>
      <c r="B2456" s="17"/>
      <c r="C2456" s="17"/>
      <c r="D2456" s="17"/>
      <c r="E2456" s="17"/>
      <c r="F2456" s="17"/>
      <c r="G2456" s="17"/>
      <c r="H2456" s="17"/>
      <c r="I2456" s="31"/>
      <c r="J2456" s="17"/>
      <c r="K2456" s="17"/>
      <c r="L2456" s="17"/>
      <c r="M2456" s="17"/>
      <c r="N2456" s="17"/>
      <c r="O2456" s="17"/>
      <c r="P2456" s="17"/>
      <c r="Q2456" s="17"/>
      <c r="R2456" s="17"/>
      <c r="S2456" s="17"/>
      <c r="T2456" s="17"/>
      <c r="U2456" s="17"/>
      <c r="V2456" s="17"/>
      <c r="W2456" s="17"/>
      <c r="X2456" s="17"/>
      <c r="Y2456" s="17"/>
      <c r="Z2456" s="31"/>
      <c r="AA2456" s="32"/>
    </row>
    <row r="2457" spans="1:27" ht="12.75">
      <c r="A2457" s="17"/>
      <c r="B2457" s="17"/>
      <c r="C2457" s="17"/>
      <c r="D2457" s="17"/>
      <c r="E2457" s="17"/>
      <c r="F2457" s="17"/>
      <c r="G2457" s="17"/>
      <c r="H2457" s="17"/>
      <c r="I2457" s="31"/>
      <c r="J2457" s="17"/>
      <c r="K2457" s="17"/>
      <c r="L2457" s="17"/>
      <c r="M2457" s="17"/>
      <c r="N2457" s="17"/>
      <c r="O2457" s="17"/>
      <c r="P2457" s="17"/>
      <c r="Q2457" s="17"/>
      <c r="R2457" s="17"/>
      <c r="S2457" s="17"/>
      <c r="T2457" s="17"/>
      <c r="U2457" s="17"/>
      <c r="V2457" s="17"/>
      <c r="W2457" s="17"/>
      <c r="X2457" s="17"/>
      <c r="Y2457" s="17"/>
      <c r="Z2457" s="31"/>
      <c r="AA2457" s="32"/>
    </row>
    <row r="2458" spans="1:27" ht="12.75">
      <c r="A2458" s="17"/>
      <c r="B2458" s="17"/>
      <c r="C2458" s="17"/>
      <c r="D2458" s="17"/>
      <c r="E2458" s="17"/>
      <c r="F2458" s="17"/>
      <c r="G2458" s="17"/>
      <c r="H2458" s="17"/>
      <c r="I2458" s="31"/>
      <c r="J2458" s="17"/>
      <c r="K2458" s="17"/>
      <c r="L2458" s="17"/>
      <c r="M2458" s="17"/>
      <c r="N2458" s="17"/>
      <c r="O2458" s="17"/>
      <c r="P2458" s="17"/>
      <c r="Q2458" s="17"/>
      <c r="R2458" s="17"/>
      <c r="S2458" s="17"/>
      <c r="T2458" s="17"/>
      <c r="U2458" s="17"/>
      <c r="V2458" s="17"/>
      <c r="W2458" s="17"/>
      <c r="X2458" s="17"/>
      <c r="Y2458" s="17"/>
      <c r="Z2458" s="31"/>
      <c r="AA2458" s="32"/>
    </row>
    <row r="2459" spans="1:27" ht="12.75">
      <c r="A2459" s="17"/>
      <c r="B2459" s="17"/>
      <c r="C2459" s="17"/>
      <c r="D2459" s="17"/>
      <c r="E2459" s="17"/>
      <c r="F2459" s="17"/>
      <c r="G2459" s="17"/>
      <c r="H2459" s="17"/>
      <c r="I2459" s="31"/>
      <c r="J2459" s="17"/>
      <c r="K2459" s="17"/>
      <c r="L2459" s="17"/>
      <c r="M2459" s="17"/>
      <c r="N2459" s="17"/>
      <c r="O2459" s="17"/>
      <c r="P2459" s="17"/>
      <c r="Q2459" s="17"/>
      <c r="R2459" s="17"/>
      <c r="S2459" s="17"/>
      <c r="T2459" s="17"/>
      <c r="U2459" s="17"/>
      <c r="V2459" s="17"/>
      <c r="W2459" s="17"/>
      <c r="X2459" s="17"/>
      <c r="Y2459" s="17"/>
      <c r="Z2459" s="31"/>
      <c r="AA2459" s="32"/>
    </row>
    <row r="2460" spans="1:27" ht="12.75">
      <c r="A2460" s="17"/>
      <c r="B2460" s="17"/>
      <c r="C2460" s="17"/>
      <c r="D2460" s="17"/>
      <c r="E2460" s="17"/>
      <c r="F2460" s="17"/>
      <c r="G2460" s="17"/>
      <c r="H2460" s="17"/>
      <c r="I2460" s="31"/>
      <c r="J2460" s="17"/>
      <c r="K2460" s="17"/>
      <c r="L2460" s="17"/>
      <c r="M2460" s="17"/>
      <c r="N2460" s="17"/>
      <c r="O2460" s="17"/>
      <c r="P2460" s="17"/>
      <c r="Q2460" s="17"/>
      <c r="R2460" s="17"/>
      <c r="S2460" s="17"/>
      <c r="T2460" s="17"/>
      <c r="U2460" s="17"/>
      <c r="V2460" s="17"/>
      <c r="W2460" s="17"/>
      <c r="X2460" s="17"/>
      <c r="Y2460" s="17"/>
      <c r="Z2460" s="31"/>
      <c r="AA2460" s="32"/>
    </row>
    <row r="2461" spans="1:27" ht="12.75">
      <c r="A2461" s="17"/>
      <c r="B2461" s="17"/>
      <c r="C2461" s="17"/>
      <c r="D2461" s="17"/>
      <c r="E2461" s="17"/>
      <c r="F2461" s="17"/>
      <c r="G2461" s="17"/>
      <c r="H2461" s="17"/>
      <c r="I2461" s="31"/>
      <c r="J2461" s="17"/>
      <c r="K2461" s="17"/>
      <c r="L2461" s="17"/>
      <c r="M2461" s="17"/>
      <c r="N2461" s="17"/>
      <c r="O2461" s="17"/>
      <c r="P2461" s="17"/>
      <c r="Q2461" s="17"/>
      <c r="R2461" s="17"/>
      <c r="S2461" s="17"/>
      <c r="T2461" s="17"/>
      <c r="U2461" s="17"/>
      <c r="V2461" s="17"/>
      <c r="W2461" s="17"/>
      <c r="X2461" s="17"/>
      <c r="Y2461" s="17"/>
      <c r="Z2461" s="31"/>
      <c r="AA2461" s="32"/>
    </row>
    <row r="2462" spans="1:27" ht="12.75">
      <c r="A2462" s="17"/>
      <c r="B2462" s="17"/>
      <c r="C2462" s="17"/>
      <c r="D2462" s="17"/>
      <c r="E2462" s="17"/>
      <c r="F2462" s="17"/>
      <c r="G2462" s="17"/>
      <c r="H2462" s="17"/>
      <c r="I2462" s="31"/>
      <c r="J2462" s="17"/>
      <c r="K2462" s="17"/>
      <c r="L2462" s="17"/>
      <c r="M2462" s="17"/>
      <c r="N2462" s="17"/>
      <c r="O2462" s="17"/>
      <c r="P2462" s="17"/>
      <c r="Q2462" s="17"/>
      <c r="R2462" s="17"/>
      <c r="S2462" s="17"/>
      <c r="T2462" s="17"/>
      <c r="U2462" s="17"/>
      <c r="V2462" s="17"/>
      <c r="W2462" s="17"/>
      <c r="X2462" s="17"/>
      <c r="Y2462" s="17"/>
      <c r="Z2462" s="31"/>
      <c r="AA2462" s="32"/>
    </row>
    <row r="2463" spans="1:27" ht="12.75">
      <c r="A2463" s="17"/>
      <c r="B2463" s="17"/>
      <c r="C2463" s="17"/>
      <c r="D2463" s="17"/>
      <c r="E2463" s="17"/>
      <c r="F2463" s="17"/>
      <c r="G2463" s="17"/>
      <c r="H2463" s="17"/>
      <c r="I2463" s="31"/>
      <c r="J2463" s="17"/>
      <c r="K2463" s="17"/>
      <c r="L2463" s="17"/>
      <c r="M2463" s="17"/>
      <c r="N2463" s="17"/>
      <c r="O2463" s="17"/>
      <c r="P2463" s="17"/>
      <c r="Q2463" s="17"/>
      <c r="R2463" s="17"/>
      <c r="S2463" s="17"/>
      <c r="T2463" s="17"/>
      <c r="U2463" s="17"/>
      <c r="V2463" s="17"/>
      <c r="W2463" s="17"/>
      <c r="X2463" s="17"/>
      <c r="Y2463" s="17"/>
      <c r="Z2463" s="31"/>
      <c r="AA2463" s="32"/>
    </row>
    <row r="2464" spans="1:27" ht="12.75">
      <c r="A2464" s="17"/>
      <c r="B2464" s="17"/>
      <c r="C2464" s="17"/>
      <c r="D2464" s="17"/>
      <c r="E2464" s="17"/>
      <c r="F2464" s="17"/>
      <c r="G2464" s="17"/>
      <c r="H2464" s="17"/>
      <c r="I2464" s="31"/>
      <c r="J2464" s="17"/>
      <c r="K2464" s="17"/>
      <c r="L2464" s="17"/>
      <c r="M2464" s="17"/>
      <c r="N2464" s="17"/>
      <c r="O2464" s="17"/>
      <c r="P2464" s="17"/>
      <c r="Q2464" s="17"/>
      <c r="R2464" s="17"/>
      <c r="S2464" s="17"/>
      <c r="T2464" s="17"/>
      <c r="U2464" s="17"/>
      <c r="V2464" s="17"/>
      <c r="W2464" s="17"/>
      <c r="X2464" s="17"/>
      <c r="Y2464" s="17"/>
      <c r="Z2464" s="31"/>
      <c r="AA2464" s="32"/>
    </row>
    <row r="2465" spans="1:27" ht="12.75">
      <c r="A2465" s="17"/>
      <c r="B2465" s="17"/>
      <c r="C2465" s="17"/>
      <c r="D2465" s="17"/>
      <c r="E2465" s="17"/>
      <c r="F2465" s="17"/>
      <c r="G2465" s="17"/>
      <c r="H2465" s="17"/>
      <c r="I2465" s="31"/>
      <c r="J2465" s="17"/>
      <c r="K2465" s="17"/>
      <c r="L2465" s="17"/>
      <c r="M2465" s="17"/>
      <c r="N2465" s="17"/>
      <c r="O2465" s="17"/>
      <c r="P2465" s="17"/>
      <c r="Q2465" s="17"/>
      <c r="R2465" s="17"/>
      <c r="S2465" s="17"/>
      <c r="T2465" s="17"/>
      <c r="U2465" s="17"/>
      <c r="V2465" s="17"/>
      <c r="W2465" s="17"/>
      <c r="X2465" s="17"/>
      <c r="Y2465" s="17"/>
      <c r="Z2465" s="31"/>
      <c r="AA2465" s="32"/>
    </row>
    <row r="2466" spans="1:27" ht="12.75">
      <c r="A2466" s="17"/>
      <c r="B2466" s="17"/>
      <c r="C2466" s="17"/>
      <c r="D2466" s="17"/>
      <c r="E2466" s="17"/>
      <c r="F2466" s="17"/>
      <c r="G2466" s="17"/>
      <c r="H2466" s="17"/>
      <c r="I2466" s="31"/>
      <c r="J2466" s="17"/>
      <c r="K2466" s="17"/>
      <c r="L2466" s="17"/>
      <c r="M2466" s="17"/>
      <c r="N2466" s="17"/>
      <c r="O2466" s="17"/>
      <c r="P2466" s="17"/>
      <c r="Q2466" s="17"/>
      <c r="R2466" s="17"/>
      <c r="S2466" s="17"/>
      <c r="T2466" s="17"/>
      <c r="U2466" s="17"/>
      <c r="V2466" s="17"/>
      <c r="W2466" s="17"/>
      <c r="X2466" s="17"/>
      <c r="Y2466" s="17"/>
      <c r="Z2466" s="31"/>
      <c r="AA2466" s="32"/>
    </row>
    <row r="2467" spans="1:27" ht="12.75">
      <c r="A2467" s="17"/>
      <c r="B2467" s="17"/>
      <c r="C2467" s="17"/>
      <c r="D2467" s="17"/>
      <c r="E2467" s="17"/>
      <c r="F2467" s="17"/>
      <c r="G2467" s="17"/>
      <c r="H2467" s="17"/>
      <c r="I2467" s="31"/>
      <c r="J2467" s="17"/>
      <c r="K2467" s="17"/>
      <c r="L2467" s="17"/>
      <c r="M2467" s="17"/>
      <c r="N2467" s="17"/>
      <c r="O2467" s="17"/>
      <c r="P2467" s="17"/>
      <c r="Q2467" s="17"/>
      <c r="R2467" s="17"/>
      <c r="S2467" s="17"/>
      <c r="T2467" s="17"/>
      <c r="U2467" s="17"/>
      <c r="V2467" s="17"/>
      <c r="W2467" s="17"/>
      <c r="X2467" s="17"/>
      <c r="Y2467" s="17"/>
      <c r="Z2467" s="31"/>
      <c r="AA2467" s="32"/>
    </row>
    <row r="2468" spans="1:27" ht="12.75">
      <c r="A2468" s="17"/>
      <c r="B2468" s="17"/>
      <c r="C2468" s="17"/>
      <c r="D2468" s="17"/>
      <c r="E2468" s="17"/>
      <c r="F2468" s="17"/>
      <c r="G2468" s="17"/>
      <c r="H2468" s="17"/>
      <c r="I2468" s="31"/>
      <c r="J2468" s="17"/>
      <c r="K2468" s="17"/>
      <c r="L2468" s="17"/>
      <c r="M2468" s="17"/>
      <c r="N2468" s="17"/>
      <c r="O2468" s="17"/>
      <c r="P2468" s="17"/>
      <c r="Q2468" s="17"/>
      <c r="R2468" s="17"/>
      <c r="S2468" s="17"/>
      <c r="T2468" s="17"/>
      <c r="U2468" s="17"/>
      <c r="V2468" s="17"/>
      <c r="W2468" s="17"/>
      <c r="X2468" s="17"/>
      <c r="Y2468" s="17"/>
      <c r="Z2468" s="31"/>
      <c r="AA2468" s="32"/>
    </row>
    <row r="2469" spans="1:27" ht="12.75">
      <c r="A2469" s="17"/>
      <c r="B2469" s="17"/>
      <c r="C2469" s="17"/>
      <c r="D2469" s="17"/>
      <c r="E2469" s="17"/>
      <c r="F2469" s="17"/>
      <c r="G2469" s="17"/>
      <c r="H2469" s="17"/>
      <c r="I2469" s="31"/>
      <c r="J2469" s="17"/>
      <c r="K2469" s="17"/>
      <c r="L2469" s="17"/>
      <c r="M2469" s="17"/>
      <c r="N2469" s="17"/>
      <c r="O2469" s="17"/>
      <c r="P2469" s="17"/>
      <c r="Q2469" s="17"/>
      <c r="R2469" s="17"/>
      <c r="S2469" s="17"/>
      <c r="T2469" s="17"/>
      <c r="U2469" s="17"/>
      <c r="V2469" s="17"/>
      <c r="W2469" s="17"/>
      <c r="X2469" s="17"/>
      <c r="Y2469" s="17"/>
      <c r="Z2469" s="31"/>
      <c r="AA2469" s="32"/>
    </row>
    <row r="2470" spans="1:27" ht="12.75">
      <c r="A2470" s="17"/>
      <c r="B2470" s="17"/>
      <c r="C2470" s="17"/>
      <c r="D2470" s="17"/>
      <c r="E2470" s="17"/>
      <c r="F2470" s="17"/>
      <c r="G2470" s="17"/>
      <c r="H2470" s="17"/>
      <c r="I2470" s="31"/>
      <c r="J2470" s="17"/>
      <c r="K2470" s="17"/>
      <c r="L2470" s="17"/>
      <c r="M2470" s="17"/>
      <c r="N2470" s="17"/>
      <c r="O2470" s="17"/>
      <c r="P2470" s="17"/>
      <c r="Q2470" s="17"/>
      <c r="R2470" s="17"/>
      <c r="S2470" s="17"/>
      <c r="T2470" s="17"/>
      <c r="U2470" s="17"/>
      <c r="V2470" s="17"/>
      <c r="W2470" s="17"/>
      <c r="X2470" s="17"/>
      <c r="Y2470" s="17"/>
      <c r="Z2470" s="31"/>
      <c r="AA2470" s="32"/>
    </row>
    <row r="2471" spans="1:27" ht="12.75">
      <c r="A2471" s="17"/>
      <c r="B2471" s="17"/>
      <c r="C2471" s="17"/>
      <c r="D2471" s="17"/>
      <c r="E2471" s="17"/>
      <c r="F2471" s="17"/>
      <c r="G2471" s="17"/>
      <c r="H2471" s="17"/>
      <c r="I2471" s="31"/>
      <c r="J2471" s="17"/>
      <c r="K2471" s="17"/>
      <c r="L2471" s="17"/>
      <c r="M2471" s="17"/>
      <c r="N2471" s="17"/>
      <c r="O2471" s="17"/>
      <c r="P2471" s="17"/>
      <c r="Q2471" s="17"/>
      <c r="R2471" s="17"/>
      <c r="S2471" s="17"/>
      <c r="T2471" s="17"/>
      <c r="U2471" s="17"/>
      <c r="V2471" s="17"/>
      <c r="W2471" s="17"/>
      <c r="X2471" s="17"/>
      <c r="Y2471" s="17"/>
      <c r="Z2471" s="31"/>
      <c r="AA2471" s="32"/>
    </row>
    <row r="2472" spans="1:27" ht="12.75">
      <c r="A2472" s="17"/>
      <c r="B2472" s="17"/>
      <c r="C2472" s="17"/>
      <c r="D2472" s="17"/>
      <c r="E2472" s="17"/>
      <c r="F2472" s="17"/>
      <c r="G2472" s="17"/>
      <c r="H2472" s="17"/>
      <c r="I2472" s="31"/>
      <c r="J2472" s="17"/>
      <c r="K2472" s="17"/>
      <c r="L2472" s="17"/>
      <c r="M2472" s="17"/>
      <c r="N2472" s="17"/>
      <c r="O2472" s="17"/>
      <c r="P2472" s="17"/>
      <c r="Q2472" s="17"/>
      <c r="R2472" s="17"/>
      <c r="S2472" s="17"/>
      <c r="T2472" s="17"/>
      <c r="U2472" s="17"/>
      <c r="V2472" s="17"/>
      <c r="W2472" s="17"/>
      <c r="X2472" s="17"/>
      <c r="Y2472" s="17"/>
      <c r="Z2472" s="31"/>
      <c r="AA2472" s="32"/>
    </row>
    <row r="2473" spans="1:27" ht="12.75">
      <c r="A2473" s="17"/>
      <c r="B2473" s="17"/>
      <c r="C2473" s="17"/>
      <c r="D2473" s="17"/>
      <c r="E2473" s="17"/>
      <c r="F2473" s="17"/>
      <c r="G2473" s="17"/>
      <c r="H2473" s="17"/>
      <c r="I2473" s="31"/>
      <c r="J2473" s="17"/>
      <c r="K2473" s="17"/>
      <c r="L2473" s="17"/>
      <c r="M2473" s="17"/>
      <c r="N2473" s="17"/>
      <c r="O2473" s="17"/>
      <c r="P2473" s="17"/>
      <c r="Q2473" s="17"/>
      <c r="R2473" s="17"/>
      <c r="S2473" s="17"/>
      <c r="T2473" s="17"/>
      <c r="U2473" s="17"/>
      <c r="V2473" s="17"/>
      <c r="W2473" s="17"/>
      <c r="X2473" s="17"/>
      <c r="Y2473" s="17"/>
      <c r="Z2473" s="31"/>
      <c r="AA2473" s="32"/>
    </row>
    <row r="2474" spans="1:27" ht="12.75">
      <c r="A2474" s="17"/>
      <c r="B2474" s="17"/>
      <c r="C2474" s="17"/>
      <c r="D2474" s="17"/>
      <c r="E2474" s="17"/>
      <c r="F2474" s="17"/>
      <c r="G2474" s="17"/>
      <c r="H2474" s="17"/>
      <c r="I2474" s="31"/>
      <c r="J2474" s="17"/>
      <c r="K2474" s="17"/>
      <c r="L2474" s="17"/>
      <c r="M2474" s="17"/>
      <c r="N2474" s="17"/>
      <c r="O2474" s="17"/>
      <c r="P2474" s="17"/>
      <c r="Q2474" s="17"/>
      <c r="R2474" s="17"/>
      <c r="S2474" s="17"/>
      <c r="T2474" s="17"/>
      <c r="U2474" s="17"/>
      <c r="V2474" s="17"/>
      <c r="W2474" s="17"/>
      <c r="X2474" s="17"/>
      <c r="Y2474" s="17"/>
      <c r="Z2474" s="31"/>
      <c r="AA2474" s="32"/>
    </row>
    <row r="2475" spans="1:27" ht="12.75">
      <c r="A2475" s="17"/>
      <c r="B2475" s="17"/>
      <c r="C2475" s="17"/>
      <c r="D2475" s="17"/>
      <c r="E2475" s="17"/>
      <c r="F2475" s="17"/>
      <c r="G2475" s="17"/>
      <c r="H2475" s="17"/>
      <c r="I2475" s="31"/>
      <c r="J2475" s="17"/>
      <c r="K2475" s="17"/>
      <c r="L2475" s="17"/>
      <c r="M2475" s="17"/>
      <c r="N2475" s="17"/>
      <c r="O2475" s="17"/>
      <c r="P2475" s="17"/>
      <c r="Q2475" s="17"/>
      <c r="R2475" s="17"/>
      <c r="S2475" s="17"/>
      <c r="T2475" s="17"/>
      <c r="U2475" s="17"/>
      <c r="V2475" s="17"/>
      <c r="W2475" s="17"/>
      <c r="X2475" s="17"/>
      <c r="Y2475" s="17"/>
      <c r="Z2475" s="31"/>
      <c r="AA2475" s="32"/>
    </row>
    <row r="2476" spans="1:27" ht="12.75">
      <c r="A2476" s="17"/>
      <c r="B2476" s="17"/>
      <c r="C2476" s="17"/>
      <c r="D2476" s="17"/>
      <c r="E2476" s="17"/>
      <c r="F2476" s="17"/>
      <c r="G2476" s="17"/>
      <c r="H2476" s="17"/>
      <c r="I2476" s="31"/>
      <c r="J2476" s="17"/>
      <c r="K2476" s="17"/>
      <c r="L2476" s="17"/>
      <c r="M2476" s="17"/>
      <c r="N2476" s="17"/>
      <c r="O2476" s="17"/>
      <c r="P2476" s="17"/>
      <c r="Q2476" s="17"/>
      <c r="R2476" s="17"/>
      <c r="S2476" s="17"/>
      <c r="T2476" s="17"/>
      <c r="U2476" s="17"/>
      <c r="V2476" s="17"/>
      <c r="W2476" s="17"/>
      <c r="X2476" s="17"/>
      <c r="Y2476" s="17"/>
      <c r="Z2476" s="31"/>
      <c r="AA2476" s="32"/>
    </row>
    <row r="2477" spans="1:27" ht="12.75">
      <c r="A2477" s="17"/>
      <c r="B2477" s="17"/>
      <c r="C2477" s="17"/>
      <c r="D2477" s="17"/>
      <c r="E2477" s="17"/>
      <c r="F2477" s="17"/>
      <c r="G2477" s="17"/>
      <c r="H2477" s="17"/>
      <c r="I2477" s="31"/>
      <c r="J2477" s="17"/>
      <c r="K2477" s="17"/>
      <c r="L2477" s="17"/>
      <c r="M2477" s="17"/>
      <c r="N2477" s="17"/>
      <c r="O2477" s="17"/>
      <c r="P2477" s="17"/>
      <c r="Q2477" s="17"/>
      <c r="R2477" s="17"/>
      <c r="S2477" s="17"/>
      <c r="T2477" s="17"/>
      <c r="U2477" s="17"/>
      <c r="V2477" s="17"/>
      <c r="W2477" s="17"/>
      <c r="X2477" s="17"/>
      <c r="Y2477" s="17"/>
      <c r="Z2477" s="31"/>
      <c r="AA2477" s="32"/>
    </row>
    <row r="2478" spans="1:27" ht="12.75">
      <c r="A2478" s="17"/>
      <c r="B2478" s="17"/>
      <c r="C2478" s="17"/>
      <c r="D2478" s="17"/>
      <c r="E2478" s="17"/>
      <c r="F2478" s="17"/>
      <c r="G2478" s="17"/>
      <c r="H2478" s="17"/>
      <c r="I2478" s="31"/>
      <c r="J2478" s="17"/>
      <c r="K2478" s="17"/>
      <c r="L2478" s="17"/>
      <c r="M2478" s="17"/>
      <c r="N2478" s="17"/>
      <c r="O2478" s="17"/>
      <c r="P2478" s="17"/>
      <c r="Q2478" s="17"/>
      <c r="R2478" s="17"/>
      <c r="S2478" s="17"/>
      <c r="T2478" s="17"/>
      <c r="U2478" s="17"/>
      <c r="V2478" s="17"/>
      <c r="W2478" s="17"/>
      <c r="X2478" s="17"/>
      <c r="Y2478" s="17"/>
      <c r="Z2478" s="31"/>
      <c r="AA2478" s="32"/>
    </row>
    <row r="2479" spans="1:27" ht="12.75">
      <c r="A2479" s="17"/>
      <c r="B2479" s="17"/>
      <c r="C2479" s="17"/>
      <c r="D2479" s="17"/>
      <c r="E2479" s="17"/>
      <c r="F2479" s="17"/>
      <c r="G2479" s="17"/>
      <c r="H2479" s="17"/>
      <c r="I2479" s="31"/>
      <c r="J2479" s="17"/>
      <c r="K2479" s="17"/>
      <c r="L2479" s="17"/>
      <c r="M2479" s="17"/>
      <c r="N2479" s="17"/>
      <c r="O2479" s="17"/>
      <c r="P2479" s="17"/>
      <c r="Q2479" s="17"/>
      <c r="R2479" s="17"/>
      <c r="S2479" s="17"/>
      <c r="T2479" s="17"/>
      <c r="U2479" s="17"/>
      <c r="V2479" s="17"/>
      <c r="W2479" s="17"/>
      <c r="X2479" s="17"/>
      <c r="Y2479" s="17"/>
      <c r="Z2479" s="31"/>
      <c r="AA2479" s="32"/>
    </row>
    <row r="2480" spans="1:27" ht="12.75">
      <c r="A2480" s="17"/>
      <c r="B2480" s="17"/>
      <c r="C2480" s="17"/>
      <c r="D2480" s="17"/>
      <c r="E2480" s="17"/>
      <c r="F2480" s="17"/>
      <c r="G2480" s="17"/>
      <c r="H2480" s="17"/>
      <c r="I2480" s="31"/>
      <c r="J2480" s="17"/>
      <c r="K2480" s="17"/>
      <c r="L2480" s="17"/>
      <c r="M2480" s="17"/>
      <c r="N2480" s="17"/>
      <c r="O2480" s="17"/>
      <c r="P2480" s="17"/>
      <c r="Q2480" s="17"/>
      <c r="R2480" s="17"/>
      <c r="S2480" s="17"/>
      <c r="T2480" s="17"/>
      <c r="U2480" s="17"/>
      <c r="V2480" s="17"/>
      <c r="W2480" s="17"/>
      <c r="X2480" s="17"/>
      <c r="Y2480" s="17"/>
      <c r="Z2480" s="31"/>
      <c r="AA2480" s="32"/>
    </row>
    <row r="2481" spans="1:27" ht="12.75">
      <c r="A2481" s="17"/>
      <c r="B2481" s="17"/>
      <c r="C2481" s="17"/>
      <c r="D2481" s="17"/>
      <c r="E2481" s="17"/>
      <c r="F2481" s="17"/>
      <c r="G2481" s="17"/>
      <c r="H2481" s="17"/>
      <c r="I2481" s="31"/>
      <c r="J2481" s="17"/>
      <c r="K2481" s="17"/>
      <c r="L2481" s="17"/>
      <c r="M2481" s="17"/>
      <c r="N2481" s="17"/>
      <c r="O2481" s="17"/>
      <c r="P2481" s="17"/>
      <c r="Q2481" s="17"/>
      <c r="R2481" s="17"/>
      <c r="S2481" s="17"/>
      <c r="T2481" s="17"/>
      <c r="U2481" s="17"/>
      <c r="V2481" s="17"/>
      <c r="W2481" s="17"/>
      <c r="X2481" s="17"/>
      <c r="Y2481" s="17"/>
      <c r="Z2481" s="31"/>
      <c r="AA2481" s="32"/>
    </row>
    <row r="2482" spans="1:27" ht="12.75">
      <c r="A2482" s="17"/>
      <c r="B2482" s="17"/>
      <c r="C2482" s="17"/>
      <c r="D2482" s="17"/>
      <c r="E2482" s="17"/>
      <c r="F2482" s="17"/>
      <c r="G2482" s="17"/>
      <c r="H2482" s="17"/>
      <c r="I2482" s="31"/>
      <c r="J2482" s="17"/>
      <c r="K2482" s="17"/>
      <c r="L2482" s="17"/>
      <c r="M2482" s="17"/>
      <c r="N2482" s="17"/>
      <c r="O2482" s="17"/>
      <c r="P2482" s="17"/>
      <c r="Q2482" s="17"/>
      <c r="R2482" s="17"/>
      <c r="S2482" s="17"/>
      <c r="T2482" s="17"/>
      <c r="U2482" s="17"/>
      <c r="V2482" s="17"/>
      <c r="W2482" s="17"/>
      <c r="X2482" s="17"/>
      <c r="Y2482" s="17"/>
      <c r="Z2482" s="31"/>
      <c r="AA2482" s="32"/>
    </row>
    <row r="2483" spans="1:27" ht="12.75">
      <c r="A2483" s="17"/>
      <c r="B2483" s="17"/>
      <c r="C2483" s="17"/>
      <c r="D2483" s="17"/>
      <c r="E2483" s="17"/>
      <c r="F2483" s="17"/>
      <c r="G2483" s="17"/>
      <c r="H2483" s="17"/>
      <c r="I2483" s="31"/>
      <c r="J2483" s="17"/>
      <c r="K2483" s="17"/>
      <c r="L2483" s="17"/>
      <c r="M2483" s="17"/>
      <c r="N2483" s="17"/>
      <c r="O2483" s="17"/>
      <c r="P2483" s="17"/>
      <c r="Q2483" s="17"/>
      <c r="R2483" s="17"/>
      <c r="S2483" s="17"/>
      <c r="T2483" s="17"/>
      <c r="U2483" s="17"/>
      <c r="V2483" s="17"/>
      <c r="W2483" s="17"/>
      <c r="X2483" s="17"/>
      <c r="Y2483" s="17"/>
      <c r="Z2483" s="31"/>
      <c r="AA2483" s="32"/>
    </row>
    <row r="2484" spans="1:27" ht="12.75">
      <c r="A2484" s="17"/>
      <c r="B2484" s="17"/>
      <c r="C2484" s="17"/>
      <c r="D2484" s="17"/>
      <c r="E2484" s="17"/>
      <c r="F2484" s="17"/>
      <c r="G2484" s="17"/>
      <c r="H2484" s="17"/>
      <c r="I2484" s="31"/>
      <c r="J2484" s="17"/>
      <c r="K2484" s="17"/>
      <c r="L2484" s="17"/>
      <c r="M2484" s="17"/>
      <c r="N2484" s="17"/>
      <c r="O2484" s="17"/>
      <c r="P2484" s="17"/>
      <c r="Q2484" s="17"/>
      <c r="R2484" s="17"/>
      <c r="S2484" s="17"/>
      <c r="T2484" s="17"/>
      <c r="U2484" s="17"/>
      <c r="V2484" s="17"/>
      <c r="W2484" s="17"/>
      <c r="X2484" s="17"/>
      <c r="Y2484" s="17"/>
      <c r="Z2484" s="31"/>
      <c r="AA2484" s="32"/>
    </row>
    <row r="2485" spans="1:27" ht="12.75">
      <c r="A2485" s="17"/>
      <c r="B2485" s="17"/>
      <c r="C2485" s="17"/>
      <c r="D2485" s="17"/>
      <c r="E2485" s="17"/>
      <c r="F2485" s="17"/>
      <c r="G2485" s="17"/>
      <c r="H2485" s="17"/>
      <c r="I2485" s="31"/>
      <c r="J2485" s="17"/>
      <c r="K2485" s="17"/>
      <c r="L2485" s="17"/>
      <c r="M2485" s="17"/>
      <c r="N2485" s="17"/>
      <c r="O2485" s="17"/>
      <c r="P2485" s="17"/>
      <c r="Q2485" s="17"/>
      <c r="R2485" s="17"/>
      <c r="S2485" s="17"/>
      <c r="T2485" s="17"/>
      <c r="U2485" s="17"/>
      <c r="V2485" s="17"/>
      <c r="W2485" s="17"/>
      <c r="X2485" s="17"/>
      <c r="Y2485" s="17"/>
      <c r="Z2485" s="31"/>
      <c r="AA2485" s="32"/>
    </row>
    <row r="2486" spans="1:27" ht="12.75">
      <c r="A2486" s="17"/>
      <c r="B2486" s="17"/>
      <c r="C2486" s="17"/>
      <c r="D2486" s="17"/>
      <c r="E2486" s="17"/>
      <c r="F2486" s="17"/>
      <c r="G2486" s="17"/>
      <c r="H2486" s="17"/>
      <c r="I2486" s="31"/>
      <c r="J2486" s="17"/>
      <c r="K2486" s="17"/>
      <c r="L2486" s="17"/>
      <c r="M2486" s="17"/>
      <c r="N2486" s="17"/>
      <c r="O2486" s="17"/>
      <c r="P2486" s="17"/>
      <c r="Q2486" s="17"/>
      <c r="R2486" s="17"/>
      <c r="S2486" s="17"/>
      <c r="T2486" s="17"/>
      <c r="U2486" s="17"/>
      <c r="V2486" s="17"/>
      <c r="W2486" s="17"/>
      <c r="X2486" s="17"/>
      <c r="Y2486" s="17"/>
      <c r="Z2486" s="31"/>
      <c r="AA2486" s="32"/>
    </row>
    <row r="2487" spans="1:27" ht="12.75">
      <c r="A2487" s="17"/>
      <c r="B2487" s="17"/>
      <c r="C2487" s="17"/>
      <c r="D2487" s="17"/>
      <c r="E2487" s="17"/>
      <c r="F2487" s="17"/>
      <c r="G2487" s="17"/>
      <c r="H2487" s="17"/>
      <c r="I2487" s="31"/>
      <c r="J2487" s="17"/>
      <c r="K2487" s="17"/>
      <c r="L2487" s="17"/>
      <c r="M2487" s="17"/>
      <c r="N2487" s="17"/>
      <c r="O2487" s="17"/>
      <c r="P2487" s="17"/>
      <c r="Q2487" s="17"/>
      <c r="R2487" s="17"/>
      <c r="S2487" s="17"/>
      <c r="T2487" s="17"/>
      <c r="U2487" s="17"/>
      <c r="V2487" s="17"/>
      <c r="W2487" s="17"/>
      <c r="X2487" s="17"/>
      <c r="Y2487" s="17"/>
      <c r="Z2487" s="31"/>
      <c r="AA2487" s="32"/>
    </row>
    <row r="2488" spans="1:27" ht="12.75">
      <c r="A2488" s="17"/>
      <c r="B2488" s="17"/>
      <c r="C2488" s="17"/>
      <c r="D2488" s="17"/>
      <c r="E2488" s="17"/>
      <c r="F2488" s="17"/>
      <c r="G2488" s="17"/>
      <c r="H2488" s="17"/>
      <c r="I2488" s="31"/>
      <c r="J2488" s="17"/>
      <c r="K2488" s="17"/>
      <c r="L2488" s="17"/>
      <c r="M2488" s="17"/>
      <c r="N2488" s="17"/>
      <c r="O2488" s="17"/>
      <c r="P2488" s="17"/>
      <c r="Q2488" s="17"/>
      <c r="R2488" s="17"/>
      <c r="S2488" s="17"/>
      <c r="T2488" s="17"/>
      <c r="U2488" s="17"/>
      <c r="V2488" s="17"/>
      <c r="W2488" s="17"/>
      <c r="X2488" s="17"/>
      <c r="Y2488" s="17"/>
      <c r="Z2488" s="31"/>
      <c r="AA2488" s="32"/>
    </row>
    <row r="2489" spans="1:27" ht="12.75">
      <c r="A2489" s="17"/>
      <c r="B2489" s="17"/>
      <c r="C2489" s="17"/>
      <c r="D2489" s="17"/>
      <c r="E2489" s="17"/>
      <c r="F2489" s="17"/>
      <c r="G2489" s="17"/>
      <c r="H2489" s="17"/>
      <c r="I2489" s="31"/>
      <c r="J2489" s="17"/>
      <c r="K2489" s="17"/>
      <c r="L2489" s="17"/>
      <c r="M2489" s="17"/>
      <c r="N2489" s="17"/>
      <c r="O2489" s="17"/>
      <c r="P2489" s="17"/>
      <c r="Q2489" s="17"/>
      <c r="R2489" s="17"/>
      <c r="S2489" s="17"/>
      <c r="T2489" s="17"/>
      <c r="U2489" s="17"/>
      <c r="V2489" s="17"/>
      <c r="W2489" s="17"/>
      <c r="X2489" s="17"/>
      <c r="Y2489" s="17"/>
      <c r="Z2489" s="31"/>
      <c r="AA2489" s="32"/>
    </row>
    <row r="2490" spans="1:27" ht="12.75">
      <c r="A2490" s="17"/>
      <c r="B2490" s="17"/>
      <c r="C2490" s="17"/>
      <c r="D2490" s="17"/>
      <c r="E2490" s="17"/>
      <c r="F2490" s="17"/>
      <c r="G2490" s="17"/>
      <c r="H2490" s="17"/>
      <c r="I2490" s="31"/>
      <c r="J2490" s="17"/>
      <c r="K2490" s="17"/>
      <c r="L2490" s="17"/>
      <c r="M2490" s="17"/>
      <c r="N2490" s="17"/>
      <c r="O2490" s="17"/>
      <c r="P2490" s="17"/>
      <c r="Q2490" s="17"/>
      <c r="R2490" s="17"/>
      <c r="S2490" s="17"/>
      <c r="T2490" s="17"/>
      <c r="U2490" s="17"/>
      <c r="V2490" s="17"/>
      <c r="W2490" s="17"/>
      <c r="X2490" s="17"/>
      <c r="Y2490" s="17"/>
      <c r="Z2490" s="31"/>
      <c r="AA2490" s="32"/>
    </row>
    <row r="2491" spans="1:27" ht="12.75">
      <c r="A2491" s="17"/>
      <c r="B2491" s="17"/>
      <c r="C2491" s="17"/>
      <c r="D2491" s="17"/>
      <c r="E2491" s="17"/>
      <c r="F2491" s="17"/>
      <c r="G2491" s="17"/>
      <c r="H2491" s="17"/>
      <c r="I2491" s="31"/>
      <c r="J2491" s="17"/>
      <c r="K2491" s="17"/>
      <c r="L2491" s="17"/>
      <c r="M2491" s="17"/>
      <c r="N2491" s="17"/>
      <c r="O2491" s="17"/>
      <c r="P2491" s="17"/>
      <c r="Q2491" s="17"/>
      <c r="R2491" s="17"/>
      <c r="S2491" s="17"/>
      <c r="T2491" s="17"/>
      <c r="U2491" s="17"/>
      <c r="V2491" s="17"/>
      <c r="W2491" s="17"/>
      <c r="X2491" s="17"/>
      <c r="Y2491" s="17"/>
      <c r="Z2491" s="31"/>
      <c r="AA2491" s="32"/>
    </row>
    <row r="2492" spans="1:27" ht="12.75">
      <c r="A2492" s="17"/>
      <c r="B2492" s="17"/>
      <c r="C2492" s="17"/>
      <c r="D2492" s="17"/>
      <c r="E2492" s="17"/>
      <c r="F2492" s="17"/>
      <c r="G2492" s="17"/>
      <c r="H2492" s="17"/>
      <c r="I2492" s="31"/>
      <c r="J2492" s="17"/>
      <c r="K2492" s="17"/>
      <c r="L2492" s="17"/>
      <c r="M2492" s="17"/>
      <c r="N2492" s="17"/>
      <c r="O2492" s="17"/>
      <c r="P2492" s="17"/>
      <c r="Q2492" s="17"/>
      <c r="R2492" s="17"/>
      <c r="S2492" s="17"/>
      <c r="T2492" s="17"/>
      <c r="U2492" s="17"/>
      <c r="V2492" s="17"/>
      <c r="W2492" s="17"/>
      <c r="X2492" s="17"/>
      <c r="Y2492" s="17"/>
      <c r="Z2492" s="31"/>
      <c r="AA2492" s="32"/>
    </row>
    <row r="2493" spans="1:27" ht="12.75">
      <c r="A2493" s="17"/>
      <c r="B2493" s="17"/>
      <c r="C2493" s="17"/>
      <c r="D2493" s="17"/>
      <c r="E2493" s="17"/>
      <c r="F2493" s="17"/>
      <c r="G2493" s="17"/>
      <c r="H2493" s="17"/>
      <c r="I2493" s="31"/>
      <c r="J2493" s="17"/>
      <c r="K2493" s="17"/>
      <c r="L2493" s="17"/>
      <c r="M2493" s="17"/>
      <c r="N2493" s="17"/>
      <c r="O2493" s="17"/>
      <c r="P2493" s="17"/>
      <c r="Q2493" s="17"/>
      <c r="R2493" s="17"/>
      <c r="S2493" s="17"/>
      <c r="T2493" s="17"/>
      <c r="U2493" s="17"/>
      <c r="V2493" s="17"/>
      <c r="W2493" s="17"/>
      <c r="X2493" s="17"/>
      <c r="Y2493" s="17"/>
      <c r="Z2493" s="31"/>
      <c r="AA2493" s="32"/>
    </row>
    <row r="2494" spans="1:27" ht="12.75">
      <c r="A2494" s="17"/>
      <c r="B2494" s="17"/>
      <c r="C2494" s="17"/>
      <c r="D2494" s="17"/>
      <c r="E2494" s="17"/>
      <c r="F2494" s="17"/>
      <c r="G2494" s="17"/>
      <c r="H2494" s="17"/>
      <c r="I2494" s="31"/>
      <c r="J2494" s="17"/>
      <c r="K2494" s="17"/>
      <c r="L2494" s="17"/>
      <c r="M2494" s="17"/>
      <c r="N2494" s="17"/>
      <c r="O2494" s="17"/>
      <c r="P2494" s="17"/>
      <c r="Q2494" s="17"/>
      <c r="R2494" s="17"/>
      <c r="S2494" s="17"/>
      <c r="T2494" s="17"/>
      <c r="U2494" s="17"/>
      <c r="V2494" s="17"/>
      <c r="W2494" s="17"/>
      <c r="X2494" s="17"/>
      <c r="Y2494" s="17"/>
      <c r="Z2494" s="31"/>
      <c r="AA2494" s="32"/>
    </row>
    <row r="2495" spans="1:27" ht="12.75">
      <c r="A2495" s="17"/>
      <c r="B2495" s="17"/>
      <c r="C2495" s="17"/>
      <c r="D2495" s="17"/>
      <c r="E2495" s="17"/>
      <c r="F2495" s="17"/>
      <c r="G2495" s="17"/>
      <c r="H2495" s="17"/>
      <c r="I2495" s="31"/>
      <c r="J2495" s="17"/>
      <c r="K2495" s="17"/>
      <c r="L2495" s="17"/>
      <c r="M2495" s="17"/>
      <c r="N2495" s="17"/>
      <c r="O2495" s="17"/>
      <c r="P2495" s="17"/>
      <c r="Q2495" s="17"/>
      <c r="R2495" s="17"/>
      <c r="S2495" s="17"/>
      <c r="T2495" s="17"/>
      <c r="U2495" s="17"/>
      <c r="V2495" s="17"/>
      <c r="W2495" s="17"/>
      <c r="X2495" s="17"/>
      <c r="Y2495" s="17"/>
      <c r="Z2495" s="31"/>
      <c r="AA2495" s="32"/>
    </row>
    <row r="2496" spans="1:27" ht="12.75">
      <c r="A2496" s="17"/>
      <c r="B2496" s="17"/>
      <c r="C2496" s="17"/>
      <c r="D2496" s="17"/>
      <c r="E2496" s="17"/>
      <c r="F2496" s="17"/>
      <c r="G2496" s="17"/>
      <c r="H2496" s="17"/>
      <c r="I2496" s="31"/>
      <c r="J2496" s="17"/>
      <c r="K2496" s="17"/>
      <c r="L2496" s="17"/>
      <c r="M2496" s="17"/>
      <c r="N2496" s="17"/>
      <c r="O2496" s="17"/>
      <c r="P2496" s="17"/>
      <c r="Q2496" s="17"/>
      <c r="R2496" s="17"/>
      <c r="S2496" s="17"/>
      <c r="T2496" s="17"/>
      <c r="U2496" s="17"/>
      <c r="V2496" s="17"/>
      <c r="W2496" s="17"/>
      <c r="X2496" s="17"/>
      <c r="Y2496" s="17"/>
      <c r="Z2496" s="31"/>
      <c r="AA2496" s="32"/>
    </row>
    <row r="2497" spans="1:27" ht="12.75">
      <c r="A2497" s="17"/>
      <c r="B2497" s="17"/>
      <c r="C2497" s="17"/>
      <c r="D2497" s="17"/>
      <c r="E2497" s="17"/>
      <c r="F2497" s="17"/>
      <c r="G2497" s="17"/>
      <c r="H2497" s="17"/>
      <c r="I2497" s="31"/>
      <c r="J2497" s="17"/>
      <c r="K2497" s="17"/>
      <c r="L2497" s="17"/>
      <c r="M2497" s="17"/>
      <c r="N2497" s="17"/>
      <c r="O2497" s="17"/>
      <c r="P2497" s="17"/>
      <c r="Q2497" s="17"/>
      <c r="R2497" s="17"/>
      <c r="S2497" s="17"/>
      <c r="T2497" s="17"/>
      <c r="U2497" s="17"/>
      <c r="V2497" s="17"/>
      <c r="W2497" s="17"/>
      <c r="X2497" s="17"/>
      <c r="Y2497" s="17"/>
      <c r="Z2497" s="31"/>
      <c r="AA2497" s="32"/>
    </row>
    <row r="2498" spans="1:27" ht="12.75">
      <c r="A2498" s="17"/>
      <c r="B2498" s="17"/>
      <c r="C2498" s="17"/>
      <c r="D2498" s="17"/>
      <c r="E2498" s="17"/>
      <c r="F2498" s="17"/>
      <c r="G2498" s="17"/>
      <c r="H2498" s="17"/>
      <c r="I2498" s="31"/>
      <c r="J2498" s="17"/>
      <c r="K2498" s="17"/>
      <c r="L2498" s="17"/>
      <c r="M2498" s="17"/>
      <c r="N2498" s="17"/>
      <c r="O2498" s="17"/>
      <c r="P2498" s="17"/>
      <c r="Q2498" s="17"/>
      <c r="R2498" s="17"/>
      <c r="S2498" s="17"/>
      <c r="T2498" s="17"/>
      <c r="U2498" s="17"/>
      <c r="V2498" s="17"/>
      <c r="W2498" s="17"/>
      <c r="X2498" s="17"/>
      <c r="Y2498" s="17"/>
      <c r="Z2498" s="31"/>
      <c r="AA2498" s="32"/>
    </row>
    <row r="2499" spans="1:27" ht="12.75">
      <c r="A2499" s="17"/>
      <c r="B2499" s="17"/>
      <c r="C2499" s="17"/>
      <c r="D2499" s="17"/>
      <c r="E2499" s="17"/>
      <c r="F2499" s="17"/>
      <c r="G2499" s="17"/>
      <c r="H2499" s="17"/>
      <c r="I2499" s="31"/>
      <c r="J2499" s="17"/>
      <c r="K2499" s="17"/>
      <c r="L2499" s="17"/>
      <c r="M2499" s="17"/>
      <c r="N2499" s="17"/>
      <c r="O2499" s="17"/>
      <c r="P2499" s="17"/>
      <c r="Q2499" s="17"/>
      <c r="R2499" s="17"/>
      <c r="S2499" s="17"/>
      <c r="T2499" s="17"/>
      <c r="U2499" s="17"/>
      <c r="V2499" s="17"/>
      <c r="W2499" s="17"/>
      <c r="X2499" s="17"/>
      <c r="Y2499" s="17"/>
      <c r="Z2499" s="31"/>
      <c r="AA2499" s="32"/>
    </row>
    <row r="2500" spans="1:27" ht="12.75">
      <c r="A2500" s="17"/>
      <c r="B2500" s="17"/>
      <c r="C2500" s="17"/>
      <c r="D2500" s="17"/>
      <c r="E2500" s="17"/>
      <c r="F2500" s="17"/>
      <c r="G2500" s="17"/>
      <c r="H2500" s="17"/>
      <c r="I2500" s="31"/>
      <c r="J2500" s="17"/>
      <c r="K2500" s="17"/>
      <c r="L2500" s="17"/>
      <c r="M2500" s="17"/>
      <c r="N2500" s="17"/>
      <c r="O2500" s="17"/>
      <c r="P2500" s="17"/>
      <c r="Q2500" s="17"/>
      <c r="R2500" s="17"/>
      <c r="S2500" s="17"/>
      <c r="T2500" s="17"/>
      <c r="U2500" s="17"/>
      <c r="V2500" s="17"/>
      <c r="W2500" s="17"/>
      <c r="X2500" s="17"/>
      <c r="Y2500" s="17"/>
      <c r="Z2500" s="31"/>
      <c r="AA2500" s="32"/>
    </row>
    <row r="2501" spans="1:27" ht="12.75">
      <c r="A2501" s="17"/>
      <c r="B2501" s="17"/>
      <c r="C2501" s="17"/>
      <c r="D2501" s="17"/>
      <c r="E2501" s="17"/>
      <c r="F2501" s="17"/>
      <c r="G2501" s="17"/>
      <c r="H2501" s="17"/>
      <c r="I2501" s="31"/>
      <c r="J2501" s="17"/>
      <c r="K2501" s="17"/>
      <c r="L2501" s="17"/>
      <c r="M2501" s="17"/>
      <c r="N2501" s="17"/>
      <c r="O2501" s="17"/>
      <c r="P2501" s="17"/>
      <c r="Q2501" s="17"/>
      <c r="R2501" s="17"/>
      <c r="S2501" s="17"/>
      <c r="T2501" s="17"/>
      <c r="U2501" s="17"/>
      <c r="V2501" s="17"/>
      <c r="W2501" s="17"/>
      <c r="X2501" s="17"/>
      <c r="Y2501" s="17"/>
      <c r="Z2501" s="31"/>
      <c r="AA2501" s="32"/>
    </row>
    <row r="2502" spans="1:27" ht="12.75">
      <c r="A2502" s="17"/>
      <c r="B2502" s="17"/>
      <c r="C2502" s="17"/>
      <c r="D2502" s="17"/>
      <c r="E2502" s="17"/>
      <c r="F2502" s="17"/>
      <c r="G2502" s="17"/>
      <c r="H2502" s="17"/>
      <c r="I2502" s="31"/>
      <c r="J2502" s="17"/>
      <c r="K2502" s="17"/>
      <c r="L2502" s="17"/>
      <c r="M2502" s="17"/>
      <c r="N2502" s="17"/>
      <c r="O2502" s="17"/>
      <c r="P2502" s="17"/>
      <c r="Q2502" s="17"/>
      <c r="R2502" s="17"/>
      <c r="S2502" s="17"/>
      <c r="T2502" s="17"/>
      <c r="U2502" s="17"/>
      <c r="V2502" s="17"/>
      <c r="W2502" s="17"/>
      <c r="X2502" s="17"/>
      <c r="Y2502" s="17"/>
      <c r="Z2502" s="31"/>
      <c r="AA2502" s="32"/>
    </row>
    <row r="2503" spans="1:27" ht="12.75">
      <c r="A2503" s="17"/>
      <c r="B2503" s="17"/>
      <c r="C2503" s="17"/>
      <c r="D2503" s="17"/>
      <c r="E2503" s="17"/>
      <c r="F2503" s="17"/>
      <c r="G2503" s="17"/>
      <c r="H2503" s="17"/>
      <c r="I2503" s="31"/>
      <c r="J2503" s="17"/>
      <c r="K2503" s="17"/>
      <c r="L2503" s="17"/>
      <c r="M2503" s="17"/>
      <c r="N2503" s="17"/>
      <c r="O2503" s="17"/>
      <c r="P2503" s="17"/>
      <c r="Q2503" s="17"/>
      <c r="R2503" s="17"/>
      <c r="S2503" s="17"/>
      <c r="T2503" s="17"/>
      <c r="U2503" s="17"/>
      <c r="V2503" s="17"/>
      <c r="W2503" s="17"/>
      <c r="X2503" s="17"/>
      <c r="Y2503" s="17"/>
      <c r="Z2503" s="31"/>
      <c r="AA2503" s="32"/>
    </row>
    <row r="2504" spans="1:27" ht="12.75">
      <c r="A2504" s="17"/>
      <c r="B2504" s="17"/>
      <c r="C2504" s="17"/>
      <c r="D2504" s="17"/>
      <c r="E2504" s="17"/>
      <c r="F2504" s="17"/>
      <c r="G2504" s="17"/>
      <c r="H2504" s="17"/>
      <c r="I2504" s="31"/>
      <c r="J2504" s="17"/>
      <c r="K2504" s="17"/>
      <c r="L2504" s="17"/>
      <c r="M2504" s="17"/>
      <c r="N2504" s="17"/>
      <c r="O2504" s="17"/>
      <c r="P2504" s="17"/>
      <c r="Q2504" s="17"/>
      <c r="R2504" s="17"/>
      <c r="S2504" s="17"/>
      <c r="T2504" s="17"/>
      <c r="U2504" s="17"/>
      <c r="V2504" s="17"/>
      <c r="W2504" s="17"/>
      <c r="X2504" s="17"/>
      <c r="Y2504" s="17"/>
      <c r="Z2504" s="31"/>
      <c r="AA2504" s="32"/>
    </row>
    <row r="2505" spans="1:27" ht="12.75">
      <c r="A2505" s="17"/>
      <c r="B2505" s="17"/>
      <c r="C2505" s="17"/>
      <c r="D2505" s="17"/>
      <c r="E2505" s="17"/>
      <c r="F2505" s="17"/>
      <c r="G2505" s="17"/>
      <c r="H2505" s="17"/>
      <c r="I2505" s="31"/>
      <c r="J2505" s="17"/>
      <c r="K2505" s="17"/>
      <c r="L2505" s="17"/>
      <c r="M2505" s="17"/>
      <c r="N2505" s="17"/>
      <c r="O2505" s="17"/>
      <c r="P2505" s="17"/>
      <c r="Q2505" s="17"/>
      <c r="R2505" s="17"/>
      <c r="S2505" s="17"/>
      <c r="T2505" s="17"/>
      <c r="U2505" s="17"/>
      <c r="V2505" s="17"/>
      <c r="W2505" s="17"/>
      <c r="X2505" s="17"/>
      <c r="Y2505" s="17"/>
      <c r="Z2505" s="31"/>
      <c r="AA2505" s="32"/>
    </row>
    <row r="2506" spans="1:27" ht="12.75">
      <c r="A2506" s="17"/>
      <c r="B2506" s="17"/>
      <c r="C2506" s="17"/>
      <c r="D2506" s="17"/>
      <c r="E2506" s="17"/>
      <c r="F2506" s="17"/>
      <c r="G2506" s="17"/>
      <c r="H2506" s="17"/>
      <c r="I2506" s="31"/>
      <c r="J2506" s="17"/>
      <c r="K2506" s="17"/>
      <c r="L2506" s="17"/>
      <c r="M2506" s="17"/>
      <c r="N2506" s="17"/>
      <c r="O2506" s="17"/>
      <c r="P2506" s="17"/>
      <c r="Q2506" s="17"/>
      <c r="R2506" s="17"/>
      <c r="S2506" s="17"/>
      <c r="T2506" s="17"/>
      <c r="U2506" s="17"/>
      <c r="V2506" s="17"/>
      <c r="W2506" s="17"/>
      <c r="X2506" s="17"/>
      <c r="Y2506" s="17"/>
      <c r="Z2506" s="31"/>
      <c r="AA2506" s="32"/>
    </row>
    <row r="2507" spans="1:27" ht="12.75">
      <c r="A2507" s="17"/>
      <c r="B2507" s="17"/>
      <c r="C2507" s="17"/>
      <c r="D2507" s="17"/>
      <c r="E2507" s="17"/>
      <c r="F2507" s="17"/>
      <c r="G2507" s="17"/>
      <c r="H2507" s="17"/>
      <c r="I2507" s="31"/>
      <c r="J2507" s="17"/>
      <c r="K2507" s="17"/>
      <c r="L2507" s="17"/>
      <c r="M2507" s="17"/>
      <c r="N2507" s="17"/>
      <c r="O2507" s="17"/>
      <c r="P2507" s="17"/>
      <c r="Q2507" s="17"/>
      <c r="R2507" s="17"/>
      <c r="S2507" s="17"/>
      <c r="T2507" s="17"/>
      <c r="U2507" s="17"/>
      <c r="V2507" s="17"/>
      <c r="W2507" s="17"/>
      <c r="X2507" s="17"/>
      <c r="Y2507" s="17"/>
      <c r="Z2507" s="31"/>
      <c r="AA2507" s="32"/>
    </row>
    <row r="2508" spans="1:27" ht="12.75">
      <c r="A2508" s="17"/>
      <c r="B2508" s="17"/>
      <c r="C2508" s="17"/>
      <c r="D2508" s="17"/>
      <c r="E2508" s="17"/>
      <c r="F2508" s="17"/>
      <c r="G2508" s="17"/>
      <c r="H2508" s="17"/>
      <c r="I2508" s="31"/>
      <c r="J2508" s="17"/>
      <c r="K2508" s="17"/>
      <c r="L2508" s="17"/>
      <c r="M2508" s="17"/>
      <c r="N2508" s="17"/>
      <c r="O2508" s="17"/>
      <c r="P2508" s="17"/>
      <c r="Q2508" s="17"/>
      <c r="R2508" s="17"/>
      <c r="S2508" s="17"/>
      <c r="T2508" s="17"/>
      <c r="U2508" s="17"/>
      <c r="V2508" s="17"/>
      <c r="W2508" s="17"/>
      <c r="X2508" s="17"/>
      <c r="Y2508" s="17"/>
      <c r="Z2508" s="31"/>
      <c r="AA2508" s="32"/>
    </row>
    <row r="2509" spans="1:27" ht="12.75">
      <c r="A2509" s="17"/>
      <c r="B2509" s="17"/>
      <c r="C2509" s="17"/>
      <c r="D2509" s="17"/>
      <c r="E2509" s="17"/>
      <c r="F2509" s="17"/>
      <c r="G2509" s="17"/>
      <c r="H2509" s="17"/>
      <c r="I2509" s="31"/>
      <c r="J2509" s="17"/>
      <c r="K2509" s="17"/>
      <c r="L2509" s="17"/>
      <c r="M2509" s="17"/>
      <c r="N2509" s="17"/>
      <c r="O2509" s="17"/>
      <c r="P2509" s="17"/>
      <c r="Q2509" s="17"/>
      <c r="R2509" s="17"/>
      <c r="S2509" s="17"/>
      <c r="T2509" s="17"/>
      <c r="U2509" s="17"/>
      <c r="V2509" s="17"/>
      <c r="W2509" s="17"/>
      <c r="X2509" s="17"/>
      <c r="Y2509" s="17"/>
      <c r="Z2509" s="31"/>
      <c r="AA2509" s="32"/>
    </row>
    <row r="2510" spans="1:27" ht="12.75">
      <c r="A2510" s="17"/>
      <c r="B2510" s="17"/>
      <c r="C2510" s="17"/>
      <c r="D2510" s="17"/>
      <c r="E2510" s="17"/>
      <c r="F2510" s="17"/>
      <c r="G2510" s="17"/>
      <c r="H2510" s="17"/>
      <c r="I2510" s="31"/>
      <c r="J2510" s="17"/>
      <c r="K2510" s="17"/>
      <c r="L2510" s="17"/>
      <c r="M2510" s="17"/>
      <c r="N2510" s="17"/>
      <c r="O2510" s="17"/>
      <c r="P2510" s="17"/>
      <c r="Q2510" s="17"/>
      <c r="R2510" s="17"/>
      <c r="S2510" s="17"/>
      <c r="T2510" s="17"/>
      <c r="U2510" s="17"/>
      <c r="V2510" s="17"/>
      <c r="W2510" s="17"/>
      <c r="X2510" s="17"/>
      <c r="Y2510" s="17"/>
      <c r="Z2510" s="31"/>
      <c r="AA2510" s="32"/>
    </row>
    <row r="2511" spans="1:27" ht="12.75">
      <c r="A2511" s="17"/>
      <c r="B2511" s="17"/>
      <c r="C2511" s="17"/>
      <c r="D2511" s="17"/>
      <c r="E2511" s="17"/>
      <c r="F2511" s="17"/>
      <c r="G2511" s="17"/>
      <c r="H2511" s="17"/>
      <c r="I2511" s="31"/>
      <c r="J2511" s="17"/>
      <c r="K2511" s="17"/>
      <c r="L2511" s="17"/>
      <c r="M2511" s="17"/>
      <c r="N2511" s="17"/>
      <c r="O2511" s="17"/>
      <c r="P2511" s="17"/>
      <c r="Q2511" s="17"/>
      <c r="R2511" s="17"/>
      <c r="S2511" s="17"/>
      <c r="T2511" s="17"/>
      <c r="U2511" s="17"/>
      <c r="V2511" s="17"/>
      <c r="W2511" s="17"/>
      <c r="X2511" s="17"/>
      <c r="Y2511" s="17"/>
      <c r="Z2511" s="31"/>
      <c r="AA2511" s="32"/>
    </row>
    <row r="2512" spans="1:27" ht="12.75">
      <c r="A2512" s="17"/>
      <c r="B2512" s="17"/>
      <c r="C2512" s="17"/>
      <c r="D2512" s="17"/>
      <c r="E2512" s="17"/>
      <c r="F2512" s="17"/>
      <c r="G2512" s="17"/>
      <c r="H2512" s="17"/>
      <c r="I2512" s="31"/>
      <c r="J2512" s="17"/>
      <c r="K2512" s="17"/>
      <c r="L2512" s="17"/>
      <c r="M2512" s="17"/>
      <c r="N2512" s="17"/>
      <c r="O2512" s="17"/>
      <c r="P2512" s="17"/>
      <c r="Q2512" s="17"/>
      <c r="R2512" s="17"/>
      <c r="S2512" s="17"/>
      <c r="T2512" s="17"/>
      <c r="U2512" s="17"/>
      <c r="V2512" s="17"/>
      <c r="W2512" s="17"/>
      <c r="X2512" s="17"/>
      <c r="Y2512" s="17"/>
      <c r="Z2512" s="31"/>
      <c r="AA2512" s="32"/>
    </row>
    <row r="2513" spans="1:27" ht="12.75">
      <c r="A2513" s="17"/>
      <c r="B2513" s="17"/>
      <c r="C2513" s="17"/>
      <c r="D2513" s="17"/>
      <c r="E2513" s="17"/>
      <c r="F2513" s="17"/>
      <c r="G2513" s="17"/>
      <c r="H2513" s="17"/>
      <c r="I2513" s="31"/>
      <c r="J2513" s="17"/>
      <c r="K2513" s="17"/>
      <c r="L2513" s="17"/>
      <c r="M2513" s="17"/>
      <c r="N2513" s="17"/>
      <c r="O2513" s="17"/>
      <c r="P2513" s="17"/>
      <c r="Q2513" s="17"/>
      <c r="R2513" s="17"/>
      <c r="S2513" s="17"/>
      <c r="T2513" s="17"/>
      <c r="U2513" s="17"/>
      <c r="V2513" s="17"/>
      <c r="W2513" s="17"/>
      <c r="X2513" s="17"/>
      <c r="Y2513" s="17"/>
      <c r="Z2513" s="31"/>
      <c r="AA2513" s="32"/>
    </row>
    <row r="2514" spans="1:27" ht="12.75">
      <c r="A2514" s="17"/>
      <c r="B2514" s="17"/>
      <c r="C2514" s="17"/>
      <c r="D2514" s="17"/>
      <c r="E2514" s="17"/>
      <c r="F2514" s="17"/>
      <c r="G2514" s="17"/>
      <c r="H2514" s="17"/>
      <c r="I2514" s="31"/>
      <c r="J2514" s="17"/>
      <c r="K2514" s="17"/>
      <c r="L2514" s="17"/>
      <c r="M2514" s="17"/>
      <c r="N2514" s="17"/>
      <c r="O2514" s="17"/>
      <c r="P2514" s="17"/>
      <c r="Q2514" s="17"/>
      <c r="R2514" s="17"/>
      <c r="S2514" s="17"/>
      <c r="T2514" s="17"/>
      <c r="U2514" s="17"/>
      <c r="V2514" s="17"/>
      <c r="W2514" s="17"/>
      <c r="X2514" s="17"/>
      <c r="Y2514" s="17"/>
      <c r="Z2514" s="31"/>
      <c r="AA2514" s="32"/>
    </row>
    <row r="2515" spans="1:27" ht="12.75">
      <c r="A2515" s="17"/>
      <c r="B2515" s="17"/>
      <c r="C2515" s="17"/>
      <c r="D2515" s="17"/>
      <c r="E2515" s="17"/>
      <c r="F2515" s="17"/>
      <c r="G2515" s="17"/>
      <c r="H2515" s="17"/>
      <c r="I2515" s="31"/>
      <c r="J2515" s="17"/>
      <c r="K2515" s="17"/>
      <c r="L2515" s="17"/>
      <c r="M2515" s="17"/>
      <c r="N2515" s="17"/>
      <c r="O2515" s="17"/>
      <c r="P2515" s="17"/>
      <c r="Q2515" s="17"/>
      <c r="R2515" s="17"/>
      <c r="S2515" s="17"/>
      <c r="T2515" s="17"/>
      <c r="U2515" s="17"/>
      <c r="V2515" s="17"/>
      <c r="W2515" s="17"/>
      <c r="X2515" s="17"/>
      <c r="Y2515" s="17"/>
      <c r="Z2515" s="31"/>
      <c r="AA2515" s="32"/>
    </row>
    <row r="2516" spans="1:27" ht="12.75">
      <c r="A2516" s="17"/>
      <c r="B2516" s="17"/>
      <c r="C2516" s="17"/>
      <c r="D2516" s="17"/>
      <c r="E2516" s="17"/>
      <c r="F2516" s="17"/>
      <c r="G2516" s="17"/>
      <c r="H2516" s="17"/>
      <c r="I2516" s="31"/>
      <c r="J2516" s="17"/>
      <c r="K2516" s="17"/>
      <c r="L2516" s="17"/>
      <c r="M2516" s="17"/>
      <c r="N2516" s="17"/>
      <c r="O2516" s="17"/>
      <c r="P2516" s="17"/>
      <c r="Q2516" s="17"/>
      <c r="R2516" s="17"/>
      <c r="S2516" s="17"/>
      <c r="T2516" s="17"/>
      <c r="U2516" s="17"/>
      <c r="V2516" s="17"/>
      <c r="W2516" s="17"/>
      <c r="X2516" s="17"/>
      <c r="Y2516" s="17"/>
      <c r="Z2516" s="31"/>
      <c r="AA2516" s="32"/>
    </row>
    <row r="2517" spans="1:27" ht="12.75">
      <c r="A2517" s="17"/>
      <c r="B2517" s="17"/>
      <c r="C2517" s="17"/>
      <c r="D2517" s="17"/>
      <c r="E2517" s="17"/>
      <c r="F2517" s="17"/>
      <c r="G2517" s="17"/>
      <c r="H2517" s="17"/>
      <c r="I2517" s="31"/>
      <c r="J2517" s="17"/>
      <c r="K2517" s="17"/>
      <c r="L2517" s="17"/>
      <c r="M2517" s="17"/>
      <c r="N2517" s="17"/>
      <c r="O2517" s="17"/>
      <c r="P2517" s="17"/>
      <c r="Q2517" s="17"/>
      <c r="R2517" s="17"/>
      <c r="S2517" s="17"/>
      <c r="T2517" s="17"/>
      <c r="U2517" s="17"/>
      <c r="V2517" s="17"/>
      <c r="W2517" s="17"/>
      <c r="X2517" s="17"/>
      <c r="Y2517" s="17"/>
      <c r="Z2517" s="31"/>
      <c r="AA2517" s="32"/>
    </row>
    <row r="2518" spans="1:27" ht="12.75">
      <c r="A2518" s="17"/>
      <c r="B2518" s="17"/>
      <c r="C2518" s="17"/>
      <c r="D2518" s="17"/>
      <c r="E2518" s="17"/>
      <c r="F2518" s="17"/>
      <c r="G2518" s="17"/>
      <c r="H2518" s="17"/>
      <c r="I2518" s="31"/>
      <c r="J2518" s="17"/>
      <c r="K2518" s="17"/>
      <c r="L2518" s="17"/>
      <c r="M2518" s="17"/>
      <c r="N2518" s="17"/>
      <c r="O2518" s="17"/>
      <c r="P2518" s="17"/>
      <c r="Q2518" s="17"/>
      <c r="R2518" s="17"/>
      <c r="S2518" s="17"/>
      <c r="T2518" s="17"/>
      <c r="U2518" s="17"/>
      <c r="V2518" s="17"/>
      <c r="W2518" s="17"/>
      <c r="X2518" s="17"/>
      <c r="Y2518" s="17"/>
      <c r="Z2518" s="31"/>
      <c r="AA2518" s="32"/>
    </row>
    <row r="2519" spans="1:27" ht="12.75">
      <c r="A2519" s="17"/>
      <c r="B2519" s="17"/>
      <c r="C2519" s="17"/>
      <c r="D2519" s="17"/>
      <c r="E2519" s="17"/>
      <c r="F2519" s="17"/>
      <c r="G2519" s="17"/>
      <c r="H2519" s="17"/>
      <c r="I2519" s="31"/>
      <c r="J2519" s="17"/>
      <c r="K2519" s="17"/>
      <c r="L2519" s="17"/>
      <c r="M2519" s="17"/>
      <c r="N2519" s="17"/>
      <c r="O2519" s="17"/>
      <c r="P2519" s="17"/>
      <c r="Q2519" s="17"/>
      <c r="R2519" s="17"/>
      <c r="S2519" s="17"/>
      <c r="T2519" s="17"/>
      <c r="U2519" s="17"/>
      <c r="V2519" s="17"/>
      <c r="W2519" s="17"/>
      <c r="X2519" s="17"/>
      <c r="Y2519" s="17"/>
      <c r="Z2519" s="31"/>
      <c r="AA2519" s="32"/>
    </row>
    <row r="2520" spans="1:27" ht="12.75">
      <c r="A2520" s="17"/>
      <c r="B2520" s="17"/>
      <c r="C2520" s="17"/>
      <c r="D2520" s="17"/>
      <c r="E2520" s="17"/>
      <c r="F2520" s="17"/>
      <c r="G2520" s="17"/>
      <c r="H2520" s="17"/>
      <c r="I2520" s="31"/>
      <c r="J2520" s="17"/>
      <c r="K2520" s="17"/>
      <c r="L2520" s="17"/>
      <c r="M2520" s="17"/>
      <c r="N2520" s="17"/>
      <c r="O2520" s="17"/>
      <c r="P2520" s="17"/>
      <c r="Q2520" s="17"/>
      <c r="R2520" s="17"/>
      <c r="S2520" s="17"/>
      <c r="T2520" s="17"/>
      <c r="U2520" s="17"/>
      <c r="V2520" s="17"/>
      <c r="W2520" s="17"/>
      <c r="X2520" s="17"/>
      <c r="Y2520" s="17"/>
      <c r="Z2520" s="31"/>
      <c r="AA2520" s="32"/>
    </row>
    <row r="2521" spans="1:27" ht="12.75">
      <c r="A2521" s="17"/>
      <c r="B2521" s="17"/>
      <c r="C2521" s="17"/>
      <c r="D2521" s="17"/>
      <c r="E2521" s="17"/>
      <c r="F2521" s="17"/>
      <c r="G2521" s="17"/>
      <c r="H2521" s="17"/>
      <c r="I2521" s="31"/>
      <c r="J2521" s="17"/>
      <c r="K2521" s="17"/>
      <c r="L2521" s="17"/>
      <c r="M2521" s="17"/>
      <c r="N2521" s="17"/>
      <c r="O2521" s="17"/>
      <c r="P2521" s="17"/>
      <c r="Q2521" s="17"/>
      <c r="R2521" s="17"/>
      <c r="S2521" s="17"/>
      <c r="T2521" s="17"/>
      <c r="U2521" s="17"/>
      <c r="V2521" s="17"/>
      <c r="W2521" s="17"/>
      <c r="X2521" s="17"/>
      <c r="Y2521" s="17"/>
      <c r="Z2521" s="31"/>
      <c r="AA2521" s="32"/>
    </row>
    <row r="2522" spans="1:27" ht="12.75">
      <c r="A2522" s="17"/>
      <c r="B2522" s="17"/>
      <c r="C2522" s="17"/>
      <c r="D2522" s="17"/>
      <c r="E2522" s="17"/>
      <c r="F2522" s="17"/>
      <c r="G2522" s="17"/>
      <c r="H2522" s="17"/>
      <c r="I2522" s="31"/>
      <c r="J2522" s="17"/>
      <c r="K2522" s="17"/>
      <c r="L2522" s="17"/>
      <c r="M2522" s="17"/>
      <c r="N2522" s="17"/>
      <c r="O2522" s="17"/>
      <c r="P2522" s="17"/>
      <c r="Q2522" s="17"/>
      <c r="R2522" s="17"/>
      <c r="S2522" s="17"/>
      <c r="T2522" s="17"/>
      <c r="U2522" s="17"/>
      <c r="V2522" s="17"/>
      <c r="W2522" s="17"/>
      <c r="X2522" s="17"/>
      <c r="Y2522" s="17"/>
      <c r="Z2522" s="31"/>
      <c r="AA2522" s="32"/>
    </row>
    <row r="2523" spans="1:27" ht="12.75">
      <c r="A2523" s="17"/>
      <c r="B2523" s="17"/>
      <c r="C2523" s="17"/>
      <c r="D2523" s="17"/>
      <c r="E2523" s="17"/>
      <c r="F2523" s="17"/>
      <c r="G2523" s="17"/>
      <c r="H2523" s="17"/>
      <c r="I2523" s="31"/>
      <c r="J2523" s="17"/>
      <c r="K2523" s="17"/>
      <c r="L2523" s="17"/>
      <c r="M2523" s="17"/>
      <c r="N2523" s="17"/>
      <c r="O2523" s="17"/>
      <c r="P2523" s="17"/>
      <c r="Q2523" s="17"/>
      <c r="R2523" s="17"/>
      <c r="S2523" s="17"/>
      <c r="T2523" s="17"/>
      <c r="U2523" s="17"/>
      <c r="V2523" s="17"/>
      <c r="W2523" s="17"/>
      <c r="X2523" s="17"/>
      <c r="Y2523" s="17"/>
      <c r="Z2523" s="31"/>
      <c r="AA2523" s="32"/>
    </row>
    <row r="2524" spans="1:27" ht="12.75">
      <c r="A2524" s="17"/>
      <c r="B2524" s="17"/>
      <c r="C2524" s="17"/>
      <c r="D2524" s="17"/>
      <c r="E2524" s="17"/>
      <c r="F2524" s="17"/>
      <c r="G2524" s="17"/>
      <c r="H2524" s="17"/>
      <c r="I2524" s="31"/>
      <c r="J2524" s="17"/>
      <c r="K2524" s="17"/>
      <c r="L2524" s="17"/>
      <c r="M2524" s="17"/>
      <c r="N2524" s="17"/>
      <c r="O2524" s="17"/>
      <c r="P2524" s="17"/>
      <c r="Q2524" s="17"/>
      <c r="R2524" s="17"/>
      <c r="S2524" s="17"/>
      <c r="T2524" s="17"/>
      <c r="U2524" s="17"/>
      <c r="V2524" s="17"/>
      <c r="W2524" s="17"/>
      <c r="X2524" s="17"/>
      <c r="Y2524" s="17"/>
      <c r="Z2524" s="31"/>
      <c r="AA2524" s="32"/>
    </row>
    <row r="2525" spans="1:27" ht="12.75">
      <c r="A2525" s="17"/>
      <c r="B2525" s="17"/>
      <c r="C2525" s="17"/>
      <c r="D2525" s="17"/>
      <c r="E2525" s="17"/>
      <c r="F2525" s="17"/>
      <c r="G2525" s="17"/>
      <c r="H2525" s="17"/>
      <c r="I2525" s="31"/>
      <c r="J2525" s="17"/>
      <c r="K2525" s="17"/>
      <c r="L2525" s="17"/>
      <c r="M2525" s="17"/>
      <c r="N2525" s="17"/>
      <c r="O2525" s="17"/>
      <c r="P2525" s="17"/>
      <c r="Q2525" s="17"/>
      <c r="R2525" s="17"/>
      <c r="S2525" s="17"/>
      <c r="T2525" s="17"/>
      <c r="U2525" s="17"/>
      <c r="V2525" s="17"/>
      <c r="W2525" s="17"/>
      <c r="X2525" s="17"/>
      <c r="Y2525" s="17"/>
      <c r="Z2525" s="31"/>
      <c r="AA2525" s="32"/>
    </row>
    <row r="2526" spans="1:27" ht="12.75">
      <c r="A2526" s="17"/>
      <c r="B2526" s="17"/>
      <c r="C2526" s="17"/>
      <c r="D2526" s="17"/>
      <c r="E2526" s="17"/>
      <c r="F2526" s="17"/>
      <c r="G2526" s="17"/>
      <c r="H2526" s="17"/>
      <c r="I2526" s="31"/>
      <c r="J2526" s="17"/>
      <c r="K2526" s="17"/>
      <c r="L2526" s="17"/>
      <c r="M2526" s="17"/>
      <c r="N2526" s="17"/>
      <c r="O2526" s="17"/>
      <c r="P2526" s="17"/>
      <c r="Q2526" s="17"/>
      <c r="R2526" s="17"/>
      <c r="S2526" s="17"/>
      <c r="T2526" s="17"/>
      <c r="U2526" s="17"/>
      <c r="V2526" s="17"/>
      <c r="W2526" s="17"/>
      <c r="X2526" s="17"/>
      <c r="Y2526" s="17"/>
      <c r="Z2526" s="31"/>
      <c r="AA2526" s="32"/>
    </row>
    <row r="2527" spans="1:27" ht="12.75">
      <c r="A2527" s="17"/>
      <c r="B2527" s="17"/>
      <c r="C2527" s="17"/>
      <c r="D2527" s="17"/>
      <c r="E2527" s="17"/>
      <c r="F2527" s="17"/>
      <c r="G2527" s="17"/>
      <c r="H2527" s="17"/>
      <c r="I2527" s="31"/>
      <c r="J2527" s="17"/>
      <c r="K2527" s="17"/>
      <c r="L2527" s="17"/>
      <c r="M2527" s="17"/>
      <c r="N2527" s="17"/>
      <c r="O2527" s="17"/>
      <c r="P2527" s="17"/>
      <c r="Q2527" s="17"/>
      <c r="R2527" s="17"/>
      <c r="S2527" s="17"/>
      <c r="T2527" s="17"/>
      <c r="U2527" s="17"/>
      <c r="V2527" s="17"/>
      <c r="W2527" s="17"/>
      <c r="X2527" s="17"/>
      <c r="Y2527" s="17"/>
      <c r="Z2527" s="31"/>
      <c r="AA2527" s="32"/>
    </row>
    <row r="2528" spans="1:27" ht="12.75">
      <c r="A2528" s="17"/>
      <c r="B2528" s="17"/>
      <c r="C2528" s="17"/>
      <c r="D2528" s="17"/>
      <c r="E2528" s="17"/>
      <c r="F2528" s="17"/>
      <c r="G2528" s="17"/>
      <c r="H2528" s="17"/>
      <c r="I2528" s="31"/>
      <c r="J2528" s="17"/>
      <c r="K2528" s="17"/>
      <c r="L2528" s="17"/>
      <c r="M2528" s="17"/>
      <c r="N2528" s="17"/>
      <c r="O2528" s="17"/>
      <c r="P2528" s="17"/>
      <c r="Q2528" s="17"/>
      <c r="R2528" s="17"/>
      <c r="S2528" s="17"/>
      <c r="T2528" s="17"/>
      <c r="U2528" s="17"/>
      <c r="V2528" s="17"/>
      <c r="W2528" s="17"/>
      <c r="X2528" s="17"/>
      <c r="Y2528" s="17"/>
      <c r="Z2528" s="31"/>
      <c r="AA2528" s="32"/>
    </row>
    <row r="2529" spans="1:27" ht="12.75">
      <c r="A2529" s="17"/>
      <c r="B2529" s="17"/>
      <c r="C2529" s="17"/>
      <c r="D2529" s="17"/>
      <c r="E2529" s="17"/>
      <c r="F2529" s="17"/>
      <c r="G2529" s="17"/>
      <c r="H2529" s="17"/>
      <c r="I2529" s="31"/>
      <c r="J2529" s="17"/>
      <c r="K2529" s="17"/>
      <c r="L2529" s="17"/>
      <c r="M2529" s="17"/>
      <c r="N2529" s="17"/>
      <c r="O2529" s="17"/>
      <c r="P2529" s="17"/>
      <c r="Q2529" s="17"/>
      <c r="R2529" s="17"/>
      <c r="S2529" s="17"/>
      <c r="T2529" s="17"/>
      <c r="U2529" s="17"/>
      <c r="V2529" s="17"/>
      <c r="W2529" s="17"/>
      <c r="X2529" s="17"/>
      <c r="Y2529" s="17"/>
      <c r="Z2529" s="31"/>
      <c r="AA2529" s="32"/>
    </row>
    <row r="2530" spans="1:27" ht="12.75">
      <c r="A2530" s="17"/>
      <c r="B2530" s="17"/>
      <c r="C2530" s="17"/>
      <c r="D2530" s="17"/>
      <c r="E2530" s="17"/>
      <c r="F2530" s="17"/>
      <c r="G2530" s="17"/>
      <c r="H2530" s="17"/>
      <c r="I2530" s="31"/>
      <c r="J2530" s="17"/>
      <c r="K2530" s="17"/>
      <c r="L2530" s="17"/>
      <c r="M2530" s="17"/>
      <c r="N2530" s="17"/>
      <c r="O2530" s="17"/>
      <c r="P2530" s="17"/>
      <c r="Q2530" s="17"/>
      <c r="R2530" s="17"/>
      <c r="S2530" s="17"/>
      <c r="T2530" s="17"/>
      <c r="U2530" s="17"/>
      <c r="V2530" s="17"/>
      <c r="W2530" s="17"/>
      <c r="X2530" s="17"/>
      <c r="Y2530" s="17"/>
      <c r="Z2530" s="31"/>
      <c r="AA2530" s="32"/>
    </row>
    <row r="2531" spans="1:27" ht="12.75">
      <c r="A2531" s="17"/>
      <c r="B2531" s="17"/>
      <c r="C2531" s="17"/>
      <c r="D2531" s="17"/>
      <c r="E2531" s="17"/>
      <c r="F2531" s="17"/>
      <c r="G2531" s="17"/>
      <c r="H2531" s="17"/>
      <c r="I2531" s="31"/>
      <c r="J2531" s="17"/>
      <c r="K2531" s="17"/>
      <c r="L2531" s="17"/>
      <c r="M2531" s="17"/>
      <c r="N2531" s="17"/>
      <c r="O2531" s="17"/>
      <c r="P2531" s="17"/>
      <c r="Q2531" s="17"/>
      <c r="R2531" s="17"/>
      <c r="S2531" s="17"/>
      <c r="T2531" s="17"/>
      <c r="U2531" s="17"/>
      <c r="V2531" s="17"/>
      <c r="W2531" s="17"/>
      <c r="X2531" s="17"/>
      <c r="Y2531" s="17"/>
      <c r="Z2531" s="31"/>
      <c r="AA2531" s="32"/>
    </row>
    <row r="2532" spans="1:27" ht="12.75">
      <c r="A2532" s="17"/>
      <c r="B2532" s="17"/>
      <c r="C2532" s="17"/>
      <c r="D2532" s="17"/>
      <c r="E2532" s="17"/>
      <c r="F2532" s="17"/>
      <c r="G2532" s="17"/>
      <c r="H2532" s="17"/>
      <c r="I2532" s="31"/>
      <c r="J2532" s="17"/>
      <c r="K2532" s="17"/>
      <c r="L2532" s="17"/>
      <c r="M2532" s="17"/>
      <c r="N2532" s="17"/>
      <c r="O2532" s="17"/>
      <c r="P2532" s="17"/>
      <c r="Q2532" s="17"/>
      <c r="R2532" s="17"/>
      <c r="S2532" s="17"/>
      <c r="T2532" s="17"/>
      <c r="U2532" s="17"/>
      <c r="V2532" s="17"/>
      <c r="W2532" s="17"/>
      <c r="X2532" s="17"/>
      <c r="Y2532" s="17"/>
      <c r="Z2532" s="31"/>
      <c r="AA2532" s="32"/>
    </row>
    <row r="2533" spans="1:27" ht="12.75">
      <c r="A2533" s="17"/>
      <c r="B2533" s="17"/>
      <c r="C2533" s="17"/>
      <c r="D2533" s="17"/>
      <c r="E2533" s="17"/>
      <c r="F2533" s="17"/>
      <c r="G2533" s="17"/>
      <c r="H2533" s="17"/>
      <c r="I2533" s="31"/>
      <c r="J2533" s="17"/>
      <c r="K2533" s="17"/>
      <c r="L2533" s="17"/>
      <c r="M2533" s="17"/>
      <c r="N2533" s="17"/>
      <c r="O2533" s="17"/>
      <c r="P2533" s="17"/>
      <c r="Q2533" s="17"/>
      <c r="R2533" s="17"/>
      <c r="S2533" s="17"/>
      <c r="T2533" s="17"/>
      <c r="U2533" s="17"/>
      <c r="V2533" s="17"/>
      <c r="W2533" s="17"/>
      <c r="X2533" s="17"/>
      <c r="Y2533" s="17"/>
      <c r="Z2533" s="31"/>
      <c r="AA2533" s="32"/>
    </row>
    <row r="2534" spans="1:27" ht="12.75">
      <c r="A2534" s="17"/>
      <c r="B2534" s="17"/>
      <c r="C2534" s="17"/>
      <c r="D2534" s="17"/>
      <c r="E2534" s="17"/>
      <c r="F2534" s="17"/>
      <c r="G2534" s="17"/>
      <c r="H2534" s="17"/>
      <c r="I2534" s="31"/>
      <c r="J2534" s="17"/>
      <c r="K2534" s="17"/>
      <c r="L2534" s="17"/>
      <c r="M2534" s="17"/>
      <c r="N2534" s="17"/>
      <c r="O2534" s="17"/>
      <c r="P2534" s="17"/>
      <c r="Q2534" s="17"/>
      <c r="R2534" s="17"/>
      <c r="S2534" s="17"/>
      <c r="T2534" s="17"/>
      <c r="U2534" s="17"/>
      <c r="V2534" s="17"/>
      <c r="W2534" s="17"/>
      <c r="X2534" s="17"/>
      <c r="Y2534" s="17"/>
      <c r="Z2534" s="31"/>
      <c r="AA2534" s="32"/>
    </row>
    <row r="2535" spans="1:27" ht="12.75">
      <c r="A2535" s="17"/>
      <c r="B2535" s="17"/>
      <c r="C2535" s="17"/>
      <c r="D2535" s="17"/>
      <c r="E2535" s="17"/>
      <c r="F2535" s="17"/>
      <c r="G2535" s="17"/>
      <c r="H2535" s="17"/>
      <c r="I2535" s="31"/>
      <c r="J2535" s="17"/>
      <c r="K2535" s="17"/>
      <c r="L2535" s="17"/>
      <c r="M2535" s="17"/>
      <c r="N2535" s="17"/>
      <c r="O2535" s="17"/>
      <c r="P2535" s="17"/>
      <c r="Q2535" s="17"/>
      <c r="R2535" s="17"/>
      <c r="S2535" s="17"/>
      <c r="T2535" s="17"/>
      <c r="U2535" s="17"/>
      <c r="V2535" s="17"/>
      <c r="W2535" s="17"/>
      <c r="X2535" s="17"/>
      <c r="Y2535" s="17"/>
      <c r="Z2535" s="31"/>
      <c r="AA2535" s="32"/>
    </row>
    <row r="2536" spans="1:27" ht="12.75">
      <c r="A2536" s="17"/>
      <c r="B2536" s="17"/>
      <c r="C2536" s="17"/>
      <c r="D2536" s="17"/>
      <c r="E2536" s="17"/>
      <c r="F2536" s="17"/>
      <c r="G2536" s="17"/>
      <c r="H2536" s="17"/>
      <c r="I2536" s="31"/>
      <c r="J2536" s="17"/>
      <c r="K2536" s="17"/>
      <c r="L2536" s="17"/>
      <c r="M2536" s="17"/>
      <c r="N2536" s="17"/>
      <c r="O2536" s="17"/>
      <c r="P2536" s="17"/>
      <c r="Q2536" s="17"/>
      <c r="R2536" s="17"/>
      <c r="S2536" s="17"/>
      <c r="T2536" s="17"/>
      <c r="U2536" s="17"/>
      <c r="V2536" s="17"/>
      <c r="W2536" s="17"/>
      <c r="X2536" s="17"/>
      <c r="Y2536" s="17"/>
      <c r="Z2536" s="31"/>
      <c r="AA2536" s="32"/>
    </row>
    <row r="2537" spans="1:27" ht="12.75">
      <c r="A2537" s="17"/>
      <c r="B2537" s="17"/>
      <c r="C2537" s="17"/>
      <c r="D2537" s="17"/>
      <c r="E2537" s="17"/>
      <c r="F2537" s="17"/>
      <c r="G2537" s="17"/>
      <c r="H2537" s="17"/>
      <c r="I2537" s="31"/>
      <c r="J2537" s="17"/>
      <c r="K2537" s="17"/>
      <c r="L2537" s="17"/>
      <c r="M2537" s="17"/>
      <c r="N2537" s="17"/>
      <c r="O2537" s="17"/>
      <c r="P2537" s="17"/>
      <c r="Q2537" s="17"/>
      <c r="R2537" s="17"/>
      <c r="S2537" s="17"/>
      <c r="T2537" s="17"/>
      <c r="U2537" s="17"/>
      <c r="V2537" s="17"/>
      <c r="W2537" s="17"/>
      <c r="X2537" s="17"/>
      <c r="Y2537" s="17"/>
      <c r="Z2537" s="31"/>
      <c r="AA2537" s="32"/>
    </row>
    <row r="2538" spans="1:27" ht="12.75">
      <c r="A2538" s="17"/>
      <c r="B2538" s="17"/>
      <c r="C2538" s="17"/>
      <c r="D2538" s="17"/>
      <c r="E2538" s="17"/>
      <c r="F2538" s="17"/>
      <c r="G2538" s="17"/>
      <c r="H2538" s="17"/>
      <c r="I2538" s="31"/>
      <c r="J2538" s="17"/>
      <c r="K2538" s="17"/>
      <c r="L2538" s="17"/>
      <c r="M2538" s="17"/>
      <c r="N2538" s="17"/>
      <c r="O2538" s="17"/>
      <c r="P2538" s="17"/>
      <c r="Q2538" s="17"/>
      <c r="R2538" s="17"/>
      <c r="S2538" s="17"/>
      <c r="T2538" s="17"/>
      <c r="U2538" s="17"/>
      <c r="V2538" s="17"/>
      <c r="W2538" s="17"/>
      <c r="X2538" s="17"/>
      <c r="Y2538" s="17"/>
      <c r="Z2538" s="31"/>
      <c r="AA2538" s="32"/>
    </row>
    <row r="2539" spans="1:27" ht="12.75">
      <c r="A2539" s="17"/>
      <c r="B2539" s="17"/>
      <c r="C2539" s="17"/>
      <c r="D2539" s="17"/>
      <c r="E2539" s="17"/>
      <c r="F2539" s="17"/>
      <c r="G2539" s="17"/>
      <c r="H2539" s="17"/>
      <c r="I2539" s="31"/>
      <c r="J2539" s="17"/>
      <c r="K2539" s="17"/>
      <c r="L2539" s="17"/>
      <c r="M2539" s="17"/>
      <c r="N2539" s="17"/>
      <c r="O2539" s="17"/>
      <c r="P2539" s="17"/>
      <c r="Q2539" s="17"/>
      <c r="R2539" s="17"/>
      <c r="S2539" s="17"/>
      <c r="T2539" s="17"/>
      <c r="U2539" s="17"/>
      <c r="V2539" s="17"/>
      <c r="W2539" s="17"/>
      <c r="X2539" s="17"/>
      <c r="Y2539" s="17"/>
      <c r="Z2539" s="31"/>
      <c r="AA2539" s="32"/>
    </row>
    <row r="2540" spans="1:27" ht="12.75">
      <c r="A2540" s="17"/>
      <c r="B2540" s="17"/>
      <c r="C2540" s="17"/>
      <c r="D2540" s="17"/>
      <c r="E2540" s="17"/>
      <c r="F2540" s="17"/>
      <c r="G2540" s="17"/>
      <c r="H2540" s="17"/>
      <c r="I2540" s="31"/>
      <c r="J2540" s="17"/>
      <c r="K2540" s="17"/>
      <c r="L2540" s="17"/>
      <c r="M2540" s="17"/>
      <c r="N2540" s="17"/>
      <c r="O2540" s="17"/>
      <c r="P2540" s="17"/>
      <c r="Q2540" s="17"/>
      <c r="R2540" s="17"/>
      <c r="S2540" s="17"/>
      <c r="T2540" s="17"/>
      <c r="U2540" s="17"/>
      <c r="V2540" s="17"/>
      <c r="W2540" s="17"/>
      <c r="X2540" s="17"/>
      <c r="Y2540" s="17"/>
      <c r="Z2540" s="31"/>
      <c r="AA2540" s="32"/>
    </row>
    <row r="2541" spans="1:27" ht="12.75">
      <c r="A2541" s="17"/>
      <c r="B2541" s="17"/>
      <c r="C2541" s="17"/>
      <c r="D2541" s="17"/>
      <c r="E2541" s="17"/>
      <c r="F2541" s="17"/>
      <c r="G2541" s="17"/>
      <c r="H2541" s="17"/>
      <c r="I2541" s="31"/>
      <c r="J2541" s="17"/>
      <c r="K2541" s="17"/>
      <c r="L2541" s="17"/>
      <c r="M2541" s="17"/>
      <c r="N2541" s="17"/>
      <c r="O2541" s="17"/>
      <c r="P2541" s="17"/>
      <c r="Q2541" s="17"/>
      <c r="R2541" s="17"/>
      <c r="S2541" s="17"/>
      <c r="T2541" s="17"/>
      <c r="U2541" s="17"/>
      <c r="V2541" s="17"/>
      <c r="W2541" s="17"/>
      <c r="X2541" s="17"/>
      <c r="Y2541" s="17"/>
      <c r="Z2541" s="31"/>
      <c r="AA2541" s="32"/>
    </row>
    <row r="2542" spans="1:27" ht="12.75">
      <c r="A2542" s="17"/>
      <c r="B2542" s="17"/>
      <c r="C2542" s="17"/>
      <c r="D2542" s="17"/>
      <c r="E2542" s="17"/>
      <c r="F2542" s="17"/>
      <c r="G2542" s="17"/>
      <c r="H2542" s="17"/>
      <c r="I2542" s="31"/>
      <c r="J2542" s="17"/>
      <c r="K2542" s="17"/>
      <c r="L2542" s="17"/>
      <c r="M2542" s="17"/>
      <c r="N2542" s="17"/>
      <c r="O2542" s="17"/>
      <c r="P2542" s="17"/>
      <c r="Q2542" s="17"/>
      <c r="R2542" s="17"/>
      <c r="S2542" s="17"/>
      <c r="T2542" s="17"/>
      <c r="U2542" s="17"/>
      <c r="V2542" s="17"/>
      <c r="W2542" s="17"/>
      <c r="X2542" s="17"/>
      <c r="Y2542" s="17"/>
      <c r="Z2542" s="31"/>
      <c r="AA2542" s="32"/>
    </row>
    <row r="2543" spans="1:27" ht="12.75">
      <c r="A2543" s="17"/>
      <c r="B2543" s="17"/>
      <c r="C2543" s="17"/>
      <c r="D2543" s="17"/>
      <c r="E2543" s="17"/>
      <c r="F2543" s="17"/>
      <c r="G2543" s="17"/>
      <c r="H2543" s="17"/>
      <c r="I2543" s="31"/>
      <c r="J2543" s="17"/>
      <c r="K2543" s="17"/>
      <c r="L2543" s="17"/>
      <c r="M2543" s="17"/>
      <c r="N2543" s="17"/>
      <c r="O2543" s="17"/>
      <c r="P2543" s="17"/>
      <c r="Q2543" s="17"/>
      <c r="R2543" s="17"/>
      <c r="S2543" s="17"/>
      <c r="T2543" s="17"/>
      <c r="U2543" s="17"/>
      <c r="V2543" s="17"/>
      <c r="W2543" s="17"/>
      <c r="X2543" s="17"/>
      <c r="Y2543" s="17"/>
      <c r="Z2543" s="31"/>
      <c r="AA2543" s="32"/>
    </row>
    <row r="2544" spans="1:27" ht="12.75">
      <c r="A2544" s="17"/>
      <c r="B2544" s="17"/>
      <c r="C2544" s="17"/>
      <c r="D2544" s="17"/>
      <c r="E2544" s="17"/>
      <c r="F2544" s="17"/>
      <c r="G2544" s="17"/>
      <c r="H2544" s="17"/>
      <c r="I2544" s="31"/>
      <c r="J2544" s="17"/>
      <c r="K2544" s="17"/>
      <c r="L2544" s="17"/>
      <c r="M2544" s="17"/>
      <c r="N2544" s="17"/>
      <c r="O2544" s="17"/>
      <c r="P2544" s="17"/>
      <c r="Q2544" s="17"/>
      <c r="R2544" s="17"/>
      <c r="S2544" s="17"/>
      <c r="T2544" s="17"/>
      <c r="U2544" s="17"/>
      <c r="V2544" s="17"/>
      <c r="W2544" s="17"/>
      <c r="X2544" s="17"/>
      <c r="Y2544" s="17"/>
      <c r="Z2544" s="31"/>
      <c r="AA2544" s="32"/>
    </row>
    <row r="2545" spans="1:27" ht="12.75">
      <c r="A2545" s="17"/>
      <c r="B2545" s="17"/>
      <c r="C2545" s="17"/>
      <c r="D2545" s="17"/>
      <c r="E2545" s="17"/>
      <c r="F2545" s="17"/>
      <c r="G2545" s="17"/>
      <c r="H2545" s="17"/>
      <c r="I2545" s="31"/>
      <c r="J2545" s="17"/>
      <c r="K2545" s="17"/>
      <c r="L2545" s="17"/>
      <c r="M2545" s="17"/>
      <c r="N2545" s="17"/>
      <c r="O2545" s="17"/>
      <c r="P2545" s="17"/>
      <c r="Q2545" s="17"/>
      <c r="R2545" s="17"/>
      <c r="S2545" s="17"/>
      <c r="T2545" s="17"/>
      <c r="U2545" s="17"/>
      <c r="V2545" s="17"/>
      <c r="W2545" s="17"/>
      <c r="X2545" s="17"/>
      <c r="Y2545" s="17"/>
      <c r="Z2545" s="31"/>
      <c r="AA2545" s="32"/>
    </row>
    <row r="2546" spans="1:27" ht="12.75">
      <c r="A2546" s="17"/>
      <c r="B2546" s="17"/>
      <c r="C2546" s="17"/>
      <c r="D2546" s="17"/>
      <c r="E2546" s="17"/>
      <c r="F2546" s="17"/>
      <c r="G2546" s="17"/>
      <c r="H2546" s="17"/>
      <c r="I2546" s="31"/>
      <c r="J2546" s="17"/>
      <c r="K2546" s="17"/>
      <c r="L2546" s="17"/>
      <c r="M2546" s="17"/>
      <c r="N2546" s="17"/>
      <c r="O2546" s="17"/>
      <c r="P2546" s="17"/>
      <c r="Q2546" s="17"/>
      <c r="R2546" s="17"/>
      <c r="S2546" s="17"/>
      <c r="T2546" s="17"/>
      <c r="U2546" s="17"/>
      <c r="V2546" s="17"/>
      <c r="W2546" s="17"/>
      <c r="X2546" s="17"/>
      <c r="Y2546" s="17"/>
      <c r="Z2546" s="31"/>
      <c r="AA2546" s="32"/>
    </row>
    <row r="2547" spans="1:27" ht="12.75">
      <c r="A2547" s="17"/>
      <c r="B2547" s="17"/>
      <c r="C2547" s="17"/>
      <c r="D2547" s="17"/>
      <c r="E2547" s="17"/>
      <c r="F2547" s="17"/>
      <c r="G2547" s="17"/>
      <c r="H2547" s="17"/>
      <c r="I2547" s="31"/>
      <c r="J2547" s="17"/>
      <c r="K2547" s="17"/>
      <c r="L2547" s="17"/>
      <c r="M2547" s="17"/>
      <c r="N2547" s="17"/>
      <c r="O2547" s="17"/>
      <c r="P2547" s="17"/>
      <c r="Q2547" s="17"/>
      <c r="R2547" s="17"/>
      <c r="S2547" s="17"/>
      <c r="T2547" s="17"/>
      <c r="U2547" s="17"/>
      <c r="V2547" s="17"/>
      <c r="W2547" s="17"/>
      <c r="X2547" s="17"/>
      <c r="Y2547" s="17"/>
      <c r="Z2547" s="31"/>
      <c r="AA2547" s="32"/>
    </row>
    <row r="2548" spans="1:27" ht="12.75">
      <c r="A2548" s="17"/>
      <c r="B2548" s="17"/>
      <c r="C2548" s="17"/>
      <c r="D2548" s="17"/>
      <c r="E2548" s="17"/>
      <c r="F2548" s="17"/>
      <c r="G2548" s="17"/>
      <c r="H2548" s="17"/>
      <c r="I2548" s="31"/>
      <c r="J2548" s="17"/>
      <c r="K2548" s="17"/>
      <c r="L2548" s="17"/>
      <c r="M2548" s="17"/>
      <c r="N2548" s="17"/>
      <c r="O2548" s="17"/>
      <c r="P2548" s="17"/>
      <c r="Q2548" s="17"/>
      <c r="R2548" s="17"/>
      <c r="S2548" s="17"/>
      <c r="T2548" s="17"/>
      <c r="U2548" s="17"/>
      <c r="V2548" s="17"/>
      <c r="W2548" s="17"/>
      <c r="X2548" s="17"/>
      <c r="Y2548" s="17"/>
      <c r="Z2548" s="31"/>
      <c r="AA2548" s="32"/>
    </row>
    <row r="2549" spans="1:27" ht="12.75">
      <c r="A2549" s="17"/>
      <c r="B2549" s="17"/>
      <c r="C2549" s="17"/>
      <c r="D2549" s="17"/>
      <c r="E2549" s="17"/>
      <c r="F2549" s="17"/>
      <c r="G2549" s="17"/>
      <c r="H2549" s="17"/>
      <c r="I2549" s="31"/>
      <c r="J2549" s="17"/>
      <c r="K2549" s="17"/>
      <c r="L2549" s="17"/>
      <c r="M2549" s="17"/>
      <c r="N2549" s="17"/>
      <c r="O2549" s="17"/>
      <c r="P2549" s="17"/>
      <c r="Q2549" s="17"/>
      <c r="R2549" s="17"/>
      <c r="S2549" s="17"/>
      <c r="T2549" s="17"/>
      <c r="U2549" s="17"/>
      <c r="V2549" s="17"/>
      <c r="W2549" s="17"/>
      <c r="X2549" s="17"/>
      <c r="Y2549" s="17"/>
      <c r="Z2549" s="31"/>
      <c r="AA2549" s="32"/>
    </row>
    <row r="2550" spans="1:27" ht="12.75">
      <c r="A2550" s="17"/>
      <c r="B2550" s="17"/>
      <c r="C2550" s="17"/>
      <c r="D2550" s="17"/>
      <c r="E2550" s="17"/>
      <c r="F2550" s="17"/>
      <c r="G2550" s="17"/>
      <c r="H2550" s="17"/>
      <c r="I2550" s="31"/>
      <c r="J2550" s="17"/>
      <c r="K2550" s="17"/>
      <c r="L2550" s="17"/>
      <c r="M2550" s="17"/>
      <c r="N2550" s="17"/>
      <c r="O2550" s="17"/>
      <c r="P2550" s="17"/>
      <c r="Q2550" s="17"/>
      <c r="R2550" s="17"/>
      <c r="S2550" s="17"/>
      <c r="T2550" s="17"/>
      <c r="U2550" s="17"/>
      <c r="V2550" s="17"/>
      <c r="W2550" s="17"/>
      <c r="X2550" s="17"/>
      <c r="Y2550" s="17"/>
      <c r="Z2550" s="31"/>
      <c r="AA2550" s="32"/>
    </row>
    <row r="2551" spans="1:27" ht="12.75">
      <c r="A2551" s="17"/>
      <c r="B2551" s="17"/>
      <c r="C2551" s="17"/>
      <c r="D2551" s="17"/>
      <c r="E2551" s="17"/>
      <c r="F2551" s="17"/>
      <c r="G2551" s="17"/>
      <c r="H2551" s="17"/>
      <c r="I2551" s="31"/>
      <c r="J2551" s="17"/>
      <c r="K2551" s="17"/>
      <c r="L2551" s="17"/>
      <c r="M2551" s="17"/>
      <c r="N2551" s="17"/>
      <c r="O2551" s="17"/>
      <c r="P2551" s="17"/>
      <c r="Q2551" s="17"/>
      <c r="R2551" s="17"/>
      <c r="S2551" s="17"/>
      <c r="T2551" s="17"/>
      <c r="U2551" s="17"/>
      <c r="V2551" s="17"/>
      <c r="W2551" s="17"/>
      <c r="X2551" s="17"/>
      <c r="Y2551" s="17"/>
      <c r="Z2551" s="31"/>
      <c r="AA2551" s="32"/>
    </row>
    <row r="2552" spans="1:27" ht="12.75">
      <c r="A2552" s="17"/>
      <c r="B2552" s="17"/>
      <c r="C2552" s="17"/>
      <c r="D2552" s="17"/>
      <c r="E2552" s="17"/>
      <c r="F2552" s="17"/>
      <c r="G2552" s="17"/>
      <c r="H2552" s="17"/>
      <c r="I2552" s="31"/>
      <c r="J2552" s="17"/>
      <c r="K2552" s="17"/>
      <c r="L2552" s="17"/>
      <c r="M2552" s="17"/>
      <c r="N2552" s="17"/>
      <c r="O2552" s="17"/>
      <c r="P2552" s="17"/>
      <c r="Q2552" s="17"/>
      <c r="R2552" s="17"/>
      <c r="S2552" s="17"/>
      <c r="T2552" s="17"/>
      <c r="U2552" s="17"/>
      <c r="V2552" s="17"/>
      <c r="W2552" s="17"/>
      <c r="X2552" s="17"/>
      <c r="Y2552" s="17"/>
      <c r="Z2552" s="31"/>
      <c r="AA2552" s="32"/>
    </row>
    <row r="2553" spans="1:27" ht="12.75">
      <c r="A2553" s="17"/>
      <c r="B2553" s="17"/>
      <c r="C2553" s="17"/>
      <c r="D2553" s="17"/>
      <c r="E2553" s="17"/>
      <c r="F2553" s="17"/>
      <c r="G2553" s="17"/>
      <c r="H2553" s="17"/>
      <c r="I2553" s="31"/>
      <c r="J2553" s="17"/>
      <c r="K2553" s="17"/>
      <c r="L2553" s="17"/>
      <c r="M2553" s="17"/>
      <c r="N2553" s="17"/>
      <c r="O2553" s="17"/>
      <c r="P2553" s="17"/>
      <c r="Q2553" s="17"/>
      <c r="R2553" s="17"/>
      <c r="S2553" s="17"/>
      <c r="T2553" s="17"/>
      <c r="U2553" s="17"/>
      <c r="V2553" s="17"/>
      <c r="W2553" s="17"/>
      <c r="X2553" s="17"/>
      <c r="Y2553" s="17"/>
      <c r="Z2553" s="31"/>
      <c r="AA2553" s="32"/>
    </row>
    <row r="2554" spans="1:27" ht="12.75">
      <c r="A2554" s="17"/>
      <c r="B2554" s="17"/>
      <c r="C2554" s="17"/>
      <c r="D2554" s="17"/>
      <c r="E2554" s="17"/>
      <c r="F2554" s="17"/>
      <c r="G2554" s="17"/>
      <c r="H2554" s="17"/>
      <c r="I2554" s="31"/>
      <c r="J2554" s="17"/>
      <c r="K2554" s="17"/>
      <c r="L2554" s="17"/>
      <c r="M2554" s="17"/>
      <c r="N2554" s="17"/>
      <c r="O2554" s="17"/>
      <c r="P2554" s="17"/>
      <c r="Q2554" s="17"/>
      <c r="R2554" s="17"/>
      <c r="S2554" s="17"/>
      <c r="T2554" s="17"/>
      <c r="U2554" s="17"/>
      <c r="V2554" s="17"/>
      <c r="W2554" s="17"/>
      <c r="X2554" s="17"/>
      <c r="Y2554" s="17"/>
      <c r="Z2554" s="31"/>
      <c r="AA2554" s="32"/>
    </row>
    <row r="2555" spans="1:27" ht="12.75">
      <c r="A2555" s="17"/>
      <c r="B2555" s="17"/>
      <c r="C2555" s="17"/>
      <c r="D2555" s="17"/>
      <c r="E2555" s="17"/>
      <c r="F2555" s="17"/>
      <c r="G2555" s="17"/>
      <c r="H2555" s="17"/>
      <c r="I2555" s="31"/>
      <c r="J2555" s="17"/>
      <c r="K2555" s="17"/>
      <c r="L2555" s="17"/>
      <c r="M2555" s="17"/>
      <c r="N2555" s="17"/>
      <c r="O2555" s="17"/>
      <c r="P2555" s="17"/>
      <c r="Q2555" s="17"/>
      <c r="R2555" s="17"/>
      <c r="S2555" s="17"/>
      <c r="T2555" s="17"/>
      <c r="U2555" s="17"/>
      <c r="V2555" s="17"/>
      <c r="W2555" s="17"/>
      <c r="X2555" s="17"/>
      <c r="Y2555" s="17"/>
      <c r="Z2555" s="31"/>
      <c r="AA2555" s="32"/>
    </row>
    <row r="2556" spans="1:27" ht="12.75">
      <c r="A2556" s="17"/>
      <c r="B2556" s="17"/>
      <c r="C2556" s="17"/>
      <c r="D2556" s="17"/>
      <c r="E2556" s="17"/>
      <c r="F2556" s="17"/>
      <c r="G2556" s="17"/>
      <c r="H2556" s="17"/>
      <c r="I2556" s="31"/>
      <c r="J2556" s="17"/>
      <c r="K2556" s="17"/>
      <c r="L2556" s="17"/>
      <c r="M2556" s="17"/>
      <c r="N2556" s="17"/>
      <c r="O2556" s="17"/>
      <c r="P2556" s="17"/>
      <c r="Q2556" s="17"/>
      <c r="R2556" s="17"/>
      <c r="S2556" s="17"/>
      <c r="T2556" s="17"/>
      <c r="U2556" s="17"/>
      <c r="V2556" s="17"/>
      <c r="W2556" s="17"/>
      <c r="X2556" s="17"/>
      <c r="Y2556" s="17"/>
      <c r="Z2556" s="31"/>
      <c r="AA2556" s="32"/>
    </row>
    <row r="2557" spans="1:27" ht="12.75">
      <c r="A2557" s="17"/>
      <c r="B2557" s="17"/>
      <c r="C2557" s="17"/>
      <c r="D2557" s="17"/>
      <c r="E2557" s="17"/>
      <c r="F2557" s="17"/>
      <c r="G2557" s="17"/>
      <c r="H2557" s="17"/>
      <c r="I2557" s="31"/>
      <c r="J2557" s="17"/>
      <c r="K2557" s="17"/>
      <c r="L2557" s="17"/>
      <c r="M2557" s="17"/>
      <c r="N2557" s="17"/>
      <c r="O2557" s="17"/>
      <c r="P2557" s="17"/>
      <c r="Q2557" s="17"/>
      <c r="R2557" s="17"/>
      <c r="S2557" s="17"/>
      <c r="T2557" s="17"/>
      <c r="U2557" s="17"/>
      <c r="V2557" s="17"/>
      <c r="W2557" s="17"/>
      <c r="X2557" s="17"/>
      <c r="Y2557" s="17"/>
      <c r="Z2557" s="31"/>
      <c r="AA2557" s="32"/>
    </row>
    <row r="2558" spans="1:27" ht="12.75">
      <c r="A2558" s="17"/>
      <c r="B2558" s="17"/>
      <c r="C2558" s="17"/>
      <c r="D2558" s="17"/>
      <c r="E2558" s="17"/>
      <c r="F2558" s="17"/>
      <c r="G2558" s="17"/>
      <c r="H2558" s="17"/>
      <c r="I2558" s="31"/>
      <c r="J2558" s="17"/>
      <c r="K2558" s="17"/>
      <c r="L2558" s="17"/>
      <c r="M2558" s="17"/>
      <c r="N2558" s="17"/>
      <c r="O2558" s="17"/>
      <c r="P2558" s="17"/>
      <c r="Q2558" s="17"/>
      <c r="R2558" s="17"/>
      <c r="S2558" s="17"/>
      <c r="T2558" s="17"/>
      <c r="U2558" s="17"/>
      <c r="V2558" s="17"/>
      <c r="W2558" s="17"/>
      <c r="X2558" s="17"/>
      <c r="Y2558" s="17"/>
      <c r="Z2558" s="31"/>
      <c r="AA2558" s="32"/>
    </row>
    <row r="2559" spans="1:27" ht="12.75">
      <c r="A2559" s="17"/>
      <c r="B2559" s="17"/>
      <c r="C2559" s="17"/>
      <c r="D2559" s="17"/>
      <c r="E2559" s="17"/>
      <c r="F2559" s="17"/>
      <c r="G2559" s="17"/>
      <c r="H2559" s="17"/>
      <c r="I2559" s="31"/>
      <c r="J2559" s="17"/>
      <c r="K2559" s="17"/>
      <c r="L2559" s="17"/>
      <c r="M2559" s="17"/>
      <c r="N2559" s="17"/>
      <c r="O2559" s="17"/>
      <c r="P2559" s="17"/>
      <c r="Q2559" s="17"/>
      <c r="R2559" s="17"/>
      <c r="S2559" s="17"/>
      <c r="T2559" s="17"/>
      <c r="U2559" s="17"/>
      <c r="V2559" s="17"/>
      <c r="W2559" s="17"/>
      <c r="X2559" s="17"/>
      <c r="Y2559" s="17"/>
      <c r="Z2559" s="31"/>
      <c r="AA2559" s="32"/>
    </row>
    <row r="2560" spans="1:27" ht="12.75">
      <c r="A2560" s="17"/>
      <c r="B2560" s="17"/>
      <c r="C2560" s="17"/>
      <c r="D2560" s="17"/>
      <c r="E2560" s="17"/>
      <c r="F2560" s="17"/>
      <c r="G2560" s="17"/>
      <c r="H2560" s="17"/>
      <c r="I2560" s="31"/>
      <c r="J2560" s="17"/>
      <c r="K2560" s="17"/>
      <c r="L2560" s="17"/>
      <c r="M2560" s="17"/>
      <c r="N2560" s="17"/>
      <c r="O2560" s="17"/>
      <c r="P2560" s="17"/>
      <c r="Q2560" s="17"/>
      <c r="R2560" s="17"/>
      <c r="S2560" s="17"/>
      <c r="T2560" s="17"/>
      <c r="U2560" s="17"/>
      <c r="V2560" s="17"/>
      <c r="W2560" s="17"/>
      <c r="X2560" s="17"/>
      <c r="Y2560" s="17"/>
      <c r="Z2560" s="31"/>
      <c r="AA2560" s="32"/>
    </row>
    <row r="2561" spans="1:27" ht="12.75">
      <c r="A2561" s="17"/>
      <c r="B2561" s="17"/>
      <c r="C2561" s="17"/>
      <c r="D2561" s="17"/>
      <c r="E2561" s="17"/>
      <c r="F2561" s="17"/>
      <c r="G2561" s="17"/>
      <c r="H2561" s="17"/>
      <c r="I2561" s="31"/>
      <c r="J2561" s="17"/>
      <c r="K2561" s="17"/>
      <c r="L2561" s="17"/>
      <c r="M2561" s="17"/>
      <c r="N2561" s="17"/>
      <c r="O2561" s="17"/>
      <c r="P2561" s="17"/>
      <c r="Q2561" s="17"/>
      <c r="R2561" s="17"/>
      <c r="S2561" s="17"/>
      <c r="T2561" s="17"/>
      <c r="U2561" s="17"/>
      <c r="V2561" s="17"/>
      <c r="W2561" s="17"/>
      <c r="X2561" s="17"/>
      <c r="Y2561" s="17"/>
      <c r="Z2561" s="31"/>
      <c r="AA2561" s="32"/>
    </row>
    <row r="2562" spans="1:27" ht="12.75">
      <c r="A2562" s="17"/>
      <c r="B2562" s="17"/>
      <c r="C2562" s="17"/>
      <c r="D2562" s="17"/>
      <c r="E2562" s="17"/>
      <c r="F2562" s="17"/>
      <c r="G2562" s="17"/>
      <c r="H2562" s="17"/>
      <c r="I2562" s="31"/>
      <c r="J2562" s="17"/>
      <c r="K2562" s="17"/>
      <c r="L2562" s="17"/>
      <c r="M2562" s="17"/>
      <c r="N2562" s="17"/>
      <c r="O2562" s="17"/>
      <c r="P2562" s="17"/>
      <c r="Q2562" s="17"/>
      <c r="R2562" s="17"/>
      <c r="S2562" s="17"/>
      <c r="T2562" s="17"/>
      <c r="U2562" s="17"/>
      <c r="V2562" s="17"/>
      <c r="W2562" s="17"/>
      <c r="X2562" s="17"/>
      <c r="Y2562" s="17"/>
      <c r="Z2562" s="31"/>
      <c r="AA2562" s="32"/>
    </row>
    <row r="2563" spans="1:27" ht="12.75">
      <c r="A2563" s="17"/>
      <c r="B2563" s="17"/>
      <c r="C2563" s="17"/>
      <c r="D2563" s="17"/>
      <c r="E2563" s="17"/>
      <c r="F2563" s="17"/>
      <c r="G2563" s="17"/>
      <c r="H2563" s="17"/>
      <c r="I2563" s="31"/>
      <c r="J2563" s="17"/>
      <c r="K2563" s="17"/>
      <c r="L2563" s="17"/>
      <c r="M2563" s="17"/>
      <c r="N2563" s="17"/>
      <c r="O2563" s="17"/>
      <c r="P2563" s="17"/>
      <c r="Q2563" s="17"/>
      <c r="R2563" s="17"/>
      <c r="S2563" s="17"/>
      <c r="T2563" s="17"/>
      <c r="U2563" s="17"/>
      <c r="V2563" s="17"/>
      <c r="W2563" s="17"/>
      <c r="X2563" s="17"/>
      <c r="Y2563" s="17"/>
      <c r="Z2563" s="31"/>
      <c r="AA2563" s="32"/>
    </row>
    <row r="2564" spans="1:27" ht="12.75">
      <c r="A2564" s="17"/>
      <c r="B2564" s="17"/>
      <c r="C2564" s="17"/>
      <c r="D2564" s="17"/>
      <c r="E2564" s="17"/>
      <c r="F2564" s="17"/>
      <c r="G2564" s="17"/>
      <c r="H2564" s="17"/>
      <c r="I2564" s="31"/>
      <c r="J2564" s="17"/>
      <c r="K2564" s="17"/>
      <c r="L2564" s="17"/>
      <c r="M2564" s="17"/>
      <c r="N2564" s="17"/>
      <c r="O2564" s="17"/>
      <c r="P2564" s="17"/>
      <c r="Q2564" s="17"/>
      <c r="R2564" s="17"/>
      <c r="S2564" s="17"/>
      <c r="T2564" s="17"/>
      <c r="U2564" s="17"/>
      <c r="V2564" s="17"/>
      <c r="W2564" s="17"/>
      <c r="X2564" s="17"/>
      <c r="Y2564" s="17"/>
      <c r="Z2564" s="31"/>
      <c r="AA2564" s="32"/>
    </row>
    <row r="2565" spans="1:27" ht="12.75">
      <c r="A2565" s="17"/>
      <c r="B2565" s="17"/>
      <c r="C2565" s="17"/>
      <c r="D2565" s="17"/>
      <c r="E2565" s="17"/>
      <c r="F2565" s="17"/>
      <c r="G2565" s="17"/>
      <c r="H2565" s="17"/>
      <c r="I2565" s="31"/>
      <c r="J2565" s="17"/>
      <c r="K2565" s="17"/>
      <c r="L2565" s="17"/>
      <c r="M2565" s="17"/>
      <c r="N2565" s="17"/>
      <c r="O2565" s="17"/>
      <c r="P2565" s="17"/>
      <c r="Q2565" s="17"/>
      <c r="R2565" s="17"/>
      <c r="S2565" s="17"/>
      <c r="T2565" s="17"/>
      <c r="U2565" s="17"/>
      <c r="V2565" s="17"/>
      <c r="W2565" s="17"/>
      <c r="X2565" s="17"/>
      <c r="Y2565" s="17"/>
      <c r="Z2565" s="31"/>
      <c r="AA2565" s="32"/>
    </row>
    <row r="2566" spans="1:27" ht="12.75">
      <c r="A2566" s="17"/>
      <c r="B2566" s="17"/>
      <c r="C2566" s="17"/>
      <c r="D2566" s="17"/>
      <c r="E2566" s="17"/>
      <c r="F2566" s="17"/>
      <c r="G2566" s="17"/>
      <c r="H2566" s="17"/>
      <c r="I2566" s="31"/>
      <c r="J2566" s="17"/>
      <c r="K2566" s="17"/>
      <c r="L2566" s="17"/>
      <c r="M2566" s="17"/>
      <c r="N2566" s="17"/>
      <c r="O2566" s="17"/>
      <c r="P2566" s="17"/>
      <c r="Q2566" s="17"/>
      <c r="R2566" s="17"/>
      <c r="S2566" s="17"/>
      <c r="T2566" s="17"/>
      <c r="U2566" s="17"/>
      <c r="V2566" s="17"/>
      <c r="W2566" s="17"/>
      <c r="X2566" s="17"/>
      <c r="Y2566" s="17"/>
      <c r="Z2566" s="31"/>
      <c r="AA2566" s="32"/>
    </row>
    <row r="2567" spans="1:27" ht="12.75">
      <c r="A2567" s="17"/>
      <c r="B2567" s="17"/>
      <c r="C2567" s="17"/>
      <c r="D2567" s="17"/>
      <c r="E2567" s="17"/>
      <c r="F2567" s="17"/>
      <c r="G2567" s="17"/>
      <c r="H2567" s="17"/>
      <c r="I2567" s="31"/>
      <c r="J2567" s="17"/>
      <c r="K2567" s="17"/>
      <c r="L2567" s="17"/>
      <c r="M2567" s="17"/>
      <c r="N2567" s="17"/>
      <c r="O2567" s="17"/>
      <c r="P2567" s="17"/>
      <c r="Q2567" s="17"/>
      <c r="R2567" s="17"/>
      <c r="S2567" s="17"/>
      <c r="T2567" s="17"/>
      <c r="U2567" s="17"/>
      <c r="V2567" s="17"/>
      <c r="W2567" s="17"/>
      <c r="X2567" s="17"/>
      <c r="Y2567" s="17"/>
      <c r="Z2567" s="31"/>
      <c r="AA2567" s="32"/>
    </row>
    <row r="2568" spans="1:27" ht="12.75">
      <c r="A2568" s="17"/>
      <c r="B2568" s="17"/>
      <c r="C2568" s="17"/>
      <c r="D2568" s="17"/>
      <c r="E2568" s="17"/>
      <c r="F2568" s="17"/>
      <c r="G2568" s="17"/>
      <c r="H2568" s="17"/>
      <c r="I2568" s="31"/>
      <c r="J2568" s="17"/>
      <c r="K2568" s="17"/>
      <c r="L2568" s="17"/>
      <c r="M2568" s="17"/>
      <c r="N2568" s="17"/>
      <c r="O2568" s="17"/>
      <c r="P2568" s="17"/>
      <c r="Q2568" s="17"/>
      <c r="R2568" s="17"/>
      <c r="S2568" s="17"/>
      <c r="T2568" s="17"/>
      <c r="U2568" s="17"/>
      <c r="V2568" s="17"/>
      <c r="W2568" s="17"/>
      <c r="X2568" s="17"/>
      <c r="Y2568" s="17"/>
      <c r="Z2568" s="31"/>
      <c r="AA2568" s="32"/>
    </row>
    <row r="2569" spans="1:27" ht="12.75">
      <c r="A2569" s="17"/>
      <c r="B2569" s="17"/>
      <c r="C2569" s="17"/>
      <c r="D2569" s="17"/>
      <c r="E2569" s="17"/>
      <c r="F2569" s="17"/>
      <c r="G2569" s="17"/>
      <c r="H2569" s="17"/>
      <c r="I2569" s="31"/>
      <c r="J2569" s="17"/>
      <c r="K2569" s="17"/>
      <c r="L2569" s="17"/>
      <c r="M2569" s="17"/>
      <c r="N2569" s="17"/>
      <c r="O2569" s="17"/>
      <c r="P2569" s="17"/>
      <c r="Q2569" s="17"/>
      <c r="R2569" s="17"/>
      <c r="S2569" s="17"/>
      <c r="T2569" s="17"/>
      <c r="U2569" s="17"/>
      <c r="V2569" s="17"/>
      <c r="W2569" s="17"/>
      <c r="X2569" s="17"/>
      <c r="Y2569" s="17"/>
      <c r="Z2569" s="31"/>
      <c r="AA2569" s="32"/>
    </row>
    <row r="2570" spans="1:27" ht="12.75">
      <c r="A2570" s="17"/>
      <c r="B2570" s="17"/>
      <c r="C2570" s="17"/>
      <c r="D2570" s="17"/>
      <c r="E2570" s="17"/>
      <c r="F2570" s="17"/>
      <c r="G2570" s="17"/>
      <c r="H2570" s="17"/>
      <c r="I2570" s="31"/>
      <c r="J2570" s="17"/>
      <c r="K2570" s="17"/>
      <c r="L2570" s="17"/>
      <c r="M2570" s="17"/>
      <c r="N2570" s="17"/>
      <c r="O2570" s="17"/>
      <c r="P2570" s="17"/>
      <c r="Q2570" s="17"/>
      <c r="R2570" s="17"/>
      <c r="S2570" s="17"/>
      <c r="T2570" s="17"/>
      <c r="U2570" s="17"/>
      <c r="V2570" s="17"/>
      <c r="W2570" s="17"/>
      <c r="X2570" s="17"/>
      <c r="Y2570" s="17"/>
      <c r="Z2570" s="31"/>
      <c r="AA2570" s="32"/>
    </row>
    <row r="2571" spans="1:27" ht="12.75">
      <c r="A2571" s="17"/>
      <c r="B2571" s="17"/>
      <c r="C2571" s="17"/>
      <c r="D2571" s="17"/>
      <c r="E2571" s="17"/>
      <c r="F2571" s="17"/>
      <c r="G2571" s="17"/>
      <c r="H2571" s="17"/>
      <c r="I2571" s="31"/>
      <c r="J2571" s="17"/>
      <c r="K2571" s="17"/>
      <c r="L2571" s="17"/>
      <c r="M2571" s="17"/>
      <c r="N2571" s="17"/>
      <c r="O2571" s="17"/>
      <c r="P2571" s="17"/>
      <c r="Q2571" s="17"/>
      <c r="R2571" s="17"/>
      <c r="S2571" s="17"/>
      <c r="T2571" s="17"/>
      <c r="U2571" s="17"/>
      <c r="V2571" s="17"/>
      <c r="W2571" s="17"/>
      <c r="X2571" s="17"/>
      <c r="Y2571" s="17"/>
      <c r="Z2571" s="31"/>
      <c r="AA2571" s="32"/>
    </row>
    <row r="2572" spans="1:27" ht="12.75">
      <c r="A2572" s="17"/>
      <c r="B2572" s="17"/>
      <c r="C2572" s="17"/>
      <c r="D2572" s="17"/>
      <c r="E2572" s="17"/>
      <c r="F2572" s="17"/>
      <c r="G2572" s="17"/>
      <c r="H2572" s="17"/>
      <c r="I2572" s="31"/>
      <c r="J2572" s="17"/>
      <c r="K2572" s="17"/>
      <c r="L2572" s="17"/>
      <c r="M2572" s="17"/>
      <c r="N2572" s="17"/>
      <c r="O2572" s="17"/>
      <c r="P2572" s="17"/>
      <c r="Q2572" s="17"/>
      <c r="R2572" s="17"/>
      <c r="S2572" s="17"/>
      <c r="T2572" s="17"/>
      <c r="U2572" s="17"/>
      <c r="V2572" s="17"/>
      <c r="W2572" s="17"/>
      <c r="X2572" s="17"/>
      <c r="Y2572" s="17"/>
      <c r="Z2572" s="31"/>
      <c r="AA2572" s="32"/>
    </row>
    <row r="2573" spans="1:27" ht="12.75">
      <c r="A2573" s="17"/>
      <c r="B2573" s="17"/>
      <c r="C2573" s="17"/>
      <c r="D2573" s="17"/>
      <c r="E2573" s="17"/>
      <c r="F2573" s="17"/>
      <c r="G2573" s="17"/>
      <c r="H2573" s="17"/>
      <c r="I2573" s="31"/>
      <c r="J2573" s="17"/>
      <c r="K2573" s="17"/>
      <c r="L2573" s="17"/>
      <c r="M2573" s="17"/>
      <c r="N2573" s="17"/>
      <c r="O2573" s="17"/>
      <c r="P2573" s="17"/>
      <c r="Q2573" s="17"/>
      <c r="R2573" s="17"/>
      <c r="S2573" s="17"/>
      <c r="T2573" s="17"/>
      <c r="U2573" s="17"/>
      <c r="V2573" s="17"/>
      <c r="W2573" s="17"/>
      <c r="X2573" s="17"/>
      <c r="Y2573" s="17"/>
      <c r="Z2573" s="31"/>
      <c r="AA2573" s="32"/>
    </row>
    <row r="2574" spans="1:27" ht="12.75">
      <c r="A2574" s="17"/>
      <c r="B2574" s="17"/>
      <c r="C2574" s="17"/>
      <c r="D2574" s="17"/>
      <c r="E2574" s="17"/>
      <c r="F2574" s="17"/>
      <c r="G2574" s="17"/>
      <c r="H2574" s="17"/>
      <c r="I2574" s="31"/>
      <c r="J2574" s="17"/>
      <c r="K2574" s="17"/>
      <c r="L2574" s="17"/>
      <c r="M2574" s="17"/>
      <c r="N2574" s="17"/>
      <c r="O2574" s="17"/>
      <c r="P2574" s="17"/>
      <c r="Q2574" s="17"/>
      <c r="R2574" s="17"/>
      <c r="S2574" s="17"/>
      <c r="T2574" s="17"/>
      <c r="U2574" s="17"/>
      <c r="V2574" s="17"/>
      <c r="W2574" s="17"/>
      <c r="X2574" s="17"/>
      <c r="Y2574" s="17"/>
      <c r="Z2574" s="31"/>
      <c r="AA2574" s="32"/>
    </row>
    <row r="2575" spans="1:27" ht="12.75">
      <c r="A2575" s="17"/>
      <c r="B2575" s="17"/>
      <c r="C2575" s="17"/>
      <c r="D2575" s="17"/>
      <c r="E2575" s="17"/>
      <c r="F2575" s="17"/>
      <c r="G2575" s="17"/>
      <c r="H2575" s="17"/>
      <c r="I2575" s="31"/>
      <c r="J2575" s="17"/>
      <c r="K2575" s="17"/>
      <c r="L2575" s="17"/>
      <c r="M2575" s="17"/>
      <c r="N2575" s="17"/>
      <c r="O2575" s="17"/>
      <c r="P2575" s="17"/>
      <c r="Q2575" s="17"/>
      <c r="R2575" s="17"/>
      <c r="S2575" s="17"/>
      <c r="T2575" s="17"/>
      <c r="U2575" s="17"/>
      <c r="V2575" s="17"/>
      <c r="W2575" s="17"/>
      <c r="X2575" s="17"/>
      <c r="Y2575" s="17"/>
      <c r="Z2575" s="31"/>
      <c r="AA2575" s="32"/>
    </row>
    <row r="2576" spans="1:27" ht="12.75">
      <c r="A2576" s="17"/>
      <c r="B2576" s="17"/>
      <c r="C2576" s="17"/>
      <c r="D2576" s="17"/>
      <c r="E2576" s="17"/>
      <c r="F2576" s="17"/>
      <c r="G2576" s="17"/>
      <c r="H2576" s="17"/>
      <c r="I2576" s="31"/>
      <c r="J2576" s="17"/>
      <c r="K2576" s="17"/>
      <c r="L2576" s="17"/>
      <c r="M2576" s="17"/>
      <c r="N2576" s="17"/>
      <c r="O2576" s="17"/>
      <c r="P2576" s="17"/>
      <c r="Q2576" s="17"/>
      <c r="R2576" s="17"/>
      <c r="S2576" s="17"/>
      <c r="T2576" s="17"/>
      <c r="U2576" s="17"/>
      <c r="V2576" s="17"/>
      <c r="W2576" s="17"/>
      <c r="X2576" s="17"/>
      <c r="Y2576" s="17"/>
      <c r="Z2576" s="31"/>
      <c r="AA2576" s="32"/>
    </row>
    <row r="2577" spans="1:27" ht="12.75">
      <c r="A2577" s="17"/>
      <c r="B2577" s="17"/>
      <c r="C2577" s="17"/>
      <c r="D2577" s="17"/>
      <c r="E2577" s="17"/>
      <c r="F2577" s="17"/>
      <c r="G2577" s="17"/>
      <c r="H2577" s="17"/>
      <c r="I2577" s="31"/>
      <c r="J2577" s="17"/>
      <c r="K2577" s="17"/>
      <c r="L2577" s="17"/>
      <c r="M2577" s="17"/>
      <c r="N2577" s="17"/>
      <c r="O2577" s="17"/>
      <c r="P2577" s="17"/>
      <c r="Q2577" s="17"/>
      <c r="R2577" s="17"/>
      <c r="S2577" s="17"/>
      <c r="T2577" s="17"/>
      <c r="U2577" s="17"/>
      <c r="V2577" s="17"/>
      <c r="W2577" s="17"/>
      <c r="X2577" s="17"/>
      <c r="Y2577" s="17"/>
      <c r="Z2577" s="31"/>
      <c r="AA2577" s="32"/>
    </row>
    <row r="2578" spans="1:27" ht="12.75">
      <c r="A2578" s="17"/>
      <c r="B2578" s="17"/>
      <c r="C2578" s="17"/>
      <c r="D2578" s="17"/>
      <c r="E2578" s="17"/>
      <c r="F2578" s="17"/>
      <c r="G2578" s="17"/>
      <c r="H2578" s="17"/>
      <c r="I2578" s="31"/>
      <c r="J2578" s="17"/>
      <c r="K2578" s="17"/>
      <c r="L2578" s="17"/>
      <c r="M2578" s="17"/>
      <c r="N2578" s="17"/>
      <c r="O2578" s="17"/>
      <c r="P2578" s="17"/>
      <c r="Q2578" s="17"/>
      <c r="R2578" s="17"/>
      <c r="S2578" s="17"/>
      <c r="T2578" s="17"/>
      <c r="U2578" s="17"/>
      <c r="V2578" s="17"/>
      <c r="W2578" s="17"/>
      <c r="X2578" s="17"/>
      <c r="Y2578" s="17"/>
      <c r="Z2578" s="31"/>
      <c r="AA2578" s="32"/>
    </row>
    <row r="2579" spans="1:27" ht="12.75">
      <c r="A2579" s="17"/>
      <c r="B2579" s="17"/>
      <c r="C2579" s="17"/>
      <c r="D2579" s="17"/>
      <c r="E2579" s="17"/>
      <c r="F2579" s="17"/>
      <c r="G2579" s="17"/>
      <c r="H2579" s="17"/>
      <c r="I2579" s="31"/>
      <c r="J2579" s="17"/>
      <c r="K2579" s="17"/>
      <c r="L2579" s="17"/>
      <c r="M2579" s="17"/>
      <c r="N2579" s="17"/>
      <c r="O2579" s="17"/>
      <c r="P2579" s="17"/>
      <c r="Q2579" s="17"/>
      <c r="R2579" s="17"/>
      <c r="S2579" s="17"/>
      <c r="T2579" s="17"/>
      <c r="U2579" s="17"/>
      <c r="V2579" s="17"/>
      <c r="W2579" s="17"/>
      <c r="X2579" s="17"/>
      <c r="Y2579" s="17"/>
      <c r="Z2579" s="31"/>
      <c r="AA2579" s="32"/>
    </row>
    <row r="2580" spans="1:27" ht="12.75">
      <c r="A2580" s="17"/>
      <c r="B2580" s="17"/>
      <c r="C2580" s="17"/>
      <c r="D2580" s="17"/>
      <c r="E2580" s="17"/>
      <c r="F2580" s="17"/>
      <c r="G2580" s="17"/>
      <c r="H2580" s="17"/>
      <c r="I2580" s="31"/>
      <c r="J2580" s="17"/>
      <c r="K2580" s="17"/>
      <c r="L2580" s="17"/>
      <c r="M2580" s="17"/>
      <c r="N2580" s="17"/>
      <c r="O2580" s="17"/>
      <c r="P2580" s="17"/>
      <c r="Q2580" s="17"/>
      <c r="R2580" s="17"/>
      <c r="S2580" s="17"/>
      <c r="T2580" s="17"/>
      <c r="U2580" s="17"/>
      <c r="V2580" s="17"/>
      <c r="W2580" s="17"/>
      <c r="X2580" s="17"/>
      <c r="Y2580" s="17"/>
      <c r="Z2580" s="31"/>
      <c r="AA2580" s="32"/>
    </row>
    <row r="2581" spans="1:27" ht="12.75">
      <c r="A2581" s="17"/>
      <c r="B2581" s="17"/>
      <c r="C2581" s="17"/>
      <c r="D2581" s="17"/>
      <c r="E2581" s="17"/>
      <c r="F2581" s="17"/>
      <c r="G2581" s="17"/>
      <c r="H2581" s="17"/>
      <c r="I2581" s="31"/>
      <c r="J2581" s="17"/>
      <c r="K2581" s="17"/>
      <c r="L2581" s="17"/>
      <c r="M2581" s="17"/>
      <c r="N2581" s="17"/>
      <c r="O2581" s="17"/>
      <c r="P2581" s="17"/>
      <c r="Q2581" s="17"/>
      <c r="R2581" s="17"/>
      <c r="S2581" s="17"/>
      <c r="T2581" s="17"/>
      <c r="U2581" s="17"/>
      <c r="V2581" s="17"/>
      <c r="W2581" s="17"/>
      <c r="X2581" s="17"/>
      <c r="Y2581" s="17"/>
      <c r="Z2581" s="31"/>
      <c r="AA2581" s="32"/>
    </row>
    <row r="2582" spans="1:27" ht="12.75">
      <c r="A2582" s="17"/>
      <c r="B2582" s="17"/>
      <c r="C2582" s="17"/>
      <c r="D2582" s="17"/>
      <c r="E2582" s="17"/>
      <c r="F2582" s="17"/>
      <c r="G2582" s="17"/>
      <c r="H2582" s="17"/>
      <c r="I2582" s="31"/>
      <c r="J2582" s="17"/>
      <c r="K2582" s="17"/>
      <c r="L2582" s="17"/>
      <c r="M2582" s="17"/>
      <c r="N2582" s="17"/>
      <c r="O2582" s="17"/>
      <c r="P2582" s="17"/>
      <c r="Q2582" s="17"/>
      <c r="R2582" s="17"/>
      <c r="S2582" s="17"/>
      <c r="T2582" s="17"/>
      <c r="U2582" s="17"/>
      <c r="V2582" s="17"/>
      <c r="W2582" s="17"/>
      <c r="X2582" s="17"/>
      <c r="Y2582" s="17"/>
      <c r="Z2582" s="31"/>
      <c r="AA2582" s="32"/>
    </row>
    <row r="2583" spans="1:27" ht="12.75">
      <c r="A2583" s="17"/>
      <c r="B2583" s="17"/>
      <c r="C2583" s="17"/>
      <c r="D2583" s="17"/>
      <c r="E2583" s="17"/>
      <c r="F2583" s="17"/>
      <c r="G2583" s="17"/>
      <c r="H2583" s="17"/>
      <c r="I2583" s="31"/>
      <c r="J2583" s="17"/>
      <c r="K2583" s="17"/>
      <c r="L2583" s="17"/>
      <c r="M2583" s="17"/>
      <c r="N2583" s="17"/>
      <c r="O2583" s="17"/>
      <c r="P2583" s="17"/>
      <c r="Q2583" s="17"/>
      <c r="R2583" s="17"/>
      <c r="S2583" s="17"/>
      <c r="T2583" s="17"/>
      <c r="U2583" s="17"/>
      <c r="V2583" s="17"/>
      <c r="W2583" s="17"/>
      <c r="X2583" s="17"/>
      <c r="Y2583" s="17"/>
      <c r="Z2583" s="31"/>
      <c r="AA2583" s="32"/>
    </row>
    <row r="2584" spans="1:27" ht="12.75">
      <c r="A2584" s="17"/>
      <c r="B2584" s="17"/>
      <c r="C2584" s="17"/>
      <c r="D2584" s="17"/>
      <c r="E2584" s="17"/>
      <c r="F2584" s="17"/>
      <c r="G2584" s="17"/>
      <c r="H2584" s="17"/>
      <c r="I2584" s="31"/>
      <c r="J2584" s="17"/>
      <c r="K2584" s="17"/>
      <c r="L2584" s="17"/>
      <c r="M2584" s="17"/>
      <c r="N2584" s="17"/>
      <c r="O2584" s="17"/>
      <c r="P2584" s="17"/>
      <c r="Q2584" s="17"/>
      <c r="R2584" s="17"/>
      <c r="S2584" s="17"/>
      <c r="T2584" s="17"/>
      <c r="U2584" s="17"/>
      <c r="V2584" s="17"/>
      <c r="W2584" s="17"/>
      <c r="X2584" s="17"/>
      <c r="Y2584" s="17"/>
      <c r="Z2584" s="31"/>
      <c r="AA2584" s="32"/>
    </row>
    <row r="2585" spans="1:27" ht="12.75">
      <c r="A2585" s="17"/>
      <c r="B2585" s="17"/>
      <c r="C2585" s="17"/>
      <c r="D2585" s="17"/>
      <c r="E2585" s="17"/>
      <c r="F2585" s="17"/>
      <c r="G2585" s="17"/>
      <c r="H2585" s="17"/>
      <c r="I2585" s="31"/>
      <c r="J2585" s="17"/>
      <c r="K2585" s="17"/>
      <c r="L2585" s="17"/>
      <c r="M2585" s="17"/>
      <c r="N2585" s="17"/>
      <c r="O2585" s="17"/>
      <c r="P2585" s="17"/>
      <c r="Q2585" s="17"/>
      <c r="R2585" s="17"/>
      <c r="S2585" s="17"/>
      <c r="T2585" s="17"/>
      <c r="U2585" s="17"/>
      <c r="V2585" s="17"/>
      <c r="W2585" s="17"/>
      <c r="X2585" s="17"/>
      <c r="Y2585" s="17"/>
      <c r="Z2585" s="31"/>
      <c r="AA2585" s="32"/>
    </row>
    <row r="2586" spans="1:27" ht="12.75">
      <c r="A2586" s="17"/>
      <c r="B2586" s="17"/>
      <c r="C2586" s="17"/>
      <c r="D2586" s="17"/>
      <c r="E2586" s="17"/>
      <c r="F2586" s="17"/>
      <c r="G2586" s="17"/>
      <c r="H2586" s="17"/>
      <c r="I2586" s="31"/>
      <c r="J2586" s="17"/>
      <c r="K2586" s="17"/>
      <c r="L2586" s="17"/>
      <c r="M2586" s="17"/>
      <c r="N2586" s="17"/>
      <c r="O2586" s="17"/>
      <c r="P2586" s="17"/>
      <c r="Q2586" s="17"/>
      <c r="R2586" s="17"/>
      <c r="S2586" s="17"/>
      <c r="T2586" s="17"/>
      <c r="U2586" s="17"/>
      <c r="V2586" s="17"/>
      <c r="W2586" s="17"/>
      <c r="X2586" s="17"/>
      <c r="Y2586" s="17"/>
      <c r="Z2586" s="31"/>
      <c r="AA2586" s="32"/>
    </row>
    <row r="2587" spans="1:27" ht="12.75">
      <c r="A2587" s="17"/>
      <c r="B2587" s="17"/>
      <c r="C2587" s="17"/>
      <c r="D2587" s="17"/>
      <c r="E2587" s="17"/>
      <c r="F2587" s="17"/>
      <c r="G2587" s="17"/>
      <c r="H2587" s="17"/>
      <c r="I2587" s="31"/>
      <c r="J2587" s="17"/>
      <c r="K2587" s="17"/>
      <c r="L2587" s="17"/>
      <c r="M2587" s="17"/>
      <c r="N2587" s="17"/>
      <c r="O2587" s="17"/>
      <c r="P2587" s="17"/>
      <c r="Q2587" s="17"/>
      <c r="R2587" s="17"/>
      <c r="S2587" s="17"/>
      <c r="T2587" s="17"/>
      <c r="U2587" s="17"/>
      <c r="V2587" s="17"/>
      <c r="W2587" s="17"/>
      <c r="X2587" s="17"/>
      <c r="Y2587" s="17"/>
      <c r="Z2587" s="31"/>
      <c r="AA2587" s="32"/>
    </row>
    <row r="2588" spans="1:27" ht="12.75">
      <c r="A2588" s="17"/>
      <c r="B2588" s="17"/>
      <c r="C2588" s="17"/>
      <c r="D2588" s="17"/>
      <c r="E2588" s="17"/>
      <c r="F2588" s="17"/>
      <c r="G2588" s="17"/>
      <c r="H2588" s="17"/>
      <c r="I2588" s="31"/>
      <c r="J2588" s="17"/>
      <c r="K2588" s="17"/>
      <c r="L2588" s="17"/>
      <c r="M2588" s="17"/>
      <c r="N2588" s="17"/>
      <c r="O2588" s="17"/>
      <c r="P2588" s="17"/>
      <c r="Q2588" s="17"/>
      <c r="R2588" s="17"/>
      <c r="S2588" s="17"/>
      <c r="T2588" s="17"/>
      <c r="U2588" s="17"/>
      <c r="V2588" s="17"/>
      <c r="W2588" s="17"/>
      <c r="X2588" s="17"/>
      <c r="Y2588" s="17"/>
      <c r="Z2588" s="31"/>
      <c r="AA2588" s="32"/>
    </row>
    <row r="2589" spans="1:27" ht="12.75">
      <c r="A2589" s="17"/>
      <c r="B2589" s="17"/>
      <c r="C2589" s="17"/>
      <c r="D2589" s="17"/>
      <c r="E2589" s="17"/>
      <c r="F2589" s="17"/>
      <c r="G2589" s="17"/>
      <c r="H2589" s="17"/>
      <c r="I2589" s="31"/>
      <c r="J2589" s="17"/>
      <c r="K2589" s="17"/>
      <c r="L2589" s="17"/>
      <c r="M2589" s="17"/>
      <c r="N2589" s="17"/>
      <c r="O2589" s="17"/>
      <c r="P2589" s="17"/>
      <c r="Q2589" s="17"/>
      <c r="R2589" s="17"/>
      <c r="S2589" s="17"/>
      <c r="T2589" s="17"/>
      <c r="U2589" s="17"/>
      <c r="V2589" s="17"/>
      <c r="W2589" s="17"/>
      <c r="X2589" s="17"/>
      <c r="Y2589" s="17"/>
      <c r="Z2589" s="31"/>
      <c r="AA2589" s="32"/>
    </row>
    <row r="2590" spans="1:27" ht="12.75">
      <c r="A2590" s="17"/>
      <c r="B2590" s="17"/>
      <c r="C2590" s="17"/>
      <c r="D2590" s="17"/>
      <c r="E2590" s="17"/>
      <c r="F2590" s="17"/>
      <c r="G2590" s="17"/>
      <c r="H2590" s="17"/>
      <c r="I2590" s="31"/>
      <c r="J2590" s="17"/>
      <c r="K2590" s="17"/>
      <c r="L2590" s="17"/>
      <c r="M2590" s="17"/>
      <c r="N2590" s="17"/>
      <c r="O2590" s="17"/>
      <c r="P2590" s="17"/>
      <c r="Q2590" s="17"/>
      <c r="R2590" s="17"/>
      <c r="S2590" s="17"/>
      <c r="T2590" s="17"/>
      <c r="U2590" s="17"/>
      <c r="V2590" s="17"/>
      <c r="W2590" s="17"/>
      <c r="X2590" s="17"/>
      <c r="Y2590" s="17"/>
      <c r="Z2590" s="31"/>
      <c r="AA2590" s="32"/>
    </row>
    <row r="2591" spans="1:27" ht="12.75">
      <c r="A2591" s="17"/>
      <c r="B2591" s="17"/>
      <c r="C2591" s="17"/>
      <c r="D2591" s="17"/>
      <c r="E2591" s="17"/>
      <c r="F2591" s="17"/>
      <c r="G2591" s="17"/>
      <c r="H2591" s="17"/>
      <c r="I2591" s="31"/>
      <c r="J2591" s="17"/>
      <c r="K2591" s="17"/>
      <c r="L2591" s="17"/>
      <c r="M2591" s="17"/>
      <c r="N2591" s="17"/>
      <c r="O2591" s="17"/>
      <c r="P2591" s="17"/>
      <c r="Q2591" s="17"/>
      <c r="R2591" s="17"/>
      <c r="S2591" s="17"/>
      <c r="T2591" s="17"/>
      <c r="U2591" s="17"/>
      <c r="V2591" s="17"/>
      <c r="W2591" s="17"/>
      <c r="X2591" s="17"/>
      <c r="Y2591" s="17"/>
      <c r="Z2591" s="31"/>
      <c r="AA2591" s="32"/>
    </row>
    <row r="2592" spans="1:27" ht="12.75">
      <c r="A2592" s="17"/>
      <c r="B2592" s="17"/>
      <c r="C2592" s="17"/>
      <c r="D2592" s="17"/>
      <c r="E2592" s="17"/>
      <c r="F2592" s="17"/>
      <c r="G2592" s="17"/>
      <c r="H2592" s="17"/>
      <c r="I2592" s="31"/>
      <c r="J2592" s="17"/>
      <c r="K2592" s="17"/>
      <c r="L2592" s="17"/>
      <c r="M2592" s="17"/>
      <c r="N2592" s="17"/>
      <c r="O2592" s="17"/>
      <c r="P2592" s="17"/>
      <c r="Q2592" s="17"/>
      <c r="R2592" s="17"/>
      <c r="S2592" s="17"/>
      <c r="T2592" s="17"/>
      <c r="U2592" s="17"/>
      <c r="V2592" s="17"/>
      <c r="W2592" s="17"/>
      <c r="X2592" s="17"/>
      <c r="Y2592" s="17"/>
      <c r="Z2592" s="31"/>
      <c r="AA2592" s="32"/>
    </row>
    <row r="2593" spans="1:27" ht="12.75">
      <c r="A2593" s="17"/>
      <c r="B2593" s="17"/>
      <c r="C2593" s="17"/>
      <c r="D2593" s="17"/>
      <c r="E2593" s="17"/>
      <c r="F2593" s="17"/>
      <c r="G2593" s="17"/>
      <c r="H2593" s="17"/>
      <c r="I2593" s="31"/>
      <c r="J2593" s="17"/>
      <c r="K2593" s="17"/>
      <c r="L2593" s="17"/>
      <c r="M2593" s="17"/>
      <c r="N2593" s="17"/>
      <c r="O2593" s="17"/>
      <c r="P2593" s="17"/>
      <c r="Q2593" s="17"/>
      <c r="R2593" s="17"/>
      <c r="S2593" s="17"/>
      <c r="T2593" s="17"/>
      <c r="U2593" s="17"/>
      <c r="V2593" s="17"/>
      <c r="W2593" s="17"/>
      <c r="X2593" s="17"/>
      <c r="Y2593" s="17"/>
      <c r="Z2593" s="31"/>
      <c r="AA2593" s="32"/>
    </row>
    <row r="2594" spans="1:27" ht="12.75">
      <c r="A2594" s="17"/>
      <c r="B2594" s="17"/>
      <c r="C2594" s="17"/>
      <c r="D2594" s="17"/>
      <c r="E2594" s="17"/>
      <c r="F2594" s="17"/>
      <c r="G2594" s="17"/>
      <c r="H2594" s="17"/>
      <c r="I2594" s="31"/>
      <c r="J2594" s="17"/>
      <c r="K2594" s="17"/>
      <c r="L2594" s="17"/>
      <c r="M2594" s="17"/>
      <c r="N2594" s="17"/>
      <c r="O2594" s="17"/>
      <c r="P2594" s="17"/>
      <c r="Q2594" s="17"/>
      <c r="R2594" s="17"/>
      <c r="S2594" s="17"/>
      <c r="T2594" s="17"/>
      <c r="U2594" s="17"/>
      <c r="V2594" s="17"/>
      <c r="W2594" s="17"/>
      <c r="X2594" s="17"/>
      <c r="Y2594" s="17"/>
      <c r="Z2594" s="31"/>
      <c r="AA2594" s="32"/>
    </row>
    <row r="2595" spans="1:27" ht="12.75">
      <c r="A2595" s="17"/>
      <c r="B2595" s="17"/>
      <c r="C2595" s="17"/>
      <c r="D2595" s="17"/>
      <c r="E2595" s="17"/>
      <c r="F2595" s="17"/>
      <c r="G2595" s="17"/>
      <c r="H2595" s="17"/>
      <c r="I2595" s="31"/>
      <c r="J2595" s="17"/>
      <c r="K2595" s="17"/>
      <c r="L2595" s="17"/>
      <c r="M2595" s="17"/>
      <c r="N2595" s="17"/>
      <c r="O2595" s="17"/>
      <c r="P2595" s="17"/>
      <c r="Q2595" s="17"/>
      <c r="R2595" s="17"/>
      <c r="S2595" s="17"/>
      <c r="T2595" s="17"/>
      <c r="U2595" s="17"/>
      <c r="V2595" s="17"/>
      <c r="W2595" s="17"/>
      <c r="X2595" s="17"/>
      <c r="Y2595" s="17"/>
      <c r="Z2595" s="31"/>
      <c r="AA2595" s="32"/>
    </row>
    <row r="2596" spans="1:27" ht="12.75">
      <c r="A2596" s="17"/>
      <c r="B2596" s="17"/>
      <c r="C2596" s="17"/>
      <c r="D2596" s="17"/>
      <c r="E2596" s="17"/>
      <c r="F2596" s="17"/>
      <c r="G2596" s="17"/>
      <c r="H2596" s="17"/>
      <c r="I2596" s="31"/>
      <c r="J2596" s="17"/>
      <c r="K2596" s="17"/>
      <c r="L2596" s="17"/>
      <c r="M2596" s="17"/>
      <c r="N2596" s="17"/>
      <c r="O2596" s="17"/>
      <c r="P2596" s="17"/>
      <c r="Q2596" s="17"/>
      <c r="R2596" s="17"/>
      <c r="S2596" s="17"/>
      <c r="T2596" s="17"/>
      <c r="U2596" s="17"/>
      <c r="V2596" s="17"/>
      <c r="W2596" s="17"/>
      <c r="X2596" s="17"/>
      <c r="Y2596" s="17"/>
      <c r="Z2596" s="31"/>
      <c r="AA2596" s="32"/>
    </row>
    <row r="2597" spans="1:27" ht="12.75">
      <c r="A2597" s="17"/>
      <c r="B2597" s="17"/>
      <c r="C2597" s="17"/>
      <c r="D2597" s="17"/>
      <c r="E2597" s="17"/>
      <c r="F2597" s="17"/>
      <c r="G2597" s="17"/>
      <c r="H2597" s="17"/>
      <c r="I2597" s="31"/>
      <c r="J2597" s="17"/>
      <c r="K2597" s="17"/>
      <c r="L2597" s="17"/>
      <c r="M2597" s="17"/>
      <c r="N2597" s="17"/>
      <c r="O2597" s="17"/>
      <c r="P2597" s="17"/>
      <c r="Q2597" s="17"/>
      <c r="R2597" s="17"/>
      <c r="S2597" s="17"/>
      <c r="T2597" s="17"/>
      <c r="U2597" s="17"/>
      <c r="V2597" s="17"/>
      <c r="W2597" s="17"/>
      <c r="X2597" s="17"/>
      <c r="Y2597" s="17"/>
      <c r="Z2597" s="31"/>
      <c r="AA2597" s="32"/>
    </row>
    <row r="2598" spans="1:27" ht="12.75">
      <c r="A2598" s="17"/>
      <c r="B2598" s="17"/>
      <c r="C2598" s="17"/>
      <c r="D2598" s="17"/>
      <c r="E2598" s="17"/>
      <c r="F2598" s="17"/>
      <c r="G2598" s="17"/>
      <c r="H2598" s="17"/>
      <c r="I2598" s="31"/>
      <c r="J2598" s="17"/>
      <c r="K2598" s="17"/>
      <c r="L2598" s="17"/>
      <c r="M2598" s="17"/>
      <c r="N2598" s="17"/>
      <c r="O2598" s="17"/>
      <c r="P2598" s="17"/>
      <c r="Q2598" s="17"/>
      <c r="R2598" s="17"/>
      <c r="S2598" s="17"/>
      <c r="T2598" s="17"/>
      <c r="U2598" s="17"/>
      <c r="V2598" s="17"/>
      <c r="W2598" s="17"/>
      <c r="X2598" s="17"/>
      <c r="Y2598" s="17"/>
      <c r="Z2598" s="31"/>
      <c r="AA2598" s="32"/>
    </row>
    <row r="2599" spans="1:27" ht="12.75">
      <c r="A2599" s="17"/>
      <c r="B2599" s="17"/>
      <c r="C2599" s="17"/>
      <c r="D2599" s="17"/>
      <c r="E2599" s="17"/>
      <c r="F2599" s="17"/>
      <c r="G2599" s="17"/>
      <c r="H2599" s="17"/>
      <c r="I2599" s="31"/>
      <c r="J2599" s="17"/>
      <c r="K2599" s="17"/>
      <c r="L2599" s="17"/>
      <c r="M2599" s="17"/>
      <c r="N2599" s="17"/>
      <c r="O2599" s="17"/>
      <c r="P2599" s="17"/>
      <c r="Q2599" s="17"/>
      <c r="R2599" s="17"/>
      <c r="S2599" s="17"/>
      <c r="T2599" s="17"/>
      <c r="U2599" s="17"/>
      <c r="V2599" s="17"/>
      <c r="W2599" s="17"/>
      <c r="X2599" s="17"/>
      <c r="Y2599" s="17"/>
      <c r="Z2599" s="31"/>
      <c r="AA2599" s="32"/>
    </row>
    <row r="2600" spans="1:27" ht="12.75">
      <c r="A2600" s="17"/>
      <c r="B2600" s="17"/>
      <c r="C2600" s="17"/>
      <c r="D2600" s="17"/>
      <c r="E2600" s="17"/>
      <c r="F2600" s="17"/>
      <c r="G2600" s="17"/>
      <c r="H2600" s="17"/>
      <c r="I2600" s="31"/>
      <c r="J2600" s="17"/>
      <c r="K2600" s="17"/>
      <c r="L2600" s="17"/>
      <c r="M2600" s="17"/>
      <c r="N2600" s="17"/>
      <c r="O2600" s="17"/>
      <c r="P2600" s="17"/>
      <c r="Q2600" s="17"/>
      <c r="R2600" s="17"/>
      <c r="S2600" s="17"/>
      <c r="T2600" s="17"/>
      <c r="U2600" s="17"/>
      <c r="V2600" s="17"/>
      <c r="W2600" s="17"/>
      <c r="X2600" s="17"/>
      <c r="Y2600" s="17"/>
      <c r="Z2600" s="31"/>
      <c r="AA2600" s="32"/>
    </row>
    <row r="2601" spans="1:27" ht="12.75">
      <c r="A2601" s="17"/>
      <c r="B2601" s="17"/>
      <c r="C2601" s="17"/>
      <c r="D2601" s="17"/>
      <c r="E2601" s="17"/>
      <c r="F2601" s="17"/>
      <c r="G2601" s="17"/>
      <c r="H2601" s="17"/>
      <c r="I2601" s="31"/>
      <c r="J2601" s="17"/>
      <c r="K2601" s="17"/>
      <c r="L2601" s="17"/>
      <c r="M2601" s="17"/>
      <c r="N2601" s="17"/>
      <c r="O2601" s="17"/>
      <c r="P2601" s="17"/>
      <c r="Q2601" s="17"/>
      <c r="R2601" s="17"/>
      <c r="S2601" s="17"/>
      <c r="T2601" s="17"/>
      <c r="U2601" s="17"/>
      <c r="V2601" s="17"/>
      <c r="W2601" s="17"/>
      <c r="X2601" s="17"/>
      <c r="Y2601" s="17"/>
      <c r="Z2601" s="31"/>
      <c r="AA2601" s="32"/>
    </row>
    <row r="2602" spans="1:27" ht="12.75">
      <c r="A2602" s="17"/>
      <c r="B2602" s="17"/>
      <c r="C2602" s="17"/>
      <c r="D2602" s="17"/>
      <c r="E2602" s="17"/>
      <c r="F2602" s="17"/>
      <c r="G2602" s="17"/>
      <c r="H2602" s="17"/>
      <c r="I2602" s="31"/>
      <c r="J2602" s="17"/>
      <c r="K2602" s="17"/>
      <c r="L2602" s="17"/>
      <c r="M2602" s="17"/>
      <c r="N2602" s="17"/>
      <c r="O2602" s="17"/>
      <c r="P2602" s="17"/>
      <c r="Q2602" s="17"/>
      <c r="R2602" s="17"/>
      <c r="S2602" s="17"/>
      <c r="T2602" s="17"/>
      <c r="U2602" s="17"/>
      <c r="V2602" s="17"/>
      <c r="W2602" s="17"/>
      <c r="X2602" s="17"/>
      <c r="Y2602" s="17"/>
      <c r="Z2602" s="31"/>
      <c r="AA2602" s="32"/>
    </row>
    <row r="2603" spans="1:27" ht="12.75">
      <c r="A2603" s="17"/>
      <c r="B2603" s="17"/>
      <c r="C2603" s="17"/>
      <c r="D2603" s="17"/>
      <c r="E2603" s="17"/>
      <c r="F2603" s="17"/>
      <c r="G2603" s="17"/>
      <c r="H2603" s="17"/>
      <c r="I2603" s="31"/>
      <c r="J2603" s="17"/>
      <c r="K2603" s="17"/>
      <c r="L2603" s="17"/>
      <c r="M2603" s="17"/>
      <c r="N2603" s="17"/>
      <c r="O2603" s="17"/>
      <c r="P2603" s="17"/>
      <c r="Q2603" s="17"/>
      <c r="R2603" s="17"/>
      <c r="S2603" s="17"/>
      <c r="T2603" s="17"/>
      <c r="U2603" s="17"/>
      <c r="V2603" s="17"/>
      <c r="W2603" s="17"/>
      <c r="X2603" s="17"/>
      <c r="Y2603" s="17"/>
      <c r="Z2603" s="31"/>
      <c r="AA2603" s="32"/>
    </row>
    <row r="2604" spans="1:27" ht="12.75">
      <c r="A2604" s="17"/>
      <c r="B2604" s="17"/>
      <c r="C2604" s="17"/>
      <c r="D2604" s="17"/>
      <c r="E2604" s="17"/>
      <c r="F2604" s="17"/>
      <c r="G2604" s="17"/>
      <c r="H2604" s="17"/>
      <c r="I2604" s="31"/>
      <c r="J2604" s="17"/>
      <c r="K2604" s="17"/>
      <c r="L2604" s="17"/>
      <c r="M2604" s="17"/>
      <c r="N2604" s="17"/>
      <c r="O2604" s="17"/>
      <c r="P2604" s="17"/>
      <c r="Q2604" s="17"/>
      <c r="R2604" s="17"/>
      <c r="S2604" s="17"/>
      <c r="T2604" s="17"/>
      <c r="U2604" s="17"/>
      <c r="V2604" s="17"/>
      <c r="W2604" s="17"/>
      <c r="X2604" s="17"/>
      <c r="Y2604" s="17"/>
      <c r="Z2604" s="31"/>
      <c r="AA2604" s="32"/>
    </row>
    <row r="2605" spans="1:27" ht="12.75">
      <c r="A2605" s="17"/>
      <c r="B2605" s="17"/>
      <c r="C2605" s="17"/>
      <c r="D2605" s="17"/>
      <c r="E2605" s="17"/>
      <c r="F2605" s="17"/>
      <c r="G2605" s="17"/>
      <c r="H2605" s="17"/>
      <c r="I2605" s="31"/>
      <c r="J2605" s="17"/>
      <c r="K2605" s="17"/>
      <c r="L2605" s="17"/>
      <c r="M2605" s="17"/>
      <c r="N2605" s="17"/>
      <c r="O2605" s="17"/>
      <c r="P2605" s="17"/>
      <c r="Q2605" s="17"/>
      <c r="R2605" s="17"/>
      <c r="S2605" s="17"/>
      <c r="T2605" s="17"/>
      <c r="U2605" s="17"/>
      <c r="V2605" s="17"/>
      <c r="W2605" s="17"/>
      <c r="X2605" s="17"/>
      <c r="Y2605" s="17"/>
      <c r="Z2605" s="31"/>
      <c r="AA2605" s="32"/>
    </row>
    <row r="2606" spans="1:27" ht="12.75">
      <c r="A2606" s="17"/>
      <c r="B2606" s="17"/>
      <c r="C2606" s="17"/>
      <c r="D2606" s="17"/>
      <c r="E2606" s="17"/>
      <c r="F2606" s="17"/>
      <c r="G2606" s="17"/>
      <c r="H2606" s="17"/>
      <c r="I2606" s="31"/>
      <c r="J2606" s="17"/>
      <c r="K2606" s="17"/>
      <c r="L2606" s="17"/>
      <c r="M2606" s="17"/>
      <c r="N2606" s="17"/>
      <c r="O2606" s="17"/>
      <c r="P2606" s="17"/>
      <c r="Q2606" s="17"/>
      <c r="R2606" s="17"/>
      <c r="S2606" s="17"/>
      <c r="T2606" s="17"/>
      <c r="U2606" s="17"/>
      <c r="V2606" s="17"/>
      <c r="W2606" s="17"/>
      <c r="X2606" s="17"/>
      <c r="Y2606" s="17"/>
      <c r="Z2606" s="31"/>
      <c r="AA2606" s="32"/>
    </row>
    <row r="2607" spans="1:27" ht="12.75">
      <c r="A2607" s="17"/>
      <c r="B2607" s="17"/>
      <c r="C2607" s="17"/>
      <c r="D2607" s="17"/>
      <c r="E2607" s="17"/>
      <c r="F2607" s="17"/>
      <c r="G2607" s="17"/>
      <c r="H2607" s="17"/>
      <c r="I2607" s="31"/>
      <c r="J2607" s="17"/>
      <c r="K2607" s="17"/>
      <c r="L2607" s="17"/>
      <c r="M2607" s="17"/>
      <c r="N2607" s="17"/>
      <c r="O2607" s="17"/>
      <c r="P2607" s="17"/>
      <c r="Q2607" s="17"/>
      <c r="R2607" s="17"/>
      <c r="S2607" s="17"/>
      <c r="T2607" s="17"/>
      <c r="U2607" s="17"/>
      <c r="V2607" s="17"/>
      <c r="W2607" s="17"/>
      <c r="X2607" s="17"/>
      <c r="Y2607" s="17"/>
      <c r="Z2607" s="31"/>
      <c r="AA2607" s="32"/>
    </row>
    <row r="2608" spans="1:27" ht="12.75">
      <c r="A2608" s="17"/>
      <c r="B2608" s="17"/>
      <c r="C2608" s="17"/>
      <c r="D2608" s="17"/>
      <c r="E2608" s="17"/>
      <c r="F2608" s="17"/>
      <c r="G2608" s="17"/>
      <c r="H2608" s="17"/>
      <c r="I2608" s="31"/>
      <c r="J2608" s="17"/>
      <c r="K2608" s="17"/>
      <c r="L2608" s="17"/>
      <c r="M2608" s="17"/>
      <c r="N2608" s="17"/>
      <c r="O2608" s="17"/>
      <c r="P2608" s="17"/>
      <c r="Q2608" s="17"/>
      <c r="R2608" s="17"/>
      <c r="S2608" s="17"/>
      <c r="T2608" s="17"/>
      <c r="U2608" s="17"/>
      <c r="V2608" s="17"/>
      <c r="W2608" s="17"/>
      <c r="X2608" s="17"/>
      <c r="Y2608" s="17"/>
      <c r="Z2608" s="31"/>
      <c r="AA2608" s="32"/>
    </row>
    <row r="2609" spans="1:27" ht="12.75">
      <c r="A2609" s="17"/>
      <c r="B2609" s="17"/>
      <c r="C2609" s="17"/>
      <c r="D2609" s="17"/>
      <c r="E2609" s="17"/>
      <c r="F2609" s="17"/>
      <c r="G2609" s="17"/>
      <c r="H2609" s="17"/>
      <c r="I2609" s="31"/>
      <c r="J2609" s="17"/>
      <c r="K2609" s="17"/>
      <c r="L2609" s="17"/>
      <c r="M2609" s="17"/>
      <c r="N2609" s="17"/>
      <c r="O2609" s="17"/>
      <c r="P2609" s="17"/>
      <c r="Q2609" s="17"/>
      <c r="R2609" s="17"/>
      <c r="S2609" s="17"/>
      <c r="T2609" s="17"/>
      <c r="U2609" s="17"/>
      <c r="V2609" s="17"/>
      <c r="W2609" s="17"/>
      <c r="X2609" s="17"/>
      <c r="Y2609" s="17"/>
      <c r="Z2609" s="31"/>
      <c r="AA2609" s="32"/>
    </row>
    <row r="2610" spans="1:27" ht="12.75">
      <c r="A2610" s="17"/>
      <c r="B2610" s="17"/>
      <c r="C2610" s="17"/>
      <c r="D2610" s="17"/>
      <c r="E2610" s="17"/>
      <c r="F2610" s="17"/>
      <c r="G2610" s="17"/>
      <c r="H2610" s="17"/>
      <c r="I2610" s="31"/>
      <c r="J2610" s="17"/>
      <c r="K2610" s="17"/>
      <c r="L2610" s="17"/>
      <c r="M2610" s="17"/>
      <c r="N2610" s="17"/>
      <c r="O2610" s="17"/>
      <c r="P2610" s="17"/>
      <c r="Q2610" s="17"/>
      <c r="R2610" s="17"/>
      <c r="S2610" s="17"/>
      <c r="T2610" s="17"/>
      <c r="U2610" s="17"/>
      <c r="V2610" s="17"/>
      <c r="W2610" s="17"/>
      <c r="X2610" s="17"/>
      <c r="Y2610" s="17"/>
      <c r="Z2610" s="31"/>
      <c r="AA2610" s="32"/>
    </row>
    <row r="2611" spans="1:27" ht="12.75">
      <c r="A2611" s="17"/>
      <c r="B2611" s="17"/>
      <c r="C2611" s="17"/>
      <c r="D2611" s="17"/>
      <c r="E2611" s="17"/>
      <c r="F2611" s="17"/>
      <c r="G2611" s="17"/>
      <c r="H2611" s="17"/>
      <c r="I2611" s="31"/>
      <c r="J2611" s="17"/>
      <c r="K2611" s="17"/>
      <c r="L2611" s="17"/>
      <c r="M2611" s="17"/>
      <c r="N2611" s="17"/>
      <c r="O2611" s="17"/>
      <c r="P2611" s="17"/>
      <c r="Q2611" s="17"/>
      <c r="R2611" s="17"/>
      <c r="S2611" s="17"/>
      <c r="T2611" s="17"/>
      <c r="U2611" s="17"/>
      <c r="V2611" s="17"/>
      <c r="W2611" s="17"/>
      <c r="X2611" s="17"/>
      <c r="Y2611" s="17"/>
      <c r="Z2611" s="31"/>
      <c r="AA2611" s="32"/>
    </row>
    <row r="2612" spans="1:27" ht="12.75">
      <c r="A2612" s="17"/>
      <c r="B2612" s="17"/>
      <c r="C2612" s="17"/>
      <c r="D2612" s="17"/>
      <c r="E2612" s="17"/>
      <c r="F2612" s="17"/>
      <c r="G2612" s="17"/>
      <c r="H2612" s="17"/>
      <c r="I2612" s="31"/>
      <c r="J2612" s="17"/>
      <c r="K2612" s="17"/>
      <c r="L2612" s="17"/>
      <c r="M2612" s="17"/>
      <c r="N2612" s="17"/>
      <c r="O2612" s="17"/>
      <c r="P2612" s="17"/>
      <c r="Q2612" s="17"/>
      <c r="R2612" s="17"/>
      <c r="S2612" s="17"/>
      <c r="T2612" s="17"/>
      <c r="U2612" s="17"/>
      <c r="V2612" s="17"/>
      <c r="W2612" s="17"/>
      <c r="X2612" s="17"/>
      <c r="Y2612" s="17"/>
      <c r="Z2612" s="31"/>
      <c r="AA2612" s="32"/>
    </row>
    <row r="2613" spans="1:27" ht="12.75">
      <c r="A2613" s="17"/>
      <c r="B2613" s="17"/>
      <c r="C2613" s="17"/>
      <c r="D2613" s="17"/>
      <c r="E2613" s="17"/>
      <c r="F2613" s="17"/>
      <c r="G2613" s="17"/>
      <c r="H2613" s="17"/>
      <c r="I2613" s="31"/>
      <c r="J2613" s="17"/>
      <c r="K2613" s="17"/>
      <c r="L2613" s="17"/>
      <c r="M2613" s="17"/>
      <c r="N2613" s="17"/>
      <c r="O2613" s="17"/>
      <c r="P2613" s="17"/>
      <c r="Q2613" s="17"/>
      <c r="R2613" s="17"/>
      <c r="S2613" s="17"/>
      <c r="T2613" s="17"/>
      <c r="U2613" s="17"/>
      <c r="V2613" s="17"/>
      <c r="W2613" s="17"/>
      <c r="X2613" s="17"/>
      <c r="Y2613" s="17"/>
      <c r="Z2613" s="31"/>
      <c r="AA2613" s="32"/>
    </row>
    <row r="2614" spans="1:27" ht="12.75">
      <c r="A2614" s="17"/>
      <c r="B2614" s="17"/>
      <c r="C2614" s="17"/>
      <c r="D2614" s="17"/>
      <c r="E2614" s="17"/>
      <c r="F2614" s="17"/>
      <c r="G2614" s="17"/>
      <c r="H2614" s="17"/>
      <c r="I2614" s="31"/>
      <c r="J2614" s="17"/>
      <c r="K2614" s="17"/>
      <c r="L2614" s="17"/>
      <c r="M2614" s="17"/>
      <c r="N2614" s="17"/>
      <c r="O2614" s="17"/>
      <c r="P2614" s="17"/>
      <c r="Q2614" s="17"/>
      <c r="R2614" s="17"/>
      <c r="S2614" s="17"/>
      <c r="T2614" s="17"/>
      <c r="U2614" s="17"/>
      <c r="V2614" s="17"/>
      <c r="W2614" s="17"/>
      <c r="X2614" s="17"/>
      <c r="Y2614" s="17"/>
      <c r="Z2614" s="31"/>
      <c r="AA2614" s="32"/>
    </row>
    <row r="2615" spans="1:27" ht="12.75">
      <c r="A2615" s="17"/>
      <c r="B2615" s="17"/>
      <c r="C2615" s="17"/>
      <c r="D2615" s="17"/>
      <c r="E2615" s="17"/>
      <c r="F2615" s="17"/>
      <c r="G2615" s="17"/>
      <c r="H2615" s="17"/>
      <c r="I2615" s="31"/>
      <c r="J2615" s="17"/>
      <c r="K2615" s="17"/>
      <c r="L2615" s="17"/>
      <c r="M2615" s="17"/>
      <c r="N2615" s="17"/>
      <c r="O2615" s="17"/>
      <c r="P2615" s="17"/>
      <c r="Q2615" s="17"/>
      <c r="R2615" s="17"/>
      <c r="S2615" s="17"/>
      <c r="T2615" s="17"/>
      <c r="U2615" s="17"/>
      <c r="V2615" s="17"/>
      <c r="W2615" s="17"/>
      <c r="X2615" s="17"/>
      <c r="Y2615" s="17"/>
      <c r="Z2615" s="31"/>
      <c r="AA2615" s="32"/>
    </row>
    <row r="2616" spans="1:27" ht="12.75">
      <c r="A2616" s="17"/>
      <c r="B2616" s="17"/>
      <c r="C2616" s="17"/>
      <c r="D2616" s="17"/>
      <c r="E2616" s="17"/>
      <c r="F2616" s="17"/>
      <c r="G2616" s="17"/>
      <c r="H2616" s="17"/>
      <c r="I2616" s="31"/>
      <c r="J2616" s="17"/>
      <c r="K2616" s="17"/>
      <c r="L2616" s="17"/>
      <c r="M2616" s="17"/>
      <c r="N2616" s="17"/>
      <c r="O2616" s="17"/>
      <c r="P2616" s="17"/>
      <c r="Q2616" s="17"/>
      <c r="R2616" s="17"/>
      <c r="S2616" s="17"/>
      <c r="T2616" s="17"/>
      <c r="U2616" s="17"/>
      <c r="V2616" s="17"/>
      <c r="W2616" s="17"/>
      <c r="X2616" s="17"/>
      <c r="Y2616" s="17"/>
      <c r="Z2616" s="31"/>
      <c r="AA2616" s="32"/>
    </row>
    <row r="2617" spans="1:27" ht="12.75">
      <c r="A2617" s="17"/>
      <c r="B2617" s="17"/>
      <c r="C2617" s="17"/>
      <c r="D2617" s="17"/>
      <c r="E2617" s="17"/>
      <c r="F2617" s="17"/>
      <c r="G2617" s="17"/>
      <c r="H2617" s="17"/>
      <c r="I2617" s="31"/>
      <c r="J2617" s="17"/>
      <c r="K2617" s="17"/>
      <c r="L2617" s="17"/>
      <c r="M2617" s="17"/>
      <c r="N2617" s="17"/>
      <c r="O2617" s="17"/>
      <c r="P2617" s="17"/>
      <c r="Q2617" s="17"/>
      <c r="R2617" s="17"/>
      <c r="S2617" s="17"/>
      <c r="T2617" s="17"/>
      <c r="U2617" s="17"/>
      <c r="V2617" s="17"/>
      <c r="W2617" s="17"/>
      <c r="X2617" s="17"/>
      <c r="Y2617" s="17"/>
      <c r="Z2617" s="31"/>
      <c r="AA2617" s="32"/>
    </row>
    <row r="2618" spans="1:27" ht="12.75">
      <c r="A2618" s="17"/>
      <c r="B2618" s="17"/>
      <c r="C2618" s="17"/>
      <c r="D2618" s="17"/>
      <c r="E2618" s="17"/>
      <c r="F2618" s="17"/>
      <c r="G2618" s="17"/>
      <c r="H2618" s="17"/>
      <c r="I2618" s="31"/>
      <c r="J2618" s="17"/>
      <c r="K2618" s="17"/>
      <c r="L2618" s="17"/>
      <c r="M2618" s="17"/>
      <c r="N2618" s="17"/>
      <c r="O2618" s="17"/>
      <c r="P2618" s="17"/>
      <c r="Q2618" s="17"/>
      <c r="R2618" s="17"/>
      <c r="S2618" s="17"/>
      <c r="T2618" s="17"/>
      <c r="U2618" s="17"/>
      <c r="V2618" s="17"/>
      <c r="W2618" s="17"/>
      <c r="X2618" s="17"/>
      <c r="Y2618" s="17"/>
      <c r="Z2618" s="31"/>
      <c r="AA2618" s="32"/>
    </row>
    <row r="2619" spans="1:27" ht="12.75">
      <c r="A2619" s="17"/>
      <c r="B2619" s="17"/>
      <c r="C2619" s="17"/>
      <c r="D2619" s="17"/>
      <c r="E2619" s="17"/>
      <c r="F2619" s="17"/>
      <c r="G2619" s="17"/>
      <c r="H2619" s="17"/>
      <c r="I2619" s="31"/>
      <c r="J2619" s="17"/>
      <c r="K2619" s="17"/>
      <c r="L2619" s="17"/>
      <c r="M2619" s="17"/>
      <c r="N2619" s="17"/>
      <c r="O2619" s="17"/>
      <c r="P2619" s="17"/>
      <c r="Q2619" s="17"/>
      <c r="R2619" s="17"/>
      <c r="S2619" s="17"/>
      <c r="T2619" s="17"/>
      <c r="U2619" s="17"/>
      <c r="V2619" s="17"/>
      <c r="W2619" s="17"/>
      <c r="X2619" s="17"/>
      <c r="Y2619" s="17"/>
      <c r="Z2619" s="31"/>
      <c r="AA2619" s="32"/>
    </row>
    <row r="2620" spans="1:27" ht="12.75">
      <c r="A2620" s="17"/>
      <c r="B2620" s="17"/>
      <c r="C2620" s="17"/>
      <c r="D2620" s="17"/>
      <c r="E2620" s="17"/>
      <c r="F2620" s="17"/>
      <c r="G2620" s="17"/>
      <c r="H2620" s="17"/>
      <c r="I2620" s="31"/>
      <c r="J2620" s="17"/>
      <c r="K2620" s="17"/>
      <c r="L2620" s="17"/>
      <c r="M2620" s="17"/>
      <c r="N2620" s="17"/>
      <c r="O2620" s="17"/>
      <c r="P2620" s="17"/>
      <c r="Q2620" s="17"/>
      <c r="R2620" s="17"/>
      <c r="S2620" s="17"/>
      <c r="T2620" s="17"/>
      <c r="U2620" s="17"/>
      <c r="V2620" s="17"/>
      <c r="W2620" s="17"/>
      <c r="X2620" s="17"/>
      <c r="Y2620" s="17"/>
      <c r="Z2620" s="31"/>
      <c r="AA2620" s="32"/>
    </row>
    <row r="2621" spans="1:27" ht="12.75">
      <c r="A2621" s="17"/>
      <c r="B2621" s="17"/>
      <c r="C2621" s="17"/>
      <c r="D2621" s="17"/>
      <c r="E2621" s="17"/>
      <c r="F2621" s="17"/>
      <c r="G2621" s="17"/>
      <c r="H2621" s="17"/>
      <c r="I2621" s="31"/>
      <c r="J2621" s="17"/>
      <c r="K2621" s="17"/>
      <c r="L2621" s="17"/>
      <c r="M2621" s="17"/>
      <c r="N2621" s="17"/>
      <c r="O2621" s="17"/>
      <c r="P2621" s="17"/>
      <c r="Q2621" s="17"/>
      <c r="R2621" s="17"/>
      <c r="S2621" s="17"/>
      <c r="T2621" s="17"/>
      <c r="U2621" s="17"/>
      <c r="V2621" s="17"/>
      <c r="W2621" s="17"/>
      <c r="X2621" s="17"/>
      <c r="Y2621" s="17"/>
      <c r="Z2621" s="31"/>
      <c r="AA2621" s="32"/>
    </row>
    <row r="2622" spans="1:27" ht="12.75">
      <c r="A2622" s="17"/>
      <c r="B2622" s="17"/>
      <c r="C2622" s="17"/>
      <c r="D2622" s="17"/>
      <c r="E2622" s="17"/>
      <c r="F2622" s="17"/>
      <c r="G2622" s="17"/>
      <c r="H2622" s="17"/>
      <c r="I2622" s="31"/>
      <c r="J2622" s="17"/>
      <c r="K2622" s="17"/>
      <c r="L2622" s="17"/>
      <c r="M2622" s="17"/>
      <c r="N2622" s="17"/>
      <c r="O2622" s="17"/>
      <c r="P2622" s="17"/>
      <c r="Q2622" s="17"/>
      <c r="R2622" s="17"/>
      <c r="S2622" s="17"/>
      <c r="T2622" s="17"/>
      <c r="U2622" s="17"/>
      <c r="V2622" s="17"/>
      <c r="W2622" s="17"/>
      <c r="X2622" s="17"/>
      <c r="Y2622" s="17"/>
      <c r="Z2622" s="31"/>
      <c r="AA2622" s="32"/>
    </row>
    <row r="2623" spans="1:27" ht="12.75">
      <c r="A2623" s="17"/>
      <c r="B2623" s="17"/>
      <c r="C2623" s="17"/>
      <c r="D2623" s="17"/>
      <c r="E2623" s="17"/>
      <c r="F2623" s="17"/>
      <c r="G2623" s="17"/>
      <c r="H2623" s="17"/>
      <c r="I2623" s="31"/>
      <c r="J2623" s="17"/>
      <c r="K2623" s="17"/>
      <c r="L2623" s="17"/>
      <c r="M2623" s="17"/>
      <c r="N2623" s="17"/>
      <c r="O2623" s="17"/>
      <c r="P2623" s="17"/>
      <c r="Q2623" s="17"/>
      <c r="R2623" s="17"/>
      <c r="S2623" s="17"/>
      <c r="T2623" s="17"/>
      <c r="U2623" s="17"/>
      <c r="V2623" s="17"/>
      <c r="W2623" s="17"/>
      <c r="X2623" s="17"/>
      <c r="Y2623" s="17"/>
      <c r="Z2623" s="31"/>
      <c r="AA2623" s="32"/>
    </row>
    <row r="2624" spans="1:27" ht="12.75">
      <c r="A2624" s="17"/>
      <c r="B2624" s="17"/>
      <c r="C2624" s="17"/>
      <c r="D2624" s="17"/>
      <c r="E2624" s="17"/>
      <c r="F2624" s="17"/>
      <c r="G2624" s="17"/>
      <c r="H2624" s="17"/>
      <c r="I2624" s="31"/>
      <c r="J2624" s="17"/>
      <c r="K2624" s="17"/>
      <c r="L2624" s="17"/>
      <c r="M2624" s="17"/>
      <c r="N2624" s="17"/>
      <c r="O2624" s="17"/>
      <c r="P2624" s="17"/>
      <c r="Q2624" s="17"/>
      <c r="R2624" s="17"/>
      <c r="S2624" s="17"/>
      <c r="T2624" s="17"/>
      <c r="U2624" s="17"/>
      <c r="V2624" s="17"/>
      <c r="W2624" s="17"/>
      <c r="X2624" s="17"/>
      <c r="Y2624" s="17"/>
      <c r="Z2624" s="31"/>
      <c r="AA2624" s="32"/>
    </row>
    <row r="2625" spans="1:27" ht="12.75">
      <c r="A2625" s="17"/>
      <c r="B2625" s="17"/>
      <c r="C2625" s="17"/>
      <c r="D2625" s="17"/>
      <c r="E2625" s="17"/>
      <c r="F2625" s="17"/>
      <c r="G2625" s="17"/>
      <c r="H2625" s="17"/>
      <c r="I2625" s="31"/>
      <c r="J2625" s="17"/>
      <c r="K2625" s="17"/>
      <c r="L2625" s="17"/>
      <c r="M2625" s="17"/>
      <c r="N2625" s="17"/>
      <c r="O2625" s="17"/>
      <c r="P2625" s="17"/>
      <c r="Q2625" s="17"/>
      <c r="R2625" s="17"/>
      <c r="S2625" s="17"/>
      <c r="T2625" s="17"/>
      <c r="U2625" s="17"/>
      <c r="V2625" s="17"/>
      <c r="W2625" s="17"/>
      <c r="X2625" s="17"/>
      <c r="Y2625" s="17"/>
      <c r="Z2625" s="31"/>
      <c r="AA2625" s="32"/>
    </row>
    <row r="2626" spans="1:27" ht="12.75">
      <c r="A2626" s="17"/>
      <c r="B2626" s="17"/>
      <c r="C2626" s="17"/>
      <c r="D2626" s="17"/>
      <c r="E2626" s="17"/>
      <c r="F2626" s="17"/>
      <c r="G2626" s="17"/>
      <c r="H2626" s="17"/>
      <c r="I2626" s="31"/>
      <c r="J2626" s="17"/>
      <c r="K2626" s="17"/>
      <c r="L2626" s="17"/>
      <c r="M2626" s="17"/>
      <c r="N2626" s="17"/>
      <c r="O2626" s="17"/>
      <c r="P2626" s="17"/>
      <c r="Q2626" s="17"/>
      <c r="R2626" s="17"/>
      <c r="S2626" s="17"/>
      <c r="T2626" s="17"/>
      <c r="U2626" s="17"/>
      <c r="V2626" s="17"/>
      <c r="W2626" s="17"/>
      <c r="X2626" s="17"/>
      <c r="Y2626" s="17"/>
      <c r="Z2626" s="31"/>
      <c r="AA2626" s="32"/>
    </row>
    <row r="2627" spans="1:27" ht="12.75">
      <c r="A2627" s="17"/>
      <c r="B2627" s="17"/>
      <c r="C2627" s="17"/>
      <c r="D2627" s="17"/>
      <c r="E2627" s="17"/>
      <c r="F2627" s="17"/>
      <c r="G2627" s="17"/>
      <c r="H2627" s="17"/>
      <c r="I2627" s="31"/>
      <c r="J2627" s="17"/>
      <c r="K2627" s="17"/>
      <c r="L2627" s="17"/>
      <c r="M2627" s="17"/>
      <c r="N2627" s="17"/>
      <c r="O2627" s="17"/>
      <c r="P2627" s="17"/>
      <c r="Q2627" s="17"/>
      <c r="R2627" s="17"/>
      <c r="S2627" s="17"/>
      <c r="T2627" s="17"/>
      <c r="U2627" s="17"/>
      <c r="V2627" s="17"/>
      <c r="W2627" s="17"/>
      <c r="X2627" s="17"/>
      <c r="Y2627" s="17"/>
      <c r="Z2627" s="31"/>
      <c r="AA2627" s="32"/>
    </row>
    <row r="2628" spans="1:27" ht="12.75">
      <c r="A2628" s="17"/>
      <c r="B2628" s="17"/>
      <c r="C2628" s="17"/>
      <c r="D2628" s="17"/>
      <c r="E2628" s="17"/>
      <c r="F2628" s="17"/>
      <c r="G2628" s="17"/>
      <c r="H2628" s="17"/>
      <c r="I2628" s="31"/>
      <c r="J2628" s="17"/>
      <c r="K2628" s="17"/>
      <c r="L2628" s="17"/>
      <c r="M2628" s="17"/>
      <c r="N2628" s="17"/>
      <c r="O2628" s="17"/>
      <c r="P2628" s="17"/>
      <c r="Q2628" s="17"/>
      <c r="R2628" s="17"/>
      <c r="S2628" s="17"/>
      <c r="T2628" s="17"/>
      <c r="U2628" s="17"/>
      <c r="V2628" s="17"/>
      <c r="W2628" s="17"/>
      <c r="X2628" s="17"/>
      <c r="Y2628" s="17"/>
      <c r="Z2628" s="31"/>
      <c r="AA2628" s="32"/>
    </row>
    <row r="2629" spans="1:27" ht="12.75">
      <c r="A2629" s="17"/>
      <c r="B2629" s="17"/>
      <c r="C2629" s="17"/>
      <c r="D2629" s="17"/>
      <c r="E2629" s="17"/>
      <c r="F2629" s="17"/>
      <c r="G2629" s="17"/>
      <c r="H2629" s="17"/>
      <c r="I2629" s="31"/>
      <c r="J2629" s="17"/>
      <c r="K2629" s="17"/>
      <c r="L2629" s="17"/>
      <c r="M2629" s="17"/>
      <c r="N2629" s="17"/>
      <c r="O2629" s="17"/>
      <c r="P2629" s="17"/>
      <c r="Q2629" s="17"/>
      <c r="R2629" s="17"/>
      <c r="S2629" s="17"/>
      <c r="T2629" s="17"/>
      <c r="U2629" s="17"/>
      <c r="V2629" s="17"/>
      <c r="W2629" s="17"/>
      <c r="X2629" s="17"/>
      <c r="Y2629" s="17"/>
      <c r="Z2629" s="31"/>
      <c r="AA2629" s="32"/>
    </row>
    <row r="2630" spans="1:27" ht="12.75">
      <c r="A2630" s="17"/>
      <c r="B2630" s="17"/>
      <c r="C2630" s="17"/>
      <c r="D2630" s="17"/>
      <c r="E2630" s="17"/>
      <c r="F2630" s="17"/>
      <c r="G2630" s="17"/>
      <c r="H2630" s="17"/>
      <c r="I2630" s="31"/>
      <c r="J2630" s="17"/>
      <c r="K2630" s="17"/>
      <c r="L2630" s="17"/>
      <c r="M2630" s="17"/>
      <c r="N2630" s="17"/>
      <c r="O2630" s="17"/>
      <c r="P2630" s="17"/>
      <c r="Q2630" s="17"/>
      <c r="R2630" s="17"/>
      <c r="S2630" s="17"/>
      <c r="T2630" s="17"/>
      <c r="U2630" s="17"/>
      <c r="V2630" s="17"/>
      <c r="W2630" s="17"/>
      <c r="X2630" s="17"/>
      <c r="Y2630" s="17"/>
      <c r="Z2630" s="31"/>
      <c r="AA2630" s="32"/>
    </row>
    <row r="2631" spans="1:27" ht="12.75">
      <c r="A2631" s="17"/>
      <c r="B2631" s="17"/>
      <c r="C2631" s="17"/>
      <c r="D2631" s="17"/>
      <c r="E2631" s="17"/>
      <c r="F2631" s="17"/>
      <c r="G2631" s="17"/>
      <c r="H2631" s="17"/>
      <c r="I2631" s="31"/>
      <c r="J2631" s="17"/>
      <c r="K2631" s="17"/>
      <c r="L2631" s="17"/>
      <c r="M2631" s="17"/>
      <c r="N2631" s="17"/>
      <c r="O2631" s="17"/>
      <c r="P2631" s="17"/>
      <c r="Q2631" s="17"/>
      <c r="R2631" s="17"/>
      <c r="S2631" s="17"/>
      <c r="T2631" s="17"/>
      <c r="U2631" s="17"/>
      <c r="V2631" s="17"/>
      <c r="W2631" s="17"/>
      <c r="X2631" s="17"/>
      <c r="Y2631" s="17"/>
      <c r="Z2631" s="31"/>
      <c r="AA2631" s="32"/>
    </row>
    <row r="2632" spans="1:27" ht="12.75">
      <c r="A2632" s="17"/>
      <c r="B2632" s="17"/>
      <c r="C2632" s="17"/>
      <c r="D2632" s="17"/>
      <c r="E2632" s="17"/>
      <c r="F2632" s="17"/>
      <c r="G2632" s="17"/>
      <c r="H2632" s="17"/>
      <c r="I2632" s="31"/>
      <c r="J2632" s="17"/>
      <c r="K2632" s="17"/>
      <c r="L2632" s="17"/>
      <c r="M2632" s="17"/>
      <c r="N2632" s="17"/>
      <c r="O2632" s="17"/>
      <c r="P2632" s="17"/>
      <c r="Q2632" s="17"/>
      <c r="R2632" s="17"/>
      <c r="S2632" s="17"/>
      <c r="T2632" s="17"/>
      <c r="U2632" s="17"/>
      <c r="V2632" s="17"/>
      <c r="W2632" s="17"/>
      <c r="X2632" s="17"/>
      <c r="Y2632" s="17"/>
      <c r="Z2632" s="31"/>
      <c r="AA2632" s="32"/>
    </row>
    <row r="2633" spans="1:27" ht="12.75">
      <c r="A2633" s="17"/>
      <c r="B2633" s="17"/>
      <c r="C2633" s="17"/>
      <c r="D2633" s="17"/>
      <c r="E2633" s="17"/>
      <c r="F2633" s="17"/>
      <c r="G2633" s="17"/>
      <c r="H2633" s="17"/>
      <c r="I2633" s="31"/>
      <c r="J2633" s="17"/>
      <c r="K2633" s="17"/>
      <c r="L2633" s="17"/>
      <c r="M2633" s="17"/>
      <c r="N2633" s="17"/>
      <c r="O2633" s="17"/>
      <c r="P2633" s="17"/>
      <c r="Q2633" s="17"/>
      <c r="R2633" s="17"/>
      <c r="S2633" s="17"/>
      <c r="T2633" s="17"/>
      <c r="U2633" s="17"/>
      <c r="V2633" s="17"/>
      <c r="W2633" s="17"/>
      <c r="X2633" s="17"/>
      <c r="Y2633" s="17"/>
      <c r="Z2633" s="31"/>
      <c r="AA2633" s="32"/>
    </row>
    <row r="2634" spans="1:27" ht="12.75">
      <c r="A2634" s="17"/>
      <c r="B2634" s="17"/>
      <c r="C2634" s="17"/>
      <c r="D2634" s="17"/>
      <c r="E2634" s="17"/>
      <c r="F2634" s="17"/>
      <c r="G2634" s="17"/>
      <c r="H2634" s="17"/>
      <c r="I2634" s="31"/>
      <c r="J2634" s="17"/>
      <c r="K2634" s="17"/>
      <c r="L2634" s="17"/>
      <c r="M2634" s="17"/>
      <c r="N2634" s="17"/>
      <c r="O2634" s="17"/>
      <c r="P2634" s="17"/>
      <c r="Q2634" s="17"/>
      <c r="R2634" s="17"/>
      <c r="S2634" s="17"/>
      <c r="T2634" s="17"/>
      <c r="U2634" s="17"/>
      <c r="V2634" s="17"/>
      <c r="W2634" s="17"/>
      <c r="X2634" s="17"/>
      <c r="Y2634" s="17"/>
      <c r="Z2634" s="31"/>
      <c r="AA2634" s="32"/>
    </row>
    <row r="2635" spans="1:27" ht="12.75">
      <c r="A2635" s="17"/>
      <c r="B2635" s="17"/>
      <c r="C2635" s="17"/>
      <c r="D2635" s="17"/>
      <c r="E2635" s="17"/>
      <c r="F2635" s="17"/>
      <c r="G2635" s="17"/>
      <c r="H2635" s="17"/>
      <c r="I2635" s="31"/>
      <c r="J2635" s="17"/>
      <c r="K2635" s="17"/>
      <c r="L2635" s="17"/>
      <c r="M2635" s="17"/>
      <c r="N2635" s="17"/>
      <c r="O2635" s="17"/>
      <c r="P2635" s="17"/>
      <c r="Q2635" s="17"/>
      <c r="R2635" s="17"/>
      <c r="S2635" s="17"/>
      <c r="T2635" s="17"/>
      <c r="U2635" s="17"/>
      <c r="V2635" s="17"/>
      <c r="W2635" s="17"/>
      <c r="X2635" s="17"/>
      <c r="Y2635" s="17"/>
      <c r="Z2635" s="31"/>
      <c r="AA2635" s="32"/>
    </row>
    <row r="2636" spans="1:27" ht="12.75">
      <c r="A2636" s="17"/>
      <c r="B2636" s="17"/>
      <c r="C2636" s="17"/>
      <c r="D2636" s="17"/>
      <c r="E2636" s="17"/>
      <c r="F2636" s="17"/>
      <c r="G2636" s="17"/>
      <c r="H2636" s="17"/>
      <c r="I2636" s="31"/>
      <c r="J2636" s="17"/>
      <c r="K2636" s="17"/>
      <c r="L2636" s="17"/>
      <c r="M2636" s="17"/>
      <c r="N2636" s="17"/>
      <c r="O2636" s="17"/>
      <c r="P2636" s="17"/>
      <c r="Q2636" s="17"/>
      <c r="R2636" s="17"/>
      <c r="S2636" s="17"/>
      <c r="T2636" s="17"/>
      <c r="U2636" s="17"/>
      <c r="V2636" s="17"/>
      <c r="W2636" s="17"/>
      <c r="X2636" s="17"/>
      <c r="Y2636" s="17"/>
      <c r="Z2636" s="31"/>
      <c r="AA2636" s="32"/>
    </row>
    <row r="2637" spans="1:27" ht="12.75">
      <c r="A2637" s="17"/>
      <c r="B2637" s="17"/>
      <c r="C2637" s="17"/>
      <c r="D2637" s="17"/>
      <c r="E2637" s="17"/>
      <c r="F2637" s="17"/>
      <c r="G2637" s="17"/>
      <c r="H2637" s="17"/>
      <c r="I2637" s="31"/>
      <c r="J2637" s="17"/>
      <c r="K2637" s="17"/>
      <c r="L2637" s="17"/>
      <c r="M2637" s="17"/>
      <c r="N2637" s="17"/>
      <c r="O2637" s="17"/>
      <c r="P2637" s="17"/>
      <c r="Q2637" s="17"/>
      <c r="R2637" s="17"/>
      <c r="S2637" s="17"/>
      <c r="T2637" s="17"/>
      <c r="U2637" s="17"/>
      <c r="V2637" s="17"/>
      <c r="W2637" s="17"/>
      <c r="X2637" s="17"/>
      <c r="Y2637" s="17"/>
      <c r="Z2637" s="31"/>
      <c r="AA2637" s="32"/>
    </row>
    <row r="2638" spans="1:27" ht="12.75">
      <c r="A2638" s="17"/>
      <c r="B2638" s="17"/>
      <c r="C2638" s="17"/>
      <c r="D2638" s="17"/>
      <c r="E2638" s="17"/>
      <c r="F2638" s="17"/>
      <c r="G2638" s="17"/>
      <c r="H2638" s="17"/>
      <c r="I2638" s="31"/>
      <c r="J2638" s="17"/>
      <c r="K2638" s="17"/>
      <c r="L2638" s="17"/>
      <c r="M2638" s="17"/>
      <c r="N2638" s="17"/>
      <c r="O2638" s="17"/>
      <c r="P2638" s="17"/>
      <c r="Q2638" s="17"/>
      <c r="R2638" s="17"/>
      <c r="S2638" s="17"/>
      <c r="T2638" s="17"/>
      <c r="U2638" s="17"/>
      <c r="V2638" s="17"/>
      <c r="W2638" s="17"/>
      <c r="X2638" s="17"/>
      <c r="Y2638" s="17"/>
      <c r="Z2638" s="31"/>
      <c r="AA2638" s="32"/>
    </row>
    <row r="2639" spans="1:27" ht="12.75">
      <c r="A2639" s="17"/>
      <c r="B2639" s="17"/>
      <c r="C2639" s="17"/>
      <c r="D2639" s="17"/>
      <c r="E2639" s="17"/>
      <c r="F2639" s="17"/>
      <c r="G2639" s="17"/>
      <c r="H2639" s="17"/>
      <c r="I2639" s="31"/>
      <c r="J2639" s="17"/>
      <c r="K2639" s="17"/>
      <c r="L2639" s="17"/>
      <c r="M2639" s="17"/>
      <c r="N2639" s="17"/>
      <c r="O2639" s="17"/>
      <c r="P2639" s="17"/>
      <c r="Q2639" s="17"/>
      <c r="R2639" s="17"/>
      <c r="S2639" s="17"/>
      <c r="T2639" s="17"/>
      <c r="U2639" s="17"/>
      <c r="V2639" s="17"/>
      <c r="W2639" s="17"/>
      <c r="X2639" s="17"/>
      <c r="Y2639" s="17"/>
      <c r="Z2639" s="31"/>
      <c r="AA2639" s="32"/>
    </row>
    <row r="2640" spans="1:27" ht="12.75">
      <c r="A2640" s="17"/>
      <c r="B2640" s="17"/>
      <c r="C2640" s="17"/>
      <c r="D2640" s="17"/>
      <c r="E2640" s="17"/>
      <c r="F2640" s="17"/>
      <c r="G2640" s="17"/>
      <c r="H2640" s="17"/>
      <c r="I2640" s="31"/>
      <c r="J2640" s="17"/>
      <c r="K2640" s="17"/>
      <c r="L2640" s="17"/>
      <c r="M2640" s="17"/>
      <c r="N2640" s="17"/>
      <c r="O2640" s="17"/>
      <c r="P2640" s="17"/>
      <c r="Q2640" s="17"/>
      <c r="R2640" s="17"/>
      <c r="S2640" s="17"/>
      <c r="T2640" s="17"/>
      <c r="U2640" s="17"/>
      <c r="V2640" s="17"/>
      <c r="W2640" s="17"/>
      <c r="X2640" s="17"/>
      <c r="Y2640" s="17"/>
      <c r="Z2640" s="31"/>
      <c r="AA2640" s="32"/>
    </row>
    <row r="2641" spans="1:27" ht="12.75">
      <c r="A2641" s="17"/>
      <c r="B2641" s="17"/>
      <c r="C2641" s="17"/>
      <c r="D2641" s="17"/>
      <c r="E2641" s="17"/>
      <c r="F2641" s="17"/>
      <c r="G2641" s="17"/>
      <c r="H2641" s="17"/>
      <c r="I2641" s="31"/>
      <c r="J2641" s="17"/>
      <c r="K2641" s="17"/>
      <c r="L2641" s="17"/>
      <c r="M2641" s="17"/>
      <c r="N2641" s="17"/>
      <c r="O2641" s="17"/>
      <c r="P2641" s="17"/>
      <c r="Q2641" s="17"/>
      <c r="R2641" s="17"/>
      <c r="S2641" s="17"/>
      <c r="T2641" s="17"/>
      <c r="U2641" s="17"/>
      <c r="V2641" s="17"/>
      <c r="W2641" s="17"/>
      <c r="X2641" s="17"/>
      <c r="Y2641" s="17"/>
      <c r="Z2641" s="31"/>
      <c r="AA2641" s="32"/>
    </row>
    <row r="2642" spans="1:27" ht="12.75">
      <c r="A2642" s="17"/>
      <c r="B2642" s="17"/>
      <c r="C2642" s="17"/>
      <c r="D2642" s="17"/>
      <c r="E2642" s="17"/>
      <c r="F2642" s="17"/>
      <c r="G2642" s="17"/>
      <c r="H2642" s="17"/>
      <c r="I2642" s="31"/>
      <c r="J2642" s="17"/>
      <c r="K2642" s="17"/>
      <c r="L2642" s="17"/>
      <c r="M2642" s="17"/>
      <c r="N2642" s="17"/>
      <c r="O2642" s="17"/>
      <c r="P2642" s="17"/>
      <c r="Q2642" s="17"/>
      <c r="R2642" s="17"/>
      <c r="S2642" s="17"/>
      <c r="T2642" s="17"/>
      <c r="U2642" s="17"/>
      <c r="V2642" s="17"/>
      <c r="W2642" s="17"/>
      <c r="X2642" s="17"/>
      <c r="Y2642" s="17"/>
      <c r="Z2642" s="31"/>
      <c r="AA2642" s="32"/>
    </row>
    <row r="2643" spans="1:27" ht="12.75">
      <c r="A2643" s="17"/>
      <c r="B2643" s="17"/>
      <c r="C2643" s="17"/>
      <c r="D2643" s="17"/>
      <c r="E2643" s="17"/>
      <c r="F2643" s="17"/>
      <c r="G2643" s="17"/>
      <c r="H2643" s="17"/>
      <c r="I2643" s="31"/>
      <c r="J2643" s="17"/>
      <c r="K2643" s="17"/>
      <c r="L2643" s="17"/>
      <c r="M2643" s="17"/>
      <c r="N2643" s="17"/>
      <c r="O2643" s="17"/>
      <c r="P2643" s="17"/>
      <c r="Q2643" s="17"/>
      <c r="R2643" s="17"/>
      <c r="S2643" s="17"/>
      <c r="T2643" s="17"/>
      <c r="U2643" s="17"/>
      <c r="V2643" s="17"/>
      <c r="W2643" s="17"/>
      <c r="X2643" s="17"/>
      <c r="Y2643" s="17"/>
      <c r="Z2643" s="31"/>
      <c r="AA2643" s="32"/>
    </row>
    <row r="2644" spans="1:27" ht="12.75">
      <c r="A2644" s="17"/>
      <c r="B2644" s="17"/>
      <c r="C2644" s="17"/>
      <c r="D2644" s="17"/>
      <c r="E2644" s="17"/>
      <c r="F2644" s="17"/>
      <c r="G2644" s="17"/>
      <c r="H2644" s="17"/>
      <c r="I2644" s="31"/>
      <c r="J2644" s="17"/>
      <c r="K2644" s="17"/>
      <c r="L2644" s="17"/>
      <c r="M2644" s="17"/>
      <c r="N2644" s="17"/>
      <c r="O2644" s="17"/>
      <c r="P2644" s="17"/>
      <c r="Q2644" s="17"/>
      <c r="R2644" s="17"/>
      <c r="S2644" s="17"/>
      <c r="T2644" s="17"/>
      <c r="U2644" s="17"/>
      <c r="V2644" s="17"/>
      <c r="W2644" s="17"/>
      <c r="X2644" s="17"/>
      <c r="Y2644" s="17"/>
      <c r="Z2644" s="31"/>
      <c r="AA2644" s="32"/>
    </row>
    <row r="2645" spans="1:27" ht="12.75">
      <c r="A2645" s="17"/>
      <c r="B2645" s="17"/>
      <c r="C2645" s="17"/>
      <c r="D2645" s="17"/>
      <c r="E2645" s="17"/>
      <c r="F2645" s="17"/>
      <c r="G2645" s="17"/>
      <c r="H2645" s="17"/>
      <c r="I2645" s="31"/>
      <c r="J2645" s="17"/>
      <c r="K2645" s="17"/>
      <c r="L2645" s="17"/>
      <c r="M2645" s="17"/>
      <c r="N2645" s="17"/>
      <c r="O2645" s="17"/>
      <c r="P2645" s="17"/>
      <c r="Q2645" s="17"/>
      <c r="R2645" s="17"/>
      <c r="S2645" s="17"/>
      <c r="T2645" s="17"/>
      <c r="U2645" s="17"/>
      <c r="V2645" s="17"/>
      <c r="W2645" s="17"/>
      <c r="X2645" s="17"/>
      <c r="Y2645" s="17"/>
      <c r="Z2645" s="31"/>
      <c r="AA2645" s="32"/>
    </row>
    <row r="2646" spans="1:27" ht="12.75">
      <c r="A2646" s="17"/>
      <c r="B2646" s="17"/>
      <c r="C2646" s="17"/>
      <c r="D2646" s="17"/>
      <c r="E2646" s="17"/>
      <c r="F2646" s="17"/>
      <c r="G2646" s="17"/>
      <c r="H2646" s="17"/>
      <c r="I2646" s="31"/>
      <c r="J2646" s="17"/>
      <c r="K2646" s="17"/>
      <c r="L2646" s="17"/>
      <c r="M2646" s="17"/>
      <c r="N2646" s="17"/>
      <c r="O2646" s="17"/>
      <c r="P2646" s="17"/>
      <c r="Q2646" s="17"/>
      <c r="R2646" s="17"/>
      <c r="S2646" s="17"/>
      <c r="T2646" s="17"/>
      <c r="U2646" s="17"/>
      <c r="V2646" s="17"/>
      <c r="W2646" s="17"/>
      <c r="X2646" s="17"/>
      <c r="Y2646" s="17"/>
      <c r="Z2646" s="31"/>
      <c r="AA2646" s="32"/>
    </row>
    <row r="2647" spans="1:27" ht="12.75">
      <c r="A2647" s="17"/>
      <c r="B2647" s="17"/>
      <c r="C2647" s="17"/>
      <c r="D2647" s="17"/>
      <c r="E2647" s="17"/>
      <c r="F2647" s="17"/>
      <c r="G2647" s="17"/>
      <c r="H2647" s="17"/>
      <c r="I2647" s="31"/>
      <c r="J2647" s="17"/>
      <c r="K2647" s="17"/>
      <c r="L2647" s="17"/>
      <c r="M2647" s="17"/>
      <c r="N2647" s="17"/>
      <c r="O2647" s="17"/>
      <c r="P2647" s="17"/>
      <c r="Q2647" s="17"/>
      <c r="R2647" s="17"/>
      <c r="S2647" s="17"/>
      <c r="T2647" s="17"/>
      <c r="U2647" s="17"/>
      <c r="V2647" s="17"/>
      <c r="W2647" s="17"/>
      <c r="X2647" s="17"/>
      <c r="Y2647" s="17"/>
      <c r="Z2647" s="31"/>
      <c r="AA2647" s="32"/>
    </row>
    <row r="2648" spans="1:27" ht="12.75">
      <c r="A2648" s="17"/>
      <c r="B2648" s="17"/>
      <c r="C2648" s="17"/>
      <c r="D2648" s="17"/>
      <c r="E2648" s="17"/>
      <c r="F2648" s="17"/>
      <c r="G2648" s="17"/>
      <c r="H2648" s="17"/>
      <c r="I2648" s="31"/>
      <c r="J2648" s="17"/>
      <c r="K2648" s="17"/>
      <c r="L2648" s="17"/>
      <c r="M2648" s="17"/>
      <c r="N2648" s="17"/>
      <c r="O2648" s="17"/>
      <c r="P2648" s="17"/>
      <c r="Q2648" s="17"/>
      <c r="R2648" s="17"/>
      <c r="S2648" s="17"/>
      <c r="T2648" s="17"/>
      <c r="U2648" s="17"/>
      <c r="V2648" s="17"/>
      <c r="W2648" s="17"/>
      <c r="X2648" s="17"/>
      <c r="Y2648" s="17"/>
      <c r="Z2648" s="31"/>
      <c r="AA2648" s="32"/>
    </row>
    <row r="2649" spans="1:27" ht="12.75">
      <c r="A2649" s="17"/>
      <c r="B2649" s="17"/>
      <c r="C2649" s="17"/>
      <c r="D2649" s="17"/>
      <c r="E2649" s="17"/>
      <c r="F2649" s="17"/>
      <c r="G2649" s="17"/>
      <c r="H2649" s="17"/>
      <c r="I2649" s="31"/>
      <c r="J2649" s="17"/>
      <c r="K2649" s="17"/>
      <c r="L2649" s="17"/>
      <c r="M2649" s="17"/>
      <c r="N2649" s="17"/>
      <c r="O2649" s="17"/>
      <c r="P2649" s="17"/>
      <c r="Q2649" s="17"/>
      <c r="R2649" s="17"/>
      <c r="S2649" s="17"/>
      <c r="T2649" s="17"/>
      <c r="U2649" s="17"/>
      <c r="V2649" s="17"/>
      <c r="W2649" s="17"/>
      <c r="X2649" s="17"/>
      <c r="Y2649" s="17"/>
      <c r="Z2649" s="31"/>
      <c r="AA2649" s="32"/>
    </row>
    <row r="2650" spans="1:27" ht="12.75">
      <c r="A2650" s="17"/>
      <c r="B2650" s="17"/>
      <c r="C2650" s="17"/>
      <c r="D2650" s="17"/>
      <c r="E2650" s="17"/>
      <c r="F2650" s="17"/>
      <c r="G2650" s="17"/>
      <c r="H2650" s="17"/>
      <c r="I2650" s="31"/>
      <c r="J2650" s="17"/>
      <c r="K2650" s="17"/>
      <c r="L2650" s="17"/>
      <c r="M2650" s="17"/>
      <c r="N2650" s="17"/>
      <c r="O2650" s="17"/>
      <c r="P2650" s="17"/>
      <c r="Q2650" s="17"/>
      <c r="R2650" s="17"/>
      <c r="S2650" s="17"/>
      <c r="T2650" s="17"/>
      <c r="U2650" s="17"/>
      <c r="V2650" s="17"/>
      <c r="W2650" s="17"/>
      <c r="X2650" s="17"/>
      <c r="Y2650" s="17"/>
      <c r="Z2650" s="31"/>
      <c r="AA2650" s="32"/>
    </row>
    <row r="2651" spans="1:27" ht="12.75">
      <c r="A2651" s="17"/>
      <c r="B2651" s="17"/>
      <c r="C2651" s="17"/>
      <c r="D2651" s="17"/>
      <c r="E2651" s="17"/>
      <c r="F2651" s="17"/>
      <c r="G2651" s="17"/>
      <c r="H2651" s="17"/>
      <c r="I2651" s="31"/>
      <c r="J2651" s="17"/>
      <c r="K2651" s="17"/>
      <c r="L2651" s="17"/>
      <c r="M2651" s="17"/>
      <c r="N2651" s="17"/>
      <c r="O2651" s="17"/>
      <c r="P2651" s="17"/>
      <c r="Q2651" s="17"/>
      <c r="R2651" s="17"/>
      <c r="S2651" s="17"/>
      <c r="T2651" s="17"/>
      <c r="U2651" s="17"/>
      <c r="V2651" s="17"/>
      <c r="W2651" s="17"/>
      <c r="X2651" s="17"/>
      <c r="Y2651" s="17"/>
      <c r="Z2651" s="31"/>
      <c r="AA2651" s="32"/>
    </row>
    <row r="2652" spans="1:27" ht="12.75">
      <c r="A2652" s="17"/>
      <c r="B2652" s="17"/>
      <c r="C2652" s="17"/>
      <c r="D2652" s="17"/>
      <c r="E2652" s="17"/>
      <c r="F2652" s="17"/>
      <c r="G2652" s="17"/>
      <c r="H2652" s="17"/>
      <c r="I2652" s="31"/>
      <c r="J2652" s="17"/>
      <c r="K2652" s="17"/>
      <c r="L2652" s="17"/>
      <c r="M2652" s="17"/>
      <c r="N2652" s="17"/>
      <c r="O2652" s="17"/>
      <c r="P2652" s="17"/>
      <c r="Q2652" s="17"/>
      <c r="R2652" s="17"/>
      <c r="S2652" s="17"/>
      <c r="T2652" s="17"/>
      <c r="U2652" s="17"/>
      <c r="V2652" s="17"/>
      <c r="W2652" s="17"/>
      <c r="X2652" s="17"/>
      <c r="Y2652" s="17"/>
      <c r="Z2652" s="31"/>
      <c r="AA2652" s="32"/>
    </row>
    <row r="2653" spans="1:27" ht="12.75">
      <c r="A2653" s="17"/>
      <c r="B2653" s="17"/>
      <c r="C2653" s="17"/>
      <c r="D2653" s="17"/>
      <c r="E2653" s="17"/>
      <c r="F2653" s="17"/>
      <c r="G2653" s="17"/>
      <c r="H2653" s="17"/>
      <c r="I2653" s="31"/>
      <c r="J2653" s="17"/>
      <c r="K2653" s="17"/>
      <c r="L2653" s="17"/>
      <c r="M2653" s="17"/>
      <c r="N2653" s="17"/>
      <c r="O2653" s="17"/>
      <c r="P2653" s="17"/>
      <c r="Q2653" s="17"/>
      <c r="R2653" s="17"/>
      <c r="S2653" s="17"/>
      <c r="T2653" s="17"/>
      <c r="U2653" s="17"/>
      <c r="V2653" s="17"/>
      <c r="W2653" s="17"/>
      <c r="X2653" s="17"/>
      <c r="Y2653" s="17"/>
      <c r="Z2653" s="31"/>
      <c r="AA2653" s="32"/>
    </row>
    <row r="2654" spans="1:27" ht="12.75">
      <c r="A2654" s="17"/>
      <c r="B2654" s="17"/>
      <c r="C2654" s="17"/>
      <c r="D2654" s="17"/>
      <c r="E2654" s="17"/>
      <c r="F2654" s="17"/>
      <c r="G2654" s="17"/>
      <c r="H2654" s="17"/>
      <c r="I2654" s="31"/>
      <c r="J2654" s="17"/>
      <c r="K2654" s="17"/>
      <c r="L2654" s="17"/>
      <c r="M2654" s="17"/>
      <c r="N2654" s="17"/>
      <c r="O2654" s="17"/>
      <c r="P2654" s="17"/>
      <c r="Q2654" s="17"/>
      <c r="R2654" s="17"/>
      <c r="S2654" s="17"/>
      <c r="T2654" s="17"/>
      <c r="U2654" s="17"/>
      <c r="V2654" s="17"/>
      <c r="W2654" s="17"/>
      <c r="X2654" s="17"/>
      <c r="Y2654" s="17"/>
      <c r="Z2654" s="31"/>
      <c r="AA2654" s="32"/>
    </row>
    <row r="2655" spans="1:27" ht="12.75">
      <c r="A2655" s="17"/>
      <c r="B2655" s="17"/>
      <c r="C2655" s="17"/>
      <c r="D2655" s="17"/>
      <c r="E2655" s="17"/>
      <c r="F2655" s="17"/>
      <c r="G2655" s="17"/>
      <c r="H2655" s="17"/>
      <c r="I2655" s="31"/>
      <c r="J2655" s="17"/>
      <c r="K2655" s="17"/>
      <c r="L2655" s="17"/>
      <c r="M2655" s="17"/>
      <c r="N2655" s="17"/>
      <c r="O2655" s="17"/>
      <c r="P2655" s="17"/>
      <c r="Q2655" s="17"/>
      <c r="R2655" s="17"/>
      <c r="S2655" s="17"/>
      <c r="T2655" s="17"/>
      <c r="U2655" s="17"/>
      <c r="V2655" s="17"/>
      <c r="W2655" s="17"/>
      <c r="X2655" s="17"/>
      <c r="Y2655" s="17"/>
      <c r="Z2655" s="31"/>
      <c r="AA2655" s="32"/>
    </row>
    <row r="2656" spans="1:27" ht="12.75">
      <c r="A2656" s="17"/>
      <c r="B2656" s="17"/>
      <c r="C2656" s="17"/>
      <c r="D2656" s="17"/>
      <c r="E2656" s="17"/>
      <c r="F2656" s="17"/>
      <c r="G2656" s="17"/>
      <c r="H2656" s="17"/>
      <c r="I2656" s="31"/>
      <c r="J2656" s="17"/>
      <c r="K2656" s="17"/>
      <c r="L2656" s="17"/>
      <c r="M2656" s="17"/>
      <c r="N2656" s="17"/>
      <c r="O2656" s="17"/>
      <c r="P2656" s="17"/>
      <c r="Q2656" s="17"/>
      <c r="R2656" s="17"/>
      <c r="S2656" s="17"/>
      <c r="T2656" s="17"/>
      <c r="U2656" s="17"/>
      <c r="V2656" s="17"/>
      <c r="W2656" s="17"/>
      <c r="X2656" s="17"/>
      <c r="Y2656" s="17"/>
      <c r="Z2656" s="31"/>
      <c r="AA2656" s="32"/>
    </row>
    <row r="2657" spans="1:27" ht="12.75">
      <c r="A2657" s="17"/>
      <c r="B2657" s="17"/>
      <c r="C2657" s="17"/>
      <c r="D2657" s="17"/>
      <c r="E2657" s="17"/>
      <c r="F2657" s="17"/>
      <c r="G2657" s="17"/>
      <c r="H2657" s="17"/>
      <c r="I2657" s="31"/>
      <c r="J2657" s="17"/>
      <c r="K2657" s="17"/>
      <c r="L2657" s="17"/>
      <c r="M2657" s="17"/>
      <c r="N2657" s="17"/>
      <c r="O2657" s="17"/>
      <c r="P2657" s="17"/>
      <c r="Q2657" s="17"/>
      <c r="R2657" s="17"/>
      <c r="S2657" s="17"/>
      <c r="T2657" s="17"/>
      <c r="U2657" s="17"/>
      <c r="V2657" s="17"/>
      <c r="W2657" s="17"/>
      <c r="X2657" s="17"/>
      <c r="Y2657" s="17"/>
      <c r="Z2657" s="31"/>
      <c r="AA2657" s="32"/>
    </row>
    <row r="2658" spans="1:27" ht="12.75">
      <c r="A2658" s="17"/>
      <c r="B2658" s="17"/>
      <c r="C2658" s="17"/>
      <c r="D2658" s="17"/>
      <c r="E2658" s="17"/>
      <c r="F2658" s="17"/>
      <c r="G2658" s="17"/>
      <c r="H2658" s="17"/>
      <c r="I2658" s="31"/>
      <c r="J2658" s="17"/>
      <c r="K2658" s="17"/>
      <c r="L2658" s="17"/>
      <c r="M2658" s="17"/>
      <c r="N2658" s="17"/>
      <c r="O2658" s="17"/>
      <c r="P2658" s="17"/>
      <c r="Q2658" s="17"/>
      <c r="R2658" s="17"/>
      <c r="S2658" s="17"/>
      <c r="T2658" s="17"/>
      <c r="U2658" s="17"/>
      <c r="V2658" s="17"/>
      <c r="W2658" s="17"/>
      <c r="X2658" s="17"/>
      <c r="Y2658" s="17"/>
      <c r="Z2658" s="31"/>
      <c r="AA2658" s="32"/>
    </row>
    <row r="2659" spans="1:27" ht="12.75">
      <c r="A2659" s="17"/>
      <c r="B2659" s="17"/>
      <c r="C2659" s="17"/>
      <c r="D2659" s="17"/>
      <c r="E2659" s="17"/>
      <c r="F2659" s="17"/>
      <c r="G2659" s="17"/>
      <c r="H2659" s="17"/>
      <c r="I2659" s="31"/>
      <c r="J2659" s="17"/>
      <c r="K2659" s="17"/>
      <c r="L2659" s="17"/>
      <c r="M2659" s="17"/>
      <c r="N2659" s="17"/>
      <c r="O2659" s="17"/>
      <c r="P2659" s="17"/>
      <c r="Q2659" s="17"/>
      <c r="R2659" s="17"/>
      <c r="S2659" s="17"/>
      <c r="T2659" s="17"/>
      <c r="U2659" s="17"/>
      <c r="V2659" s="17"/>
      <c r="W2659" s="17"/>
      <c r="X2659" s="17"/>
      <c r="Y2659" s="17"/>
      <c r="Z2659" s="31"/>
      <c r="AA2659" s="32"/>
    </row>
    <row r="2660" spans="1:27" ht="12.75">
      <c r="A2660" s="17"/>
      <c r="B2660" s="17"/>
      <c r="C2660" s="17"/>
      <c r="D2660" s="17"/>
      <c r="E2660" s="17"/>
      <c r="F2660" s="17"/>
      <c r="G2660" s="17"/>
      <c r="H2660" s="17"/>
      <c r="I2660" s="31"/>
      <c r="J2660" s="17"/>
      <c r="K2660" s="17"/>
      <c r="L2660" s="17"/>
      <c r="M2660" s="17"/>
      <c r="N2660" s="17"/>
      <c r="O2660" s="17"/>
      <c r="P2660" s="17"/>
      <c r="Q2660" s="17"/>
      <c r="R2660" s="17"/>
      <c r="S2660" s="17"/>
      <c r="T2660" s="17"/>
      <c r="U2660" s="17"/>
      <c r="V2660" s="17"/>
      <c r="W2660" s="17"/>
      <c r="X2660" s="17"/>
      <c r="Y2660" s="17"/>
      <c r="Z2660" s="31"/>
      <c r="AA2660" s="32"/>
    </row>
    <row r="2661" spans="1:27" ht="12.75">
      <c r="A2661" s="17"/>
      <c r="B2661" s="17"/>
      <c r="C2661" s="17"/>
      <c r="D2661" s="17"/>
      <c r="E2661" s="17"/>
      <c r="F2661" s="17"/>
      <c r="G2661" s="17"/>
      <c r="H2661" s="17"/>
      <c r="I2661" s="31"/>
      <c r="J2661" s="17"/>
      <c r="K2661" s="17"/>
      <c r="L2661" s="17"/>
      <c r="M2661" s="17"/>
      <c r="N2661" s="17"/>
      <c r="O2661" s="17"/>
      <c r="P2661" s="17"/>
      <c r="Q2661" s="17"/>
      <c r="R2661" s="17"/>
      <c r="S2661" s="17"/>
      <c r="T2661" s="17"/>
      <c r="U2661" s="17"/>
      <c r="V2661" s="17"/>
      <c r="W2661" s="17"/>
      <c r="X2661" s="17"/>
      <c r="Y2661" s="17"/>
      <c r="Z2661" s="31"/>
      <c r="AA2661" s="32"/>
    </row>
    <row r="2662" spans="1:27" ht="12.75">
      <c r="A2662" s="17"/>
      <c r="B2662" s="17"/>
      <c r="C2662" s="17"/>
      <c r="D2662" s="17"/>
      <c r="E2662" s="17"/>
      <c r="F2662" s="17"/>
      <c r="G2662" s="17"/>
      <c r="H2662" s="17"/>
      <c r="I2662" s="31"/>
      <c r="J2662" s="17"/>
      <c r="K2662" s="17"/>
      <c r="L2662" s="17"/>
      <c r="M2662" s="17"/>
      <c r="N2662" s="17"/>
      <c r="O2662" s="17"/>
      <c r="P2662" s="17"/>
      <c r="Q2662" s="17"/>
      <c r="R2662" s="17"/>
      <c r="S2662" s="17"/>
      <c r="T2662" s="17"/>
      <c r="U2662" s="17"/>
      <c r="V2662" s="17"/>
      <c r="W2662" s="17"/>
      <c r="X2662" s="17"/>
      <c r="Y2662" s="17"/>
      <c r="Z2662" s="31"/>
      <c r="AA2662" s="32"/>
    </row>
    <row r="2663" spans="1:27" ht="12.75">
      <c r="A2663" s="17"/>
      <c r="B2663" s="17"/>
      <c r="C2663" s="17"/>
      <c r="D2663" s="17"/>
      <c r="E2663" s="17"/>
      <c r="F2663" s="17"/>
      <c r="G2663" s="17"/>
      <c r="H2663" s="17"/>
      <c r="I2663" s="31"/>
      <c r="J2663" s="17"/>
      <c r="K2663" s="17"/>
      <c r="L2663" s="17"/>
      <c r="M2663" s="17"/>
      <c r="N2663" s="17"/>
      <c r="O2663" s="17"/>
      <c r="P2663" s="17"/>
      <c r="Q2663" s="17"/>
      <c r="R2663" s="17"/>
      <c r="S2663" s="17"/>
      <c r="T2663" s="17"/>
      <c r="U2663" s="17"/>
      <c r="V2663" s="17"/>
      <c r="W2663" s="17"/>
      <c r="X2663" s="17"/>
      <c r="Y2663" s="17"/>
      <c r="Z2663" s="31"/>
      <c r="AA2663" s="32"/>
    </row>
    <row r="2664" spans="1:27" ht="12.75">
      <c r="A2664" s="17"/>
      <c r="B2664" s="17"/>
      <c r="C2664" s="17"/>
      <c r="D2664" s="17"/>
      <c r="E2664" s="17"/>
      <c r="F2664" s="17"/>
      <c r="G2664" s="17"/>
      <c r="H2664" s="17"/>
      <c r="I2664" s="31"/>
      <c r="J2664" s="17"/>
      <c r="K2664" s="17"/>
      <c r="L2664" s="17"/>
      <c r="M2664" s="17"/>
      <c r="N2664" s="17"/>
      <c r="O2664" s="17"/>
      <c r="P2664" s="17"/>
      <c r="Q2664" s="17"/>
      <c r="R2664" s="17"/>
      <c r="S2664" s="17"/>
      <c r="T2664" s="17"/>
      <c r="U2664" s="17"/>
      <c r="V2664" s="17"/>
      <c r="W2664" s="17"/>
      <c r="X2664" s="17"/>
      <c r="Y2664" s="17"/>
      <c r="Z2664" s="31"/>
      <c r="AA2664" s="32"/>
    </row>
    <row r="2665" spans="1:27" ht="12.75">
      <c r="A2665" s="17"/>
      <c r="B2665" s="17"/>
      <c r="C2665" s="17"/>
      <c r="D2665" s="17"/>
      <c r="E2665" s="17"/>
      <c r="F2665" s="17"/>
      <c r="G2665" s="17"/>
      <c r="H2665" s="17"/>
      <c r="I2665" s="31"/>
      <c r="J2665" s="17"/>
      <c r="K2665" s="17"/>
      <c r="L2665" s="17"/>
      <c r="M2665" s="17"/>
      <c r="N2665" s="17"/>
      <c r="O2665" s="17"/>
      <c r="P2665" s="17"/>
      <c r="Q2665" s="17"/>
      <c r="R2665" s="17"/>
      <c r="S2665" s="17"/>
      <c r="T2665" s="17"/>
      <c r="U2665" s="17"/>
      <c r="V2665" s="17"/>
      <c r="W2665" s="17"/>
      <c r="X2665" s="17"/>
      <c r="Y2665" s="17"/>
      <c r="Z2665" s="31"/>
      <c r="AA2665" s="32"/>
    </row>
    <row r="2666" spans="1:27" ht="12.75">
      <c r="A2666" s="17"/>
      <c r="B2666" s="17"/>
      <c r="C2666" s="17"/>
      <c r="D2666" s="17"/>
      <c r="E2666" s="17"/>
      <c r="F2666" s="17"/>
      <c r="G2666" s="17"/>
      <c r="H2666" s="17"/>
      <c r="I2666" s="31"/>
      <c r="J2666" s="17"/>
      <c r="K2666" s="17"/>
      <c r="L2666" s="17"/>
      <c r="M2666" s="17"/>
      <c r="N2666" s="17"/>
      <c r="O2666" s="17"/>
      <c r="P2666" s="17"/>
      <c r="Q2666" s="17"/>
      <c r="R2666" s="17"/>
      <c r="S2666" s="17"/>
      <c r="T2666" s="17"/>
      <c r="U2666" s="17"/>
      <c r="V2666" s="17"/>
      <c r="W2666" s="17"/>
      <c r="X2666" s="17"/>
      <c r="Y2666" s="17"/>
      <c r="Z2666" s="31"/>
      <c r="AA2666" s="32"/>
    </row>
    <row r="2667" spans="1:27" ht="12.75">
      <c r="A2667" s="17"/>
      <c r="B2667" s="17"/>
      <c r="C2667" s="17"/>
      <c r="D2667" s="17"/>
      <c r="E2667" s="17"/>
      <c r="F2667" s="17"/>
      <c r="G2667" s="17"/>
      <c r="H2667" s="17"/>
      <c r="I2667" s="31"/>
      <c r="J2667" s="17"/>
      <c r="K2667" s="17"/>
      <c r="L2667" s="17"/>
      <c r="M2667" s="17"/>
      <c r="N2667" s="17"/>
      <c r="O2667" s="17"/>
      <c r="P2667" s="17"/>
      <c r="Q2667" s="17"/>
      <c r="R2667" s="17"/>
      <c r="S2667" s="17"/>
      <c r="T2667" s="17"/>
      <c r="U2667" s="17"/>
      <c r="V2667" s="17"/>
      <c r="W2667" s="17"/>
      <c r="X2667" s="17"/>
      <c r="Y2667" s="17"/>
      <c r="Z2667" s="31"/>
      <c r="AA2667" s="32"/>
    </row>
    <row r="2668" spans="1:27" ht="12.75">
      <c r="A2668" s="17"/>
      <c r="B2668" s="17"/>
      <c r="C2668" s="17"/>
      <c r="D2668" s="17"/>
      <c r="E2668" s="17"/>
      <c r="F2668" s="17"/>
      <c r="G2668" s="17"/>
      <c r="H2668" s="17"/>
      <c r="I2668" s="31"/>
      <c r="J2668" s="17"/>
      <c r="K2668" s="17"/>
      <c r="L2668" s="17"/>
      <c r="M2668" s="17"/>
      <c r="N2668" s="17"/>
      <c r="O2668" s="17"/>
      <c r="P2668" s="17"/>
      <c r="Q2668" s="17"/>
      <c r="R2668" s="17"/>
      <c r="S2668" s="17"/>
      <c r="T2668" s="17"/>
      <c r="U2668" s="17"/>
      <c r="V2668" s="17"/>
      <c r="W2668" s="17"/>
      <c r="X2668" s="17"/>
      <c r="Y2668" s="17"/>
      <c r="Z2668" s="31"/>
      <c r="AA2668" s="32"/>
    </row>
    <row r="2669" spans="1:27" ht="12.75">
      <c r="A2669" s="17"/>
      <c r="B2669" s="17"/>
      <c r="C2669" s="17"/>
      <c r="D2669" s="17"/>
      <c r="E2669" s="17"/>
      <c r="F2669" s="17"/>
      <c r="G2669" s="17"/>
      <c r="H2669" s="17"/>
      <c r="I2669" s="31"/>
      <c r="J2669" s="17"/>
      <c r="K2669" s="17"/>
      <c r="L2669" s="17"/>
      <c r="M2669" s="17"/>
      <c r="N2669" s="17"/>
      <c r="O2669" s="17"/>
      <c r="P2669" s="17"/>
      <c r="Q2669" s="17"/>
      <c r="R2669" s="17"/>
      <c r="S2669" s="17"/>
      <c r="T2669" s="17"/>
      <c r="U2669" s="17"/>
      <c r="V2669" s="17"/>
      <c r="W2669" s="17"/>
      <c r="X2669" s="17"/>
      <c r="Y2669" s="17"/>
      <c r="Z2669" s="31"/>
      <c r="AA2669" s="32"/>
    </row>
    <row r="2670" spans="1:27" ht="12.75">
      <c r="A2670" s="17"/>
      <c r="B2670" s="17"/>
      <c r="C2670" s="17"/>
      <c r="D2670" s="17"/>
      <c r="E2670" s="17"/>
      <c r="F2670" s="17"/>
      <c r="G2670" s="17"/>
      <c r="H2670" s="17"/>
      <c r="I2670" s="31"/>
      <c r="J2670" s="17"/>
      <c r="K2670" s="17"/>
      <c r="L2670" s="17"/>
      <c r="M2670" s="17"/>
      <c r="N2670" s="17"/>
      <c r="O2670" s="17"/>
      <c r="P2670" s="17"/>
      <c r="Q2670" s="17"/>
      <c r="R2670" s="17"/>
      <c r="S2670" s="17"/>
      <c r="T2670" s="17"/>
      <c r="U2670" s="17"/>
      <c r="V2670" s="17"/>
      <c r="W2670" s="17"/>
      <c r="X2670" s="17"/>
      <c r="Y2670" s="17"/>
      <c r="Z2670" s="31"/>
      <c r="AA2670" s="32"/>
    </row>
    <row r="2671" spans="1:27" ht="12.75">
      <c r="A2671" s="17"/>
      <c r="B2671" s="17"/>
      <c r="C2671" s="17"/>
      <c r="D2671" s="17"/>
      <c r="E2671" s="17"/>
      <c r="F2671" s="17"/>
      <c r="G2671" s="17"/>
      <c r="H2671" s="17"/>
      <c r="I2671" s="31"/>
      <c r="J2671" s="17"/>
      <c r="K2671" s="17"/>
      <c r="L2671" s="17"/>
      <c r="M2671" s="17"/>
      <c r="N2671" s="17"/>
      <c r="O2671" s="17"/>
      <c r="P2671" s="17"/>
      <c r="Q2671" s="17"/>
      <c r="R2671" s="17"/>
      <c r="S2671" s="17"/>
      <c r="T2671" s="17"/>
      <c r="U2671" s="17"/>
      <c r="V2671" s="17"/>
      <c r="W2671" s="17"/>
      <c r="X2671" s="17"/>
      <c r="Y2671" s="17"/>
      <c r="Z2671" s="31"/>
      <c r="AA2671" s="32"/>
    </row>
    <row r="2672" spans="1:27" ht="12.75">
      <c r="A2672" s="17"/>
      <c r="B2672" s="17"/>
      <c r="C2672" s="17"/>
      <c r="D2672" s="17"/>
      <c r="E2672" s="17"/>
      <c r="F2672" s="17"/>
      <c r="G2672" s="17"/>
      <c r="H2672" s="17"/>
      <c r="I2672" s="31"/>
      <c r="J2672" s="17"/>
      <c r="K2672" s="17"/>
      <c r="L2672" s="17"/>
      <c r="M2672" s="17"/>
      <c r="N2672" s="17"/>
      <c r="O2672" s="17"/>
      <c r="P2672" s="17"/>
      <c r="Q2672" s="17"/>
      <c r="R2672" s="17"/>
      <c r="S2672" s="17"/>
      <c r="T2672" s="17"/>
      <c r="U2672" s="17"/>
      <c r="V2672" s="17"/>
      <c r="W2672" s="17"/>
      <c r="X2672" s="17"/>
      <c r="Y2672" s="17"/>
      <c r="Z2672" s="31"/>
      <c r="AA2672" s="32"/>
    </row>
    <row r="2673" spans="1:27" ht="12.75">
      <c r="A2673" s="17"/>
      <c r="B2673" s="17"/>
      <c r="C2673" s="17"/>
      <c r="D2673" s="17"/>
      <c r="E2673" s="17"/>
      <c r="F2673" s="17"/>
      <c r="G2673" s="17"/>
      <c r="H2673" s="17"/>
      <c r="I2673" s="31"/>
      <c r="J2673" s="17"/>
      <c r="K2673" s="17"/>
      <c r="L2673" s="17"/>
      <c r="M2673" s="17"/>
      <c r="N2673" s="17"/>
      <c r="O2673" s="17"/>
      <c r="P2673" s="17"/>
      <c r="Q2673" s="17"/>
      <c r="R2673" s="17"/>
      <c r="S2673" s="17"/>
      <c r="T2673" s="17"/>
      <c r="U2673" s="17"/>
      <c r="V2673" s="17"/>
      <c r="W2673" s="17"/>
      <c r="X2673" s="17"/>
      <c r="Y2673" s="17"/>
      <c r="Z2673" s="31"/>
      <c r="AA2673" s="32"/>
    </row>
    <row r="2674" spans="1:27" ht="12.75">
      <c r="A2674" s="17"/>
      <c r="B2674" s="17"/>
      <c r="C2674" s="17"/>
      <c r="D2674" s="17"/>
      <c r="E2674" s="17"/>
      <c r="F2674" s="17"/>
      <c r="G2674" s="17"/>
      <c r="H2674" s="17"/>
      <c r="I2674" s="31"/>
      <c r="J2674" s="17"/>
      <c r="K2674" s="17"/>
      <c r="L2674" s="17"/>
      <c r="M2674" s="17"/>
      <c r="N2674" s="17"/>
      <c r="O2674" s="17"/>
      <c r="P2674" s="17"/>
      <c r="Q2674" s="17"/>
      <c r="R2674" s="17"/>
      <c r="S2674" s="17"/>
      <c r="T2674" s="17"/>
      <c r="U2674" s="17"/>
      <c r="V2674" s="17"/>
      <c r="W2674" s="17"/>
      <c r="X2674" s="17"/>
      <c r="Y2674" s="17"/>
      <c r="Z2674" s="31"/>
      <c r="AA2674" s="32"/>
    </row>
    <row r="2675" spans="1:27" ht="12.75">
      <c r="A2675" s="17"/>
      <c r="B2675" s="17"/>
      <c r="C2675" s="17"/>
      <c r="D2675" s="17"/>
      <c r="E2675" s="17"/>
      <c r="F2675" s="17"/>
      <c r="G2675" s="17"/>
      <c r="H2675" s="17"/>
      <c r="I2675" s="31"/>
      <c r="J2675" s="17"/>
      <c r="K2675" s="17"/>
      <c r="L2675" s="17"/>
      <c r="M2675" s="17"/>
      <c r="N2675" s="17"/>
      <c r="O2675" s="17"/>
      <c r="P2675" s="17"/>
      <c r="Q2675" s="17"/>
      <c r="R2675" s="17"/>
      <c r="S2675" s="17"/>
      <c r="T2675" s="17"/>
      <c r="U2675" s="17"/>
      <c r="V2675" s="17"/>
      <c r="W2675" s="17"/>
      <c r="X2675" s="17"/>
      <c r="Y2675" s="17"/>
      <c r="Z2675" s="31"/>
      <c r="AA2675" s="32"/>
    </row>
    <row r="2676" spans="1:27" ht="12.75">
      <c r="A2676" s="17"/>
      <c r="B2676" s="17"/>
      <c r="C2676" s="17"/>
      <c r="D2676" s="17"/>
      <c r="E2676" s="17"/>
      <c r="F2676" s="17"/>
      <c r="G2676" s="17"/>
      <c r="H2676" s="17"/>
      <c r="I2676" s="31"/>
      <c r="J2676" s="17"/>
      <c r="K2676" s="17"/>
      <c r="L2676" s="17"/>
      <c r="M2676" s="17"/>
      <c r="N2676" s="17"/>
      <c r="O2676" s="17"/>
      <c r="P2676" s="17"/>
      <c r="Q2676" s="17"/>
      <c r="R2676" s="17"/>
      <c r="S2676" s="17"/>
      <c r="T2676" s="17"/>
      <c r="U2676" s="17"/>
      <c r="V2676" s="17"/>
      <c r="W2676" s="17"/>
      <c r="X2676" s="17"/>
      <c r="Y2676" s="17"/>
      <c r="Z2676" s="31"/>
      <c r="AA2676" s="32"/>
    </row>
    <row r="2677" spans="1:27" ht="12.75">
      <c r="A2677" s="17"/>
      <c r="B2677" s="17"/>
      <c r="C2677" s="17"/>
      <c r="D2677" s="17"/>
      <c r="E2677" s="17"/>
      <c r="F2677" s="17"/>
      <c r="G2677" s="17"/>
      <c r="H2677" s="17"/>
      <c r="I2677" s="31"/>
      <c r="J2677" s="17"/>
      <c r="K2677" s="17"/>
      <c r="L2677" s="17"/>
      <c r="M2677" s="17"/>
      <c r="N2677" s="17"/>
      <c r="O2677" s="17"/>
      <c r="P2677" s="17"/>
      <c r="Q2677" s="17"/>
      <c r="R2677" s="17"/>
      <c r="S2677" s="17"/>
      <c r="T2677" s="17"/>
      <c r="U2677" s="17"/>
      <c r="V2677" s="17"/>
      <c r="W2677" s="17"/>
      <c r="X2677" s="17"/>
      <c r="Y2677" s="17"/>
      <c r="Z2677" s="31"/>
      <c r="AA2677" s="32"/>
    </row>
    <row r="2678" spans="1:27" ht="12.75">
      <c r="A2678" s="17"/>
      <c r="B2678" s="17"/>
      <c r="C2678" s="17"/>
      <c r="D2678" s="17"/>
      <c r="E2678" s="17"/>
      <c r="F2678" s="17"/>
      <c r="G2678" s="17"/>
      <c r="H2678" s="17"/>
      <c r="I2678" s="31"/>
      <c r="J2678" s="17"/>
      <c r="K2678" s="17"/>
      <c r="L2678" s="17"/>
      <c r="M2678" s="17"/>
      <c r="N2678" s="17"/>
      <c r="O2678" s="17"/>
      <c r="P2678" s="17"/>
      <c r="Q2678" s="17"/>
      <c r="R2678" s="17"/>
      <c r="S2678" s="17"/>
      <c r="T2678" s="17"/>
      <c r="U2678" s="17"/>
      <c r="V2678" s="17"/>
      <c r="W2678" s="17"/>
      <c r="X2678" s="17"/>
      <c r="Y2678" s="17"/>
      <c r="Z2678" s="31"/>
      <c r="AA2678" s="32"/>
    </row>
    <row r="2679" spans="1:27" ht="12.75">
      <c r="A2679" s="17"/>
      <c r="B2679" s="17"/>
      <c r="C2679" s="17"/>
      <c r="D2679" s="17"/>
      <c r="E2679" s="17"/>
      <c r="F2679" s="17"/>
      <c r="G2679" s="17"/>
      <c r="H2679" s="17"/>
      <c r="I2679" s="31"/>
      <c r="J2679" s="17"/>
      <c r="K2679" s="17"/>
      <c r="L2679" s="17"/>
      <c r="M2679" s="17"/>
      <c r="N2679" s="17"/>
      <c r="O2679" s="17"/>
      <c r="P2679" s="17"/>
      <c r="Q2679" s="17"/>
      <c r="R2679" s="17"/>
      <c r="S2679" s="17"/>
      <c r="T2679" s="17"/>
      <c r="U2679" s="17"/>
      <c r="V2679" s="17"/>
      <c r="W2679" s="17"/>
      <c r="X2679" s="17"/>
      <c r="Y2679" s="17"/>
      <c r="Z2679" s="31"/>
      <c r="AA2679" s="32"/>
    </row>
    <row r="2680" spans="1:27" ht="12.75">
      <c r="A2680" s="17"/>
      <c r="B2680" s="17"/>
      <c r="C2680" s="17"/>
      <c r="D2680" s="17"/>
      <c r="E2680" s="17"/>
      <c r="F2680" s="17"/>
      <c r="G2680" s="17"/>
      <c r="H2680" s="17"/>
      <c r="I2680" s="31"/>
      <c r="J2680" s="17"/>
      <c r="K2680" s="17"/>
      <c r="L2680" s="17"/>
      <c r="M2680" s="17"/>
      <c r="N2680" s="17"/>
      <c r="O2680" s="17"/>
      <c r="P2680" s="17"/>
      <c r="Q2680" s="17"/>
      <c r="R2680" s="17"/>
      <c r="S2680" s="17"/>
      <c r="T2680" s="17"/>
      <c r="U2680" s="17"/>
      <c r="V2680" s="17"/>
      <c r="W2680" s="17"/>
      <c r="X2680" s="17"/>
      <c r="Y2680" s="17"/>
      <c r="Z2680" s="31"/>
      <c r="AA2680" s="32"/>
    </row>
    <row r="2681" spans="1:27" ht="12.75">
      <c r="A2681" s="17"/>
      <c r="B2681" s="17"/>
      <c r="C2681" s="17"/>
      <c r="D2681" s="17"/>
      <c r="E2681" s="17"/>
      <c r="F2681" s="17"/>
      <c r="G2681" s="17"/>
      <c r="H2681" s="17"/>
      <c r="I2681" s="31"/>
      <c r="J2681" s="17"/>
      <c r="K2681" s="17"/>
      <c r="L2681" s="17"/>
      <c r="M2681" s="17"/>
      <c r="N2681" s="17"/>
      <c r="O2681" s="17"/>
      <c r="P2681" s="17"/>
      <c r="Q2681" s="17"/>
      <c r="R2681" s="17"/>
      <c r="S2681" s="17"/>
      <c r="T2681" s="17"/>
      <c r="U2681" s="17"/>
      <c r="V2681" s="17"/>
      <c r="W2681" s="17"/>
      <c r="X2681" s="17"/>
      <c r="Y2681" s="17"/>
      <c r="Z2681" s="31"/>
      <c r="AA2681" s="32"/>
    </row>
    <row r="2682" spans="1:27" ht="12.75">
      <c r="A2682" s="17"/>
      <c r="B2682" s="17"/>
      <c r="C2682" s="17"/>
      <c r="D2682" s="17"/>
      <c r="E2682" s="17"/>
      <c r="F2682" s="17"/>
      <c r="G2682" s="17"/>
      <c r="H2682" s="17"/>
      <c r="I2682" s="31"/>
      <c r="J2682" s="17"/>
      <c r="K2682" s="17"/>
      <c r="L2682" s="17"/>
      <c r="M2682" s="17"/>
      <c r="N2682" s="17"/>
      <c r="O2682" s="17"/>
      <c r="P2682" s="17"/>
      <c r="Q2682" s="17"/>
      <c r="R2682" s="17"/>
      <c r="S2682" s="17"/>
      <c r="T2682" s="17"/>
      <c r="U2682" s="17"/>
      <c r="V2682" s="17"/>
      <c r="W2682" s="17"/>
      <c r="X2682" s="17"/>
      <c r="Y2682" s="17"/>
      <c r="Z2682" s="31"/>
      <c r="AA2682" s="32"/>
    </row>
    <row r="2683" spans="1:27" ht="12.75">
      <c r="A2683" s="17"/>
      <c r="B2683" s="17"/>
      <c r="C2683" s="17"/>
      <c r="D2683" s="17"/>
      <c r="E2683" s="17"/>
      <c r="F2683" s="17"/>
      <c r="G2683" s="17"/>
      <c r="H2683" s="17"/>
      <c r="I2683" s="31"/>
      <c r="J2683" s="17"/>
      <c r="K2683" s="17"/>
      <c r="L2683" s="17"/>
      <c r="M2683" s="17"/>
      <c r="N2683" s="17"/>
      <c r="O2683" s="17"/>
      <c r="P2683" s="17"/>
      <c r="Q2683" s="17"/>
      <c r="R2683" s="17"/>
      <c r="S2683" s="17"/>
      <c r="T2683" s="17"/>
      <c r="U2683" s="17"/>
      <c r="V2683" s="17"/>
      <c r="W2683" s="17"/>
      <c r="X2683" s="17"/>
      <c r="Y2683" s="17"/>
      <c r="Z2683" s="31"/>
      <c r="AA2683" s="32"/>
    </row>
    <row r="2684" spans="1:27" ht="12.75">
      <c r="A2684" s="17"/>
      <c r="B2684" s="17"/>
      <c r="C2684" s="17"/>
      <c r="D2684" s="17"/>
      <c r="E2684" s="17"/>
      <c r="F2684" s="17"/>
      <c r="G2684" s="17"/>
      <c r="H2684" s="17"/>
      <c r="I2684" s="31"/>
      <c r="J2684" s="17"/>
      <c r="K2684" s="17"/>
      <c r="L2684" s="17"/>
      <c r="M2684" s="17"/>
      <c r="N2684" s="17"/>
      <c r="O2684" s="17"/>
      <c r="P2684" s="17"/>
      <c r="Q2684" s="17"/>
      <c r="R2684" s="17"/>
      <c r="S2684" s="17"/>
      <c r="T2684" s="17"/>
      <c r="U2684" s="17"/>
      <c r="V2684" s="17"/>
      <c r="W2684" s="17"/>
      <c r="X2684" s="17"/>
      <c r="Y2684" s="17"/>
      <c r="Z2684" s="31"/>
      <c r="AA2684" s="32"/>
    </row>
    <row r="2685" spans="1:27" ht="12.75">
      <c r="A2685" s="17"/>
      <c r="B2685" s="17"/>
      <c r="C2685" s="17"/>
      <c r="D2685" s="17"/>
      <c r="E2685" s="17"/>
      <c r="F2685" s="17"/>
      <c r="G2685" s="17"/>
      <c r="H2685" s="17"/>
      <c r="I2685" s="31"/>
      <c r="J2685" s="17"/>
      <c r="K2685" s="17"/>
      <c r="L2685" s="17"/>
      <c r="M2685" s="17"/>
      <c r="N2685" s="17"/>
      <c r="O2685" s="17"/>
      <c r="P2685" s="17"/>
      <c r="Q2685" s="17"/>
      <c r="R2685" s="17"/>
      <c r="S2685" s="17"/>
      <c r="T2685" s="17"/>
      <c r="U2685" s="17"/>
      <c r="V2685" s="17"/>
      <c r="W2685" s="17"/>
      <c r="X2685" s="17"/>
      <c r="Y2685" s="17"/>
      <c r="Z2685" s="31"/>
      <c r="AA2685" s="32"/>
    </row>
    <row r="2686" spans="1:27" ht="12.75">
      <c r="A2686" s="17"/>
      <c r="B2686" s="17"/>
      <c r="C2686" s="17"/>
      <c r="D2686" s="17"/>
      <c r="E2686" s="17"/>
      <c r="F2686" s="17"/>
      <c r="G2686" s="17"/>
      <c r="H2686" s="17"/>
      <c r="I2686" s="31"/>
      <c r="J2686" s="17"/>
      <c r="K2686" s="17"/>
      <c r="L2686" s="17"/>
      <c r="M2686" s="17"/>
      <c r="N2686" s="17"/>
      <c r="O2686" s="17"/>
      <c r="P2686" s="17"/>
      <c r="Q2686" s="17"/>
      <c r="R2686" s="17"/>
      <c r="S2686" s="17"/>
      <c r="T2686" s="17"/>
      <c r="U2686" s="17"/>
      <c r="V2686" s="17"/>
      <c r="W2686" s="17"/>
      <c r="X2686" s="17"/>
      <c r="Y2686" s="17"/>
      <c r="Z2686" s="31"/>
      <c r="AA2686" s="32"/>
    </row>
    <row r="2687" spans="1:27" ht="12.75">
      <c r="A2687" s="17"/>
      <c r="B2687" s="17"/>
      <c r="C2687" s="17"/>
      <c r="D2687" s="17"/>
      <c r="E2687" s="17"/>
      <c r="F2687" s="17"/>
      <c r="G2687" s="17"/>
      <c r="H2687" s="17"/>
      <c r="I2687" s="31"/>
      <c r="J2687" s="17"/>
      <c r="K2687" s="17"/>
      <c r="L2687" s="17"/>
      <c r="M2687" s="17"/>
      <c r="N2687" s="17"/>
      <c r="O2687" s="17"/>
      <c r="P2687" s="17"/>
      <c r="Q2687" s="17"/>
      <c r="R2687" s="17"/>
      <c r="S2687" s="17"/>
      <c r="T2687" s="17"/>
      <c r="U2687" s="17"/>
      <c r="V2687" s="17"/>
      <c r="W2687" s="17"/>
      <c r="X2687" s="17"/>
      <c r="Y2687" s="17"/>
      <c r="Z2687" s="31"/>
      <c r="AA2687" s="32"/>
    </row>
    <row r="2688" spans="1:27" ht="12.75">
      <c r="A2688" s="17"/>
      <c r="B2688" s="17"/>
      <c r="C2688" s="17"/>
      <c r="D2688" s="17"/>
      <c r="E2688" s="17"/>
      <c r="F2688" s="17"/>
      <c r="G2688" s="17"/>
      <c r="H2688" s="17"/>
      <c r="I2688" s="31"/>
      <c r="J2688" s="17"/>
      <c r="K2688" s="17"/>
      <c r="L2688" s="17"/>
      <c r="M2688" s="17"/>
      <c r="N2688" s="17"/>
      <c r="O2688" s="17"/>
      <c r="P2688" s="17"/>
      <c r="Q2688" s="17"/>
      <c r="R2688" s="17"/>
      <c r="S2688" s="17"/>
      <c r="T2688" s="17"/>
      <c r="U2688" s="17"/>
      <c r="V2688" s="17"/>
      <c r="W2688" s="17"/>
      <c r="X2688" s="17"/>
      <c r="Y2688" s="17"/>
      <c r="Z2688" s="31"/>
      <c r="AA2688" s="32"/>
    </row>
    <row r="2689" spans="1:27" ht="12.75">
      <c r="A2689" s="17"/>
      <c r="B2689" s="17"/>
      <c r="C2689" s="17"/>
      <c r="D2689" s="17"/>
      <c r="E2689" s="17"/>
      <c r="F2689" s="17"/>
      <c r="G2689" s="17"/>
      <c r="H2689" s="17"/>
      <c r="I2689" s="31"/>
      <c r="J2689" s="17"/>
      <c r="K2689" s="17"/>
      <c r="L2689" s="17"/>
      <c r="M2689" s="17"/>
      <c r="N2689" s="17"/>
      <c r="O2689" s="17"/>
      <c r="P2689" s="17"/>
      <c r="Q2689" s="17"/>
      <c r="R2689" s="17"/>
      <c r="S2689" s="17"/>
      <c r="T2689" s="17"/>
      <c r="U2689" s="17"/>
      <c r="V2689" s="17"/>
      <c r="W2689" s="17"/>
      <c r="X2689" s="17"/>
      <c r="Y2689" s="17"/>
      <c r="Z2689" s="31"/>
      <c r="AA2689" s="32"/>
    </row>
    <row r="2690" spans="1:27" ht="12.75">
      <c r="A2690" s="17"/>
      <c r="B2690" s="17"/>
      <c r="C2690" s="17"/>
      <c r="D2690" s="17"/>
      <c r="E2690" s="17"/>
      <c r="F2690" s="17"/>
      <c r="G2690" s="17"/>
      <c r="H2690" s="17"/>
      <c r="I2690" s="31"/>
      <c r="J2690" s="17"/>
      <c r="K2690" s="17"/>
      <c r="L2690" s="17"/>
      <c r="M2690" s="17"/>
      <c r="N2690" s="17"/>
      <c r="O2690" s="17"/>
      <c r="P2690" s="17"/>
      <c r="Q2690" s="17"/>
      <c r="R2690" s="17"/>
      <c r="S2690" s="17"/>
      <c r="T2690" s="17"/>
      <c r="U2690" s="17"/>
      <c r="V2690" s="17"/>
      <c r="W2690" s="17"/>
      <c r="X2690" s="17"/>
      <c r="Y2690" s="17"/>
      <c r="Z2690" s="31"/>
      <c r="AA2690" s="32"/>
    </row>
    <row r="2691" spans="1:27" ht="12.75">
      <c r="A2691" s="17"/>
      <c r="B2691" s="17"/>
      <c r="C2691" s="17"/>
      <c r="D2691" s="17"/>
      <c r="E2691" s="17"/>
      <c r="F2691" s="17"/>
      <c r="G2691" s="17"/>
      <c r="H2691" s="17"/>
      <c r="I2691" s="31"/>
      <c r="J2691" s="17"/>
      <c r="K2691" s="17"/>
      <c r="L2691" s="17"/>
      <c r="M2691" s="17"/>
      <c r="N2691" s="17"/>
      <c r="O2691" s="17"/>
      <c r="P2691" s="17"/>
      <c r="Q2691" s="17"/>
      <c r="R2691" s="17"/>
      <c r="S2691" s="17"/>
      <c r="T2691" s="17"/>
      <c r="U2691" s="17"/>
      <c r="V2691" s="17"/>
      <c r="W2691" s="17"/>
      <c r="X2691" s="17"/>
      <c r="Y2691" s="17"/>
      <c r="Z2691" s="31"/>
      <c r="AA2691" s="32"/>
    </row>
    <row r="2692" spans="1:27" ht="12.75">
      <c r="A2692" s="17"/>
      <c r="B2692" s="17"/>
      <c r="C2692" s="17"/>
      <c r="D2692" s="17"/>
      <c r="E2692" s="17"/>
      <c r="F2692" s="17"/>
      <c r="G2692" s="17"/>
      <c r="H2692" s="17"/>
      <c r="I2692" s="31"/>
      <c r="J2692" s="17"/>
      <c r="K2692" s="17"/>
      <c r="L2692" s="17"/>
      <c r="M2692" s="17"/>
      <c r="N2692" s="17"/>
      <c r="O2692" s="17"/>
      <c r="P2692" s="17"/>
      <c r="Q2692" s="17"/>
      <c r="R2692" s="17"/>
      <c r="S2692" s="17"/>
      <c r="T2692" s="17"/>
      <c r="U2692" s="17"/>
      <c r="V2692" s="17"/>
      <c r="W2692" s="17"/>
      <c r="X2692" s="17"/>
      <c r="Y2692" s="17"/>
      <c r="Z2692" s="31"/>
      <c r="AA2692" s="32"/>
    </row>
    <row r="2693" spans="1:27" ht="12.75">
      <c r="A2693" s="17"/>
      <c r="B2693" s="17"/>
      <c r="C2693" s="17"/>
      <c r="D2693" s="17"/>
      <c r="E2693" s="17"/>
      <c r="F2693" s="17"/>
      <c r="G2693" s="17"/>
      <c r="H2693" s="17"/>
      <c r="I2693" s="31"/>
      <c r="J2693" s="17"/>
      <c r="K2693" s="17"/>
      <c r="L2693" s="17"/>
      <c r="M2693" s="17"/>
      <c r="N2693" s="17"/>
      <c r="O2693" s="17"/>
      <c r="P2693" s="17"/>
      <c r="Q2693" s="17"/>
      <c r="R2693" s="17"/>
      <c r="S2693" s="17"/>
      <c r="T2693" s="17"/>
      <c r="U2693" s="17"/>
      <c r="V2693" s="17"/>
      <c r="W2693" s="17"/>
      <c r="X2693" s="17"/>
      <c r="Y2693" s="17"/>
      <c r="Z2693" s="31"/>
      <c r="AA2693" s="32"/>
    </row>
    <row r="2694" spans="1:27" ht="12.75">
      <c r="A2694" s="17"/>
      <c r="B2694" s="17"/>
      <c r="C2694" s="17"/>
      <c r="D2694" s="17"/>
      <c r="E2694" s="17"/>
      <c r="F2694" s="17"/>
      <c r="G2694" s="17"/>
      <c r="H2694" s="17"/>
      <c r="I2694" s="31"/>
      <c r="J2694" s="17"/>
      <c r="K2694" s="17"/>
      <c r="L2694" s="17"/>
      <c r="M2694" s="17"/>
      <c r="N2694" s="17"/>
      <c r="O2694" s="17"/>
      <c r="P2694" s="17"/>
      <c r="Q2694" s="17"/>
      <c r="R2694" s="17"/>
      <c r="S2694" s="17"/>
      <c r="T2694" s="17"/>
      <c r="U2694" s="17"/>
      <c r="V2694" s="17"/>
      <c r="W2694" s="17"/>
      <c r="X2694" s="17"/>
      <c r="Y2694" s="17"/>
      <c r="Z2694" s="31"/>
      <c r="AA2694" s="32"/>
    </row>
    <row r="2695" spans="1:27" ht="12.75">
      <c r="A2695" s="17"/>
      <c r="B2695" s="17"/>
      <c r="C2695" s="17"/>
      <c r="D2695" s="17"/>
      <c r="E2695" s="17"/>
      <c r="F2695" s="17"/>
      <c r="G2695" s="17"/>
      <c r="H2695" s="17"/>
      <c r="I2695" s="31"/>
      <c r="J2695" s="17"/>
      <c r="K2695" s="17"/>
      <c r="L2695" s="17"/>
      <c r="M2695" s="17"/>
      <c r="N2695" s="17"/>
      <c r="O2695" s="17"/>
      <c r="P2695" s="17"/>
      <c r="Q2695" s="17"/>
      <c r="R2695" s="17"/>
      <c r="S2695" s="17"/>
      <c r="T2695" s="17"/>
      <c r="U2695" s="17"/>
      <c r="V2695" s="17"/>
      <c r="W2695" s="17"/>
      <c r="X2695" s="17"/>
      <c r="Y2695" s="17"/>
      <c r="Z2695" s="31"/>
      <c r="AA2695" s="32"/>
    </row>
    <row r="2696" spans="1:27" ht="12.75">
      <c r="A2696" s="17"/>
      <c r="B2696" s="17"/>
      <c r="C2696" s="17"/>
      <c r="D2696" s="17"/>
      <c r="E2696" s="17"/>
      <c r="F2696" s="17"/>
      <c r="G2696" s="17"/>
      <c r="H2696" s="17"/>
      <c r="I2696" s="31"/>
      <c r="J2696" s="17"/>
      <c r="K2696" s="17"/>
      <c r="L2696" s="17"/>
      <c r="M2696" s="17"/>
      <c r="N2696" s="17"/>
      <c r="O2696" s="17"/>
      <c r="P2696" s="17"/>
      <c r="Q2696" s="17"/>
      <c r="R2696" s="17"/>
      <c r="S2696" s="17"/>
      <c r="T2696" s="17"/>
      <c r="U2696" s="17"/>
      <c r="V2696" s="17"/>
      <c r="W2696" s="17"/>
      <c r="X2696" s="17"/>
      <c r="Y2696" s="17"/>
      <c r="Z2696" s="31"/>
      <c r="AA2696" s="32"/>
    </row>
    <row r="2697" spans="1:27" ht="12.75">
      <c r="A2697" s="17"/>
      <c r="B2697" s="17"/>
      <c r="C2697" s="17"/>
      <c r="D2697" s="17"/>
      <c r="E2697" s="17"/>
      <c r="F2697" s="17"/>
      <c r="G2697" s="17"/>
      <c r="H2697" s="17"/>
      <c r="I2697" s="31"/>
      <c r="J2697" s="17"/>
      <c r="K2697" s="17"/>
      <c r="L2697" s="17"/>
      <c r="M2697" s="17"/>
      <c r="N2697" s="17"/>
      <c r="O2697" s="17"/>
      <c r="P2697" s="17"/>
      <c r="Q2697" s="17"/>
      <c r="R2697" s="17"/>
      <c r="S2697" s="17"/>
      <c r="T2697" s="17"/>
      <c r="U2697" s="17"/>
      <c r="V2697" s="17"/>
      <c r="W2697" s="17"/>
      <c r="X2697" s="17"/>
      <c r="Y2697" s="17"/>
      <c r="Z2697" s="31"/>
      <c r="AA2697" s="32"/>
    </row>
    <row r="2698" spans="1:27" ht="12.75">
      <c r="A2698" s="17"/>
      <c r="B2698" s="17"/>
      <c r="C2698" s="17"/>
      <c r="D2698" s="17"/>
      <c r="E2698" s="17"/>
      <c r="F2698" s="17"/>
      <c r="G2698" s="17"/>
      <c r="H2698" s="17"/>
      <c r="I2698" s="31"/>
      <c r="J2698" s="17"/>
      <c r="K2698" s="17"/>
      <c r="L2698" s="17"/>
      <c r="M2698" s="17"/>
      <c r="N2698" s="17"/>
      <c r="O2698" s="17"/>
      <c r="P2698" s="17"/>
      <c r="Q2698" s="17"/>
      <c r="R2698" s="17"/>
      <c r="S2698" s="17"/>
      <c r="T2698" s="17"/>
      <c r="U2698" s="17"/>
      <c r="V2698" s="17"/>
      <c r="W2698" s="17"/>
      <c r="X2698" s="17"/>
      <c r="Y2698" s="17"/>
      <c r="Z2698" s="31"/>
      <c r="AA2698" s="32"/>
    </row>
    <row r="2699" spans="1:27" ht="12.75">
      <c r="A2699" s="17"/>
      <c r="B2699" s="17"/>
      <c r="C2699" s="17"/>
      <c r="D2699" s="17"/>
      <c r="E2699" s="17"/>
      <c r="F2699" s="17"/>
      <c r="G2699" s="17"/>
      <c r="H2699" s="17"/>
      <c r="I2699" s="31"/>
      <c r="J2699" s="17"/>
      <c r="K2699" s="17"/>
      <c r="L2699" s="17"/>
      <c r="M2699" s="17"/>
      <c r="N2699" s="17"/>
      <c r="O2699" s="17"/>
      <c r="P2699" s="17"/>
      <c r="Q2699" s="17"/>
      <c r="R2699" s="17"/>
      <c r="S2699" s="17"/>
      <c r="T2699" s="17"/>
      <c r="U2699" s="17"/>
      <c r="V2699" s="17"/>
      <c r="W2699" s="17"/>
      <c r="X2699" s="17"/>
      <c r="Y2699" s="17"/>
      <c r="Z2699" s="31"/>
      <c r="AA2699" s="32"/>
    </row>
    <row r="2700" spans="1:27" ht="12.75">
      <c r="A2700" s="17"/>
      <c r="B2700" s="17"/>
      <c r="C2700" s="17"/>
      <c r="D2700" s="17"/>
      <c r="E2700" s="17"/>
      <c r="F2700" s="17"/>
      <c r="G2700" s="17"/>
      <c r="H2700" s="17"/>
      <c r="I2700" s="31"/>
      <c r="J2700" s="17"/>
      <c r="K2700" s="17"/>
      <c r="L2700" s="17"/>
      <c r="M2700" s="17"/>
      <c r="N2700" s="17"/>
      <c r="O2700" s="17"/>
      <c r="P2700" s="17"/>
      <c r="Q2700" s="17"/>
      <c r="R2700" s="17"/>
      <c r="S2700" s="17"/>
      <c r="T2700" s="17"/>
      <c r="U2700" s="17"/>
      <c r="V2700" s="17"/>
      <c r="W2700" s="17"/>
      <c r="X2700" s="17"/>
      <c r="Y2700" s="17"/>
      <c r="Z2700" s="31"/>
      <c r="AA2700" s="32"/>
    </row>
    <row r="2701" spans="1:27" ht="12.75">
      <c r="A2701" s="17"/>
      <c r="B2701" s="17"/>
      <c r="C2701" s="17"/>
      <c r="D2701" s="17"/>
      <c r="E2701" s="17"/>
      <c r="F2701" s="17"/>
      <c r="G2701" s="17"/>
      <c r="H2701" s="17"/>
      <c r="I2701" s="31"/>
      <c r="J2701" s="17"/>
      <c r="K2701" s="17"/>
      <c r="L2701" s="17"/>
      <c r="M2701" s="17"/>
      <c r="N2701" s="17"/>
      <c r="O2701" s="17"/>
      <c r="P2701" s="17"/>
      <c r="Q2701" s="17"/>
      <c r="R2701" s="17"/>
      <c r="S2701" s="17"/>
      <c r="T2701" s="17"/>
      <c r="U2701" s="17"/>
      <c r="V2701" s="17"/>
      <c r="W2701" s="17"/>
      <c r="X2701" s="17"/>
      <c r="Y2701" s="17"/>
      <c r="Z2701" s="31"/>
      <c r="AA2701" s="32"/>
    </row>
    <row r="2702" spans="1:27" ht="12.75">
      <c r="A2702" s="17"/>
      <c r="B2702" s="17"/>
      <c r="C2702" s="17"/>
      <c r="D2702" s="17"/>
      <c r="E2702" s="17"/>
      <c r="F2702" s="17"/>
      <c r="G2702" s="17"/>
      <c r="H2702" s="17"/>
      <c r="I2702" s="31"/>
      <c r="J2702" s="17"/>
      <c r="K2702" s="17"/>
      <c r="L2702" s="17"/>
      <c r="M2702" s="17"/>
      <c r="N2702" s="17"/>
      <c r="O2702" s="17"/>
      <c r="P2702" s="17"/>
      <c r="Q2702" s="17"/>
      <c r="R2702" s="17"/>
      <c r="S2702" s="17"/>
      <c r="T2702" s="17"/>
      <c r="U2702" s="17"/>
      <c r="V2702" s="17"/>
      <c r="W2702" s="17"/>
      <c r="X2702" s="17"/>
      <c r="Y2702" s="17"/>
      <c r="Z2702" s="31"/>
      <c r="AA2702" s="32"/>
    </row>
    <row r="2703" spans="1:27" ht="12.75">
      <c r="A2703" s="17"/>
      <c r="B2703" s="17"/>
      <c r="C2703" s="17"/>
      <c r="D2703" s="17"/>
      <c r="E2703" s="17"/>
      <c r="F2703" s="17"/>
      <c r="G2703" s="17"/>
      <c r="H2703" s="17"/>
      <c r="I2703" s="31"/>
      <c r="J2703" s="17"/>
      <c r="K2703" s="17"/>
      <c r="L2703" s="17"/>
      <c r="M2703" s="17"/>
      <c r="N2703" s="17"/>
      <c r="O2703" s="17"/>
      <c r="P2703" s="17"/>
      <c r="Q2703" s="17"/>
      <c r="R2703" s="17"/>
      <c r="S2703" s="17"/>
      <c r="T2703" s="17"/>
      <c r="U2703" s="17"/>
      <c r="V2703" s="17"/>
      <c r="W2703" s="17"/>
      <c r="X2703" s="17"/>
      <c r="Y2703" s="17"/>
      <c r="Z2703" s="31"/>
      <c r="AA2703" s="32"/>
    </row>
    <row r="2704" spans="1:27" ht="12.75">
      <c r="A2704" s="17"/>
      <c r="B2704" s="17"/>
      <c r="C2704" s="17"/>
      <c r="D2704" s="17"/>
      <c r="E2704" s="17"/>
      <c r="F2704" s="17"/>
      <c r="G2704" s="17"/>
      <c r="H2704" s="17"/>
      <c r="I2704" s="31"/>
      <c r="J2704" s="17"/>
      <c r="K2704" s="17"/>
      <c r="L2704" s="17"/>
      <c r="M2704" s="17"/>
      <c r="N2704" s="17"/>
      <c r="O2704" s="17"/>
      <c r="P2704" s="17"/>
      <c r="Q2704" s="17"/>
      <c r="R2704" s="17"/>
      <c r="S2704" s="17"/>
      <c r="T2704" s="17"/>
      <c r="U2704" s="17"/>
      <c r="V2704" s="17"/>
      <c r="W2704" s="17"/>
      <c r="X2704" s="17"/>
      <c r="Y2704" s="17"/>
      <c r="Z2704" s="31"/>
      <c r="AA2704" s="32"/>
    </row>
    <row r="2705" spans="1:27" ht="12.75">
      <c r="A2705" s="17"/>
      <c r="B2705" s="17"/>
      <c r="C2705" s="17"/>
      <c r="D2705" s="17"/>
      <c r="E2705" s="17"/>
      <c r="F2705" s="17"/>
      <c r="G2705" s="17"/>
      <c r="H2705" s="17"/>
      <c r="I2705" s="31"/>
      <c r="J2705" s="17"/>
      <c r="K2705" s="17"/>
      <c r="L2705" s="17"/>
      <c r="M2705" s="17"/>
      <c r="N2705" s="17"/>
      <c r="O2705" s="17"/>
      <c r="P2705" s="17"/>
      <c r="Q2705" s="17"/>
      <c r="R2705" s="17"/>
      <c r="S2705" s="17"/>
      <c r="T2705" s="17"/>
      <c r="U2705" s="17"/>
      <c r="V2705" s="17"/>
      <c r="W2705" s="17"/>
      <c r="X2705" s="17"/>
      <c r="Y2705" s="17"/>
      <c r="Z2705" s="31"/>
      <c r="AA2705" s="32"/>
    </row>
    <row r="2706" spans="1:27" ht="12.75">
      <c r="A2706" s="17"/>
      <c r="B2706" s="17"/>
      <c r="C2706" s="17"/>
      <c r="D2706" s="17"/>
      <c r="E2706" s="17"/>
      <c r="F2706" s="17"/>
      <c r="G2706" s="17"/>
      <c r="H2706" s="17"/>
      <c r="I2706" s="31"/>
      <c r="J2706" s="17"/>
      <c r="K2706" s="17"/>
      <c r="L2706" s="17"/>
      <c r="M2706" s="17"/>
      <c r="N2706" s="17"/>
      <c r="O2706" s="17"/>
      <c r="P2706" s="17"/>
      <c r="Q2706" s="17"/>
      <c r="R2706" s="17"/>
      <c r="S2706" s="17"/>
      <c r="T2706" s="17"/>
      <c r="U2706" s="17"/>
      <c r="V2706" s="17"/>
      <c r="W2706" s="17"/>
      <c r="X2706" s="17"/>
      <c r="Y2706" s="17"/>
      <c r="Z2706" s="31"/>
      <c r="AA2706" s="32"/>
    </row>
    <row r="2707" spans="1:27" ht="12.75">
      <c r="A2707" s="17"/>
      <c r="B2707" s="17"/>
      <c r="C2707" s="17"/>
      <c r="D2707" s="17"/>
      <c r="E2707" s="17"/>
      <c r="F2707" s="17"/>
      <c r="G2707" s="17"/>
      <c r="H2707" s="17"/>
      <c r="I2707" s="31"/>
      <c r="J2707" s="17"/>
      <c r="K2707" s="17"/>
      <c r="L2707" s="17"/>
      <c r="M2707" s="17"/>
      <c r="N2707" s="17"/>
      <c r="O2707" s="17"/>
      <c r="P2707" s="17"/>
      <c r="Q2707" s="17"/>
      <c r="R2707" s="17"/>
      <c r="S2707" s="17"/>
      <c r="T2707" s="17"/>
      <c r="U2707" s="17"/>
      <c r="V2707" s="17"/>
      <c r="W2707" s="17"/>
      <c r="X2707" s="17"/>
      <c r="Y2707" s="17"/>
      <c r="Z2707" s="31"/>
      <c r="AA2707" s="32"/>
    </row>
    <row r="2708" spans="1:27" ht="12.75">
      <c r="A2708" s="17"/>
      <c r="B2708" s="17"/>
      <c r="C2708" s="17"/>
      <c r="D2708" s="17"/>
      <c r="E2708" s="17"/>
      <c r="F2708" s="17"/>
      <c r="G2708" s="17"/>
      <c r="H2708" s="17"/>
      <c r="I2708" s="31"/>
      <c r="J2708" s="17"/>
      <c r="K2708" s="17"/>
      <c r="L2708" s="17"/>
      <c r="M2708" s="17"/>
      <c r="N2708" s="17"/>
      <c r="O2708" s="17"/>
      <c r="P2708" s="17"/>
      <c r="Q2708" s="17"/>
      <c r="R2708" s="17"/>
      <c r="S2708" s="17"/>
      <c r="T2708" s="17"/>
      <c r="U2708" s="17"/>
      <c r="V2708" s="17"/>
      <c r="W2708" s="17"/>
      <c r="X2708" s="17"/>
      <c r="Y2708" s="17"/>
      <c r="Z2708" s="31"/>
      <c r="AA2708" s="32"/>
    </row>
    <row r="2709" spans="1:27" ht="12.75">
      <c r="A2709" s="17"/>
      <c r="B2709" s="17"/>
      <c r="C2709" s="17"/>
      <c r="D2709" s="17"/>
      <c r="E2709" s="17"/>
      <c r="F2709" s="17"/>
      <c r="G2709" s="17"/>
      <c r="H2709" s="17"/>
      <c r="I2709" s="31"/>
      <c r="J2709" s="17"/>
      <c r="K2709" s="17"/>
      <c r="L2709" s="17"/>
      <c r="M2709" s="17"/>
      <c r="N2709" s="17"/>
      <c r="O2709" s="17"/>
      <c r="P2709" s="17"/>
      <c r="Q2709" s="17"/>
      <c r="R2709" s="17"/>
      <c r="S2709" s="17"/>
      <c r="T2709" s="17"/>
      <c r="U2709" s="17"/>
      <c r="V2709" s="17"/>
      <c r="W2709" s="17"/>
      <c r="X2709" s="17"/>
      <c r="Y2709" s="17"/>
      <c r="Z2709" s="31"/>
      <c r="AA2709" s="32"/>
    </row>
    <row r="2710" spans="1:27" ht="12.75">
      <c r="A2710" s="17"/>
      <c r="B2710" s="17"/>
      <c r="C2710" s="17"/>
      <c r="D2710" s="17"/>
      <c r="E2710" s="17"/>
      <c r="F2710" s="17"/>
      <c r="G2710" s="17"/>
      <c r="H2710" s="17"/>
      <c r="I2710" s="31"/>
      <c r="J2710" s="17"/>
      <c r="K2710" s="17"/>
      <c r="L2710" s="17"/>
      <c r="M2710" s="17"/>
      <c r="N2710" s="17"/>
      <c r="O2710" s="17"/>
      <c r="P2710" s="17"/>
      <c r="Q2710" s="17"/>
      <c r="R2710" s="17"/>
      <c r="S2710" s="17"/>
      <c r="T2710" s="17"/>
      <c r="U2710" s="17"/>
      <c r="V2710" s="17"/>
      <c r="W2710" s="17"/>
      <c r="X2710" s="17"/>
      <c r="Y2710" s="17"/>
      <c r="Z2710" s="31"/>
      <c r="AA2710" s="32"/>
    </row>
    <row r="2711" spans="1:27" ht="12.75">
      <c r="A2711" s="17"/>
      <c r="B2711" s="17"/>
      <c r="C2711" s="17"/>
      <c r="D2711" s="17"/>
      <c r="E2711" s="17"/>
      <c r="F2711" s="17"/>
      <c r="G2711" s="17"/>
      <c r="H2711" s="17"/>
      <c r="I2711" s="31"/>
      <c r="J2711" s="17"/>
      <c r="K2711" s="17"/>
      <c r="L2711" s="17"/>
      <c r="M2711" s="17"/>
      <c r="N2711" s="17"/>
      <c r="O2711" s="17"/>
      <c r="P2711" s="17"/>
      <c r="Q2711" s="17"/>
      <c r="R2711" s="17"/>
      <c r="S2711" s="17"/>
      <c r="T2711" s="17"/>
      <c r="U2711" s="17"/>
      <c r="V2711" s="17"/>
      <c r="W2711" s="17"/>
      <c r="X2711" s="17"/>
      <c r="Y2711" s="17"/>
      <c r="Z2711" s="31"/>
      <c r="AA2711" s="32"/>
    </row>
    <row r="2712" spans="1:27" ht="12.75">
      <c r="A2712" s="17"/>
      <c r="B2712" s="17"/>
      <c r="C2712" s="17"/>
      <c r="D2712" s="17"/>
      <c r="E2712" s="17"/>
      <c r="F2712" s="17"/>
      <c r="G2712" s="17"/>
      <c r="H2712" s="17"/>
      <c r="I2712" s="31"/>
      <c r="J2712" s="17"/>
      <c r="K2712" s="17"/>
      <c r="L2712" s="17"/>
      <c r="M2712" s="17"/>
      <c r="N2712" s="17"/>
      <c r="O2712" s="17"/>
      <c r="P2712" s="17"/>
      <c r="Q2712" s="17"/>
      <c r="R2712" s="17"/>
      <c r="S2712" s="17"/>
      <c r="T2712" s="17"/>
      <c r="U2712" s="17"/>
      <c r="V2712" s="17"/>
      <c r="W2712" s="17"/>
      <c r="X2712" s="17"/>
      <c r="Y2712" s="17"/>
      <c r="Z2712" s="31"/>
      <c r="AA2712" s="32"/>
    </row>
    <row r="2713" spans="1:27" ht="12.75">
      <c r="A2713" s="17"/>
      <c r="B2713" s="17"/>
      <c r="C2713" s="17"/>
      <c r="D2713" s="17"/>
      <c r="E2713" s="17"/>
      <c r="F2713" s="17"/>
      <c r="G2713" s="17"/>
      <c r="H2713" s="17"/>
      <c r="I2713" s="31"/>
      <c r="J2713" s="17"/>
      <c r="K2713" s="17"/>
      <c r="L2713" s="17"/>
      <c r="M2713" s="17"/>
      <c r="N2713" s="17"/>
      <c r="O2713" s="17"/>
      <c r="P2713" s="17"/>
      <c r="Q2713" s="17"/>
      <c r="R2713" s="17"/>
      <c r="S2713" s="17"/>
      <c r="T2713" s="17"/>
      <c r="U2713" s="17"/>
      <c r="V2713" s="17"/>
      <c r="W2713" s="17"/>
      <c r="X2713" s="17"/>
      <c r="Y2713" s="17"/>
      <c r="Z2713" s="31"/>
      <c r="AA2713" s="32"/>
    </row>
    <row r="2714" spans="1:27" ht="12.75">
      <c r="A2714" s="17"/>
      <c r="B2714" s="17"/>
      <c r="C2714" s="17"/>
      <c r="D2714" s="17"/>
      <c r="E2714" s="17"/>
      <c r="F2714" s="17"/>
      <c r="G2714" s="17"/>
      <c r="H2714" s="17"/>
      <c r="I2714" s="31"/>
      <c r="J2714" s="17"/>
      <c r="K2714" s="17"/>
      <c r="L2714" s="17"/>
      <c r="M2714" s="17"/>
      <c r="N2714" s="17"/>
      <c r="O2714" s="17"/>
      <c r="P2714" s="17"/>
      <c r="Q2714" s="17"/>
      <c r="R2714" s="17"/>
      <c r="S2714" s="17"/>
      <c r="T2714" s="17"/>
      <c r="U2714" s="17"/>
      <c r="V2714" s="17"/>
      <c r="W2714" s="17"/>
      <c r="X2714" s="17"/>
      <c r="Y2714" s="17"/>
      <c r="Z2714" s="31"/>
      <c r="AA2714" s="32"/>
    </row>
    <row r="2715" spans="1:27" ht="12.75">
      <c r="A2715" s="17"/>
      <c r="B2715" s="17"/>
      <c r="C2715" s="17"/>
      <c r="D2715" s="17"/>
      <c r="E2715" s="17"/>
      <c r="F2715" s="17"/>
      <c r="G2715" s="17"/>
      <c r="H2715" s="17"/>
      <c r="I2715" s="31"/>
      <c r="J2715" s="17"/>
      <c r="K2715" s="17"/>
      <c r="L2715" s="17"/>
      <c r="M2715" s="17"/>
      <c r="N2715" s="17"/>
      <c r="O2715" s="17"/>
      <c r="P2715" s="17"/>
      <c r="Q2715" s="17"/>
      <c r="R2715" s="17"/>
      <c r="S2715" s="17"/>
      <c r="T2715" s="17"/>
      <c r="U2715" s="17"/>
      <c r="V2715" s="17"/>
      <c r="W2715" s="17"/>
      <c r="X2715" s="17"/>
      <c r="Y2715" s="17"/>
      <c r="Z2715" s="31"/>
      <c r="AA2715" s="32"/>
    </row>
    <row r="2716" spans="1:27" ht="12.75">
      <c r="A2716" s="17"/>
      <c r="B2716" s="17"/>
      <c r="C2716" s="17"/>
      <c r="D2716" s="17"/>
      <c r="E2716" s="17"/>
      <c r="F2716" s="17"/>
      <c r="G2716" s="17"/>
      <c r="H2716" s="17"/>
      <c r="I2716" s="31"/>
      <c r="J2716" s="17"/>
      <c r="K2716" s="17"/>
      <c r="L2716" s="17"/>
      <c r="M2716" s="17"/>
      <c r="N2716" s="17"/>
      <c r="O2716" s="17"/>
      <c r="P2716" s="17"/>
      <c r="Q2716" s="17"/>
      <c r="R2716" s="17"/>
      <c r="S2716" s="17"/>
      <c r="T2716" s="17"/>
      <c r="U2716" s="17"/>
      <c r="V2716" s="17"/>
      <c r="W2716" s="17"/>
      <c r="X2716" s="17"/>
      <c r="Y2716" s="17"/>
      <c r="Z2716" s="31"/>
      <c r="AA2716" s="32"/>
    </row>
    <row r="2717" spans="1:27" ht="12.75">
      <c r="A2717" s="17"/>
      <c r="B2717" s="17"/>
      <c r="C2717" s="17"/>
      <c r="D2717" s="17"/>
      <c r="E2717" s="17"/>
      <c r="F2717" s="17"/>
      <c r="G2717" s="17"/>
      <c r="H2717" s="17"/>
      <c r="I2717" s="31"/>
      <c r="J2717" s="17"/>
      <c r="K2717" s="17"/>
      <c r="L2717" s="17"/>
      <c r="M2717" s="17"/>
      <c r="N2717" s="17"/>
      <c r="O2717" s="17"/>
      <c r="P2717" s="17"/>
      <c r="Q2717" s="17"/>
      <c r="R2717" s="17"/>
      <c r="S2717" s="17"/>
      <c r="T2717" s="17"/>
      <c r="U2717" s="17"/>
      <c r="V2717" s="17"/>
      <c r="W2717" s="17"/>
      <c r="X2717" s="17"/>
      <c r="Y2717" s="17"/>
      <c r="Z2717" s="31"/>
      <c r="AA2717" s="32"/>
    </row>
    <row r="2718" spans="1:27" ht="12.75">
      <c r="A2718" s="17"/>
      <c r="B2718" s="17"/>
      <c r="C2718" s="17"/>
      <c r="D2718" s="17"/>
      <c r="E2718" s="17"/>
      <c r="F2718" s="17"/>
      <c r="G2718" s="17"/>
      <c r="H2718" s="17"/>
      <c r="I2718" s="31"/>
      <c r="J2718" s="17"/>
      <c r="K2718" s="17"/>
      <c r="L2718" s="17"/>
      <c r="M2718" s="17"/>
      <c r="N2718" s="17"/>
      <c r="O2718" s="17"/>
      <c r="P2718" s="17"/>
      <c r="Q2718" s="17"/>
      <c r="R2718" s="17"/>
      <c r="S2718" s="17"/>
      <c r="T2718" s="17"/>
      <c r="U2718" s="17"/>
      <c r="V2718" s="17"/>
      <c r="W2718" s="17"/>
      <c r="X2718" s="17"/>
      <c r="Y2718" s="17"/>
      <c r="Z2718" s="31"/>
      <c r="AA2718" s="32"/>
    </row>
    <row r="2719" spans="1:27" ht="12.75">
      <c r="A2719" s="17"/>
      <c r="B2719" s="17"/>
      <c r="C2719" s="17"/>
      <c r="D2719" s="17"/>
      <c r="E2719" s="17"/>
      <c r="F2719" s="17"/>
      <c r="G2719" s="17"/>
      <c r="H2719" s="17"/>
      <c r="I2719" s="31"/>
      <c r="J2719" s="17"/>
      <c r="K2719" s="17"/>
      <c r="L2719" s="17"/>
      <c r="M2719" s="17"/>
      <c r="N2719" s="17"/>
      <c r="O2719" s="17"/>
      <c r="P2719" s="17"/>
      <c r="Q2719" s="17"/>
      <c r="R2719" s="17"/>
      <c r="S2719" s="17"/>
      <c r="T2719" s="17"/>
      <c r="U2719" s="17"/>
      <c r="V2719" s="17"/>
      <c r="W2719" s="17"/>
      <c r="X2719" s="17"/>
      <c r="Y2719" s="17"/>
      <c r="Z2719" s="31"/>
      <c r="AA2719" s="32"/>
    </row>
    <row r="2720" spans="1:27" ht="12.75">
      <c r="A2720" s="17"/>
      <c r="B2720" s="17"/>
      <c r="C2720" s="17"/>
      <c r="D2720" s="17"/>
      <c r="E2720" s="17"/>
      <c r="F2720" s="17"/>
      <c r="G2720" s="17"/>
      <c r="H2720" s="17"/>
      <c r="I2720" s="31"/>
      <c r="J2720" s="17"/>
      <c r="K2720" s="17"/>
      <c r="L2720" s="17"/>
      <c r="M2720" s="17"/>
      <c r="N2720" s="17"/>
      <c r="O2720" s="17"/>
      <c r="P2720" s="17"/>
      <c r="Q2720" s="17"/>
      <c r="R2720" s="17"/>
      <c r="S2720" s="17"/>
      <c r="T2720" s="17"/>
      <c r="U2720" s="17"/>
      <c r="V2720" s="17"/>
      <c r="W2720" s="17"/>
      <c r="X2720" s="17"/>
      <c r="Y2720" s="17"/>
      <c r="Z2720" s="31"/>
      <c r="AA2720" s="32"/>
    </row>
    <row r="2721" spans="1:27" ht="12.75">
      <c r="A2721" s="17"/>
      <c r="B2721" s="17"/>
      <c r="C2721" s="17"/>
      <c r="D2721" s="17"/>
      <c r="E2721" s="17"/>
      <c r="F2721" s="17"/>
      <c r="G2721" s="17"/>
      <c r="H2721" s="17"/>
      <c r="I2721" s="31"/>
      <c r="J2721" s="17"/>
      <c r="K2721" s="17"/>
      <c r="L2721" s="17"/>
      <c r="M2721" s="17"/>
      <c r="N2721" s="17"/>
      <c r="O2721" s="17"/>
      <c r="P2721" s="17"/>
      <c r="Q2721" s="17"/>
      <c r="R2721" s="17"/>
      <c r="S2721" s="17"/>
      <c r="T2721" s="17"/>
      <c r="U2721" s="17"/>
      <c r="V2721" s="17"/>
      <c r="W2721" s="17"/>
      <c r="X2721" s="17"/>
      <c r="Y2721" s="17"/>
      <c r="Z2721" s="31"/>
      <c r="AA2721" s="32"/>
    </row>
    <row r="2722" spans="1:27" ht="12.75">
      <c r="A2722" s="17"/>
      <c r="B2722" s="17"/>
      <c r="C2722" s="17"/>
      <c r="D2722" s="17"/>
      <c r="E2722" s="17"/>
      <c r="F2722" s="17"/>
      <c r="G2722" s="17"/>
      <c r="H2722" s="17"/>
      <c r="I2722" s="31"/>
      <c r="J2722" s="17"/>
      <c r="K2722" s="17"/>
      <c r="L2722" s="17"/>
      <c r="M2722" s="17"/>
      <c r="N2722" s="17"/>
      <c r="O2722" s="17"/>
      <c r="P2722" s="17"/>
      <c r="Q2722" s="17"/>
      <c r="R2722" s="17"/>
      <c r="S2722" s="17"/>
      <c r="T2722" s="17"/>
      <c r="U2722" s="17"/>
      <c r="V2722" s="17"/>
      <c r="W2722" s="17"/>
      <c r="X2722" s="17"/>
      <c r="Y2722" s="17"/>
      <c r="Z2722" s="31"/>
      <c r="AA2722" s="32"/>
    </row>
    <row r="2723" spans="1:27" ht="12.75">
      <c r="A2723" s="17"/>
      <c r="B2723" s="17"/>
      <c r="C2723" s="17"/>
      <c r="D2723" s="17"/>
      <c r="E2723" s="17"/>
      <c r="F2723" s="17"/>
      <c r="G2723" s="17"/>
      <c r="H2723" s="17"/>
      <c r="I2723" s="31"/>
      <c r="J2723" s="17"/>
      <c r="K2723" s="17"/>
      <c r="L2723" s="17"/>
      <c r="M2723" s="17"/>
      <c r="N2723" s="17"/>
      <c r="O2723" s="17"/>
      <c r="P2723" s="17"/>
      <c r="Q2723" s="17"/>
      <c r="R2723" s="17"/>
      <c r="S2723" s="17"/>
      <c r="T2723" s="17"/>
      <c r="U2723" s="17"/>
      <c r="V2723" s="17"/>
      <c r="W2723" s="17"/>
      <c r="X2723" s="17"/>
      <c r="Y2723" s="17"/>
      <c r="Z2723" s="31"/>
      <c r="AA2723" s="32"/>
    </row>
    <row r="2724" spans="1:27" ht="12.75">
      <c r="A2724" s="17"/>
      <c r="B2724" s="17"/>
      <c r="C2724" s="17"/>
      <c r="D2724" s="17"/>
      <c r="E2724" s="17"/>
      <c r="F2724" s="17"/>
      <c r="G2724" s="17"/>
      <c r="H2724" s="17"/>
      <c r="I2724" s="31"/>
      <c r="J2724" s="17"/>
      <c r="K2724" s="17"/>
      <c r="L2724" s="17"/>
      <c r="M2724" s="17"/>
      <c r="N2724" s="17"/>
      <c r="O2724" s="17"/>
      <c r="P2724" s="17"/>
      <c r="Q2724" s="17"/>
      <c r="R2724" s="17"/>
      <c r="S2724" s="17"/>
      <c r="T2724" s="17"/>
      <c r="U2724" s="17"/>
      <c r="V2724" s="17"/>
      <c r="W2724" s="17"/>
      <c r="X2724" s="17"/>
      <c r="Y2724" s="17"/>
      <c r="Z2724" s="31"/>
      <c r="AA2724" s="32"/>
    </row>
    <row r="2725" spans="1:27" ht="12.75">
      <c r="A2725" s="17"/>
      <c r="B2725" s="17"/>
      <c r="C2725" s="17"/>
      <c r="D2725" s="17"/>
      <c r="E2725" s="17"/>
      <c r="F2725" s="17"/>
      <c r="G2725" s="17"/>
      <c r="H2725" s="17"/>
      <c r="I2725" s="31"/>
      <c r="J2725" s="17"/>
      <c r="K2725" s="17"/>
      <c r="L2725" s="17"/>
      <c r="M2725" s="17"/>
      <c r="N2725" s="17"/>
      <c r="O2725" s="17"/>
      <c r="P2725" s="17"/>
      <c r="Q2725" s="17"/>
      <c r="R2725" s="17"/>
      <c r="S2725" s="17"/>
      <c r="T2725" s="17"/>
      <c r="U2725" s="17"/>
      <c r="V2725" s="17"/>
      <c r="W2725" s="17"/>
      <c r="X2725" s="17"/>
      <c r="Y2725" s="17"/>
      <c r="Z2725" s="31"/>
      <c r="AA2725" s="32"/>
    </row>
    <row r="2726" spans="1:27" ht="12.75">
      <c r="A2726" s="17"/>
      <c r="B2726" s="17"/>
      <c r="C2726" s="17"/>
      <c r="D2726" s="17"/>
      <c r="E2726" s="17"/>
      <c r="F2726" s="17"/>
      <c r="G2726" s="17"/>
      <c r="H2726" s="17"/>
      <c r="I2726" s="31"/>
      <c r="J2726" s="17"/>
      <c r="K2726" s="17"/>
      <c r="L2726" s="17"/>
      <c r="M2726" s="17"/>
      <c r="N2726" s="17"/>
      <c r="O2726" s="17"/>
      <c r="P2726" s="17"/>
      <c r="Q2726" s="17"/>
      <c r="R2726" s="17"/>
      <c r="S2726" s="17"/>
      <c r="T2726" s="17"/>
      <c r="U2726" s="17"/>
      <c r="V2726" s="17"/>
      <c r="W2726" s="17"/>
      <c r="X2726" s="17"/>
      <c r="Y2726" s="17"/>
      <c r="Z2726" s="31"/>
      <c r="AA2726" s="32"/>
    </row>
    <row r="2727" spans="1:27" ht="12.75">
      <c r="A2727" s="17"/>
      <c r="B2727" s="17"/>
      <c r="C2727" s="17"/>
      <c r="D2727" s="17"/>
      <c r="E2727" s="17"/>
      <c r="F2727" s="17"/>
      <c r="G2727" s="17"/>
      <c r="H2727" s="17"/>
      <c r="I2727" s="31"/>
      <c r="J2727" s="17"/>
      <c r="K2727" s="17"/>
      <c r="L2727" s="17"/>
      <c r="M2727" s="17"/>
      <c r="N2727" s="17"/>
      <c r="O2727" s="17"/>
      <c r="P2727" s="17"/>
      <c r="Q2727" s="17"/>
      <c r="R2727" s="17"/>
      <c r="S2727" s="17"/>
      <c r="T2727" s="17"/>
      <c r="U2727" s="17"/>
      <c r="V2727" s="17"/>
      <c r="W2727" s="17"/>
      <c r="X2727" s="17"/>
      <c r="Y2727" s="17"/>
      <c r="Z2727" s="31"/>
      <c r="AA2727" s="32"/>
    </row>
    <row r="2728" spans="1:27" ht="12.75">
      <c r="A2728" s="17"/>
      <c r="B2728" s="17"/>
      <c r="C2728" s="17"/>
      <c r="D2728" s="17"/>
      <c r="E2728" s="17"/>
      <c r="F2728" s="17"/>
      <c r="G2728" s="17"/>
      <c r="H2728" s="17"/>
      <c r="I2728" s="31"/>
      <c r="J2728" s="17"/>
      <c r="K2728" s="17"/>
      <c r="L2728" s="17"/>
      <c r="M2728" s="17"/>
      <c r="N2728" s="17"/>
      <c r="O2728" s="17"/>
      <c r="P2728" s="17"/>
      <c r="Q2728" s="17"/>
      <c r="R2728" s="17"/>
      <c r="S2728" s="17"/>
      <c r="T2728" s="17"/>
      <c r="U2728" s="17"/>
      <c r="V2728" s="17"/>
      <c r="W2728" s="17"/>
      <c r="X2728" s="17"/>
      <c r="Y2728" s="17"/>
      <c r="Z2728" s="31"/>
      <c r="AA2728" s="32"/>
    </row>
    <row r="2729" spans="1:27" ht="12.75">
      <c r="A2729" s="17"/>
      <c r="B2729" s="17"/>
      <c r="C2729" s="17"/>
      <c r="D2729" s="17"/>
      <c r="E2729" s="17"/>
      <c r="F2729" s="17"/>
      <c r="G2729" s="17"/>
      <c r="H2729" s="17"/>
      <c r="I2729" s="31"/>
      <c r="J2729" s="17"/>
      <c r="K2729" s="17"/>
      <c r="L2729" s="17"/>
      <c r="M2729" s="17"/>
      <c r="N2729" s="17"/>
      <c r="O2729" s="17"/>
      <c r="P2729" s="17"/>
      <c r="Q2729" s="17"/>
      <c r="R2729" s="17"/>
      <c r="S2729" s="17"/>
      <c r="T2729" s="17"/>
      <c r="U2729" s="17"/>
      <c r="V2729" s="17"/>
      <c r="W2729" s="17"/>
      <c r="X2729" s="17"/>
      <c r="Y2729" s="17"/>
      <c r="Z2729" s="31"/>
      <c r="AA2729" s="32"/>
    </row>
    <row r="2730" spans="1:27" ht="12.75">
      <c r="A2730" s="17"/>
      <c r="B2730" s="17"/>
      <c r="C2730" s="17"/>
      <c r="D2730" s="17"/>
      <c r="E2730" s="17"/>
      <c r="F2730" s="17"/>
      <c r="G2730" s="17"/>
      <c r="H2730" s="17"/>
      <c r="I2730" s="31"/>
      <c r="J2730" s="17"/>
      <c r="K2730" s="17"/>
      <c r="L2730" s="17"/>
      <c r="M2730" s="17"/>
      <c r="N2730" s="17"/>
      <c r="O2730" s="17"/>
      <c r="P2730" s="17"/>
      <c r="Q2730" s="17"/>
      <c r="R2730" s="17"/>
      <c r="S2730" s="17"/>
      <c r="T2730" s="17"/>
      <c r="U2730" s="17"/>
      <c r="V2730" s="17"/>
      <c r="W2730" s="17"/>
      <c r="X2730" s="17"/>
      <c r="Y2730" s="17"/>
      <c r="Z2730" s="31"/>
      <c r="AA2730" s="32"/>
    </row>
    <row r="2731" spans="1:27" ht="12.75">
      <c r="A2731" s="17"/>
      <c r="B2731" s="17"/>
      <c r="C2731" s="17"/>
      <c r="D2731" s="17"/>
      <c r="E2731" s="17"/>
      <c r="F2731" s="17"/>
      <c r="G2731" s="17"/>
      <c r="H2731" s="17"/>
      <c r="I2731" s="31"/>
      <c r="J2731" s="17"/>
      <c r="K2731" s="17"/>
      <c r="L2731" s="17"/>
      <c r="M2731" s="17"/>
      <c r="N2731" s="17"/>
      <c r="O2731" s="17"/>
      <c r="P2731" s="17"/>
      <c r="Q2731" s="17"/>
      <c r="R2731" s="17"/>
      <c r="S2731" s="17"/>
      <c r="T2731" s="17"/>
      <c r="U2731" s="17"/>
      <c r="V2731" s="17"/>
      <c r="W2731" s="17"/>
      <c r="X2731" s="17"/>
      <c r="Y2731" s="17"/>
      <c r="Z2731" s="31"/>
      <c r="AA2731" s="32"/>
    </row>
    <row r="2732" spans="1:27" ht="12.75">
      <c r="A2732" s="17"/>
      <c r="B2732" s="17"/>
      <c r="C2732" s="17"/>
      <c r="D2732" s="17"/>
      <c r="E2732" s="17"/>
      <c r="F2732" s="17"/>
      <c r="G2732" s="17"/>
      <c r="H2732" s="17"/>
      <c r="I2732" s="31"/>
      <c r="J2732" s="17"/>
      <c r="K2732" s="17"/>
      <c r="L2732" s="17"/>
      <c r="M2732" s="17"/>
      <c r="N2732" s="17"/>
      <c r="O2732" s="17"/>
      <c r="P2732" s="17"/>
      <c r="Q2732" s="17"/>
      <c r="R2732" s="17"/>
      <c r="S2732" s="17"/>
      <c r="T2732" s="17"/>
      <c r="U2732" s="17"/>
      <c r="V2732" s="17"/>
      <c r="W2732" s="17"/>
      <c r="X2732" s="17"/>
      <c r="Y2732" s="17"/>
      <c r="Z2732" s="31"/>
      <c r="AA2732" s="32"/>
    </row>
    <row r="2733" spans="1:27" ht="12.75">
      <c r="A2733" s="17"/>
      <c r="B2733" s="17"/>
      <c r="C2733" s="17"/>
      <c r="D2733" s="17"/>
      <c r="E2733" s="17"/>
      <c r="F2733" s="17"/>
      <c r="G2733" s="17"/>
      <c r="H2733" s="17"/>
      <c r="I2733" s="31"/>
      <c r="J2733" s="17"/>
      <c r="K2733" s="17"/>
      <c r="L2733" s="17"/>
      <c r="M2733" s="17"/>
      <c r="N2733" s="17"/>
      <c r="O2733" s="17"/>
      <c r="P2733" s="17"/>
      <c r="Q2733" s="17"/>
      <c r="R2733" s="17"/>
      <c r="S2733" s="17"/>
      <c r="T2733" s="17"/>
      <c r="U2733" s="17"/>
      <c r="V2733" s="17"/>
      <c r="W2733" s="17"/>
      <c r="X2733" s="17"/>
      <c r="Y2733" s="17"/>
      <c r="Z2733" s="31"/>
      <c r="AA2733" s="32"/>
    </row>
    <row r="2734" spans="1:27" ht="12.75">
      <c r="A2734" s="17"/>
      <c r="B2734" s="17"/>
      <c r="C2734" s="17"/>
      <c r="D2734" s="17"/>
      <c r="E2734" s="17"/>
      <c r="F2734" s="17"/>
      <c r="G2734" s="17"/>
      <c r="H2734" s="17"/>
      <c r="I2734" s="31"/>
      <c r="J2734" s="17"/>
      <c r="K2734" s="17"/>
      <c r="L2734" s="17"/>
      <c r="M2734" s="17"/>
      <c r="N2734" s="17"/>
      <c r="O2734" s="17"/>
      <c r="P2734" s="17"/>
      <c r="Q2734" s="17"/>
      <c r="R2734" s="17"/>
      <c r="S2734" s="17"/>
      <c r="T2734" s="17"/>
      <c r="U2734" s="17"/>
      <c r="V2734" s="17"/>
      <c r="W2734" s="17"/>
      <c r="X2734" s="17"/>
      <c r="Y2734" s="17"/>
      <c r="Z2734" s="31"/>
      <c r="AA2734" s="32"/>
    </row>
    <row r="2735" spans="1:27" ht="12.75">
      <c r="A2735" s="17"/>
      <c r="B2735" s="17"/>
      <c r="C2735" s="17"/>
      <c r="D2735" s="17"/>
      <c r="E2735" s="17"/>
      <c r="F2735" s="17"/>
      <c r="G2735" s="17"/>
      <c r="H2735" s="17"/>
      <c r="I2735" s="31"/>
      <c r="J2735" s="17"/>
      <c r="K2735" s="17"/>
      <c r="L2735" s="17"/>
      <c r="M2735" s="17"/>
      <c r="N2735" s="17"/>
      <c r="O2735" s="17"/>
      <c r="P2735" s="17"/>
      <c r="Q2735" s="17"/>
      <c r="R2735" s="17"/>
      <c r="S2735" s="17"/>
      <c r="T2735" s="17"/>
      <c r="U2735" s="17"/>
      <c r="V2735" s="17"/>
      <c r="W2735" s="17"/>
      <c r="X2735" s="17"/>
      <c r="Y2735" s="17"/>
      <c r="Z2735" s="31"/>
      <c r="AA2735" s="32"/>
    </row>
    <row r="2736" spans="1:27" ht="12.75">
      <c r="A2736" s="17"/>
      <c r="B2736" s="17"/>
      <c r="C2736" s="17"/>
      <c r="D2736" s="17"/>
      <c r="E2736" s="17"/>
      <c r="F2736" s="17"/>
      <c r="G2736" s="17"/>
      <c r="H2736" s="17"/>
      <c r="I2736" s="31"/>
      <c r="J2736" s="17"/>
      <c r="K2736" s="17"/>
      <c r="L2736" s="17"/>
      <c r="M2736" s="17"/>
      <c r="N2736" s="17"/>
      <c r="O2736" s="17"/>
      <c r="P2736" s="17"/>
      <c r="Q2736" s="17"/>
      <c r="R2736" s="17"/>
      <c r="S2736" s="17"/>
      <c r="T2736" s="17"/>
      <c r="U2736" s="17"/>
      <c r="V2736" s="17"/>
      <c r="W2736" s="17"/>
      <c r="X2736" s="17"/>
      <c r="Y2736" s="17"/>
      <c r="Z2736" s="31"/>
      <c r="AA2736" s="32"/>
    </row>
    <row r="2737" spans="1:27" ht="12.75">
      <c r="A2737" s="17"/>
      <c r="B2737" s="17"/>
      <c r="C2737" s="17"/>
      <c r="D2737" s="17"/>
      <c r="E2737" s="17"/>
      <c r="F2737" s="17"/>
      <c r="G2737" s="17"/>
      <c r="H2737" s="17"/>
      <c r="I2737" s="31"/>
      <c r="J2737" s="17"/>
      <c r="K2737" s="17"/>
      <c r="L2737" s="17"/>
      <c r="M2737" s="17"/>
      <c r="N2737" s="17"/>
      <c r="O2737" s="17"/>
      <c r="P2737" s="17"/>
      <c r="Q2737" s="17"/>
      <c r="R2737" s="17"/>
      <c r="S2737" s="17"/>
      <c r="T2737" s="17"/>
      <c r="U2737" s="17"/>
      <c r="V2737" s="17"/>
      <c r="W2737" s="17"/>
      <c r="X2737" s="17"/>
      <c r="Y2737" s="17"/>
      <c r="Z2737" s="31"/>
      <c r="AA2737" s="32"/>
    </row>
    <row r="2738" spans="1:27" ht="12.75">
      <c r="A2738" s="17"/>
      <c r="B2738" s="17"/>
      <c r="C2738" s="17"/>
      <c r="D2738" s="17"/>
      <c r="E2738" s="17"/>
      <c r="F2738" s="17"/>
      <c r="G2738" s="17"/>
      <c r="H2738" s="17"/>
      <c r="I2738" s="31"/>
      <c r="J2738" s="17"/>
      <c r="K2738" s="17"/>
      <c r="L2738" s="17"/>
      <c r="M2738" s="17"/>
      <c r="N2738" s="17"/>
      <c r="O2738" s="17"/>
      <c r="P2738" s="17"/>
      <c r="Q2738" s="17"/>
      <c r="R2738" s="17"/>
      <c r="S2738" s="17"/>
      <c r="T2738" s="17"/>
      <c r="U2738" s="17"/>
      <c r="V2738" s="17"/>
      <c r="W2738" s="17"/>
      <c r="X2738" s="17"/>
      <c r="Y2738" s="17"/>
      <c r="Z2738" s="31"/>
      <c r="AA2738" s="32"/>
    </row>
    <row r="2739" spans="1:27" ht="12.75">
      <c r="A2739" s="17"/>
      <c r="B2739" s="17"/>
      <c r="C2739" s="17"/>
      <c r="D2739" s="17"/>
      <c r="E2739" s="17"/>
      <c r="F2739" s="17"/>
      <c r="G2739" s="17"/>
      <c r="H2739" s="17"/>
      <c r="I2739" s="31"/>
      <c r="J2739" s="17"/>
      <c r="K2739" s="17"/>
      <c r="L2739" s="17"/>
      <c r="M2739" s="17"/>
      <c r="N2739" s="17"/>
      <c r="O2739" s="17"/>
      <c r="P2739" s="17"/>
      <c r="Q2739" s="17"/>
      <c r="R2739" s="17"/>
      <c r="S2739" s="17"/>
      <c r="T2739" s="17"/>
      <c r="U2739" s="17"/>
      <c r="V2739" s="17"/>
      <c r="W2739" s="17"/>
      <c r="X2739" s="17"/>
      <c r="Y2739" s="17"/>
      <c r="Z2739" s="31"/>
      <c r="AA2739" s="32"/>
    </row>
    <row r="2740" spans="1:27" ht="12.75">
      <c r="A2740" s="17"/>
      <c r="B2740" s="17"/>
      <c r="C2740" s="17"/>
      <c r="D2740" s="17"/>
      <c r="E2740" s="17"/>
      <c r="F2740" s="17"/>
      <c r="G2740" s="17"/>
      <c r="H2740" s="17"/>
      <c r="I2740" s="31"/>
      <c r="J2740" s="17"/>
      <c r="K2740" s="17"/>
      <c r="L2740" s="17"/>
      <c r="M2740" s="17"/>
      <c r="N2740" s="17"/>
      <c r="O2740" s="17"/>
      <c r="P2740" s="17"/>
      <c r="Q2740" s="17"/>
      <c r="R2740" s="17"/>
      <c r="S2740" s="17"/>
      <c r="T2740" s="17"/>
      <c r="U2740" s="17"/>
      <c r="V2740" s="17"/>
      <c r="W2740" s="17"/>
      <c r="X2740" s="17"/>
      <c r="Y2740" s="17"/>
      <c r="Z2740" s="31"/>
      <c r="AA2740" s="32"/>
    </row>
    <row r="2741" spans="1:27" ht="12.75">
      <c r="A2741" s="17"/>
      <c r="B2741" s="17"/>
      <c r="C2741" s="17"/>
      <c r="D2741" s="17"/>
      <c r="E2741" s="17"/>
      <c r="F2741" s="17"/>
      <c r="G2741" s="17"/>
      <c r="H2741" s="17"/>
      <c r="I2741" s="31"/>
      <c r="J2741" s="17"/>
      <c r="K2741" s="17"/>
      <c r="L2741" s="17"/>
      <c r="M2741" s="17"/>
      <c r="N2741" s="17"/>
      <c r="O2741" s="17"/>
      <c r="P2741" s="17"/>
      <c r="Q2741" s="17"/>
      <c r="R2741" s="17"/>
      <c r="S2741" s="17"/>
      <c r="T2741" s="17"/>
      <c r="U2741" s="17"/>
      <c r="V2741" s="17"/>
      <c r="W2741" s="17"/>
      <c r="X2741" s="17"/>
      <c r="Y2741" s="17"/>
      <c r="Z2741" s="31"/>
      <c r="AA2741" s="32"/>
    </row>
    <row r="2742" spans="1:27" ht="12.75">
      <c r="A2742" s="17"/>
      <c r="B2742" s="17"/>
      <c r="C2742" s="17"/>
      <c r="D2742" s="17"/>
      <c r="E2742" s="17"/>
      <c r="F2742" s="17"/>
      <c r="G2742" s="17"/>
      <c r="H2742" s="17"/>
      <c r="I2742" s="31"/>
      <c r="J2742" s="17"/>
      <c r="K2742" s="17"/>
      <c r="L2742" s="17"/>
      <c r="M2742" s="17"/>
      <c r="N2742" s="17"/>
      <c r="O2742" s="17"/>
      <c r="P2742" s="17"/>
      <c r="Q2742" s="17"/>
      <c r="R2742" s="17"/>
      <c r="S2742" s="17"/>
      <c r="T2742" s="17"/>
      <c r="U2742" s="17"/>
      <c r="V2742" s="17"/>
      <c r="W2742" s="17"/>
      <c r="X2742" s="17"/>
      <c r="Y2742" s="17"/>
      <c r="Z2742" s="31"/>
      <c r="AA2742" s="32"/>
    </row>
    <row r="2743" spans="1:27" ht="12.75">
      <c r="A2743" s="17"/>
      <c r="B2743" s="17"/>
      <c r="C2743" s="17"/>
      <c r="D2743" s="17"/>
      <c r="E2743" s="17"/>
      <c r="F2743" s="17"/>
      <c r="G2743" s="17"/>
      <c r="H2743" s="17"/>
      <c r="I2743" s="31"/>
      <c r="J2743" s="17"/>
      <c r="K2743" s="17"/>
      <c r="L2743" s="17"/>
      <c r="M2743" s="17"/>
      <c r="N2743" s="17"/>
      <c r="O2743" s="17"/>
      <c r="P2743" s="17"/>
      <c r="Q2743" s="17"/>
      <c r="R2743" s="17"/>
      <c r="S2743" s="17"/>
      <c r="T2743" s="17"/>
      <c r="U2743" s="17"/>
      <c r="V2743" s="17"/>
      <c r="W2743" s="17"/>
      <c r="X2743" s="17"/>
      <c r="Y2743" s="17"/>
      <c r="Z2743" s="31"/>
      <c r="AA2743" s="32"/>
    </row>
    <row r="2744" spans="1:27" ht="12.75">
      <c r="A2744" s="17"/>
      <c r="B2744" s="17"/>
      <c r="C2744" s="17"/>
      <c r="D2744" s="17"/>
      <c r="E2744" s="17"/>
      <c r="F2744" s="17"/>
      <c r="G2744" s="17"/>
      <c r="H2744" s="17"/>
      <c r="I2744" s="31"/>
      <c r="J2744" s="17"/>
      <c r="K2744" s="17"/>
      <c r="L2744" s="17"/>
      <c r="M2744" s="17"/>
      <c r="N2744" s="17"/>
      <c r="O2744" s="17"/>
      <c r="P2744" s="17"/>
      <c r="Q2744" s="17"/>
      <c r="R2744" s="17"/>
      <c r="S2744" s="17"/>
      <c r="T2744" s="17"/>
      <c r="U2744" s="17"/>
      <c r="V2744" s="17"/>
      <c r="W2744" s="17"/>
      <c r="X2744" s="17"/>
      <c r="Y2744" s="17"/>
      <c r="Z2744" s="31"/>
      <c r="AA2744" s="32"/>
    </row>
    <row r="2745" spans="1:27" ht="12.75">
      <c r="A2745" s="17"/>
      <c r="B2745" s="17"/>
      <c r="C2745" s="17"/>
      <c r="D2745" s="17"/>
      <c r="E2745" s="17"/>
      <c r="F2745" s="17"/>
      <c r="G2745" s="17"/>
      <c r="H2745" s="17"/>
      <c r="I2745" s="31"/>
      <c r="J2745" s="17"/>
      <c r="K2745" s="17"/>
      <c r="L2745" s="17"/>
      <c r="M2745" s="17"/>
      <c r="N2745" s="17"/>
      <c r="O2745" s="17"/>
      <c r="P2745" s="17"/>
      <c r="Q2745" s="17"/>
      <c r="R2745" s="17"/>
      <c r="S2745" s="17"/>
      <c r="T2745" s="17"/>
      <c r="U2745" s="17"/>
      <c r="V2745" s="17"/>
      <c r="W2745" s="17"/>
      <c r="X2745" s="17"/>
      <c r="Y2745" s="17"/>
      <c r="Z2745" s="31"/>
      <c r="AA2745" s="32"/>
    </row>
    <row r="2746" spans="1:27" ht="12.75">
      <c r="A2746" s="17"/>
      <c r="B2746" s="17"/>
      <c r="C2746" s="17"/>
      <c r="D2746" s="17"/>
      <c r="E2746" s="17"/>
      <c r="F2746" s="17"/>
      <c r="G2746" s="17"/>
      <c r="H2746" s="17"/>
      <c r="I2746" s="31"/>
      <c r="J2746" s="17"/>
      <c r="K2746" s="17"/>
      <c r="L2746" s="17"/>
      <c r="M2746" s="17"/>
      <c r="N2746" s="17"/>
      <c r="O2746" s="17"/>
      <c r="P2746" s="17"/>
      <c r="Q2746" s="17"/>
      <c r="R2746" s="17"/>
      <c r="S2746" s="17"/>
      <c r="T2746" s="17"/>
      <c r="U2746" s="17"/>
      <c r="V2746" s="17"/>
      <c r="W2746" s="17"/>
      <c r="X2746" s="17"/>
      <c r="Y2746" s="17"/>
      <c r="Z2746" s="31"/>
      <c r="AA2746" s="32"/>
    </row>
    <row r="2747" spans="1:27" ht="12.75">
      <c r="A2747" s="17"/>
      <c r="B2747" s="17"/>
      <c r="C2747" s="17"/>
      <c r="D2747" s="17"/>
      <c r="E2747" s="17"/>
      <c r="F2747" s="17"/>
      <c r="G2747" s="17"/>
      <c r="H2747" s="17"/>
      <c r="I2747" s="31"/>
      <c r="J2747" s="17"/>
      <c r="K2747" s="17"/>
      <c r="L2747" s="17"/>
      <c r="M2747" s="17"/>
      <c r="N2747" s="17"/>
      <c r="O2747" s="17"/>
      <c r="P2747" s="17"/>
      <c r="Q2747" s="17"/>
      <c r="R2747" s="17"/>
      <c r="S2747" s="17"/>
      <c r="T2747" s="17"/>
      <c r="U2747" s="17"/>
      <c r="V2747" s="17"/>
      <c r="W2747" s="17"/>
      <c r="X2747" s="17"/>
      <c r="Y2747" s="17"/>
      <c r="Z2747" s="31"/>
      <c r="AA2747" s="32"/>
    </row>
    <row r="2748" spans="1:27" ht="12.75">
      <c r="A2748" s="17"/>
      <c r="B2748" s="17"/>
      <c r="C2748" s="17"/>
      <c r="D2748" s="17"/>
      <c r="E2748" s="17"/>
      <c r="F2748" s="17"/>
      <c r="G2748" s="17"/>
      <c r="H2748" s="17"/>
      <c r="I2748" s="31"/>
      <c r="J2748" s="17"/>
      <c r="K2748" s="17"/>
      <c r="L2748" s="17"/>
      <c r="M2748" s="17"/>
      <c r="N2748" s="17"/>
      <c r="O2748" s="17"/>
      <c r="P2748" s="17"/>
      <c r="Q2748" s="17"/>
      <c r="R2748" s="17"/>
      <c r="S2748" s="17"/>
      <c r="T2748" s="17"/>
      <c r="U2748" s="17"/>
      <c r="V2748" s="17"/>
      <c r="W2748" s="17"/>
      <c r="X2748" s="17"/>
      <c r="Y2748" s="17"/>
      <c r="Z2748" s="31"/>
      <c r="AA2748" s="32"/>
    </row>
    <row r="2749" spans="1:27" ht="12.75">
      <c r="A2749" s="17"/>
      <c r="B2749" s="17"/>
      <c r="C2749" s="17"/>
      <c r="D2749" s="17"/>
      <c r="E2749" s="17"/>
      <c r="F2749" s="17"/>
      <c r="G2749" s="17"/>
      <c r="H2749" s="17"/>
      <c r="I2749" s="31"/>
      <c r="J2749" s="17"/>
      <c r="K2749" s="17"/>
      <c r="L2749" s="17"/>
      <c r="M2749" s="17"/>
      <c r="N2749" s="17"/>
      <c r="O2749" s="17"/>
      <c r="P2749" s="17"/>
      <c r="Q2749" s="17"/>
      <c r="R2749" s="17"/>
      <c r="S2749" s="17"/>
      <c r="T2749" s="17"/>
      <c r="U2749" s="17"/>
      <c r="V2749" s="17"/>
      <c r="W2749" s="17"/>
      <c r="X2749" s="17"/>
      <c r="Y2749" s="17"/>
      <c r="Z2749" s="31"/>
      <c r="AA2749" s="32"/>
    </row>
    <row r="2750" spans="1:27" ht="12.75">
      <c r="A2750" s="17"/>
      <c r="B2750" s="17"/>
      <c r="C2750" s="17"/>
      <c r="D2750" s="17"/>
      <c r="E2750" s="17"/>
      <c r="F2750" s="17"/>
      <c r="G2750" s="17"/>
      <c r="H2750" s="17"/>
      <c r="I2750" s="31"/>
      <c r="J2750" s="17"/>
      <c r="K2750" s="17"/>
      <c r="L2750" s="17"/>
      <c r="M2750" s="17"/>
      <c r="N2750" s="17"/>
      <c r="O2750" s="17"/>
      <c r="P2750" s="17"/>
      <c r="Q2750" s="17"/>
      <c r="R2750" s="17"/>
      <c r="S2750" s="17"/>
      <c r="T2750" s="17"/>
      <c r="U2750" s="17"/>
      <c r="V2750" s="17"/>
      <c r="W2750" s="17"/>
      <c r="X2750" s="17"/>
      <c r="Y2750" s="17"/>
      <c r="Z2750" s="31"/>
      <c r="AA2750" s="32"/>
    </row>
    <row r="2751" spans="1:27" ht="12.75">
      <c r="A2751" s="17"/>
      <c r="B2751" s="17"/>
      <c r="C2751" s="17"/>
      <c r="D2751" s="17"/>
      <c r="E2751" s="17"/>
      <c r="F2751" s="17"/>
      <c r="G2751" s="17"/>
      <c r="H2751" s="17"/>
      <c r="I2751" s="31"/>
      <c r="J2751" s="17"/>
      <c r="K2751" s="17"/>
      <c r="L2751" s="17"/>
      <c r="M2751" s="17"/>
      <c r="N2751" s="17"/>
      <c r="O2751" s="17"/>
      <c r="P2751" s="17"/>
      <c r="Q2751" s="17"/>
      <c r="R2751" s="17"/>
      <c r="S2751" s="17"/>
      <c r="T2751" s="17"/>
      <c r="U2751" s="17"/>
      <c r="V2751" s="17"/>
      <c r="W2751" s="17"/>
      <c r="X2751" s="17"/>
      <c r="Y2751" s="17"/>
      <c r="Z2751" s="31"/>
      <c r="AA2751" s="32"/>
    </row>
    <row r="2752" spans="1:27" ht="12.75">
      <c r="A2752" s="17"/>
      <c r="B2752" s="17"/>
      <c r="C2752" s="17"/>
      <c r="D2752" s="17"/>
      <c r="E2752" s="17"/>
      <c r="F2752" s="17"/>
      <c r="G2752" s="17"/>
      <c r="H2752" s="17"/>
      <c r="I2752" s="31"/>
      <c r="J2752" s="17"/>
      <c r="K2752" s="17"/>
      <c r="L2752" s="17"/>
      <c r="M2752" s="17"/>
      <c r="N2752" s="17"/>
      <c r="O2752" s="17"/>
      <c r="P2752" s="17"/>
      <c r="Q2752" s="17"/>
      <c r="R2752" s="17"/>
      <c r="S2752" s="17"/>
      <c r="T2752" s="17"/>
      <c r="U2752" s="17"/>
      <c r="V2752" s="17"/>
      <c r="W2752" s="17"/>
      <c r="X2752" s="17"/>
      <c r="Y2752" s="17"/>
      <c r="Z2752" s="31"/>
      <c r="AA2752" s="32"/>
    </row>
    <row r="2753" spans="1:27" ht="12.75">
      <c r="A2753" s="17"/>
      <c r="B2753" s="17"/>
      <c r="C2753" s="17"/>
      <c r="D2753" s="17"/>
      <c r="E2753" s="17"/>
      <c r="F2753" s="17"/>
      <c r="G2753" s="17"/>
      <c r="H2753" s="17"/>
      <c r="I2753" s="31"/>
      <c r="J2753" s="17"/>
      <c r="K2753" s="17"/>
      <c r="L2753" s="17"/>
      <c r="M2753" s="17"/>
      <c r="N2753" s="17"/>
      <c r="O2753" s="17"/>
      <c r="P2753" s="17"/>
      <c r="Q2753" s="17"/>
      <c r="R2753" s="17"/>
      <c r="S2753" s="17"/>
      <c r="T2753" s="17"/>
      <c r="U2753" s="17"/>
      <c r="V2753" s="17"/>
      <c r="W2753" s="17"/>
      <c r="X2753" s="17"/>
      <c r="Y2753" s="17"/>
      <c r="Z2753" s="31"/>
      <c r="AA2753" s="32"/>
    </row>
    <row r="2754" spans="1:27" ht="12.75">
      <c r="A2754" s="17"/>
      <c r="B2754" s="17"/>
      <c r="C2754" s="17"/>
      <c r="D2754" s="17"/>
      <c r="E2754" s="17"/>
      <c r="F2754" s="17"/>
      <c r="G2754" s="17"/>
      <c r="H2754" s="17"/>
      <c r="I2754" s="31"/>
      <c r="J2754" s="17"/>
      <c r="K2754" s="17"/>
      <c r="L2754" s="17"/>
      <c r="M2754" s="17"/>
      <c r="N2754" s="17"/>
      <c r="O2754" s="17"/>
      <c r="P2754" s="17"/>
      <c r="Q2754" s="17"/>
      <c r="R2754" s="17"/>
      <c r="S2754" s="17"/>
      <c r="T2754" s="17"/>
      <c r="U2754" s="17"/>
      <c r="V2754" s="17"/>
      <c r="W2754" s="17"/>
      <c r="X2754" s="17"/>
      <c r="Y2754" s="17"/>
      <c r="Z2754" s="31"/>
      <c r="AA2754" s="32"/>
    </row>
    <row r="2755" spans="1:27" ht="12.75">
      <c r="A2755" s="17"/>
      <c r="B2755" s="17"/>
      <c r="C2755" s="17"/>
      <c r="D2755" s="17"/>
      <c r="E2755" s="17"/>
      <c r="F2755" s="17"/>
      <c r="G2755" s="17"/>
      <c r="H2755" s="17"/>
      <c r="I2755" s="31"/>
      <c r="J2755" s="17"/>
      <c r="K2755" s="17"/>
      <c r="L2755" s="17"/>
      <c r="M2755" s="17"/>
      <c r="N2755" s="17"/>
      <c r="O2755" s="17"/>
      <c r="P2755" s="17"/>
      <c r="Q2755" s="17"/>
      <c r="R2755" s="17"/>
      <c r="S2755" s="17"/>
      <c r="T2755" s="17"/>
      <c r="U2755" s="17"/>
      <c r="V2755" s="17"/>
      <c r="W2755" s="17"/>
      <c r="X2755" s="17"/>
      <c r="Y2755" s="17"/>
      <c r="Z2755" s="31"/>
      <c r="AA2755" s="32"/>
    </row>
    <row r="2756" spans="1:27" ht="12.75">
      <c r="A2756" s="17"/>
      <c r="B2756" s="17"/>
      <c r="C2756" s="17"/>
      <c r="D2756" s="17"/>
      <c r="E2756" s="17"/>
      <c r="F2756" s="17"/>
      <c r="G2756" s="17"/>
      <c r="H2756" s="17"/>
      <c r="I2756" s="31"/>
      <c r="J2756" s="17"/>
      <c r="K2756" s="17"/>
      <c r="L2756" s="17"/>
      <c r="M2756" s="17"/>
      <c r="N2756" s="17"/>
      <c r="O2756" s="17"/>
      <c r="P2756" s="17"/>
      <c r="Q2756" s="17"/>
      <c r="R2756" s="17"/>
      <c r="S2756" s="17"/>
      <c r="T2756" s="17"/>
      <c r="U2756" s="17"/>
      <c r="V2756" s="17"/>
      <c r="W2756" s="17"/>
      <c r="X2756" s="17"/>
      <c r="Y2756" s="17"/>
      <c r="Z2756" s="31"/>
      <c r="AA2756" s="32"/>
    </row>
    <row r="2757" spans="1:27" ht="12.75">
      <c r="A2757" s="17"/>
      <c r="B2757" s="17"/>
      <c r="C2757" s="17"/>
      <c r="D2757" s="17"/>
      <c r="E2757" s="17"/>
      <c r="F2757" s="17"/>
      <c r="G2757" s="17"/>
      <c r="H2757" s="17"/>
      <c r="I2757" s="31"/>
      <c r="J2757" s="17"/>
      <c r="K2757" s="17"/>
      <c r="L2757" s="17"/>
      <c r="M2757" s="17"/>
      <c r="N2757" s="17"/>
      <c r="O2757" s="17"/>
      <c r="P2757" s="17"/>
      <c r="Q2757" s="17"/>
      <c r="R2757" s="17"/>
      <c r="S2757" s="17"/>
      <c r="T2757" s="17"/>
      <c r="U2757" s="17"/>
      <c r="V2757" s="17"/>
      <c r="W2757" s="17"/>
      <c r="X2757" s="17"/>
      <c r="Y2757" s="17"/>
      <c r="Z2757" s="31"/>
      <c r="AA2757" s="32"/>
    </row>
    <row r="2758" spans="1:27" ht="12.75">
      <c r="A2758" s="17"/>
      <c r="B2758" s="17"/>
      <c r="C2758" s="17"/>
      <c r="D2758" s="17"/>
      <c r="E2758" s="17"/>
      <c r="F2758" s="17"/>
      <c r="G2758" s="17"/>
      <c r="H2758" s="17"/>
      <c r="I2758" s="31"/>
      <c r="J2758" s="17"/>
      <c r="K2758" s="17"/>
      <c r="L2758" s="17"/>
      <c r="M2758" s="17"/>
      <c r="N2758" s="17"/>
      <c r="O2758" s="17"/>
      <c r="P2758" s="17"/>
      <c r="Q2758" s="17"/>
      <c r="R2758" s="17"/>
      <c r="S2758" s="17"/>
      <c r="T2758" s="17"/>
      <c r="U2758" s="17"/>
      <c r="V2758" s="17"/>
      <c r="W2758" s="17"/>
      <c r="X2758" s="17"/>
      <c r="Y2758" s="17"/>
      <c r="Z2758" s="31"/>
      <c r="AA2758" s="32"/>
    </row>
    <row r="2759" spans="1:27" ht="12.75">
      <c r="A2759" s="17"/>
      <c r="B2759" s="17"/>
      <c r="C2759" s="17"/>
      <c r="D2759" s="17"/>
      <c r="E2759" s="17"/>
      <c r="F2759" s="17"/>
      <c r="G2759" s="17"/>
      <c r="H2759" s="17"/>
      <c r="I2759" s="31"/>
      <c r="J2759" s="17"/>
      <c r="K2759" s="17"/>
      <c r="L2759" s="17"/>
      <c r="M2759" s="17"/>
      <c r="N2759" s="17"/>
      <c r="O2759" s="17"/>
      <c r="P2759" s="17"/>
      <c r="Q2759" s="17"/>
      <c r="R2759" s="17"/>
      <c r="S2759" s="17"/>
      <c r="T2759" s="17"/>
      <c r="U2759" s="17"/>
      <c r="V2759" s="17"/>
      <c r="W2759" s="17"/>
      <c r="X2759" s="17"/>
      <c r="Y2759" s="17"/>
      <c r="Z2759" s="31"/>
      <c r="AA2759" s="32"/>
    </row>
    <row r="2760" spans="1:27" ht="12.75">
      <c r="A2760" s="17"/>
      <c r="B2760" s="17"/>
      <c r="C2760" s="17"/>
      <c r="D2760" s="17"/>
      <c r="E2760" s="17"/>
      <c r="F2760" s="17"/>
      <c r="G2760" s="17"/>
      <c r="H2760" s="17"/>
      <c r="I2760" s="31"/>
      <c r="J2760" s="17"/>
      <c r="K2760" s="17"/>
      <c r="L2760" s="17"/>
      <c r="M2760" s="17"/>
      <c r="N2760" s="17"/>
      <c r="O2760" s="17"/>
      <c r="P2760" s="17"/>
      <c r="Q2760" s="17"/>
      <c r="R2760" s="17"/>
      <c r="S2760" s="17"/>
      <c r="T2760" s="17"/>
      <c r="U2760" s="17"/>
      <c r="V2760" s="17"/>
      <c r="W2760" s="17"/>
      <c r="X2760" s="17"/>
      <c r="Y2760" s="17"/>
      <c r="Z2760" s="31"/>
      <c r="AA2760" s="32"/>
    </row>
    <row r="2761" spans="1:27" ht="12.75">
      <c r="A2761" s="17"/>
      <c r="B2761" s="17"/>
      <c r="C2761" s="17"/>
      <c r="D2761" s="17"/>
      <c r="E2761" s="17"/>
      <c r="F2761" s="17"/>
      <c r="G2761" s="17"/>
      <c r="H2761" s="17"/>
      <c r="I2761" s="31"/>
      <c r="J2761" s="17"/>
      <c r="K2761" s="17"/>
      <c r="L2761" s="17"/>
      <c r="M2761" s="17"/>
      <c r="N2761" s="17"/>
      <c r="O2761" s="17"/>
      <c r="P2761" s="17"/>
      <c r="Q2761" s="17"/>
      <c r="R2761" s="17"/>
      <c r="S2761" s="17"/>
      <c r="T2761" s="17"/>
      <c r="U2761" s="17"/>
      <c r="V2761" s="17"/>
      <c r="W2761" s="17"/>
      <c r="X2761" s="17"/>
      <c r="Y2761" s="17"/>
      <c r="Z2761" s="31"/>
      <c r="AA2761" s="32"/>
    </row>
    <row r="2762" spans="1:27" ht="12.75">
      <c r="A2762" s="17"/>
      <c r="B2762" s="17"/>
      <c r="C2762" s="17"/>
      <c r="D2762" s="17"/>
      <c r="E2762" s="17"/>
      <c r="F2762" s="17"/>
      <c r="G2762" s="17"/>
      <c r="H2762" s="17"/>
      <c r="I2762" s="31"/>
      <c r="J2762" s="17"/>
      <c r="K2762" s="17"/>
      <c r="L2762" s="17"/>
      <c r="M2762" s="17"/>
      <c r="N2762" s="17"/>
      <c r="O2762" s="17"/>
      <c r="P2762" s="17"/>
      <c r="Q2762" s="17"/>
      <c r="R2762" s="17"/>
      <c r="S2762" s="17"/>
      <c r="T2762" s="17"/>
      <c r="U2762" s="17"/>
      <c r="V2762" s="17"/>
      <c r="W2762" s="17"/>
      <c r="X2762" s="17"/>
      <c r="Y2762" s="17"/>
      <c r="Z2762" s="31"/>
      <c r="AA2762" s="32"/>
    </row>
    <row r="2763" spans="1:27" ht="12.75">
      <c r="A2763" s="17"/>
      <c r="B2763" s="17"/>
      <c r="C2763" s="17"/>
      <c r="D2763" s="17"/>
      <c r="E2763" s="17"/>
      <c r="F2763" s="17"/>
      <c r="G2763" s="17"/>
      <c r="H2763" s="17"/>
      <c r="I2763" s="31"/>
      <c r="J2763" s="17"/>
      <c r="K2763" s="17"/>
      <c r="L2763" s="17"/>
      <c r="M2763" s="17"/>
      <c r="N2763" s="17"/>
      <c r="O2763" s="17"/>
      <c r="P2763" s="17"/>
      <c r="Q2763" s="17"/>
      <c r="R2763" s="17"/>
      <c r="S2763" s="17"/>
      <c r="T2763" s="17"/>
      <c r="U2763" s="17"/>
      <c r="V2763" s="17"/>
      <c r="W2763" s="17"/>
      <c r="X2763" s="17"/>
      <c r="Y2763" s="17"/>
      <c r="Z2763" s="31"/>
      <c r="AA2763" s="32"/>
    </row>
    <row r="2764" spans="1:27" ht="12.75">
      <c r="A2764" s="17"/>
      <c r="B2764" s="17"/>
      <c r="C2764" s="17"/>
      <c r="D2764" s="17"/>
      <c r="E2764" s="17"/>
      <c r="F2764" s="17"/>
      <c r="G2764" s="17"/>
      <c r="H2764" s="17"/>
      <c r="I2764" s="31"/>
      <c r="J2764" s="17"/>
      <c r="K2764" s="17"/>
      <c r="L2764" s="17"/>
      <c r="M2764" s="17"/>
      <c r="N2764" s="17"/>
      <c r="O2764" s="17"/>
      <c r="P2764" s="17"/>
      <c r="Q2764" s="17"/>
      <c r="R2764" s="17"/>
      <c r="S2764" s="17"/>
      <c r="T2764" s="17"/>
      <c r="U2764" s="17"/>
      <c r="V2764" s="17"/>
      <c r="W2764" s="17"/>
      <c r="X2764" s="17"/>
      <c r="Y2764" s="17"/>
      <c r="Z2764" s="31"/>
      <c r="AA2764" s="32"/>
    </row>
    <row r="2765" spans="1:27" ht="12.75">
      <c r="A2765" s="17"/>
      <c r="B2765" s="17"/>
      <c r="C2765" s="17"/>
      <c r="D2765" s="17"/>
      <c r="E2765" s="17"/>
      <c r="F2765" s="17"/>
      <c r="G2765" s="17"/>
      <c r="H2765" s="17"/>
      <c r="I2765" s="31"/>
      <c r="J2765" s="17"/>
      <c r="K2765" s="17"/>
      <c r="L2765" s="17"/>
      <c r="M2765" s="17"/>
      <c r="N2765" s="17"/>
      <c r="O2765" s="17"/>
      <c r="P2765" s="17"/>
      <c r="Q2765" s="17"/>
      <c r="R2765" s="17"/>
      <c r="S2765" s="17"/>
      <c r="T2765" s="17"/>
      <c r="U2765" s="17"/>
      <c r="V2765" s="17"/>
      <c r="W2765" s="17"/>
      <c r="X2765" s="17"/>
      <c r="Y2765" s="17"/>
      <c r="Z2765" s="31"/>
      <c r="AA2765" s="32"/>
    </row>
    <row r="2766" spans="1:27" ht="12.75">
      <c r="A2766" s="17"/>
      <c r="B2766" s="17"/>
      <c r="C2766" s="17"/>
      <c r="D2766" s="17"/>
      <c r="E2766" s="17"/>
      <c r="F2766" s="17"/>
      <c r="G2766" s="17"/>
      <c r="H2766" s="17"/>
      <c r="I2766" s="31"/>
      <c r="J2766" s="17"/>
      <c r="K2766" s="17"/>
      <c r="L2766" s="17"/>
      <c r="M2766" s="17"/>
      <c r="N2766" s="17"/>
      <c r="O2766" s="17"/>
      <c r="P2766" s="17"/>
      <c r="Q2766" s="17"/>
      <c r="R2766" s="17"/>
      <c r="S2766" s="17"/>
      <c r="T2766" s="17"/>
      <c r="U2766" s="17"/>
      <c r="V2766" s="17"/>
      <c r="W2766" s="17"/>
      <c r="X2766" s="17"/>
      <c r="Y2766" s="17"/>
      <c r="Z2766" s="31"/>
      <c r="AA2766" s="32"/>
    </row>
    <row r="2767" spans="1:27" ht="12.75">
      <c r="A2767" s="17"/>
      <c r="B2767" s="17"/>
      <c r="C2767" s="17"/>
      <c r="D2767" s="17"/>
      <c r="E2767" s="17"/>
      <c r="F2767" s="17"/>
      <c r="G2767" s="17"/>
      <c r="H2767" s="17"/>
      <c r="I2767" s="31"/>
      <c r="J2767" s="17"/>
      <c r="K2767" s="17"/>
      <c r="L2767" s="17"/>
      <c r="M2767" s="17"/>
      <c r="N2767" s="17"/>
      <c r="O2767" s="17"/>
      <c r="P2767" s="17"/>
      <c r="Q2767" s="17"/>
      <c r="R2767" s="17"/>
      <c r="S2767" s="17"/>
      <c r="T2767" s="17"/>
      <c r="U2767" s="17"/>
      <c r="V2767" s="17"/>
      <c r="W2767" s="17"/>
      <c r="X2767" s="17"/>
      <c r="Y2767" s="17"/>
      <c r="Z2767" s="31"/>
      <c r="AA2767" s="32"/>
    </row>
    <row r="2768" spans="1:27" ht="12.75">
      <c r="A2768" s="17"/>
      <c r="B2768" s="17"/>
      <c r="C2768" s="17"/>
      <c r="D2768" s="17"/>
      <c r="E2768" s="17"/>
      <c r="F2768" s="17"/>
      <c r="G2768" s="17"/>
      <c r="H2768" s="17"/>
      <c r="I2768" s="31"/>
      <c r="J2768" s="17"/>
      <c r="K2768" s="17"/>
      <c r="L2768" s="17"/>
      <c r="M2768" s="17"/>
      <c r="N2768" s="17"/>
      <c r="O2768" s="17"/>
      <c r="P2768" s="17"/>
      <c r="Q2768" s="17"/>
      <c r="R2768" s="17"/>
      <c r="S2768" s="17"/>
      <c r="T2768" s="17"/>
      <c r="U2768" s="17"/>
      <c r="V2768" s="17"/>
      <c r="W2768" s="17"/>
      <c r="X2768" s="17"/>
      <c r="Y2768" s="17"/>
      <c r="Z2768" s="31"/>
      <c r="AA2768" s="32"/>
    </row>
    <row r="2769" spans="1:27" ht="12.75">
      <c r="A2769" s="17"/>
      <c r="B2769" s="17"/>
      <c r="C2769" s="17"/>
      <c r="D2769" s="17"/>
      <c r="E2769" s="17"/>
      <c r="F2769" s="17"/>
      <c r="G2769" s="17"/>
      <c r="H2769" s="17"/>
      <c r="I2769" s="31"/>
      <c r="J2769" s="17"/>
      <c r="K2769" s="17"/>
      <c r="L2769" s="17"/>
      <c r="M2769" s="17"/>
      <c r="N2769" s="17"/>
      <c r="O2769" s="17"/>
      <c r="P2769" s="17"/>
      <c r="Q2769" s="17"/>
      <c r="R2769" s="17"/>
      <c r="S2769" s="17"/>
      <c r="T2769" s="17"/>
      <c r="U2769" s="17"/>
      <c r="V2769" s="17"/>
      <c r="W2769" s="17"/>
      <c r="X2769" s="17"/>
      <c r="Y2769" s="17"/>
      <c r="Z2769" s="31"/>
      <c r="AA2769" s="32"/>
    </row>
    <row r="2770" spans="1:27" ht="12.75">
      <c r="A2770" s="17"/>
      <c r="B2770" s="17"/>
      <c r="C2770" s="17"/>
      <c r="D2770" s="17"/>
      <c r="E2770" s="17"/>
      <c r="F2770" s="17"/>
      <c r="G2770" s="17"/>
      <c r="H2770" s="17"/>
      <c r="I2770" s="31"/>
      <c r="J2770" s="17"/>
      <c r="K2770" s="17"/>
      <c r="L2770" s="17"/>
      <c r="M2770" s="17"/>
      <c r="N2770" s="17"/>
      <c r="O2770" s="17"/>
      <c r="P2770" s="17"/>
      <c r="Q2770" s="17"/>
      <c r="R2770" s="17"/>
      <c r="S2770" s="17"/>
      <c r="T2770" s="17"/>
      <c r="U2770" s="17"/>
      <c r="V2770" s="17"/>
      <c r="W2770" s="17"/>
      <c r="X2770" s="17"/>
      <c r="Y2770" s="17"/>
      <c r="Z2770" s="31"/>
      <c r="AA2770" s="32"/>
    </row>
    <row r="2771" spans="1:27" ht="12.75">
      <c r="A2771" s="17"/>
      <c r="B2771" s="17"/>
      <c r="C2771" s="17"/>
      <c r="D2771" s="17"/>
      <c r="E2771" s="17"/>
      <c r="F2771" s="17"/>
      <c r="G2771" s="17"/>
      <c r="H2771" s="17"/>
      <c r="I2771" s="31"/>
      <c r="J2771" s="17"/>
      <c r="K2771" s="17"/>
      <c r="L2771" s="17"/>
      <c r="M2771" s="17"/>
      <c r="N2771" s="17"/>
      <c r="O2771" s="17"/>
      <c r="P2771" s="17"/>
      <c r="Q2771" s="17"/>
      <c r="R2771" s="17"/>
      <c r="S2771" s="17"/>
      <c r="T2771" s="17"/>
      <c r="U2771" s="17"/>
      <c r="V2771" s="17"/>
      <c r="W2771" s="17"/>
      <c r="X2771" s="17"/>
      <c r="Y2771" s="17"/>
      <c r="Z2771" s="31"/>
      <c r="AA2771" s="32"/>
    </row>
    <row r="2772" spans="1:27" ht="12.75">
      <c r="A2772" s="17"/>
      <c r="B2772" s="17"/>
      <c r="C2772" s="17"/>
      <c r="D2772" s="17"/>
      <c r="E2772" s="17"/>
      <c r="F2772" s="17"/>
      <c r="G2772" s="17"/>
      <c r="H2772" s="17"/>
      <c r="I2772" s="31"/>
      <c r="J2772" s="17"/>
      <c r="K2772" s="17"/>
      <c r="L2772" s="17"/>
      <c r="M2772" s="17"/>
      <c r="N2772" s="17"/>
      <c r="O2772" s="17"/>
      <c r="P2772" s="17"/>
      <c r="Q2772" s="17"/>
      <c r="R2772" s="17"/>
      <c r="S2772" s="17"/>
      <c r="T2772" s="17"/>
      <c r="U2772" s="17"/>
      <c r="V2772" s="17"/>
      <c r="W2772" s="17"/>
      <c r="X2772" s="17"/>
      <c r="Y2772" s="17"/>
      <c r="Z2772" s="31"/>
      <c r="AA2772" s="32"/>
    </row>
    <row r="2773" spans="1:27" ht="12.75">
      <c r="A2773" s="17"/>
      <c r="B2773" s="17"/>
      <c r="C2773" s="17"/>
      <c r="D2773" s="17"/>
      <c r="E2773" s="17"/>
      <c r="F2773" s="17"/>
      <c r="G2773" s="17"/>
      <c r="H2773" s="17"/>
      <c r="I2773" s="31"/>
      <c r="J2773" s="17"/>
      <c r="K2773" s="17"/>
      <c r="L2773" s="17"/>
      <c r="M2773" s="17"/>
      <c r="N2773" s="17"/>
      <c r="O2773" s="17"/>
      <c r="P2773" s="17"/>
      <c r="Q2773" s="17"/>
      <c r="R2773" s="17"/>
      <c r="S2773" s="17"/>
      <c r="T2773" s="17"/>
      <c r="U2773" s="17"/>
      <c r="V2773" s="17"/>
      <c r="W2773" s="17"/>
      <c r="X2773" s="17"/>
      <c r="Y2773" s="17"/>
      <c r="Z2773" s="31"/>
      <c r="AA2773" s="32"/>
    </row>
    <row r="2774" spans="1:27" ht="12.75">
      <c r="A2774" s="17"/>
      <c r="B2774" s="17"/>
      <c r="C2774" s="17"/>
      <c r="D2774" s="17"/>
      <c r="E2774" s="17"/>
      <c r="F2774" s="17"/>
      <c r="G2774" s="17"/>
      <c r="H2774" s="17"/>
      <c r="I2774" s="31"/>
      <c r="J2774" s="17"/>
      <c r="K2774" s="17"/>
      <c r="L2774" s="17"/>
      <c r="M2774" s="17"/>
      <c r="N2774" s="17"/>
      <c r="O2774" s="17"/>
      <c r="P2774" s="17"/>
      <c r="Q2774" s="17"/>
      <c r="R2774" s="17"/>
      <c r="S2774" s="17"/>
      <c r="T2774" s="17"/>
      <c r="U2774" s="17"/>
      <c r="V2774" s="17"/>
      <c r="W2774" s="17"/>
      <c r="X2774" s="17"/>
      <c r="Y2774" s="17"/>
      <c r="Z2774" s="31"/>
      <c r="AA2774" s="32"/>
    </row>
    <row r="2775" spans="1:27" ht="12.75">
      <c r="A2775" s="17"/>
      <c r="B2775" s="17"/>
      <c r="C2775" s="17"/>
      <c r="D2775" s="17"/>
      <c r="E2775" s="17"/>
      <c r="F2775" s="17"/>
      <c r="G2775" s="17"/>
      <c r="H2775" s="17"/>
      <c r="I2775" s="31"/>
      <c r="J2775" s="17"/>
      <c r="K2775" s="17"/>
      <c r="L2775" s="17"/>
      <c r="M2775" s="17"/>
      <c r="N2775" s="17"/>
      <c r="O2775" s="17"/>
      <c r="P2775" s="17"/>
      <c r="Q2775" s="17"/>
      <c r="R2775" s="17"/>
      <c r="S2775" s="17"/>
      <c r="T2775" s="17"/>
      <c r="U2775" s="17"/>
      <c r="V2775" s="17"/>
      <c r="W2775" s="17"/>
      <c r="X2775" s="17"/>
      <c r="Y2775" s="17"/>
      <c r="Z2775" s="31"/>
      <c r="AA2775" s="32"/>
    </row>
    <row r="2776" spans="1:27" ht="12.75">
      <c r="A2776" s="17"/>
      <c r="B2776" s="17"/>
      <c r="C2776" s="17"/>
      <c r="D2776" s="17"/>
      <c r="E2776" s="17"/>
      <c r="F2776" s="17"/>
      <c r="G2776" s="17"/>
      <c r="H2776" s="17"/>
      <c r="I2776" s="31"/>
      <c r="J2776" s="17"/>
      <c r="K2776" s="17"/>
      <c r="L2776" s="17"/>
      <c r="M2776" s="17"/>
      <c r="N2776" s="17"/>
      <c r="O2776" s="17"/>
      <c r="P2776" s="17"/>
      <c r="Q2776" s="17"/>
      <c r="R2776" s="17"/>
      <c r="S2776" s="17"/>
      <c r="T2776" s="17"/>
      <c r="U2776" s="17"/>
      <c r="V2776" s="17"/>
      <c r="W2776" s="17"/>
      <c r="X2776" s="17"/>
      <c r="Y2776" s="17"/>
      <c r="Z2776" s="31"/>
      <c r="AA2776" s="32"/>
    </row>
    <row r="2777" spans="1:27" ht="12.75">
      <c r="A2777" s="17"/>
      <c r="B2777" s="17"/>
      <c r="C2777" s="17"/>
      <c r="D2777" s="17"/>
      <c r="E2777" s="17"/>
      <c r="F2777" s="17"/>
      <c r="G2777" s="17"/>
      <c r="H2777" s="17"/>
      <c r="I2777" s="31"/>
      <c r="J2777" s="17"/>
      <c r="K2777" s="17"/>
      <c r="L2777" s="17"/>
      <c r="M2777" s="17"/>
      <c r="N2777" s="17"/>
      <c r="O2777" s="17"/>
      <c r="P2777" s="17"/>
      <c r="Q2777" s="17"/>
      <c r="R2777" s="17"/>
      <c r="S2777" s="17"/>
      <c r="T2777" s="17"/>
      <c r="U2777" s="17"/>
      <c r="V2777" s="17"/>
      <c r="W2777" s="17"/>
      <c r="X2777" s="17"/>
      <c r="Y2777" s="17"/>
      <c r="Z2777" s="31"/>
      <c r="AA2777" s="32"/>
    </row>
    <row r="2778" spans="1:27" ht="12.75">
      <c r="A2778" s="17"/>
      <c r="B2778" s="17"/>
      <c r="C2778" s="17"/>
      <c r="D2778" s="17"/>
      <c r="E2778" s="17"/>
      <c r="F2778" s="17"/>
      <c r="G2778" s="17"/>
      <c r="H2778" s="17"/>
      <c r="I2778" s="31"/>
      <c r="J2778" s="17"/>
      <c r="K2778" s="17"/>
      <c r="L2778" s="17"/>
      <c r="M2778" s="17"/>
      <c r="N2778" s="17"/>
      <c r="O2778" s="17"/>
      <c r="P2778" s="17"/>
      <c r="Q2778" s="17"/>
      <c r="R2778" s="17"/>
      <c r="S2778" s="17"/>
      <c r="T2778" s="17"/>
      <c r="U2778" s="17"/>
      <c r="V2778" s="17"/>
      <c r="W2778" s="17"/>
      <c r="X2778" s="17"/>
      <c r="Y2778" s="17"/>
      <c r="Z2778" s="31"/>
      <c r="AA2778" s="32"/>
    </row>
    <row r="2779" spans="1:27" ht="12.75">
      <c r="A2779" s="17"/>
      <c r="B2779" s="17"/>
      <c r="C2779" s="17"/>
      <c r="D2779" s="17"/>
      <c r="E2779" s="17"/>
      <c r="F2779" s="17"/>
      <c r="G2779" s="17"/>
      <c r="H2779" s="17"/>
      <c r="I2779" s="31"/>
      <c r="J2779" s="17"/>
      <c r="K2779" s="17"/>
      <c r="L2779" s="17"/>
      <c r="M2779" s="17"/>
      <c r="N2779" s="17"/>
      <c r="O2779" s="17"/>
      <c r="P2779" s="17"/>
      <c r="Q2779" s="17"/>
      <c r="R2779" s="17"/>
      <c r="S2779" s="17"/>
      <c r="T2779" s="17"/>
      <c r="U2779" s="17"/>
      <c r="V2779" s="17"/>
      <c r="W2779" s="17"/>
      <c r="X2779" s="17"/>
      <c r="Y2779" s="17"/>
      <c r="Z2779" s="31"/>
      <c r="AA2779" s="32"/>
    </row>
    <row r="2780" spans="1:27" ht="12.75">
      <c r="A2780" s="17"/>
      <c r="B2780" s="17"/>
      <c r="C2780" s="17"/>
      <c r="D2780" s="17"/>
      <c r="E2780" s="17"/>
      <c r="F2780" s="17"/>
      <c r="G2780" s="17"/>
      <c r="H2780" s="17"/>
      <c r="I2780" s="31"/>
      <c r="J2780" s="17"/>
      <c r="K2780" s="17"/>
      <c r="L2780" s="17"/>
      <c r="M2780" s="17"/>
      <c r="N2780" s="17"/>
      <c r="O2780" s="17"/>
      <c r="P2780" s="17"/>
      <c r="Q2780" s="17"/>
      <c r="R2780" s="17"/>
      <c r="S2780" s="17"/>
      <c r="T2780" s="17"/>
      <c r="U2780" s="17"/>
      <c r="V2780" s="17"/>
      <c r="W2780" s="17"/>
      <c r="X2780" s="17"/>
      <c r="Y2780" s="17"/>
      <c r="Z2780" s="31"/>
      <c r="AA2780" s="32"/>
    </row>
    <row r="2781" spans="1:27" ht="12.75">
      <c r="A2781" s="17"/>
      <c r="B2781" s="17"/>
      <c r="C2781" s="17"/>
      <c r="D2781" s="17"/>
      <c r="E2781" s="17"/>
      <c r="F2781" s="17"/>
      <c r="G2781" s="17"/>
      <c r="H2781" s="17"/>
      <c r="I2781" s="31"/>
      <c r="J2781" s="17"/>
      <c r="K2781" s="17"/>
      <c r="L2781" s="17"/>
      <c r="M2781" s="17"/>
      <c r="N2781" s="17"/>
      <c r="O2781" s="17"/>
      <c r="P2781" s="17"/>
      <c r="Q2781" s="17"/>
      <c r="R2781" s="17"/>
      <c r="S2781" s="17"/>
      <c r="T2781" s="17"/>
      <c r="U2781" s="17"/>
      <c r="V2781" s="17"/>
      <c r="W2781" s="17"/>
      <c r="X2781" s="17"/>
      <c r="Y2781" s="17"/>
      <c r="Z2781" s="31"/>
      <c r="AA2781" s="32"/>
    </row>
    <row r="2782" spans="1:27" ht="12.75">
      <c r="A2782" s="17"/>
      <c r="B2782" s="17"/>
      <c r="C2782" s="17"/>
      <c r="D2782" s="17"/>
      <c r="E2782" s="17"/>
      <c r="F2782" s="17"/>
      <c r="G2782" s="17"/>
      <c r="H2782" s="17"/>
      <c r="I2782" s="31"/>
      <c r="J2782" s="17"/>
      <c r="K2782" s="17"/>
      <c r="L2782" s="17"/>
      <c r="M2782" s="17"/>
      <c r="N2782" s="17"/>
      <c r="O2782" s="17"/>
      <c r="P2782" s="17"/>
      <c r="Q2782" s="17"/>
      <c r="R2782" s="17"/>
      <c r="S2782" s="17"/>
      <c r="T2782" s="17"/>
      <c r="U2782" s="17"/>
      <c r="V2782" s="17"/>
      <c r="W2782" s="17"/>
      <c r="X2782" s="17"/>
      <c r="Y2782" s="17"/>
      <c r="Z2782" s="31"/>
      <c r="AA2782" s="32"/>
    </row>
    <row r="2783" spans="1:27" ht="12.75">
      <c r="A2783" s="17"/>
      <c r="B2783" s="17"/>
      <c r="C2783" s="17"/>
      <c r="D2783" s="17"/>
      <c r="E2783" s="17"/>
      <c r="F2783" s="17"/>
      <c r="G2783" s="17"/>
      <c r="H2783" s="17"/>
      <c r="I2783" s="31"/>
      <c r="J2783" s="17"/>
      <c r="K2783" s="17"/>
      <c r="L2783" s="17"/>
      <c r="M2783" s="17"/>
      <c r="N2783" s="17"/>
      <c r="O2783" s="17"/>
      <c r="P2783" s="17"/>
      <c r="Q2783" s="17"/>
      <c r="R2783" s="17"/>
      <c r="S2783" s="17"/>
      <c r="T2783" s="17"/>
      <c r="U2783" s="17"/>
      <c r="V2783" s="17"/>
      <c r="W2783" s="17"/>
      <c r="X2783" s="17"/>
      <c r="Y2783" s="17"/>
      <c r="Z2783" s="31"/>
      <c r="AA2783" s="32"/>
    </row>
    <row r="2784" spans="1:27" ht="12.75">
      <c r="A2784" s="17"/>
      <c r="B2784" s="17"/>
      <c r="C2784" s="17"/>
      <c r="D2784" s="17"/>
      <c r="E2784" s="17"/>
      <c r="F2784" s="17"/>
      <c r="G2784" s="17"/>
      <c r="H2784" s="17"/>
      <c r="I2784" s="31"/>
      <c r="J2784" s="17"/>
      <c r="K2784" s="17"/>
      <c r="L2784" s="17"/>
      <c r="M2784" s="17"/>
      <c r="N2784" s="17"/>
      <c r="O2784" s="17"/>
      <c r="P2784" s="17"/>
      <c r="Q2784" s="17"/>
      <c r="R2784" s="17"/>
      <c r="S2784" s="17"/>
      <c r="T2784" s="17"/>
      <c r="U2784" s="17"/>
      <c r="V2784" s="17"/>
      <c r="W2784" s="17"/>
      <c r="X2784" s="17"/>
      <c r="Y2784" s="17"/>
      <c r="Z2784" s="31"/>
      <c r="AA2784" s="32"/>
    </row>
    <row r="2785" spans="1:27" ht="12.75">
      <c r="A2785" s="17"/>
      <c r="B2785" s="17"/>
      <c r="C2785" s="17"/>
      <c r="D2785" s="17"/>
      <c r="E2785" s="17"/>
      <c r="F2785" s="17"/>
      <c r="G2785" s="17"/>
      <c r="H2785" s="17"/>
      <c r="I2785" s="31"/>
      <c r="J2785" s="17"/>
      <c r="K2785" s="17"/>
      <c r="L2785" s="17"/>
      <c r="M2785" s="17"/>
      <c r="N2785" s="17"/>
      <c r="O2785" s="17"/>
      <c r="P2785" s="17"/>
      <c r="Q2785" s="17"/>
      <c r="R2785" s="17"/>
      <c r="S2785" s="17"/>
      <c r="T2785" s="17"/>
      <c r="U2785" s="17"/>
      <c r="V2785" s="17"/>
      <c r="W2785" s="17"/>
      <c r="X2785" s="17"/>
      <c r="Y2785" s="17"/>
      <c r="Z2785" s="31"/>
      <c r="AA2785" s="32"/>
    </row>
    <row r="2786" spans="1:27" ht="12.75">
      <c r="A2786" s="17"/>
      <c r="B2786" s="17"/>
      <c r="C2786" s="17"/>
      <c r="D2786" s="17"/>
      <c r="E2786" s="17"/>
      <c r="F2786" s="17"/>
      <c r="G2786" s="17"/>
      <c r="H2786" s="17"/>
      <c r="I2786" s="31"/>
      <c r="J2786" s="17"/>
      <c r="K2786" s="17"/>
      <c r="L2786" s="17"/>
      <c r="M2786" s="17"/>
      <c r="N2786" s="17"/>
      <c r="O2786" s="17"/>
      <c r="P2786" s="17"/>
      <c r="Q2786" s="17"/>
      <c r="R2786" s="17"/>
      <c r="S2786" s="17"/>
      <c r="T2786" s="17"/>
      <c r="U2786" s="17"/>
      <c r="V2786" s="17"/>
      <c r="W2786" s="17"/>
      <c r="X2786" s="17"/>
      <c r="Y2786" s="17"/>
      <c r="Z2786" s="31"/>
      <c r="AA2786" s="32"/>
    </row>
    <row r="2787" spans="1:27" ht="12.75">
      <c r="A2787" s="17"/>
      <c r="B2787" s="17"/>
      <c r="C2787" s="17"/>
      <c r="D2787" s="17"/>
      <c r="E2787" s="17"/>
      <c r="F2787" s="17"/>
      <c r="G2787" s="17"/>
      <c r="H2787" s="17"/>
      <c r="I2787" s="31"/>
      <c r="J2787" s="17"/>
      <c r="K2787" s="17"/>
      <c r="L2787" s="17"/>
      <c r="M2787" s="17"/>
      <c r="N2787" s="17"/>
      <c r="O2787" s="17"/>
      <c r="P2787" s="17"/>
      <c r="Q2787" s="17"/>
      <c r="R2787" s="17"/>
      <c r="S2787" s="17"/>
      <c r="T2787" s="17"/>
      <c r="U2787" s="17"/>
      <c r="V2787" s="17"/>
      <c r="W2787" s="17"/>
      <c r="X2787" s="17"/>
      <c r="Y2787" s="17"/>
      <c r="Z2787" s="31"/>
      <c r="AA2787" s="32"/>
    </row>
    <row r="2788" spans="1:27" ht="12.75">
      <c r="A2788" s="17"/>
      <c r="B2788" s="17"/>
      <c r="C2788" s="17"/>
      <c r="D2788" s="17"/>
      <c r="E2788" s="17"/>
      <c r="F2788" s="17"/>
      <c r="G2788" s="17"/>
      <c r="H2788" s="17"/>
      <c r="I2788" s="31"/>
      <c r="J2788" s="17"/>
      <c r="K2788" s="17"/>
      <c r="L2788" s="17"/>
      <c r="M2788" s="17"/>
      <c r="N2788" s="17"/>
      <c r="O2788" s="17"/>
      <c r="P2788" s="17"/>
      <c r="Q2788" s="17"/>
      <c r="R2788" s="17"/>
      <c r="S2788" s="17"/>
      <c r="T2788" s="17"/>
      <c r="U2788" s="17"/>
      <c r="V2788" s="17"/>
      <c r="W2788" s="17"/>
      <c r="X2788" s="17"/>
      <c r="Y2788" s="17"/>
      <c r="Z2788" s="31"/>
      <c r="AA2788" s="32"/>
    </row>
    <row r="2789" spans="1:27" ht="12.75">
      <c r="A2789" s="17"/>
      <c r="B2789" s="17"/>
      <c r="C2789" s="17"/>
      <c r="D2789" s="17"/>
      <c r="E2789" s="17"/>
      <c r="F2789" s="17"/>
      <c r="G2789" s="17"/>
      <c r="H2789" s="17"/>
      <c r="I2789" s="31"/>
      <c r="J2789" s="17"/>
      <c r="K2789" s="17"/>
      <c r="L2789" s="17"/>
      <c r="M2789" s="17"/>
      <c r="N2789" s="17"/>
      <c r="O2789" s="17"/>
      <c r="P2789" s="17"/>
      <c r="Q2789" s="17"/>
      <c r="R2789" s="17"/>
      <c r="S2789" s="17"/>
      <c r="T2789" s="17"/>
      <c r="U2789" s="17"/>
      <c r="V2789" s="17"/>
      <c r="W2789" s="17"/>
      <c r="X2789" s="17"/>
      <c r="Y2789" s="17"/>
      <c r="Z2789" s="31"/>
      <c r="AA2789" s="32"/>
    </row>
    <row r="2790" spans="1:27" ht="12.75">
      <c r="A2790" s="17"/>
      <c r="B2790" s="17"/>
      <c r="C2790" s="17"/>
      <c r="D2790" s="17"/>
      <c r="E2790" s="17"/>
      <c r="F2790" s="17"/>
      <c r="G2790" s="17"/>
      <c r="H2790" s="17"/>
      <c r="I2790" s="31"/>
      <c r="J2790" s="17"/>
      <c r="K2790" s="17"/>
      <c r="L2790" s="17"/>
      <c r="M2790" s="17"/>
      <c r="N2790" s="17"/>
      <c r="O2790" s="17"/>
      <c r="P2790" s="17"/>
      <c r="Q2790" s="17"/>
      <c r="R2790" s="17"/>
      <c r="S2790" s="17"/>
      <c r="T2790" s="17"/>
      <c r="U2790" s="17"/>
      <c r="V2790" s="17"/>
      <c r="W2790" s="17"/>
      <c r="X2790" s="17"/>
      <c r="Y2790" s="17"/>
      <c r="Z2790" s="31"/>
      <c r="AA2790" s="32"/>
    </row>
    <row r="2791" spans="1:27" ht="12.75">
      <c r="A2791" s="17"/>
      <c r="B2791" s="17"/>
      <c r="C2791" s="17"/>
      <c r="D2791" s="17"/>
      <c r="E2791" s="17"/>
      <c r="F2791" s="17"/>
      <c r="G2791" s="17"/>
      <c r="H2791" s="17"/>
      <c r="I2791" s="31"/>
      <c r="J2791" s="17"/>
      <c r="K2791" s="17"/>
      <c r="L2791" s="17"/>
      <c r="M2791" s="17"/>
      <c r="N2791" s="17"/>
      <c r="O2791" s="17"/>
      <c r="P2791" s="17"/>
      <c r="Q2791" s="17"/>
      <c r="R2791" s="17"/>
      <c r="S2791" s="17"/>
      <c r="T2791" s="17"/>
      <c r="U2791" s="17"/>
      <c r="V2791" s="17"/>
      <c r="W2791" s="17"/>
      <c r="X2791" s="17"/>
      <c r="Y2791" s="17"/>
      <c r="Z2791" s="31"/>
      <c r="AA2791" s="32"/>
    </row>
    <row r="2792" spans="1:27" ht="12.75">
      <c r="A2792" s="17"/>
      <c r="B2792" s="17"/>
      <c r="C2792" s="17"/>
      <c r="D2792" s="17"/>
      <c r="E2792" s="17"/>
      <c r="F2792" s="17"/>
      <c r="G2792" s="17"/>
      <c r="H2792" s="17"/>
      <c r="I2792" s="31"/>
      <c r="J2792" s="17"/>
      <c r="K2792" s="17"/>
      <c r="L2792" s="17"/>
      <c r="M2792" s="17"/>
      <c r="N2792" s="17"/>
      <c r="O2792" s="17"/>
      <c r="P2792" s="17"/>
      <c r="Q2792" s="17"/>
      <c r="R2792" s="17"/>
      <c r="S2792" s="17"/>
      <c r="T2792" s="17"/>
      <c r="U2792" s="17"/>
      <c r="V2792" s="17"/>
      <c r="W2792" s="17"/>
      <c r="X2792" s="17"/>
      <c r="Y2792" s="17"/>
      <c r="Z2792" s="31"/>
      <c r="AA2792" s="32"/>
    </row>
    <row r="2793" spans="1:27" ht="12.75">
      <c r="A2793" s="17"/>
      <c r="B2793" s="17"/>
      <c r="C2793" s="17"/>
      <c r="D2793" s="17"/>
      <c r="E2793" s="17"/>
      <c r="F2793" s="17"/>
      <c r="G2793" s="17"/>
      <c r="H2793" s="17"/>
      <c r="I2793" s="31"/>
      <c r="J2793" s="17"/>
      <c r="K2793" s="17"/>
      <c r="L2793" s="17"/>
      <c r="M2793" s="17"/>
      <c r="N2793" s="17"/>
      <c r="O2793" s="17"/>
      <c r="P2793" s="17"/>
      <c r="Q2793" s="17"/>
      <c r="R2793" s="17"/>
      <c r="S2793" s="17"/>
      <c r="T2793" s="17"/>
      <c r="U2793" s="17"/>
      <c r="V2793" s="17"/>
      <c r="W2793" s="17"/>
      <c r="X2793" s="17"/>
      <c r="Y2793" s="17"/>
      <c r="Z2793" s="31"/>
      <c r="AA2793" s="32"/>
    </row>
    <row r="2794" spans="1:27" ht="12.75">
      <c r="A2794" s="17"/>
      <c r="B2794" s="17"/>
      <c r="C2794" s="17"/>
      <c r="D2794" s="17"/>
      <c r="E2794" s="17"/>
      <c r="F2794" s="17"/>
      <c r="G2794" s="17"/>
      <c r="H2794" s="17"/>
      <c r="I2794" s="31"/>
      <c r="J2794" s="17"/>
      <c r="K2794" s="17"/>
      <c r="L2794" s="17"/>
      <c r="M2794" s="17"/>
      <c r="N2794" s="17"/>
      <c r="O2794" s="17"/>
      <c r="P2794" s="17"/>
      <c r="Q2794" s="17"/>
      <c r="R2794" s="17"/>
      <c r="S2794" s="17"/>
      <c r="T2794" s="17"/>
      <c r="U2794" s="17"/>
      <c r="V2794" s="17"/>
      <c r="W2794" s="17"/>
      <c r="X2794" s="17"/>
      <c r="Y2794" s="17"/>
      <c r="Z2794" s="31"/>
      <c r="AA2794" s="32"/>
    </row>
    <row r="2795" spans="1:27" ht="12.75">
      <c r="A2795" s="17"/>
      <c r="B2795" s="17"/>
      <c r="C2795" s="17"/>
      <c r="D2795" s="17"/>
      <c r="E2795" s="17"/>
      <c r="F2795" s="17"/>
      <c r="G2795" s="17"/>
      <c r="H2795" s="17"/>
      <c r="I2795" s="31"/>
      <c r="J2795" s="17"/>
      <c r="K2795" s="17"/>
      <c r="L2795" s="17"/>
      <c r="M2795" s="17"/>
      <c r="N2795" s="17"/>
      <c r="O2795" s="17"/>
      <c r="P2795" s="17"/>
      <c r="Q2795" s="17"/>
      <c r="R2795" s="17"/>
      <c r="S2795" s="17"/>
      <c r="T2795" s="17"/>
      <c r="U2795" s="17"/>
      <c r="V2795" s="17"/>
      <c r="W2795" s="17"/>
      <c r="X2795" s="17"/>
      <c r="Y2795" s="17"/>
      <c r="Z2795" s="31"/>
      <c r="AA2795" s="32"/>
    </row>
    <row r="2796" spans="1:27" ht="12.75">
      <c r="A2796" s="17"/>
      <c r="B2796" s="17"/>
      <c r="C2796" s="17"/>
      <c r="D2796" s="17"/>
      <c r="E2796" s="17"/>
      <c r="F2796" s="17"/>
      <c r="G2796" s="17"/>
      <c r="H2796" s="17"/>
      <c r="I2796" s="31"/>
      <c r="J2796" s="17"/>
      <c r="K2796" s="17"/>
      <c r="L2796" s="17"/>
      <c r="M2796" s="17"/>
      <c r="N2796" s="17"/>
      <c r="O2796" s="17"/>
      <c r="P2796" s="17"/>
      <c r="Q2796" s="17"/>
      <c r="R2796" s="17"/>
      <c r="S2796" s="17"/>
      <c r="T2796" s="17"/>
      <c r="U2796" s="17"/>
      <c r="V2796" s="17"/>
      <c r="W2796" s="17"/>
      <c r="X2796" s="17"/>
      <c r="Y2796" s="17"/>
      <c r="Z2796" s="31"/>
      <c r="AA2796" s="32"/>
    </row>
    <row r="2797" spans="1:27" ht="12.75">
      <c r="A2797" s="17"/>
      <c r="B2797" s="17"/>
      <c r="C2797" s="17"/>
      <c r="D2797" s="17"/>
      <c r="E2797" s="17"/>
      <c r="F2797" s="17"/>
      <c r="G2797" s="17"/>
      <c r="H2797" s="17"/>
      <c r="I2797" s="31"/>
      <c r="J2797" s="17"/>
      <c r="K2797" s="17"/>
      <c r="L2797" s="17"/>
      <c r="M2797" s="17"/>
      <c r="N2797" s="17"/>
      <c r="O2797" s="17"/>
      <c r="P2797" s="17"/>
      <c r="Q2797" s="17"/>
      <c r="R2797" s="17"/>
      <c r="S2797" s="17"/>
      <c r="T2797" s="17"/>
      <c r="U2797" s="17"/>
      <c r="V2797" s="17"/>
      <c r="W2797" s="17"/>
      <c r="X2797" s="17"/>
      <c r="Y2797" s="17"/>
      <c r="Z2797" s="31"/>
      <c r="AA2797" s="32"/>
    </row>
    <row r="2798" spans="1:27" ht="12.75">
      <c r="A2798" s="17"/>
      <c r="B2798" s="17"/>
      <c r="C2798" s="17"/>
      <c r="D2798" s="17"/>
      <c r="E2798" s="17"/>
      <c r="F2798" s="17"/>
      <c r="G2798" s="17"/>
      <c r="H2798" s="17"/>
      <c r="I2798" s="31"/>
      <c r="J2798" s="17"/>
      <c r="K2798" s="17"/>
      <c r="L2798" s="17"/>
      <c r="M2798" s="17"/>
      <c r="N2798" s="17"/>
      <c r="O2798" s="17"/>
      <c r="P2798" s="17"/>
      <c r="Q2798" s="17"/>
      <c r="R2798" s="17"/>
      <c r="S2798" s="17"/>
      <c r="T2798" s="17"/>
      <c r="U2798" s="17"/>
      <c r="V2798" s="17"/>
      <c r="W2798" s="17"/>
      <c r="X2798" s="17"/>
      <c r="Y2798" s="17"/>
      <c r="Z2798" s="31"/>
      <c r="AA2798" s="32"/>
    </row>
    <row r="2799" spans="1:27" ht="12.75">
      <c r="A2799" s="17"/>
      <c r="B2799" s="17"/>
      <c r="C2799" s="17"/>
      <c r="D2799" s="17"/>
      <c r="E2799" s="17"/>
      <c r="F2799" s="17"/>
      <c r="G2799" s="17"/>
      <c r="H2799" s="17"/>
      <c r="I2799" s="31"/>
      <c r="J2799" s="17"/>
      <c r="K2799" s="17"/>
      <c r="L2799" s="17"/>
      <c r="M2799" s="17"/>
      <c r="N2799" s="17"/>
      <c r="O2799" s="17"/>
      <c r="P2799" s="17"/>
      <c r="Q2799" s="17"/>
      <c r="R2799" s="17"/>
      <c r="S2799" s="17"/>
      <c r="T2799" s="17"/>
      <c r="U2799" s="17"/>
      <c r="V2799" s="17"/>
      <c r="W2799" s="17"/>
      <c r="X2799" s="17"/>
      <c r="Y2799" s="17"/>
      <c r="Z2799" s="31"/>
      <c r="AA2799" s="32"/>
    </row>
    <row r="2800" spans="1:27" ht="12.75">
      <c r="A2800" s="17"/>
      <c r="B2800" s="17"/>
      <c r="C2800" s="17"/>
      <c r="D2800" s="17"/>
      <c r="E2800" s="17"/>
      <c r="F2800" s="17"/>
      <c r="G2800" s="17"/>
      <c r="H2800" s="17"/>
      <c r="I2800" s="31"/>
      <c r="J2800" s="17"/>
      <c r="K2800" s="17"/>
      <c r="L2800" s="17"/>
      <c r="M2800" s="17"/>
      <c r="N2800" s="17"/>
      <c r="O2800" s="17"/>
      <c r="P2800" s="17"/>
      <c r="Q2800" s="17"/>
      <c r="R2800" s="17"/>
      <c r="S2800" s="17"/>
      <c r="T2800" s="17"/>
      <c r="U2800" s="17"/>
      <c r="V2800" s="17"/>
      <c r="W2800" s="17"/>
      <c r="X2800" s="17"/>
      <c r="Y2800" s="17"/>
      <c r="Z2800" s="31"/>
      <c r="AA2800" s="32"/>
    </row>
    <row r="2801" spans="1:27" ht="12.75">
      <c r="A2801" s="17"/>
      <c r="B2801" s="17"/>
      <c r="C2801" s="17"/>
      <c r="D2801" s="17"/>
      <c r="E2801" s="17"/>
      <c r="F2801" s="17"/>
      <c r="G2801" s="17"/>
      <c r="H2801" s="17"/>
      <c r="I2801" s="31"/>
      <c r="J2801" s="17"/>
      <c r="K2801" s="17"/>
      <c r="L2801" s="17"/>
      <c r="M2801" s="17"/>
      <c r="N2801" s="17"/>
      <c r="O2801" s="17"/>
      <c r="P2801" s="17"/>
      <c r="Q2801" s="17"/>
      <c r="R2801" s="17"/>
      <c r="S2801" s="17"/>
      <c r="T2801" s="17"/>
      <c r="U2801" s="17"/>
      <c r="V2801" s="17"/>
      <c r="W2801" s="17"/>
      <c r="X2801" s="17"/>
      <c r="Y2801" s="17"/>
      <c r="Z2801" s="31"/>
      <c r="AA2801" s="32"/>
    </row>
    <row r="2802" spans="1:27" ht="12.75">
      <c r="A2802" s="17"/>
      <c r="B2802" s="17"/>
      <c r="C2802" s="17"/>
      <c r="D2802" s="17"/>
      <c r="E2802" s="17"/>
      <c r="F2802" s="17"/>
      <c r="G2802" s="17"/>
      <c r="H2802" s="17"/>
      <c r="I2802" s="31"/>
      <c r="J2802" s="17"/>
      <c r="K2802" s="17"/>
      <c r="L2802" s="17"/>
      <c r="M2802" s="17"/>
      <c r="N2802" s="17"/>
      <c r="O2802" s="17"/>
      <c r="P2802" s="17"/>
      <c r="Q2802" s="17"/>
      <c r="R2802" s="17"/>
      <c r="S2802" s="17"/>
      <c r="T2802" s="17"/>
      <c r="U2802" s="17"/>
      <c r="V2802" s="17"/>
      <c r="W2802" s="17"/>
      <c r="X2802" s="17"/>
      <c r="Y2802" s="17"/>
      <c r="Z2802" s="31"/>
      <c r="AA2802" s="32"/>
    </row>
    <row r="2803" spans="1:27" ht="12.75">
      <c r="A2803" s="17"/>
      <c r="B2803" s="17"/>
      <c r="C2803" s="17"/>
      <c r="D2803" s="17"/>
      <c r="E2803" s="17"/>
      <c r="F2803" s="17"/>
      <c r="G2803" s="17"/>
      <c r="H2803" s="17"/>
      <c r="I2803" s="31"/>
      <c r="J2803" s="17"/>
      <c r="K2803" s="17"/>
      <c r="L2803" s="17"/>
      <c r="M2803" s="17"/>
      <c r="N2803" s="17"/>
      <c r="O2803" s="17"/>
      <c r="P2803" s="17"/>
      <c r="Q2803" s="17"/>
      <c r="R2803" s="17"/>
      <c r="S2803" s="17"/>
      <c r="T2803" s="17"/>
      <c r="U2803" s="17"/>
      <c r="V2803" s="17"/>
      <c r="W2803" s="17"/>
      <c r="X2803" s="17"/>
      <c r="Y2803" s="17"/>
      <c r="Z2803" s="31"/>
      <c r="AA2803" s="32"/>
    </row>
    <row r="2804" spans="1:27" ht="12.75">
      <c r="A2804" s="17"/>
      <c r="B2804" s="17"/>
      <c r="C2804" s="17"/>
      <c r="D2804" s="17"/>
      <c r="E2804" s="17"/>
      <c r="F2804" s="17"/>
      <c r="G2804" s="17"/>
      <c r="H2804" s="17"/>
      <c r="I2804" s="31"/>
      <c r="J2804" s="17"/>
      <c r="K2804" s="17"/>
      <c r="L2804" s="17"/>
      <c r="M2804" s="17"/>
      <c r="N2804" s="17"/>
      <c r="O2804" s="17"/>
      <c r="P2804" s="17"/>
      <c r="Q2804" s="17"/>
      <c r="R2804" s="17"/>
      <c r="S2804" s="17"/>
      <c r="T2804" s="17"/>
      <c r="U2804" s="17"/>
      <c r="V2804" s="17"/>
      <c r="W2804" s="17"/>
      <c r="X2804" s="17"/>
      <c r="Y2804" s="17"/>
      <c r="Z2804" s="31"/>
      <c r="AA2804" s="32"/>
    </row>
    <row r="2805" spans="1:27" ht="12.75">
      <c r="A2805" s="17"/>
      <c r="B2805" s="17"/>
      <c r="C2805" s="17"/>
      <c r="D2805" s="17"/>
      <c r="E2805" s="17"/>
      <c r="F2805" s="17"/>
      <c r="G2805" s="17"/>
      <c r="H2805" s="17"/>
      <c r="I2805" s="31"/>
      <c r="J2805" s="17"/>
      <c r="K2805" s="17"/>
      <c r="L2805" s="17"/>
      <c r="M2805" s="17"/>
      <c r="N2805" s="17"/>
      <c r="O2805" s="17"/>
      <c r="P2805" s="17"/>
      <c r="Q2805" s="17"/>
      <c r="R2805" s="17"/>
      <c r="S2805" s="17"/>
      <c r="T2805" s="17"/>
      <c r="U2805" s="17"/>
      <c r="V2805" s="17"/>
      <c r="W2805" s="17"/>
      <c r="X2805" s="17"/>
      <c r="Y2805" s="17"/>
      <c r="Z2805" s="31"/>
      <c r="AA2805" s="32"/>
    </row>
    <row r="2806" spans="1:27" ht="12.75">
      <c r="A2806" s="17"/>
      <c r="B2806" s="17"/>
      <c r="C2806" s="17"/>
      <c r="D2806" s="17"/>
      <c r="E2806" s="17"/>
      <c r="F2806" s="17"/>
      <c r="G2806" s="17"/>
      <c r="H2806" s="17"/>
      <c r="I2806" s="31"/>
      <c r="J2806" s="17"/>
      <c r="K2806" s="17"/>
      <c r="L2806" s="17"/>
      <c r="M2806" s="17"/>
      <c r="N2806" s="17"/>
      <c r="O2806" s="17"/>
      <c r="P2806" s="17"/>
      <c r="Q2806" s="17"/>
      <c r="R2806" s="17"/>
      <c r="S2806" s="17"/>
      <c r="T2806" s="17"/>
      <c r="U2806" s="17"/>
      <c r="V2806" s="17"/>
      <c r="W2806" s="17"/>
      <c r="X2806" s="17"/>
      <c r="Y2806" s="17"/>
      <c r="Z2806" s="31"/>
      <c r="AA2806" s="32"/>
    </row>
    <row r="2807" spans="1:27" ht="12.75">
      <c r="A2807" s="17"/>
      <c r="B2807" s="17"/>
      <c r="C2807" s="17"/>
      <c r="D2807" s="17"/>
      <c r="E2807" s="17"/>
      <c r="F2807" s="17"/>
      <c r="G2807" s="17"/>
      <c r="H2807" s="17"/>
      <c r="I2807" s="31"/>
      <c r="J2807" s="17"/>
      <c r="K2807" s="17"/>
      <c r="L2807" s="17"/>
      <c r="M2807" s="17"/>
      <c r="N2807" s="17"/>
      <c r="O2807" s="17"/>
      <c r="P2807" s="17"/>
      <c r="Q2807" s="17"/>
      <c r="R2807" s="17"/>
      <c r="S2807" s="17"/>
      <c r="T2807" s="17"/>
      <c r="U2807" s="17"/>
      <c r="V2807" s="17"/>
      <c r="W2807" s="17"/>
      <c r="X2807" s="17"/>
      <c r="Y2807" s="17"/>
      <c r="Z2807" s="31"/>
      <c r="AA2807" s="32"/>
    </row>
    <row r="2808" spans="1:27" ht="12.75">
      <c r="A2808" s="17"/>
      <c r="B2808" s="17"/>
      <c r="C2808" s="17"/>
      <c r="D2808" s="17"/>
      <c r="E2808" s="17"/>
      <c r="F2808" s="17"/>
      <c r="G2808" s="17"/>
      <c r="H2808" s="17"/>
      <c r="I2808" s="31"/>
      <c r="J2808" s="17"/>
      <c r="K2808" s="17"/>
      <c r="L2808" s="17"/>
      <c r="M2808" s="17"/>
      <c r="N2808" s="17"/>
      <c r="O2808" s="17"/>
      <c r="P2808" s="17"/>
      <c r="Q2808" s="17"/>
      <c r="R2808" s="17"/>
      <c r="S2808" s="17"/>
      <c r="T2808" s="17"/>
      <c r="U2808" s="17"/>
      <c r="V2808" s="17"/>
      <c r="W2808" s="17"/>
      <c r="X2808" s="17"/>
      <c r="Y2808" s="17"/>
      <c r="Z2808" s="31"/>
      <c r="AA2808" s="32"/>
    </row>
    <row r="2809" spans="1:27" ht="12.75">
      <c r="A2809" s="17"/>
      <c r="B2809" s="17"/>
      <c r="C2809" s="17"/>
      <c r="D2809" s="17"/>
      <c r="E2809" s="17"/>
      <c r="F2809" s="17"/>
      <c r="G2809" s="17"/>
      <c r="H2809" s="17"/>
      <c r="I2809" s="31"/>
      <c r="J2809" s="17"/>
      <c r="K2809" s="17"/>
      <c r="L2809" s="17"/>
      <c r="M2809" s="17"/>
      <c r="N2809" s="17"/>
      <c r="O2809" s="17"/>
      <c r="P2809" s="17"/>
      <c r="Q2809" s="17"/>
      <c r="R2809" s="17"/>
      <c r="S2809" s="17"/>
      <c r="T2809" s="17"/>
      <c r="U2809" s="17"/>
      <c r="V2809" s="17"/>
      <c r="W2809" s="17"/>
      <c r="X2809" s="17"/>
      <c r="Y2809" s="17"/>
      <c r="Z2809" s="31"/>
      <c r="AA2809" s="32"/>
    </row>
    <row r="2810" spans="1:27" ht="12.75">
      <c r="A2810" s="17"/>
      <c r="B2810" s="17"/>
      <c r="C2810" s="17"/>
      <c r="D2810" s="17"/>
      <c r="E2810" s="17"/>
      <c r="F2810" s="17"/>
      <c r="G2810" s="17"/>
      <c r="H2810" s="17"/>
      <c r="I2810" s="31"/>
      <c r="J2810" s="17"/>
      <c r="K2810" s="17"/>
      <c r="L2810" s="17"/>
      <c r="M2810" s="17"/>
      <c r="N2810" s="17"/>
      <c r="O2810" s="17"/>
      <c r="P2810" s="17"/>
      <c r="Q2810" s="17"/>
      <c r="R2810" s="17"/>
      <c r="S2810" s="17"/>
      <c r="T2810" s="17"/>
      <c r="U2810" s="17"/>
      <c r="V2810" s="17"/>
      <c r="W2810" s="17"/>
      <c r="X2810" s="17"/>
      <c r="Y2810" s="17"/>
      <c r="Z2810" s="31"/>
      <c r="AA2810" s="32"/>
    </row>
    <row r="2811" spans="1:27" ht="12.75">
      <c r="A2811" s="17"/>
      <c r="B2811" s="17"/>
      <c r="C2811" s="17"/>
      <c r="D2811" s="17"/>
      <c r="E2811" s="17"/>
      <c r="F2811" s="17"/>
      <c r="G2811" s="17"/>
      <c r="H2811" s="17"/>
      <c r="I2811" s="31"/>
      <c r="J2811" s="17"/>
      <c r="K2811" s="17"/>
      <c r="L2811" s="17"/>
      <c r="M2811" s="17"/>
      <c r="N2811" s="17"/>
      <c r="O2811" s="17"/>
      <c r="P2811" s="17"/>
      <c r="Q2811" s="17"/>
      <c r="R2811" s="17"/>
      <c r="S2811" s="17"/>
      <c r="T2811" s="17"/>
      <c r="U2811" s="17"/>
      <c r="V2811" s="17"/>
      <c r="W2811" s="17"/>
      <c r="X2811" s="17"/>
      <c r="Y2811" s="17"/>
      <c r="Z2811" s="31"/>
      <c r="AA2811" s="32"/>
    </row>
    <row r="2812" spans="1:27" ht="12.75">
      <c r="A2812" s="17"/>
      <c r="B2812" s="17"/>
      <c r="C2812" s="17"/>
      <c r="D2812" s="17"/>
      <c r="E2812" s="17"/>
      <c r="F2812" s="17"/>
      <c r="G2812" s="17"/>
      <c r="H2812" s="17"/>
      <c r="I2812" s="31"/>
      <c r="J2812" s="17"/>
      <c r="K2812" s="17"/>
      <c r="L2812" s="17"/>
      <c r="M2812" s="17"/>
      <c r="N2812" s="17"/>
      <c r="O2812" s="17"/>
      <c r="P2812" s="17"/>
      <c r="Q2812" s="17"/>
      <c r="R2812" s="17"/>
      <c r="S2812" s="17"/>
      <c r="T2812" s="17"/>
      <c r="U2812" s="17"/>
      <c r="V2812" s="17"/>
      <c r="W2812" s="17"/>
      <c r="X2812" s="17"/>
      <c r="Y2812" s="17"/>
      <c r="Z2812" s="31"/>
      <c r="AA2812" s="32"/>
    </row>
    <row r="2813" spans="1:27" ht="12.75">
      <c r="A2813" s="17"/>
      <c r="B2813" s="17"/>
      <c r="C2813" s="17"/>
      <c r="D2813" s="17"/>
      <c r="E2813" s="17"/>
      <c r="F2813" s="17"/>
      <c r="G2813" s="17"/>
      <c r="H2813" s="17"/>
      <c r="I2813" s="31"/>
      <c r="J2813" s="17"/>
      <c r="K2813" s="17"/>
      <c r="L2813" s="17"/>
      <c r="M2813" s="17"/>
      <c r="N2813" s="17"/>
      <c r="O2813" s="17"/>
      <c r="P2813" s="17"/>
      <c r="Q2813" s="17"/>
      <c r="R2813" s="17"/>
      <c r="S2813" s="17"/>
      <c r="T2813" s="17"/>
      <c r="U2813" s="17"/>
      <c r="V2813" s="17"/>
      <c r="W2813" s="17"/>
      <c r="X2813" s="17"/>
      <c r="Y2813" s="17"/>
      <c r="Z2813" s="31"/>
      <c r="AA2813" s="32"/>
    </row>
    <row r="2814" spans="1:27" ht="12.75">
      <c r="A2814" s="17"/>
      <c r="B2814" s="17"/>
      <c r="C2814" s="17"/>
      <c r="D2814" s="17"/>
      <c r="E2814" s="17"/>
      <c r="F2814" s="17"/>
      <c r="G2814" s="17"/>
      <c r="H2814" s="17"/>
      <c r="I2814" s="31"/>
      <c r="J2814" s="17"/>
      <c r="K2814" s="17"/>
      <c r="L2814" s="17"/>
      <c r="M2814" s="17"/>
      <c r="N2814" s="17"/>
      <c r="O2814" s="17"/>
      <c r="P2814" s="17"/>
      <c r="Q2814" s="17"/>
      <c r="R2814" s="17"/>
      <c r="S2814" s="17"/>
      <c r="T2814" s="17"/>
      <c r="U2814" s="17"/>
      <c r="V2814" s="17"/>
      <c r="W2814" s="17"/>
      <c r="X2814" s="17"/>
      <c r="Y2814" s="17"/>
      <c r="Z2814" s="31"/>
      <c r="AA2814" s="32"/>
    </row>
    <row r="2815" spans="1:27" ht="12.75">
      <c r="A2815" s="17"/>
      <c r="B2815" s="17"/>
      <c r="C2815" s="17"/>
      <c r="D2815" s="17"/>
      <c r="E2815" s="17"/>
      <c r="F2815" s="17"/>
      <c r="G2815" s="17"/>
      <c r="H2815" s="17"/>
      <c r="I2815" s="31"/>
      <c r="J2815" s="17"/>
      <c r="K2815" s="17"/>
      <c r="L2815" s="17"/>
      <c r="M2815" s="17"/>
      <c r="N2815" s="17"/>
      <c r="O2815" s="17"/>
      <c r="P2815" s="17"/>
      <c r="Q2815" s="17"/>
      <c r="R2815" s="17"/>
      <c r="S2815" s="17"/>
      <c r="T2815" s="17"/>
      <c r="U2815" s="17"/>
      <c r="V2815" s="17"/>
      <c r="W2815" s="17"/>
      <c r="X2815" s="17"/>
      <c r="Y2815" s="17"/>
      <c r="Z2815" s="31"/>
      <c r="AA2815" s="32"/>
    </row>
    <row r="2816" spans="1:27" ht="12.75">
      <c r="A2816" s="17"/>
      <c r="B2816" s="17"/>
      <c r="C2816" s="17"/>
      <c r="D2816" s="17"/>
      <c r="E2816" s="17"/>
      <c r="F2816" s="17"/>
      <c r="G2816" s="17"/>
      <c r="H2816" s="17"/>
      <c r="I2816" s="31"/>
      <c r="J2816" s="17"/>
      <c r="K2816" s="17"/>
      <c r="L2816" s="17"/>
      <c r="M2816" s="17"/>
      <c r="N2816" s="17"/>
      <c r="O2816" s="17"/>
      <c r="P2816" s="17"/>
      <c r="Q2816" s="17"/>
      <c r="R2816" s="17"/>
      <c r="S2816" s="17"/>
      <c r="T2816" s="17"/>
      <c r="U2816" s="17"/>
      <c r="V2816" s="17"/>
      <c r="W2816" s="17"/>
      <c r="X2816" s="17"/>
      <c r="Y2816" s="17"/>
      <c r="Z2816" s="31"/>
      <c r="AA2816" s="32"/>
    </row>
    <row r="2817" spans="1:27" ht="12.75">
      <c r="A2817" s="17"/>
      <c r="B2817" s="17"/>
      <c r="C2817" s="17"/>
      <c r="D2817" s="17"/>
      <c r="E2817" s="17"/>
      <c r="F2817" s="17"/>
      <c r="G2817" s="17"/>
      <c r="H2817" s="17"/>
      <c r="I2817" s="31"/>
      <c r="J2817" s="17"/>
      <c r="K2817" s="17"/>
      <c r="L2817" s="17"/>
      <c r="M2817" s="17"/>
      <c r="N2817" s="17"/>
      <c r="O2817" s="17"/>
      <c r="P2817" s="17"/>
      <c r="Q2817" s="17"/>
      <c r="R2817" s="17"/>
      <c r="S2817" s="17"/>
      <c r="T2817" s="17"/>
      <c r="U2817" s="17"/>
      <c r="V2817" s="17"/>
      <c r="W2817" s="17"/>
      <c r="X2817" s="17"/>
      <c r="Y2817" s="17"/>
      <c r="Z2817" s="31"/>
      <c r="AA2817" s="32"/>
    </row>
    <row r="2818" spans="1:27" ht="12.75">
      <c r="A2818" s="17"/>
      <c r="B2818" s="17"/>
      <c r="C2818" s="17"/>
      <c r="D2818" s="17"/>
      <c r="E2818" s="17"/>
      <c r="F2818" s="17"/>
      <c r="G2818" s="17"/>
      <c r="H2818" s="17"/>
      <c r="I2818" s="31"/>
      <c r="J2818" s="17"/>
      <c r="K2818" s="17"/>
      <c r="L2818" s="17"/>
      <c r="M2818" s="17"/>
      <c r="N2818" s="17"/>
      <c r="O2818" s="17"/>
      <c r="P2818" s="17"/>
      <c r="Q2818" s="17"/>
      <c r="R2818" s="17"/>
      <c r="S2818" s="17"/>
      <c r="T2818" s="17"/>
      <c r="U2818" s="17"/>
      <c r="V2818" s="17"/>
      <c r="W2818" s="17"/>
      <c r="X2818" s="17"/>
      <c r="Y2818" s="17"/>
      <c r="Z2818" s="31"/>
      <c r="AA2818" s="32"/>
    </row>
    <row r="2819" spans="1:27" ht="12.75">
      <c r="A2819" s="17"/>
      <c r="B2819" s="17"/>
      <c r="C2819" s="17"/>
      <c r="D2819" s="17"/>
      <c r="E2819" s="17"/>
      <c r="F2819" s="17"/>
      <c r="G2819" s="17"/>
      <c r="H2819" s="17"/>
      <c r="I2819" s="31"/>
      <c r="J2819" s="17"/>
      <c r="K2819" s="17"/>
      <c r="L2819" s="17"/>
      <c r="M2819" s="17"/>
      <c r="N2819" s="17"/>
      <c r="O2819" s="17"/>
      <c r="P2819" s="17"/>
      <c r="Q2819" s="17"/>
      <c r="R2819" s="17"/>
      <c r="S2819" s="17"/>
      <c r="T2819" s="17"/>
      <c r="U2819" s="17"/>
      <c r="V2819" s="17"/>
      <c r="W2819" s="17"/>
      <c r="X2819" s="17"/>
      <c r="Y2819" s="17"/>
      <c r="Z2819" s="31"/>
      <c r="AA2819" s="32"/>
    </row>
    <row r="2820" spans="1:27" ht="12.75">
      <c r="A2820" s="17"/>
      <c r="B2820" s="17"/>
      <c r="C2820" s="17"/>
      <c r="D2820" s="17"/>
      <c r="E2820" s="17"/>
      <c r="F2820" s="17"/>
      <c r="G2820" s="17"/>
      <c r="H2820" s="17"/>
      <c r="I2820" s="31"/>
      <c r="J2820" s="17"/>
      <c r="K2820" s="17"/>
      <c r="L2820" s="17"/>
      <c r="M2820" s="17"/>
      <c r="N2820" s="17"/>
      <c r="O2820" s="17"/>
      <c r="P2820" s="17"/>
      <c r="Q2820" s="17"/>
      <c r="R2820" s="17"/>
      <c r="S2820" s="17"/>
      <c r="T2820" s="17"/>
      <c r="U2820" s="17"/>
      <c r="V2820" s="17"/>
      <c r="W2820" s="17"/>
      <c r="X2820" s="17"/>
      <c r="Y2820" s="17"/>
      <c r="Z2820" s="31"/>
      <c r="AA2820" s="32"/>
    </row>
    <row r="2821" spans="1:27" ht="12.75">
      <c r="A2821" s="17"/>
      <c r="B2821" s="17"/>
      <c r="C2821" s="17"/>
      <c r="D2821" s="17"/>
      <c r="E2821" s="17"/>
      <c r="F2821" s="17"/>
      <c r="G2821" s="17"/>
      <c r="H2821" s="17"/>
      <c r="I2821" s="31"/>
      <c r="J2821" s="17"/>
      <c r="K2821" s="17"/>
      <c r="L2821" s="17"/>
      <c r="M2821" s="17"/>
      <c r="N2821" s="17"/>
      <c r="O2821" s="17"/>
      <c r="P2821" s="17"/>
      <c r="Q2821" s="17"/>
      <c r="R2821" s="17"/>
      <c r="S2821" s="17"/>
      <c r="T2821" s="17"/>
      <c r="U2821" s="17"/>
      <c r="V2821" s="17"/>
      <c r="W2821" s="17"/>
      <c r="X2821" s="17"/>
      <c r="Y2821" s="17"/>
      <c r="Z2821" s="31"/>
      <c r="AA2821" s="32"/>
    </row>
    <row r="2822" spans="1:27" ht="12.75">
      <c r="A2822" s="17"/>
      <c r="B2822" s="17"/>
      <c r="C2822" s="17"/>
      <c r="D2822" s="17"/>
      <c r="E2822" s="17"/>
      <c r="F2822" s="17"/>
      <c r="G2822" s="17"/>
      <c r="H2822" s="17"/>
      <c r="I2822" s="31"/>
      <c r="J2822" s="17"/>
      <c r="K2822" s="17"/>
      <c r="L2822" s="17"/>
      <c r="M2822" s="17"/>
      <c r="N2822" s="17"/>
      <c r="O2822" s="17"/>
      <c r="P2822" s="17"/>
      <c r="Q2822" s="17"/>
      <c r="R2822" s="17"/>
      <c r="S2822" s="17"/>
      <c r="T2822" s="17"/>
      <c r="U2822" s="17"/>
      <c r="V2822" s="17"/>
      <c r="W2822" s="17"/>
      <c r="X2822" s="17"/>
      <c r="Y2822" s="17"/>
      <c r="Z2822" s="31"/>
      <c r="AA2822" s="32"/>
    </row>
    <row r="2823" spans="1:27" ht="12.75">
      <c r="A2823" s="17"/>
      <c r="B2823" s="17"/>
      <c r="C2823" s="17"/>
      <c r="D2823" s="17"/>
      <c r="E2823" s="17"/>
      <c r="F2823" s="17"/>
      <c r="G2823" s="17"/>
      <c r="H2823" s="17"/>
      <c r="I2823" s="31"/>
      <c r="J2823" s="17"/>
      <c r="K2823" s="17"/>
      <c r="L2823" s="17"/>
      <c r="M2823" s="17"/>
      <c r="N2823" s="17"/>
      <c r="O2823" s="17"/>
      <c r="P2823" s="17"/>
      <c r="Q2823" s="17"/>
      <c r="R2823" s="17"/>
      <c r="S2823" s="17"/>
      <c r="T2823" s="17"/>
      <c r="U2823" s="17"/>
      <c r="V2823" s="17"/>
      <c r="W2823" s="17"/>
      <c r="X2823" s="17"/>
      <c r="Y2823" s="17"/>
      <c r="Z2823" s="31"/>
      <c r="AA2823" s="32"/>
    </row>
    <row r="2824" spans="1:27" ht="12.75">
      <c r="A2824" s="17"/>
      <c r="B2824" s="17"/>
      <c r="C2824" s="17"/>
      <c r="D2824" s="17"/>
      <c r="E2824" s="17"/>
      <c r="F2824" s="17"/>
      <c r="G2824" s="17"/>
      <c r="H2824" s="17"/>
      <c r="I2824" s="31"/>
      <c r="J2824" s="17"/>
      <c r="K2824" s="17"/>
      <c r="L2824" s="17"/>
      <c r="M2824" s="17"/>
      <c r="N2824" s="17"/>
      <c r="O2824" s="17"/>
      <c r="P2824" s="17"/>
      <c r="Q2824" s="17"/>
      <c r="R2824" s="17"/>
      <c r="S2824" s="17"/>
      <c r="T2824" s="17"/>
      <c r="U2824" s="17"/>
      <c r="V2824" s="17"/>
      <c r="W2824" s="17"/>
      <c r="X2824" s="17"/>
      <c r="Y2824" s="17"/>
      <c r="Z2824" s="31"/>
      <c r="AA2824" s="32"/>
    </row>
    <row r="2825" spans="1:27" ht="12.75">
      <c r="A2825" s="17"/>
      <c r="B2825" s="17"/>
      <c r="C2825" s="17"/>
      <c r="D2825" s="17"/>
      <c r="E2825" s="17"/>
      <c r="F2825" s="17"/>
      <c r="G2825" s="17"/>
      <c r="H2825" s="17"/>
      <c r="I2825" s="31"/>
      <c r="J2825" s="17"/>
      <c r="K2825" s="17"/>
      <c r="L2825" s="17"/>
      <c r="M2825" s="17"/>
      <c r="N2825" s="17"/>
      <c r="O2825" s="17"/>
      <c r="P2825" s="17"/>
      <c r="Q2825" s="17"/>
      <c r="R2825" s="17"/>
      <c r="S2825" s="17"/>
      <c r="T2825" s="17"/>
      <c r="U2825" s="17"/>
      <c r="V2825" s="17"/>
      <c r="W2825" s="17"/>
      <c r="X2825" s="17"/>
      <c r="Y2825" s="17"/>
      <c r="Z2825" s="31"/>
      <c r="AA2825" s="32"/>
    </row>
    <row r="2826" spans="1:27" ht="12.75">
      <c r="A2826" s="17"/>
      <c r="B2826" s="17"/>
      <c r="C2826" s="17"/>
      <c r="D2826" s="17"/>
      <c r="E2826" s="17"/>
      <c r="F2826" s="17"/>
      <c r="G2826" s="17"/>
      <c r="H2826" s="17"/>
      <c r="I2826" s="31"/>
      <c r="J2826" s="17"/>
      <c r="K2826" s="17"/>
      <c r="L2826" s="17"/>
      <c r="M2826" s="17"/>
      <c r="N2826" s="17"/>
      <c r="O2826" s="17"/>
      <c r="P2826" s="17"/>
      <c r="Q2826" s="17"/>
      <c r="R2826" s="17"/>
      <c r="S2826" s="17"/>
      <c r="T2826" s="17"/>
      <c r="U2826" s="17"/>
      <c r="V2826" s="17"/>
      <c r="W2826" s="17"/>
      <c r="X2826" s="17"/>
      <c r="Y2826" s="17"/>
      <c r="Z2826" s="31"/>
      <c r="AA2826" s="32"/>
    </row>
    <row r="2827" spans="1:27" ht="12.75">
      <c r="A2827" s="17"/>
      <c r="B2827" s="17"/>
      <c r="C2827" s="17"/>
      <c r="D2827" s="17"/>
      <c r="E2827" s="17"/>
      <c r="F2827" s="17"/>
      <c r="G2827" s="17"/>
      <c r="H2827" s="17"/>
      <c r="I2827" s="31"/>
      <c r="J2827" s="17"/>
      <c r="K2827" s="17"/>
      <c r="L2827" s="17"/>
      <c r="M2827" s="17"/>
      <c r="N2827" s="17"/>
      <c r="O2827" s="17"/>
      <c r="P2827" s="17"/>
      <c r="Q2827" s="17"/>
      <c r="R2827" s="17"/>
      <c r="S2827" s="17"/>
      <c r="T2827" s="17"/>
      <c r="U2827" s="17"/>
      <c r="V2827" s="17"/>
      <c r="W2827" s="17"/>
      <c r="X2827" s="17"/>
      <c r="Y2827" s="17"/>
      <c r="Z2827" s="31"/>
      <c r="AA2827" s="32"/>
    </row>
    <row r="2828" spans="1:27" ht="12.75">
      <c r="A2828" s="17"/>
      <c r="B2828" s="17"/>
      <c r="C2828" s="17"/>
      <c r="D2828" s="17"/>
      <c r="E2828" s="17"/>
      <c r="F2828" s="17"/>
      <c r="G2828" s="17"/>
      <c r="H2828" s="17"/>
      <c r="I2828" s="31"/>
      <c r="J2828" s="17"/>
      <c r="K2828" s="17"/>
      <c r="L2828" s="17"/>
      <c r="M2828" s="17"/>
      <c r="N2828" s="17"/>
      <c r="O2828" s="17"/>
      <c r="P2828" s="17"/>
      <c r="Q2828" s="17"/>
      <c r="R2828" s="17"/>
      <c r="S2828" s="17"/>
      <c r="T2828" s="17"/>
      <c r="U2828" s="17"/>
      <c r="V2828" s="17"/>
      <c r="W2828" s="17"/>
      <c r="X2828" s="17"/>
      <c r="Y2828" s="17"/>
      <c r="Z2828" s="31"/>
      <c r="AA2828" s="32"/>
    </row>
    <row r="2829" spans="1:27" ht="12.75">
      <c r="A2829" s="17"/>
      <c r="B2829" s="17"/>
      <c r="C2829" s="17"/>
      <c r="D2829" s="17"/>
      <c r="E2829" s="17"/>
      <c r="F2829" s="17"/>
      <c r="G2829" s="17"/>
      <c r="H2829" s="17"/>
      <c r="I2829" s="31"/>
      <c r="J2829" s="17"/>
      <c r="K2829" s="17"/>
      <c r="L2829" s="17"/>
      <c r="M2829" s="17"/>
      <c r="N2829" s="17"/>
      <c r="O2829" s="17"/>
      <c r="P2829" s="17"/>
      <c r="Q2829" s="17"/>
      <c r="R2829" s="17"/>
      <c r="S2829" s="17"/>
      <c r="T2829" s="17"/>
      <c r="U2829" s="17"/>
      <c r="V2829" s="17"/>
      <c r="W2829" s="17"/>
      <c r="X2829" s="17"/>
      <c r="Y2829" s="17"/>
      <c r="Z2829" s="31"/>
      <c r="AA2829" s="32"/>
    </row>
    <row r="2830" spans="1:27" ht="12.75">
      <c r="A2830" s="17"/>
      <c r="B2830" s="17"/>
      <c r="C2830" s="17"/>
      <c r="D2830" s="17"/>
      <c r="E2830" s="17"/>
      <c r="F2830" s="17"/>
      <c r="G2830" s="17"/>
      <c r="H2830" s="17"/>
      <c r="I2830" s="31"/>
      <c r="J2830" s="17"/>
      <c r="K2830" s="17"/>
      <c r="L2830" s="17"/>
      <c r="M2830" s="17"/>
      <c r="N2830" s="17"/>
      <c r="O2830" s="17"/>
      <c r="P2830" s="17"/>
      <c r="Q2830" s="17"/>
      <c r="R2830" s="17"/>
      <c r="S2830" s="17"/>
      <c r="T2830" s="17"/>
      <c r="U2830" s="17"/>
      <c r="V2830" s="17"/>
      <c r="W2830" s="17"/>
      <c r="X2830" s="17"/>
      <c r="Y2830" s="17"/>
      <c r="Z2830" s="31"/>
      <c r="AA2830" s="32"/>
    </row>
    <row r="2831" spans="1:27" ht="12.75">
      <c r="A2831" s="17"/>
      <c r="B2831" s="17"/>
      <c r="C2831" s="17"/>
      <c r="D2831" s="17"/>
      <c r="E2831" s="17"/>
      <c r="F2831" s="17"/>
      <c r="G2831" s="17"/>
      <c r="H2831" s="17"/>
      <c r="I2831" s="31"/>
      <c r="J2831" s="17"/>
      <c r="K2831" s="17"/>
      <c r="L2831" s="17"/>
      <c r="M2831" s="17"/>
      <c r="N2831" s="17"/>
      <c r="O2831" s="17"/>
      <c r="P2831" s="17"/>
      <c r="Q2831" s="17"/>
      <c r="R2831" s="17"/>
      <c r="S2831" s="17"/>
      <c r="T2831" s="17"/>
      <c r="U2831" s="17"/>
      <c r="V2831" s="17"/>
      <c r="W2831" s="17"/>
      <c r="X2831" s="17"/>
      <c r="Y2831" s="17"/>
      <c r="Z2831" s="31"/>
      <c r="AA2831" s="32"/>
    </row>
    <row r="2832" spans="1:27" ht="12.75">
      <c r="A2832" s="17"/>
      <c r="B2832" s="17"/>
      <c r="C2832" s="17"/>
      <c r="D2832" s="17"/>
      <c r="E2832" s="17"/>
      <c r="F2832" s="17"/>
      <c r="G2832" s="17"/>
      <c r="H2832" s="17"/>
      <c r="I2832" s="31"/>
      <c r="J2832" s="17"/>
      <c r="K2832" s="17"/>
      <c r="L2832" s="17"/>
      <c r="M2832" s="17"/>
      <c r="N2832" s="17"/>
      <c r="O2832" s="17"/>
      <c r="P2832" s="17"/>
      <c r="Q2832" s="17"/>
      <c r="R2832" s="17"/>
      <c r="S2832" s="17"/>
      <c r="T2832" s="17"/>
      <c r="U2832" s="17"/>
      <c r="V2832" s="17"/>
      <c r="W2832" s="17"/>
      <c r="X2832" s="17"/>
      <c r="Y2832" s="17"/>
      <c r="Z2832" s="31"/>
      <c r="AA2832" s="32"/>
    </row>
    <row r="2833" spans="1:27" ht="12.75">
      <c r="A2833" s="17"/>
      <c r="B2833" s="17"/>
      <c r="C2833" s="17"/>
      <c r="D2833" s="17"/>
      <c r="E2833" s="17"/>
      <c r="F2833" s="17"/>
      <c r="G2833" s="17"/>
      <c r="H2833" s="17"/>
      <c r="I2833" s="31"/>
      <c r="J2833" s="17"/>
      <c r="K2833" s="17"/>
      <c r="L2833" s="17"/>
      <c r="M2833" s="17"/>
      <c r="N2833" s="17"/>
      <c r="O2833" s="17"/>
      <c r="P2833" s="17"/>
      <c r="Q2833" s="17"/>
      <c r="R2833" s="17"/>
      <c r="S2833" s="17"/>
      <c r="T2833" s="17"/>
      <c r="U2833" s="17"/>
      <c r="V2833" s="17"/>
      <c r="W2833" s="17"/>
      <c r="X2833" s="17"/>
      <c r="Y2833" s="17"/>
      <c r="Z2833" s="31"/>
      <c r="AA2833" s="32"/>
    </row>
    <row r="2834" spans="1:27" ht="12.75">
      <c r="A2834" s="17"/>
      <c r="B2834" s="17"/>
      <c r="C2834" s="17"/>
      <c r="D2834" s="17"/>
      <c r="E2834" s="17"/>
      <c r="F2834" s="17"/>
      <c r="G2834" s="17"/>
      <c r="H2834" s="17"/>
      <c r="I2834" s="31"/>
      <c r="J2834" s="17"/>
      <c r="K2834" s="17"/>
      <c r="L2834" s="17"/>
      <c r="M2834" s="17"/>
      <c r="N2834" s="17"/>
      <c r="O2834" s="17"/>
      <c r="P2834" s="17"/>
      <c r="Q2834" s="17"/>
      <c r="R2834" s="17"/>
      <c r="S2834" s="17"/>
      <c r="T2834" s="17"/>
      <c r="U2834" s="17"/>
      <c r="V2834" s="17"/>
      <c r="W2834" s="17"/>
      <c r="X2834" s="17"/>
      <c r="Y2834" s="17"/>
      <c r="Z2834" s="31"/>
      <c r="AA2834" s="32"/>
    </row>
    <row r="2835" spans="1:27" ht="12.75">
      <c r="A2835" s="17"/>
      <c r="B2835" s="17"/>
      <c r="C2835" s="17"/>
      <c r="D2835" s="17"/>
      <c r="E2835" s="17"/>
      <c r="F2835" s="17"/>
      <c r="G2835" s="17"/>
      <c r="H2835" s="17"/>
      <c r="I2835" s="31"/>
      <c r="J2835" s="17"/>
      <c r="K2835" s="17"/>
      <c r="L2835" s="17"/>
      <c r="M2835" s="17"/>
      <c r="N2835" s="17"/>
      <c r="O2835" s="17"/>
      <c r="P2835" s="17"/>
      <c r="Q2835" s="17"/>
      <c r="R2835" s="17"/>
      <c r="S2835" s="17"/>
      <c r="T2835" s="17"/>
      <c r="U2835" s="17"/>
      <c r="V2835" s="17"/>
      <c r="W2835" s="17"/>
      <c r="X2835" s="17"/>
      <c r="Y2835" s="17"/>
      <c r="Z2835" s="31"/>
      <c r="AA2835" s="32"/>
    </row>
    <row r="2836" spans="1:27" ht="12.75">
      <c r="A2836" s="17"/>
      <c r="B2836" s="17"/>
      <c r="C2836" s="17"/>
      <c r="D2836" s="17"/>
      <c r="E2836" s="17"/>
      <c r="F2836" s="17"/>
      <c r="G2836" s="17"/>
      <c r="H2836" s="17"/>
      <c r="I2836" s="31"/>
      <c r="J2836" s="17"/>
      <c r="K2836" s="17"/>
      <c r="L2836" s="17"/>
      <c r="M2836" s="17"/>
      <c r="N2836" s="17"/>
      <c r="O2836" s="17"/>
      <c r="P2836" s="17"/>
      <c r="Q2836" s="17"/>
      <c r="R2836" s="17"/>
      <c r="S2836" s="17"/>
      <c r="T2836" s="17"/>
      <c r="U2836" s="17"/>
      <c r="V2836" s="17"/>
      <c r="W2836" s="17"/>
      <c r="X2836" s="17"/>
      <c r="Y2836" s="17"/>
      <c r="Z2836" s="31"/>
      <c r="AA2836" s="32"/>
    </row>
    <row r="2837" spans="1:27" ht="12.75">
      <c r="A2837" s="17"/>
      <c r="B2837" s="17"/>
      <c r="C2837" s="17"/>
      <c r="D2837" s="17"/>
      <c r="E2837" s="17"/>
      <c r="F2837" s="17"/>
      <c r="G2837" s="17"/>
      <c r="H2837" s="17"/>
      <c r="I2837" s="31"/>
      <c r="J2837" s="17"/>
      <c r="K2837" s="17"/>
      <c r="L2837" s="17"/>
      <c r="M2837" s="17"/>
      <c r="N2837" s="17"/>
      <c r="O2837" s="17"/>
      <c r="P2837" s="17"/>
      <c r="Q2837" s="17"/>
      <c r="R2837" s="17"/>
      <c r="S2837" s="17"/>
      <c r="T2837" s="17"/>
      <c r="U2837" s="17"/>
      <c r="V2837" s="17"/>
      <c r="W2837" s="17"/>
      <c r="X2837" s="17"/>
      <c r="Y2837" s="17"/>
      <c r="Z2837" s="31"/>
      <c r="AA2837" s="32"/>
    </row>
    <row r="2838" spans="1:27" ht="12.75">
      <c r="A2838" s="17"/>
      <c r="B2838" s="17"/>
      <c r="C2838" s="17"/>
      <c r="D2838" s="17"/>
      <c r="E2838" s="17"/>
      <c r="F2838" s="17"/>
      <c r="G2838" s="17"/>
      <c r="H2838" s="17"/>
      <c r="I2838" s="31"/>
      <c r="J2838" s="17"/>
      <c r="K2838" s="17"/>
      <c r="L2838" s="17"/>
      <c r="M2838" s="17"/>
      <c r="N2838" s="17"/>
      <c r="O2838" s="17"/>
      <c r="P2838" s="17"/>
      <c r="Q2838" s="17"/>
      <c r="R2838" s="17"/>
      <c r="S2838" s="17"/>
      <c r="T2838" s="17"/>
      <c r="U2838" s="17"/>
      <c r="V2838" s="17"/>
      <c r="W2838" s="17"/>
      <c r="X2838" s="17"/>
      <c r="Y2838" s="17"/>
      <c r="Z2838" s="31"/>
      <c r="AA2838" s="32"/>
    </row>
    <row r="2839" spans="1:27" ht="12.75">
      <c r="A2839" s="17"/>
      <c r="B2839" s="17"/>
      <c r="C2839" s="17"/>
      <c r="D2839" s="17"/>
      <c r="E2839" s="17"/>
      <c r="F2839" s="17"/>
      <c r="G2839" s="17"/>
      <c r="H2839" s="17"/>
      <c r="I2839" s="31"/>
      <c r="J2839" s="17"/>
      <c r="K2839" s="17"/>
      <c r="L2839" s="17"/>
      <c r="M2839" s="17"/>
      <c r="N2839" s="17"/>
      <c r="O2839" s="17"/>
      <c r="P2839" s="17"/>
      <c r="Q2839" s="17"/>
      <c r="R2839" s="17"/>
      <c r="S2839" s="17"/>
      <c r="T2839" s="17"/>
      <c r="U2839" s="17"/>
      <c r="V2839" s="17"/>
      <c r="W2839" s="17"/>
      <c r="X2839" s="17"/>
      <c r="Y2839" s="17"/>
      <c r="Z2839" s="31"/>
      <c r="AA2839" s="32"/>
    </row>
    <row r="2840" spans="1:27" ht="12.75">
      <c r="A2840" s="17"/>
      <c r="B2840" s="17"/>
      <c r="C2840" s="17"/>
      <c r="D2840" s="17"/>
      <c r="E2840" s="17"/>
      <c r="F2840" s="17"/>
      <c r="G2840" s="17"/>
      <c r="H2840" s="17"/>
      <c r="I2840" s="31"/>
      <c r="J2840" s="17"/>
      <c r="K2840" s="17"/>
      <c r="L2840" s="17"/>
      <c r="M2840" s="17"/>
      <c r="N2840" s="17"/>
      <c r="O2840" s="17"/>
      <c r="P2840" s="17"/>
      <c r="Q2840" s="17"/>
      <c r="R2840" s="17"/>
      <c r="S2840" s="17"/>
      <c r="T2840" s="17"/>
      <c r="U2840" s="17"/>
      <c r="V2840" s="17"/>
      <c r="W2840" s="17"/>
      <c r="X2840" s="17"/>
      <c r="Y2840" s="17"/>
      <c r="Z2840" s="31"/>
      <c r="AA2840" s="32"/>
    </row>
    <row r="2841" spans="1:27" ht="12.75">
      <c r="A2841" s="17"/>
      <c r="B2841" s="17"/>
      <c r="C2841" s="17"/>
      <c r="D2841" s="17"/>
      <c r="E2841" s="17"/>
      <c r="F2841" s="17"/>
      <c r="G2841" s="17"/>
      <c r="H2841" s="17"/>
      <c r="I2841" s="31"/>
      <c r="J2841" s="17"/>
      <c r="K2841" s="17"/>
      <c r="L2841" s="17"/>
      <c r="M2841" s="17"/>
      <c r="N2841" s="17"/>
      <c r="O2841" s="17"/>
      <c r="P2841" s="17"/>
      <c r="Q2841" s="17"/>
      <c r="R2841" s="17"/>
      <c r="S2841" s="17"/>
      <c r="T2841" s="17"/>
      <c r="U2841" s="17"/>
      <c r="V2841" s="17"/>
      <c r="W2841" s="17"/>
      <c r="X2841" s="17"/>
      <c r="Y2841" s="17"/>
      <c r="Z2841" s="31"/>
      <c r="AA2841" s="32"/>
    </row>
    <row r="2842" spans="1:27" ht="12.75">
      <c r="A2842" s="17"/>
      <c r="B2842" s="17"/>
      <c r="C2842" s="17"/>
      <c r="D2842" s="17"/>
      <c r="E2842" s="17"/>
      <c r="F2842" s="17"/>
      <c r="G2842" s="17"/>
      <c r="H2842" s="17"/>
      <c r="I2842" s="31"/>
      <c r="J2842" s="17"/>
      <c r="K2842" s="17"/>
      <c r="L2842" s="17"/>
      <c r="M2842" s="17"/>
      <c r="N2842" s="17"/>
      <c r="O2842" s="17"/>
      <c r="P2842" s="17"/>
      <c r="Q2842" s="17"/>
      <c r="R2842" s="17"/>
      <c r="S2842" s="17"/>
      <c r="T2842" s="17"/>
      <c r="U2842" s="17"/>
      <c r="V2842" s="17"/>
      <c r="W2842" s="17"/>
      <c r="X2842" s="17"/>
      <c r="Y2842" s="17"/>
      <c r="Z2842" s="31"/>
      <c r="AA2842" s="32"/>
    </row>
    <row r="2843" spans="1:27" ht="12.75">
      <c r="A2843" s="17"/>
      <c r="B2843" s="17"/>
      <c r="C2843" s="17"/>
      <c r="D2843" s="17"/>
      <c r="E2843" s="17"/>
      <c r="F2843" s="17"/>
      <c r="G2843" s="17"/>
      <c r="H2843" s="17"/>
      <c r="I2843" s="31"/>
      <c r="J2843" s="17"/>
      <c r="K2843" s="17"/>
      <c r="L2843" s="17"/>
      <c r="M2843" s="17"/>
      <c r="N2843" s="17"/>
      <c r="O2843" s="17"/>
      <c r="P2843" s="17"/>
      <c r="Q2843" s="17"/>
      <c r="R2843" s="17"/>
      <c r="S2843" s="17"/>
      <c r="T2843" s="17"/>
      <c r="U2843" s="17"/>
      <c r="V2843" s="17"/>
      <c r="W2843" s="17"/>
      <c r="X2843" s="17"/>
      <c r="Y2843" s="17"/>
      <c r="Z2843" s="31"/>
      <c r="AA2843" s="32"/>
    </row>
    <row r="2844" spans="1:27" ht="12.75">
      <c r="A2844" s="17"/>
      <c r="B2844" s="17"/>
      <c r="C2844" s="17"/>
      <c r="D2844" s="17"/>
      <c r="E2844" s="17"/>
      <c r="F2844" s="17"/>
      <c r="G2844" s="17"/>
      <c r="H2844" s="17"/>
      <c r="I2844" s="31"/>
      <c r="J2844" s="17"/>
      <c r="K2844" s="17"/>
      <c r="L2844" s="17"/>
      <c r="M2844" s="17"/>
      <c r="N2844" s="17"/>
      <c r="O2844" s="17"/>
      <c r="P2844" s="17"/>
      <c r="Q2844" s="17"/>
      <c r="R2844" s="17"/>
      <c r="S2844" s="17"/>
      <c r="T2844" s="17"/>
      <c r="U2844" s="17"/>
      <c r="V2844" s="17"/>
      <c r="W2844" s="17"/>
      <c r="X2844" s="17"/>
      <c r="Y2844" s="17"/>
      <c r="Z2844" s="31"/>
      <c r="AA2844" s="32"/>
    </row>
    <row r="2845" spans="1:27" ht="12.75">
      <c r="A2845" s="17"/>
      <c r="B2845" s="17"/>
      <c r="C2845" s="17"/>
      <c r="D2845" s="17"/>
      <c r="E2845" s="17"/>
      <c r="F2845" s="17"/>
      <c r="G2845" s="17"/>
      <c r="H2845" s="17"/>
      <c r="I2845" s="31"/>
      <c r="J2845" s="17"/>
      <c r="K2845" s="17"/>
      <c r="L2845" s="17"/>
      <c r="M2845" s="17"/>
      <c r="N2845" s="17"/>
      <c r="O2845" s="17"/>
      <c r="P2845" s="17"/>
      <c r="Q2845" s="17"/>
      <c r="R2845" s="17"/>
      <c r="S2845" s="17"/>
      <c r="T2845" s="17"/>
      <c r="U2845" s="17"/>
      <c r="V2845" s="17"/>
      <c r="W2845" s="17"/>
      <c r="X2845" s="17"/>
      <c r="Y2845" s="17"/>
      <c r="Z2845" s="31"/>
      <c r="AA2845" s="32"/>
    </row>
    <row r="2846" spans="1:27" ht="12.75">
      <c r="A2846" s="17"/>
      <c r="B2846" s="17"/>
      <c r="C2846" s="17"/>
      <c r="D2846" s="17"/>
      <c r="E2846" s="17"/>
      <c r="F2846" s="17"/>
      <c r="G2846" s="17"/>
      <c r="H2846" s="17"/>
      <c r="I2846" s="31"/>
      <c r="J2846" s="17"/>
      <c r="K2846" s="17"/>
      <c r="L2846" s="17"/>
      <c r="M2846" s="17"/>
      <c r="N2846" s="17"/>
      <c r="O2846" s="17"/>
      <c r="P2846" s="17"/>
      <c r="Q2846" s="17"/>
      <c r="R2846" s="17"/>
      <c r="S2846" s="17"/>
      <c r="T2846" s="17"/>
      <c r="U2846" s="17"/>
      <c r="V2846" s="17"/>
      <c r="W2846" s="17"/>
      <c r="X2846" s="17"/>
      <c r="Y2846" s="17"/>
      <c r="Z2846" s="31"/>
      <c r="AA2846" s="32"/>
    </row>
    <row r="2847" spans="1:27" ht="12.75">
      <c r="A2847" s="17"/>
      <c r="B2847" s="17"/>
      <c r="C2847" s="17"/>
      <c r="D2847" s="17"/>
      <c r="E2847" s="17"/>
      <c r="F2847" s="17"/>
      <c r="G2847" s="17"/>
      <c r="H2847" s="17"/>
      <c r="I2847" s="31"/>
      <c r="J2847" s="17"/>
      <c r="K2847" s="17"/>
      <c r="L2847" s="17"/>
      <c r="M2847" s="17"/>
      <c r="N2847" s="17"/>
      <c r="O2847" s="17"/>
      <c r="P2847" s="17"/>
      <c r="Q2847" s="17"/>
      <c r="R2847" s="17"/>
      <c r="S2847" s="17"/>
      <c r="T2847" s="17"/>
      <c r="U2847" s="17"/>
      <c r="V2847" s="17"/>
      <c r="W2847" s="17"/>
      <c r="X2847" s="17"/>
      <c r="Y2847" s="17"/>
      <c r="Z2847" s="31"/>
      <c r="AA2847" s="32"/>
    </row>
    <row r="2848" spans="1:27" ht="12.75">
      <c r="A2848" s="17"/>
      <c r="B2848" s="17"/>
      <c r="C2848" s="17"/>
      <c r="D2848" s="17"/>
      <c r="E2848" s="17"/>
      <c r="F2848" s="17"/>
      <c r="G2848" s="17"/>
      <c r="H2848" s="17"/>
      <c r="I2848" s="31"/>
      <c r="J2848" s="17"/>
      <c r="K2848" s="17"/>
      <c r="L2848" s="17"/>
      <c r="M2848" s="17"/>
      <c r="N2848" s="17"/>
      <c r="O2848" s="17"/>
      <c r="P2848" s="17"/>
      <c r="Q2848" s="17"/>
      <c r="R2848" s="17"/>
      <c r="S2848" s="17"/>
      <c r="T2848" s="17"/>
      <c r="U2848" s="17"/>
      <c r="V2848" s="17"/>
      <c r="W2848" s="17"/>
      <c r="X2848" s="17"/>
      <c r="Y2848" s="17"/>
      <c r="Z2848" s="31"/>
      <c r="AA2848" s="32"/>
    </row>
    <row r="2849" spans="1:27" ht="12.75">
      <c r="A2849" s="17"/>
      <c r="B2849" s="17"/>
      <c r="C2849" s="17"/>
      <c r="D2849" s="17"/>
      <c r="E2849" s="17"/>
      <c r="F2849" s="17"/>
      <c r="G2849" s="17"/>
      <c r="H2849" s="17"/>
      <c r="I2849" s="31"/>
      <c r="J2849" s="17"/>
      <c r="K2849" s="17"/>
      <c r="L2849" s="17"/>
      <c r="M2849" s="17"/>
      <c r="N2849" s="17"/>
      <c r="O2849" s="17"/>
      <c r="P2849" s="17"/>
      <c r="Q2849" s="17"/>
      <c r="R2849" s="17"/>
      <c r="S2849" s="17"/>
      <c r="T2849" s="17"/>
      <c r="U2849" s="17"/>
      <c r="V2849" s="17"/>
      <c r="W2849" s="17"/>
      <c r="X2849" s="17"/>
      <c r="Y2849" s="17"/>
      <c r="Z2849" s="31"/>
      <c r="AA2849" s="32"/>
    </row>
    <row r="2850" spans="1:27" ht="12.75">
      <c r="A2850" s="17"/>
      <c r="B2850" s="17"/>
      <c r="C2850" s="17"/>
      <c r="D2850" s="17"/>
      <c r="E2850" s="17"/>
      <c r="F2850" s="17"/>
      <c r="G2850" s="17"/>
      <c r="H2850" s="17"/>
      <c r="I2850" s="31"/>
      <c r="J2850" s="17"/>
      <c r="K2850" s="17"/>
      <c r="L2850" s="17"/>
      <c r="M2850" s="17"/>
      <c r="N2850" s="17"/>
      <c r="O2850" s="17"/>
      <c r="P2850" s="17"/>
      <c r="Q2850" s="17"/>
      <c r="R2850" s="17"/>
      <c r="S2850" s="17"/>
      <c r="T2850" s="17"/>
      <c r="U2850" s="17"/>
      <c r="V2850" s="17"/>
      <c r="W2850" s="17"/>
      <c r="X2850" s="17"/>
      <c r="Y2850" s="17"/>
      <c r="Z2850" s="31"/>
      <c r="AA2850" s="32"/>
    </row>
    <row r="2851" spans="1:27" ht="12.75">
      <c r="A2851" s="17"/>
      <c r="B2851" s="17"/>
      <c r="C2851" s="17"/>
      <c r="D2851" s="17"/>
      <c r="E2851" s="17"/>
      <c r="F2851" s="17"/>
      <c r="G2851" s="17"/>
      <c r="H2851" s="17"/>
      <c r="I2851" s="31"/>
      <c r="J2851" s="17"/>
      <c r="K2851" s="17"/>
      <c r="L2851" s="17"/>
      <c r="M2851" s="17"/>
      <c r="N2851" s="17"/>
      <c r="O2851" s="17"/>
      <c r="P2851" s="17"/>
      <c r="Q2851" s="17"/>
      <c r="R2851" s="17"/>
      <c r="S2851" s="17"/>
      <c r="T2851" s="17"/>
      <c r="U2851" s="17"/>
      <c r="V2851" s="17"/>
      <c r="W2851" s="17"/>
      <c r="X2851" s="17"/>
      <c r="Y2851" s="17"/>
      <c r="Z2851" s="31"/>
      <c r="AA2851" s="32"/>
    </row>
    <row r="2852" spans="1:27" ht="12.75">
      <c r="A2852" s="17"/>
      <c r="B2852" s="17"/>
      <c r="C2852" s="17"/>
      <c r="D2852" s="17"/>
      <c r="E2852" s="17"/>
      <c r="F2852" s="17"/>
      <c r="G2852" s="17"/>
      <c r="H2852" s="17"/>
      <c r="I2852" s="31"/>
      <c r="J2852" s="17"/>
      <c r="K2852" s="17"/>
      <c r="L2852" s="17"/>
      <c r="M2852" s="17"/>
      <c r="N2852" s="17"/>
      <c r="O2852" s="17"/>
      <c r="P2852" s="17"/>
      <c r="Q2852" s="17"/>
      <c r="R2852" s="17"/>
      <c r="S2852" s="17"/>
      <c r="T2852" s="17"/>
      <c r="U2852" s="17"/>
      <c r="V2852" s="17"/>
      <c r="W2852" s="17"/>
      <c r="X2852" s="17"/>
      <c r="Y2852" s="17"/>
      <c r="Z2852" s="31"/>
      <c r="AA2852" s="32"/>
    </row>
    <row r="2853" spans="1:27" ht="12.75">
      <c r="A2853" s="17"/>
      <c r="B2853" s="17"/>
      <c r="C2853" s="17"/>
      <c r="D2853" s="17"/>
      <c r="E2853" s="17"/>
      <c r="F2853" s="17"/>
      <c r="G2853" s="17"/>
      <c r="H2853" s="17"/>
      <c r="I2853" s="31"/>
      <c r="J2853" s="17"/>
      <c r="K2853" s="17"/>
      <c r="L2853" s="17"/>
      <c r="M2853" s="17"/>
      <c r="N2853" s="17"/>
      <c r="O2853" s="17"/>
      <c r="P2853" s="17"/>
      <c r="Q2853" s="17"/>
      <c r="R2853" s="17"/>
      <c r="S2853" s="17"/>
      <c r="T2853" s="17"/>
      <c r="U2853" s="17"/>
      <c r="V2853" s="17"/>
      <c r="W2853" s="17"/>
      <c r="X2853" s="17"/>
      <c r="Y2853" s="17"/>
      <c r="Z2853" s="31"/>
      <c r="AA2853" s="32"/>
    </row>
    <row r="2854" spans="1:27" ht="12.75">
      <c r="A2854" s="17"/>
      <c r="B2854" s="17"/>
      <c r="C2854" s="17"/>
      <c r="D2854" s="17"/>
      <c r="E2854" s="17"/>
      <c r="F2854" s="17"/>
      <c r="G2854" s="17"/>
      <c r="H2854" s="17"/>
      <c r="I2854" s="31"/>
      <c r="J2854" s="17"/>
      <c r="K2854" s="17"/>
      <c r="L2854" s="17"/>
      <c r="M2854" s="17"/>
      <c r="N2854" s="17"/>
      <c r="O2854" s="17"/>
      <c r="P2854" s="17"/>
      <c r="Q2854" s="17"/>
      <c r="R2854" s="17"/>
      <c r="S2854" s="17"/>
      <c r="T2854" s="17"/>
      <c r="U2854" s="17"/>
      <c r="V2854" s="17"/>
      <c r="W2854" s="17"/>
      <c r="X2854" s="17"/>
      <c r="Y2854" s="17"/>
      <c r="Z2854" s="31"/>
      <c r="AA2854" s="32"/>
    </row>
    <row r="2855" spans="1:27" ht="12.75">
      <c r="A2855" s="17"/>
      <c r="B2855" s="17"/>
      <c r="C2855" s="17"/>
      <c r="D2855" s="17"/>
      <c r="E2855" s="17"/>
      <c r="F2855" s="17"/>
      <c r="G2855" s="17"/>
      <c r="H2855" s="17"/>
      <c r="I2855" s="31"/>
      <c r="J2855" s="17"/>
      <c r="K2855" s="17"/>
      <c r="L2855" s="17"/>
      <c r="M2855" s="17"/>
      <c r="N2855" s="17"/>
      <c r="O2855" s="17"/>
      <c r="P2855" s="17"/>
      <c r="Q2855" s="17"/>
      <c r="R2855" s="17"/>
      <c r="S2855" s="17"/>
      <c r="T2855" s="17"/>
      <c r="U2855" s="17"/>
      <c r="V2855" s="17"/>
      <c r="W2855" s="17"/>
      <c r="X2855" s="17"/>
      <c r="Y2855" s="17"/>
      <c r="Z2855" s="31"/>
      <c r="AA2855" s="32"/>
    </row>
    <row r="2856" spans="1:27" ht="12.75">
      <c r="A2856" s="17"/>
      <c r="B2856" s="17"/>
      <c r="C2856" s="17"/>
      <c r="D2856" s="17"/>
      <c r="E2856" s="17"/>
      <c r="F2856" s="17"/>
      <c r="G2856" s="17"/>
      <c r="H2856" s="17"/>
      <c r="I2856" s="31"/>
      <c r="J2856" s="17"/>
      <c r="K2856" s="17"/>
      <c r="L2856" s="17"/>
      <c r="M2856" s="17"/>
      <c r="N2856" s="17"/>
      <c r="O2856" s="17"/>
      <c r="P2856" s="17"/>
      <c r="Q2856" s="17"/>
      <c r="R2856" s="17"/>
      <c r="S2856" s="17"/>
      <c r="T2856" s="17"/>
      <c r="U2856" s="17"/>
      <c r="V2856" s="17"/>
      <c r="W2856" s="17"/>
      <c r="X2856" s="17"/>
      <c r="Y2856" s="17"/>
      <c r="Z2856" s="31"/>
      <c r="AA2856" s="32"/>
    </row>
    <row r="2857" spans="1:27" ht="12.75">
      <c r="A2857" s="17"/>
      <c r="B2857" s="17"/>
      <c r="C2857" s="17"/>
      <c r="D2857" s="17"/>
      <c r="E2857" s="17"/>
      <c r="F2857" s="17"/>
      <c r="G2857" s="17"/>
      <c r="H2857" s="17"/>
      <c r="I2857" s="31"/>
      <c r="J2857" s="17"/>
      <c r="K2857" s="17"/>
      <c r="L2857" s="17"/>
      <c r="M2857" s="17"/>
      <c r="N2857" s="17"/>
      <c r="O2857" s="17"/>
      <c r="P2857" s="17"/>
      <c r="Q2857" s="17"/>
      <c r="R2857" s="17"/>
      <c r="S2857" s="17"/>
      <c r="T2857" s="17"/>
      <c r="U2857" s="17"/>
      <c r="V2857" s="17"/>
      <c r="W2857" s="17"/>
      <c r="X2857" s="17"/>
      <c r="Y2857" s="17"/>
      <c r="Z2857" s="31"/>
      <c r="AA2857" s="32"/>
    </row>
    <row r="2858" spans="1:27" ht="12.75">
      <c r="A2858" s="17"/>
      <c r="B2858" s="17"/>
      <c r="C2858" s="17"/>
      <c r="D2858" s="17"/>
      <c r="E2858" s="17"/>
      <c r="F2858" s="17"/>
      <c r="G2858" s="17"/>
      <c r="H2858" s="17"/>
      <c r="I2858" s="31"/>
      <c r="J2858" s="17"/>
      <c r="K2858" s="17"/>
      <c r="L2858" s="17"/>
      <c r="M2858" s="17"/>
      <c r="N2858" s="17"/>
      <c r="O2858" s="17"/>
      <c r="P2858" s="17"/>
      <c r="Q2858" s="17"/>
      <c r="R2858" s="17"/>
      <c r="S2858" s="17"/>
      <c r="T2858" s="17"/>
      <c r="U2858" s="17"/>
      <c r="V2858" s="17"/>
      <c r="W2858" s="17"/>
      <c r="X2858" s="17"/>
      <c r="Y2858" s="17"/>
      <c r="Z2858" s="31"/>
      <c r="AA2858" s="32"/>
    </row>
    <row r="2859" spans="1:27" ht="12.75">
      <c r="A2859" s="17"/>
      <c r="B2859" s="17"/>
      <c r="C2859" s="17"/>
      <c r="D2859" s="17"/>
      <c r="E2859" s="17"/>
      <c r="F2859" s="17"/>
      <c r="G2859" s="17"/>
      <c r="H2859" s="17"/>
      <c r="I2859" s="31"/>
      <c r="J2859" s="17"/>
      <c r="K2859" s="17"/>
      <c r="L2859" s="17"/>
      <c r="M2859" s="17"/>
      <c r="N2859" s="17"/>
      <c r="O2859" s="17"/>
      <c r="P2859" s="17"/>
      <c r="Q2859" s="17"/>
      <c r="R2859" s="17"/>
      <c r="S2859" s="17"/>
      <c r="T2859" s="17"/>
      <c r="U2859" s="17"/>
      <c r="V2859" s="17"/>
      <c r="W2859" s="17"/>
      <c r="X2859" s="17"/>
      <c r="Y2859" s="17"/>
      <c r="Z2859" s="31"/>
      <c r="AA2859" s="32"/>
    </row>
    <row r="2860" spans="1:27" ht="12.75">
      <c r="A2860" s="17"/>
      <c r="B2860" s="17"/>
      <c r="C2860" s="17"/>
      <c r="D2860" s="17"/>
      <c r="E2860" s="17"/>
      <c r="F2860" s="17"/>
      <c r="G2860" s="17"/>
      <c r="H2860" s="17"/>
      <c r="I2860" s="31"/>
      <c r="J2860" s="17"/>
      <c r="K2860" s="17"/>
      <c r="L2860" s="17"/>
      <c r="M2860" s="17"/>
      <c r="N2860" s="17"/>
      <c r="O2860" s="17"/>
      <c r="P2860" s="17"/>
      <c r="Q2860" s="17"/>
      <c r="R2860" s="17"/>
      <c r="S2860" s="17"/>
      <c r="T2860" s="17"/>
      <c r="U2860" s="17"/>
      <c r="V2860" s="17"/>
      <c r="W2860" s="17"/>
      <c r="X2860" s="17"/>
      <c r="Y2860" s="17"/>
      <c r="Z2860" s="31"/>
      <c r="AA2860" s="32"/>
    </row>
    <row r="2861" spans="1:27" ht="12.75">
      <c r="A2861" s="17"/>
      <c r="B2861" s="17"/>
      <c r="C2861" s="17"/>
      <c r="D2861" s="17"/>
      <c r="E2861" s="17"/>
      <c r="F2861" s="17"/>
      <c r="G2861" s="17"/>
      <c r="H2861" s="17"/>
      <c r="I2861" s="31"/>
      <c r="J2861" s="17"/>
      <c r="K2861" s="17"/>
      <c r="L2861" s="17"/>
      <c r="M2861" s="17"/>
      <c r="N2861" s="17"/>
      <c r="O2861" s="17"/>
      <c r="P2861" s="17"/>
      <c r="Q2861" s="17"/>
      <c r="R2861" s="17"/>
      <c r="S2861" s="17"/>
      <c r="T2861" s="17"/>
      <c r="U2861" s="17"/>
      <c r="V2861" s="17"/>
      <c r="W2861" s="17"/>
      <c r="X2861" s="17"/>
      <c r="Y2861" s="17"/>
      <c r="Z2861" s="31"/>
      <c r="AA2861" s="32"/>
    </row>
    <row r="2862" spans="1:27" ht="12.75">
      <c r="A2862" s="17"/>
      <c r="B2862" s="17"/>
      <c r="C2862" s="17"/>
      <c r="D2862" s="17"/>
      <c r="E2862" s="17"/>
      <c r="F2862" s="17"/>
      <c r="G2862" s="17"/>
      <c r="H2862" s="17"/>
      <c r="I2862" s="31"/>
      <c r="J2862" s="17"/>
      <c r="K2862" s="17"/>
      <c r="L2862" s="17"/>
      <c r="M2862" s="17"/>
      <c r="N2862" s="17"/>
      <c r="O2862" s="17"/>
      <c r="P2862" s="17"/>
      <c r="Q2862" s="17"/>
      <c r="R2862" s="17"/>
      <c r="S2862" s="17"/>
      <c r="T2862" s="17"/>
      <c r="U2862" s="17"/>
      <c r="V2862" s="17"/>
      <c r="W2862" s="17"/>
      <c r="X2862" s="17"/>
      <c r="Y2862" s="17"/>
      <c r="Z2862" s="31"/>
      <c r="AA2862" s="32"/>
    </row>
    <row r="2863" spans="1:27" ht="12.75">
      <c r="A2863" s="17"/>
      <c r="B2863" s="17"/>
      <c r="C2863" s="17"/>
      <c r="D2863" s="17"/>
      <c r="E2863" s="17"/>
      <c r="F2863" s="17"/>
      <c r="G2863" s="17"/>
      <c r="H2863" s="17"/>
      <c r="I2863" s="31"/>
      <c r="J2863" s="17"/>
      <c r="K2863" s="17"/>
      <c r="L2863" s="17"/>
      <c r="M2863" s="17"/>
      <c r="N2863" s="17"/>
      <c r="O2863" s="17"/>
      <c r="P2863" s="17"/>
      <c r="Q2863" s="17"/>
      <c r="R2863" s="17"/>
      <c r="S2863" s="17"/>
      <c r="T2863" s="17"/>
      <c r="U2863" s="17"/>
      <c r="V2863" s="17"/>
      <c r="W2863" s="17"/>
      <c r="X2863" s="17"/>
      <c r="Y2863" s="17"/>
      <c r="Z2863" s="31"/>
      <c r="AA2863" s="32"/>
    </row>
    <row r="2864" spans="1:27" ht="12.75">
      <c r="A2864" s="17"/>
      <c r="B2864" s="17"/>
      <c r="C2864" s="17"/>
      <c r="D2864" s="17"/>
      <c r="E2864" s="17"/>
      <c r="F2864" s="17"/>
      <c r="G2864" s="17"/>
      <c r="H2864" s="17"/>
      <c r="I2864" s="31"/>
      <c r="J2864" s="17"/>
      <c r="K2864" s="17"/>
      <c r="L2864" s="17"/>
      <c r="M2864" s="17"/>
      <c r="N2864" s="17"/>
      <c r="O2864" s="17"/>
      <c r="P2864" s="17"/>
      <c r="Q2864" s="17"/>
      <c r="R2864" s="17"/>
      <c r="S2864" s="17"/>
      <c r="T2864" s="17"/>
      <c r="U2864" s="17"/>
      <c r="V2864" s="17"/>
      <c r="W2864" s="17"/>
      <c r="X2864" s="17"/>
      <c r="Y2864" s="17"/>
      <c r="Z2864" s="31"/>
      <c r="AA2864" s="32"/>
    </row>
    <row r="2865" spans="1:27" ht="12.75">
      <c r="A2865" s="17"/>
      <c r="B2865" s="17"/>
      <c r="C2865" s="17"/>
      <c r="D2865" s="17"/>
      <c r="E2865" s="17"/>
      <c r="F2865" s="17"/>
      <c r="G2865" s="17"/>
      <c r="H2865" s="17"/>
      <c r="I2865" s="31"/>
      <c r="J2865" s="17"/>
      <c r="K2865" s="17"/>
      <c r="L2865" s="17"/>
      <c r="M2865" s="17"/>
      <c r="N2865" s="17"/>
      <c r="O2865" s="17"/>
      <c r="P2865" s="17"/>
      <c r="Q2865" s="17"/>
      <c r="R2865" s="17"/>
      <c r="S2865" s="17"/>
      <c r="T2865" s="17"/>
      <c r="U2865" s="17"/>
      <c r="V2865" s="17"/>
      <c r="W2865" s="17"/>
      <c r="X2865" s="17"/>
      <c r="Y2865" s="17"/>
      <c r="Z2865" s="31"/>
      <c r="AA2865" s="32"/>
    </row>
    <row r="2866" spans="1:27" ht="12.75">
      <c r="A2866" s="17"/>
      <c r="B2866" s="17"/>
      <c r="C2866" s="17"/>
      <c r="D2866" s="17"/>
      <c r="E2866" s="17"/>
      <c r="F2866" s="17"/>
      <c r="G2866" s="17"/>
      <c r="H2866" s="17"/>
      <c r="I2866" s="31"/>
      <c r="J2866" s="17"/>
      <c r="K2866" s="17"/>
      <c r="L2866" s="17"/>
      <c r="M2866" s="17"/>
      <c r="N2866" s="17"/>
      <c r="O2866" s="17"/>
      <c r="P2866" s="17"/>
      <c r="Q2866" s="17"/>
      <c r="R2866" s="17"/>
      <c r="S2866" s="17"/>
      <c r="T2866" s="17"/>
      <c r="U2866" s="17"/>
      <c r="V2866" s="17"/>
      <c r="W2866" s="17"/>
      <c r="X2866" s="17"/>
      <c r="Y2866" s="17"/>
      <c r="Z2866" s="31"/>
      <c r="AA2866" s="32"/>
    </row>
    <row r="2867" spans="1:27" ht="12.75">
      <c r="A2867" s="17"/>
      <c r="B2867" s="17"/>
      <c r="C2867" s="17"/>
      <c r="D2867" s="17"/>
      <c r="E2867" s="17"/>
      <c r="F2867" s="17"/>
      <c r="G2867" s="17"/>
      <c r="H2867" s="17"/>
      <c r="I2867" s="31"/>
      <c r="J2867" s="17"/>
      <c r="K2867" s="17"/>
      <c r="L2867" s="17"/>
      <c r="M2867" s="17"/>
      <c r="N2867" s="17"/>
      <c r="O2867" s="17"/>
      <c r="P2867" s="17"/>
      <c r="Q2867" s="17"/>
      <c r="R2867" s="17"/>
      <c r="S2867" s="17"/>
      <c r="T2867" s="17"/>
      <c r="U2867" s="17"/>
      <c r="V2867" s="17"/>
      <c r="W2867" s="17"/>
      <c r="X2867" s="17"/>
      <c r="Y2867" s="17"/>
      <c r="Z2867" s="31"/>
      <c r="AA2867" s="32"/>
    </row>
    <row r="2868" spans="1:27" ht="12.75">
      <c r="A2868" s="17"/>
      <c r="B2868" s="17"/>
      <c r="C2868" s="17"/>
      <c r="D2868" s="17"/>
      <c r="E2868" s="17"/>
      <c r="F2868" s="17"/>
      <c r="G2868" s="17"/>
      <c r="H2868" s="17"/>
      <c r="I2868" s="31"/>
      <c r="J2868" s="17"/>
      <c r="K2868" s="17"/>
      <c r="L2868" s="17"/>
      <c r="M2868" s="17"/>
      <c r="N2868" s="17"/>
      <c r="O2868" s="17"/>
      <c r="P2868" s="17"/>
      <c r="Q2868" s="17"/>
      <c r="R2868" s="17"/>
      <c r="S2868" s="17"/>
      <c r="T2868" s="17"/>
      <c r="U2868" s="17"/>
      <c r="V2868" s="17"/>
      <c r="W2868" s="17"/>
      <c r="X2868" s="17"/>
      <c r="Y2868" s="17"/>
      <c r="Z2868" s="31"/>
      <c r="AA2868" s="32"/>
    </row>
    <row r="2869" spans="1:27" ht="12.75">
      <c r="A2869" s="17"/>
      <c r="B2869" s="17"/>
      <c r="C2869" s="17"/>
      <c r="D2869" s="17"/>
      <c r="E2869" s="17"/>
      <c r="F2869" s="17"/>
      <c r="G2869" s="17"/>
      <c r="H2869" s="17"/>
      <c r="I2869" s="31"/>
      <c r="J2869" s="17"/>
      <c r="K2869" s="17"/>
      <c r="L2869" s="17"/>
      <c r="M2869" s="17"/>
      <c r="N2869" s="17"/>
      <c r="O2869" s="17"/>
      <c r="P2869" s="17"/>
      <c r="Q2869" s="17"/>
      <c r="R2869" s="17"/>
      <c r="S2869" s="17"/>
      <c r="T2869" s="17"/>
      <c r="U2869" s="17"/>
      <c r="V2869" s="17"/>
      <c r="W2869" s="17"/>
      <c r="X2869" s="17"/>
      <c r="Y2869" s="17"/>
      <c r="Z2869" s="31"/>
      <c r="AA2869" s="32"/>
    </row>
    <row r="2870" spans="1:27" ht="12.75">
      <c r="A2870" s="17"/>
      <c r="B2870" s="17"/>
      <c r="C2870" s="17"/>
      <c r="D2870" s="17"/>
      <c r="E2870" s="17"/>
      <c r="F2870" s="17"/>
      <c r="G2870" s="17"/>
      <c r="H2870" s="17"/>
      <c r="I2870" s="31"/>
      <c r="J2870" s="17"/>
      <c r="K2870" s="17"/>
      <c r="L2870" s="17"/>
      <c r="M2870" s="17"/>
      <c r="N2870" s="17"/>
      <c r="O2870" s="17"/>
      <c r="P2870" s="17"/>
      <c r="Q2870" s="17"/>
      <c r="R2870" s="17"/>
      <c r="S2870" s="17"/>
      <c r="T2870" s="17"/>
      <c r="U2870" s="17"/>
      <c r="V2870" s="17"/>
      <c r="W2870" s="17"/>
      <c r="X2870" s="17"/>
      <c r="Y2870" s="17"/>
      <c r="Z2870" s="31"/>
      <c r="AA2870" s="32"/>
    </row>
    <row r="2871" spans="1:27" ht="12.75">
      <c r="A2871" s="17"/>
      <c r="B2871" s="17"/>
      <c r="C2871" s="17"/>
      <c r="D2871" s="17"/>
      <c r="E2871" s="17"/>
      <c r="F2871" s="17"/>
      <c r="G2871" s="17"/>
      <c r="H2871" s="17"/>
      <c r="I2871" s="31"/>
      <c r="J2871" s="17"/>
      <c r="K2871" s="17"/>
      <c r="L2871" s="17"/>
      <c r="M2871" s="17"/>
      <c r="N2871" s="17"/>
      <c r="O2871" s="17"/>
      <c r="P2871" s="17"/>
      <c r="Q2871" s="17"/>
      <c r="R2871" s="17"/>
      <c r="S2871" s="17"/>
      <c r="T2871" s="17"/>
      <c r="U2871" s="17"/>
      <c r="V2871" s="17"/>
      <c r="W2871" s="17"/>
      <c r="X2871" s="17"/>
      <c r="Y2871" s="17"/>
      <c r="Z2871" s="31"/>
      <c r="AA2871" s="32"/>
    </row>
    <row r="2872" spans="1:27" ht="12.75">
      <c r="A2872" s="17"/>
      <c r="B2872" s="17"/>
      <c r="C2872" s="17"/>
      <c r="D2872" s="17"/>
      <c r="E2872" s="17"/>
      <c r="F2872" s="17"/>
      <c r="G2872" s="17"/>
      <c r="H2872" s="17"/>
      <c r="I2872" s="31"/>
      <c r="J2872" s="17"/>
      <c r="K2872" s="17"/>
      <c r="L2872" s="17"/>
      <c r="M2872" s="17"/>
      <c r="N2872" s="17"/>
      <c r="O2872" s="17"/>
      <c r="P2872" s="17"/>
      <c r="Q2872" s="17"/>
      <c r="R2872" s="17"/>
      <c r="S2872" s="17"/>
      <c r="T2872" s="17"/>
      <c r="U2872" s="17"/>
      <c r="V2872" s="17"/>
      <c r="W2872" s="17"/>
      <c r="X2872" s="17"/>
      <c r="Y2872" s="17"/>
      <c r="Z2872" s="31"/>
      <c r="AA2872" s="32"/>
    </row>
    <row r="2873" spans="1:27" ht="12.75">
      <c r="A2873" s="17"/>
      <c r="B2873" s="17"/>
      <c r="C2873" s="17"/>
      <c r="D2873" s="17"/>
      <c r="E2873" s="17"/>
      <c r="F2873" s="17"/>
      <c r="G2873" s="17"/>
      <c r="H2873" s="17"/>
      <c r="I2873" s="31"/>
      <c r="J2873" s="17"/>
      <c r="K2873" s="17"/>
      <c r="L2873" s="17"/>
      <c r="M2873" s="17"/>
      <c r="N2873" s="17"/>
      <c r="O2873" s="17"/>
      <c r="P2873" s="17"/>
      <c r="Q2873" s="17"/>
      <c r="R2873" s="17"/>
      <c r="S2873" s="17"/>
      <c r="T2873" s="17"/>
      <c r="U2873" s="17"/>
      <c r="V2873" s="17"/>
      <c r="W2873" s="17"/>
      <c r="X2873" s="17"/>
      <c r="Y2873" s="17"/>
      <c r="Z2873" s="31"/>
      <c r="AA2873" s="32"/>
    </row>
    <row r="2874" spans="1:27" ht="12.75">
      <c r="A2874" s="17"/>
      <c r="B2874" s="17"/>
      <c r="C2874" s="17"/>
      <c r="D2874" s="17"/>
      <c r="E2874" s="17"/>
      <c r="F2874" s="17"/>
      <c r="G2874" s="17"/>
      <c r="H2874" s="17"/>
      <c r="I2874" s="31"/>
      <c r="J2874" s="17"/>
      <c r="K2874" s="17"/>
      <c r="L2874" s="17"/>
      <c r="M2874" s="17"/>
      <c r="N2874" s="17"/>
      <c r="O2874" s="17"/>
      <c r="P2874" s="17"/>
      <c r="Q2874" s="17"/>
      <c r="R2874" s="17"/>
      <c r="S2874" s="17"/>
      <c r="T2874" s="17"/>
      <c r="U2874" s="17"/>
      <c r="V2874" s="17"/>
      <c r="W2874" s="17"/>
      <c r="X2874" s="17"/>
      <c r="Y2874" s="17"/>
      <c r="Z2874" s="31"/>
      <c r="AA2874" s="32"/>
    </row>
    <row r="2875" spans="1:27" ht="12.75">
      <c r="A2875" s="17"/>
      <c r="B2875" s="17"/>
      <c r="C2875" s="17"/>
      <c r="D2875" s="17"/>
      <c r="E2875" s="17"/>
      <c r="F2875" s="17"/>
      <c r="G2875" s="17"/>
      <c r="H2875" s="17"/>
      <c r="I2875" s="31"/>
      <c r="J2875" s="17"/>
      <c r="K2875" s="17"/>
      <c r="L2875" s="17"/>
      <c r="M2875" s="17"/>
      <c r="N2875" s="17"/>
      <c r="O2875" s="17"/>
      <c r="P2875" s="17"/>
      <c r="Q2875" s="17"/>
      <c r="R2875" s="17"/>
      <c r="S2875" s="17"/>
      <c r="T2875" s="17"/>
      <c r="U2875" s="17"/>
      <c r="V2875" s="17"/>
      <c r="W2875" s="17"/>
      <c r="X2875" s="17"/>
      <c r="Y2875" s="17"/>
      <c r="Z2875" s="31"/>
      <c r="AA2875" s="32"/>
    </row>
    <row r="2876" spans="1:27" ht="12.75">
      <c r="A2876" s="17"/>
      <c r="B2876" s="17"/>
      <c r="C2876" s="17"/>
      <c r="D2876" s="17"/>
      <c r="E2876" s="17"/>
      <c r="F2876" s="17"/>
      <c r="G2876" s="17"/>
      <c r="H2876" s="17"/>
      <c r="I2876" s="31"/>
      <c r="J2876" s="17"/>
      <c r="K2876" s="17"/>
      <c r="L2876" s="17"/>
      <c r="M2876" s="17"/>
      <c r="N2876" s="17"/>
      <c r="O2876" s="17"/>
      <c r="P2876" s="17"/>
      <c r="Q2876" s="17"/>
      <c r="R2876" s="17"/>
      <c r="S2876" s="17"/>
      <c r="T2876" s="17"/>
      <c r="U2876" s="17"/>
      <c r="V2876" s="17"/>
      <c r="W2876" s="17"/>
      <c r="X2876" s="17"/>
      <c r="Y2876" s="17"/>
      <c r="Z2876" s="31"/>
      <c r="AA2876" s="32"/>
    </row>
    <row r="2877" spans="1:27" ht="12.75">
      <c r="A2877" s="17"/>
      <c r="B2877" s="17"/>
      <c r="C2877" s="17"/>
      <c r="D2877" s="17"/>
      <c r="E2877" s="17"/>
      <c r="F2877" s="17"/>
      <c r="G2877" s="17"/>
      <c r="H2877" s="17"/>
      <c r="I2877" s="31"/>
      <c r="J2877" s="17"/>
      <c r="K2877" s="17"/>
      <c r="L2877" s="17"/>
      <c r="M2877" s="17"/>
      <c r="N2877" s="17"/>
      <c r="O2877" s="17"/>
      <c r="P2877" s="17"/>
      <c r="Q2877" s="17"/>
      <c r="R2877" s="17"/>
      <c r="S2877" s="17"/>
      <c r="T2877" s="17"/>
      <c r="U2877" s="17"/>
      <c r="V2877" s="17"/>
      <c r="W2877" s="17"/>
      <c r="X2877" s="17"/>
      <c r="Y2877" s="17"/>
      <c r="Z2877" s="31"/>
      <c r="AA2877" s="32"/>
    </row>
    <row r="2878" spans="1:27" ht="12.75">
      <c r="A2878" s="17"/>
      <c r="B2878" s="17"/>
      <c r="C2878" s="17"/>
      <c r="D2878" s="17"/>
      <c r="E2878" s="17"/>
      <c r="F2878" s="17"/>
      <c r="G2878" s="17"/>
      <c r="H2878" s="17"/>
      <c r="I2878" s="31"/>
      <c r="J2878" s="17"/>
      <c r="K2878" s="17"/>
      <c r="L2878" s="17"/>
      <c r="M2878" s="17"/>
      <c r="N2878" s="17"/>
      <c r="O2878" s="17"/>
      <c r="P2878" s="17"/>
      <c r="Q2878" s="17"/>
      <c r="R2878" s="17"/>
      <c r="S2878" s="17"/>
      <c r="T2878" s="17"/>
      <c r="U2878" s="17"/>
      <c r="V2878" s="17"/>
      <c r="W2878" s="17"/>
      <c r="X2878" s="17"/>
      <c r="Y2878" s="17"/>
      <c r="Z2878" s="31"/>
      <c r="AA2878" s="32"/>
    </row>
    <row r="2879" spans="1:27" ht="12.75">
      <c r="A2879" s="17"/>
      <c r="B2879" s="17"/>
      <c r="C2879" s="17"/>
      <c r="D2879" s="17"/>
      <c r="E2879" s="17"/>
      <c r="F2879" s="17"/>
      <c r="G2879" s="17"/>
      <c r="H2879" s="17"/>
      <c r="I2879" s="31"/>
      <c r="J2879" s="17"/>
      <c r="K2879" s="17"/>
      <c r="L2879" s="17"/>
      <c r="M2879" s="17"/>
      <c r="N2879" s="17"/>
      <c r="O2879" s="17"/>
      <c r="P2879" s="17"/>
      <c r="Q2879" s="17"/>
      <c r="R2879" s="17"/>
      <c r="S2879" s="17"/>
      <c r="T2879" s="17"/>
      <c r="U2879" s="17"/>
      <c r="V2879" s="17"/>
      <c r="W2879" s="17"/>
      <c r="X2879" s="17"/>
      <c r="Y2879" s="17"/>
      <c r="Z2879" s="31"/>
      <c r="AA2879" s="32"/>
    </row>
    <row r="2880" spans="1:27" ht="12.75">
      <c r="A2880" s="17"/>
      <c r="B2880" s="17"/>
      <c r="C2880" s="17"/>
      <c r="D2880" s="17"/>
      <c r="E2880" s="17"/>
      <c r="F2880" s="17"/>
      <c r="G2880" s="17"/>
      <c r="H2880" s="17"/>
      <c r="I2880" s="31"/>
      <c r="J2880" s="17"/>
      <c r="K2880" s="17"/>
      <c r="L2880" s="17"/>
      <c r="M2880" s="17"/>
      <c r="N2880" s="17"/>
      <c r="O2880" s="17"/>
      <c r="P2880" s="17"/>
      <c r="Q2880" s="17"/>
      <c r="R2880" s="17"/>
      <c r="S2880" s="17"/>
      <c r="T2880" s="17"/>
      <c r="U2880" s="17"/>
      <c r="V2880" s="17"/>
      <c r="W2880" s="17"/>
      <c r="X2880" s="17"/>
      <c r="Y2880" s="17"/>
      <c r="Z2880" s="31"/>
      <c r="AA2880" s="32"/>
    </row>
    <row r="2881" spans="1:27" ht="12.75">
      <c r="A2881" s="17"/>
      <c r="B2881" s="17"/>
      <c r="C2881" s="17"/>
      <c r="D2881" s="17"/>
      <c r="E2881" s="17"/>
      <c r="F2881" s="17"/>
      <c r="G2881" s="17"/>
      <c r="H2881" s="17"/>
      <c r="I2881" s="31"/>
      <c r="J2881" s="17"/>
      <c r="K2881" s="17"/>
      <c r="L2881" s="17"/>
      <c r="M2881" s="17"/>
      <c r="N2881" s="17"/>
      <c r="O2881" s="17"/>
      <c r="P2881" s="17"/>
      <c r="Q2881" s="17"/>
      <c r="R2881" s="17"/>
      <c r="S2881" s="17"/>
      <c r="T2881" s="17"/>
      <c r="U2881" s="17"/>
      <c r="V2881" s="17"/>
      <c r="W2881" s="17"/>
      <c r="X2881" s="17"/>
      <c r="Y2881" s="17"/>
      <c r="Z2881" s="31"/>
      <c r="AA2881" s="32"/>
    </row>
    <row r="2882" spans="1:27" ht="12.75">
      <c r="A2882" s="17"/>
      <c r="B2882" s="17"/>
      <c r="C2882" s="17"/>
      <c r="D2882" s="17"/>
      <c r="E2882" s="17"/>
      <c r="F2882" s="17"/>
      <c r="G2882" s="17"/>
      <c r="H2882" s="17"/>
      <c r="I2882" s="31"/>
      <c r="J2882" s="17"/>
      <c r="K2882" s="17"/>
      <c r="L2882" s="17"/>
      <c r="M2882" s="17"/>
      <c r="N2882" s="17"/>
      <c r="O2882" s="17"/>
      <c r="P2882" s="17"/>
      <c r="Q2882" s="17"/>
      <c r="R2882" s="17"/>
      <c r="S2882" s="17"/>
      <c r="T2882" s="17"/>
      <c r="U2882" s="17"/>
      <c r="V2882" s="17"/>
      <c r="W2882" s="17"/>
      <c r="X2882" s="17"/>
      <c r="Y2882" s="17"/>
      <c r="Z2882" s="31"/>
      <c r="AA2882" s="32"/>
    </row>
    <row r="2883" spans="1:27" ht="12.75">
      <c r="A2883" s="17"/>
      <c r="B2883" s="17"/>
      <c r="C2883" s="17"/>
      <c r="D2883" s="17"/>
      <c r="E2883" s="17"/>
      <c r="F2883" s="17"/>
      <c r="G2883" s="17"/>
      <c r="H2883" s="17"/>
      <c r="I2883" s="31"/>
      <c r="J2883" s="17"/>
      <c r="K2883" s="17"/>
      <c r="L2883" s="17"/>
      <c r="M2883" s="17"/>
      <c r="N2883" s="17"/>
      <c r="O2883" s="17"/>
      <c r="P2883" s="17"/>
      <c r="Q2883" s="17"/>
      <c r="R2883" s="17"/>
      <c r="S2883" s="17"/>
      <c r="T2883" s="17"/>
      <c r="U2883" s="17"/>
      <c r="V2883" s="17"/>
      <c r="W2883" s="17"/>
      <c r="X2883" s="17"/>
      <c r="Y2883" s="17"/>
      <c r="Z2883" s="31"/>
      <c r="AA2883" s="32"/>
    </row>
    <row r="2884" spans="1:27" ht="12.75">
      <c r="A2884" s="17"/>
      <c r="B2884" s="17"/>
      <c r="C2884" s="17"/>
      <c r="D2884" s="17"/>
      <c r="E2884" s="17"/>
      <c r="F2884" s="17"/>
      <c r="G2884" s="17"/>
      <c r="H2884" s="17"/>
      <c r="I2884" s="31"/>
      <c r="J2884" s="17"/>
      <c r="K2884" s="17"/>
      <c r="L2884" s="17"/>
      <c r="M2884" s="17"/>
      <c r="N2884" s="17"/>
      <c r="O2884" s="17"/>
      <c r="P2884" s="17"/>
      <c r="Q2884" s="17"/>
      <c r="R2884" s="17"/>
      <c r="S2884" s="17"/>
      <c r="T2884" s="17"/>
      <c r="U2884" s="17"/>
      <c r="V2884" s="17"/>
      <c r="W2884" s="17"/>
      <c r="X2884" s="17"/>
      <c r="Y2884" s="17"/>
      <c r="Z2884" s="31"/>
      <c r="AA2884" s="32"/>
    </row>
    <row r="2885" spans="1:27" ht="12.75">
      <c r="A2885" s="17"/>
      <c r="B2885" s="17"/>
      <c r="C2885" s="17"/>
      <c r="D2885" s="17"/>
      <c r="E2885" s="17"/>
      <c r="F2885" s="17"/>
      <c r="G2885" s="17"/>
      <c r="H2885" s="17"/>
      <c r="I2885" s="31"/>
      <c r="J2885" s="17"/>
      <c r="K2885" s="17"/>
      <c r="L2885" s="17"/>
      <c r="M2885" s="17"/>
      <c r="N2885" s="17"/>
      <c r="O2885" s="17"/>
      <c r="P2885" s="17"/>
      <c r="Q2885" s="17"/>
      <c r="R2885" s="17"/>
      <c r="S2885" s="17"/>
      <c r="T2885" s="17"/>
      <c r="U2885" s="17"/>
      <c r="V2885" s="17"/>
      <c r="W2885" s="17"/>
      <c r="X2885" s="17"/>
      <c r="Y2885" s="17"/>
      <c r="Z2885" s="31"/>
      <c r="AA2885" s="32"/>
    </row>
    <row r="2886" spans="1:27" ht="12.75">
      <c r="A2886" s="17"/>
      <c r="B2886" s="17"/>
      <c r="C2886" s="17"/>
      <c r="D2886" s="17"/>
      <c r="E2886" s="17"/>
      <c r="F2886" s="17"/>
      <c r="G2886" s="17"/>
      <c r="H2886" s="17"/>
      <c r="I2886" s="31"/>
      <c r="J2886" s="17"/>
      <c r="K2886" s="17"/>
      <c r="L2886" s="17"/>
      <c r="M2886" s="17"/>
      <c r="N2886" s="17"/>
      <c r="O2886" s="17"/>
      <c r="P2886" s="17"/>
      <c r="Q2886" s="17"/>
      <c r="R2886" s="17"/>
      <c r="S2886" s="17"/>
      <c r="T2886" s="17"/>
      <c r="U2886" s="17"/>
      <c r="V2886" s="17"/>
      <c r="W2886" s="17"/>
      <c r="X2886" s="17"/>
      <c r="Y2886" s="17"/>
      <c r="Z2886" s="31"/>
      <c r="AA2886" s="32"/>
    </row>
    <row r="2887" spans="1:27" ht="12.75">
      <c r="A2887" s="17"/>
      <c r="B2887" s="17"/>
      <c r="C2887" s="17"/>
      <c r="D2887" s="17"/>
      <c r="E2887" s="17"/>
      <c r="F2887" s="17"/>
      <c r="G2887" s="17"/>
      <c r="H2887" s="17"/>
      <c r="I2887" s="31"/>
      <c r="J2887" s="17"/>
      <c r="K2887" s="17"/>
      <c r="L2887" s="17"/>
      <c r="M2887" s="17"/>
      <c r="N2887" s="17"/>
      <c r="O2887" s="17"/>
      <c r="P2887" s="17"/>
      <c r="Q2887" s="17"/>
      <c r="R2887" s="17"/>
      <c r="S2887" s="17"/>
      <c r="T2887" s="17"/>
      <c r="U2887" s="17"/>
      <c r="V2887" s="17"/>
      <c r="W2887" s="17"/>
      <c r="X2887" s="17"/>
      <c r="Y2887" s="17"/>
      <c r="Z2887" s="31"/>
      <c r="AA2887" s="32"/>
    </row>
    <row r="2888" spans="1:27" ht="12.75">
      <c r="A2888" s="17"/>
      <c r="B2888" s="17"/>
      <c r="C2888" s="17"/>
      <c r="D2888" s="17"/>
      <c r="E2888" s="17"/>
      <c r="F2888" s="17"/>
      <c r="G2888" s="17"/>
      <c r="H2888" s="17"/>
      <c r="I2888" s="31"/>
      <c r="J2888" s="17"/>
      <c r="K2888" s="17"/>
      <c r="L2888" s="17"/>
      <c r="M2888" s="17"/>
      <c r="N2888" s="17"/>
      <c r="O2888" s="17"/>
      <c r="P2888" s="17"/>
      <c r="Q2888" s="17"/>
      <c r="R2888" s="17"/>
      <c r="S2888" s="17"/>
      <c r="T2888" s="17"/>
      <c r="U2888" s="17"/>
      <c r="V2888" s="17"/>
      <c r="W2888" s="17"/>
      <c r="X2888" s="17"/>
      <c r="Y2888" s="17"/>
      <c r="Z2888" s="31"/>
      <c r="AA2888" s="32"/>
    </row>
    <row r="2889" spans="1:27" ht="12.75">
      <c r="A2889" s="17"/>
      <c r="B2889" s="17"/>
      <c r="C2889" s="17"/>
      <c r="D2889" s="17"/>
      <c r="E2889" s="17"/>
      <c r="F2889" s="17"/>
      <c r="G2889" s="17"/>
      <c r="H2889" s="17"/>
      <c r="I2889" s="31"/>
      <c r="J2889" s="17"/>
      <c r="K2889" s="17"/>
      <c r="L2889" s="17"/>
      <c r="M2889" s="17"/>
      <c r="N2889" s="17"/>
      <c r="O2889" s="17"/>
      <c r="P2889" s="17"/>
      <c r="Q2889" s="17"/>
      <c r="R2889" s="17"/>
      <c r="S2889" s="17"/>
      <c r="T2889" s="17"/>
      <c r="U2889" s="17"/>
      <c r="V2889" s="17"/>
      <c r="W2889" s="17"/>
      <c r="X2889" s="17"/>
      <c r="Y2889" s="17"/>
      <c r="Z2889" s="31"/>
      <c r="AA2889" s="32"/>
    </row>
    <row r="2890" spans="1:27" ht="12.75">
      <c r="A2890" s="17"/>
      <c r="B2890" s="17"/>
      <c r="C2890" s="17"/>
      <c r="D2890" s="17"/>
      <c r="E2890" s="17"/>
      <c r="F2890" s="17"/>
      <c r="G2890" s="17"/>
      <c r="H2890" s="17"/>
      <c r="I2890" s="31"/>
      <c r="J2890" s="17"/>
      <c r="K2890" s="17"/>
      <c r="L2890" s="17"/>
      <c r="M2890" s="17"/>
      <c r="N2890" s="17"/>
      <c r="O2890" s="17"/>
      <c r="P2890" s="17"/>
      <c r="Q2890" s="17"/>
      <c r="R2890" s="17"/>
      <c r="S2890" s="17"/>
      <c r="T2890" s="17"/>
      <c r="U2890" s="17"/>
      <c r="V2890" s="17"/>
      <c r="W2890" s="17"/>
      <c r="X2890" s="17"/>
      <c r="Y2890" s="17"/>
      <c r="Z2890" s="31"/>
      <c r="AA2890" s="32"/>
    </row>
    <row r="2891" spans="1:27" ht="12.75">
      <c r="A2891" s="17"/>
      <c r="B2891" s="17"/>
      <c r="C2891" s="17"/>
      <c r="D2891" s="17"/>
      <c r="E2891" s="17"/>
      <c r="F2891" s="17"/>
      <c r="G2891" s="17"/>
      <c r="H2891" s="17"/>
      <c r="I2891" s="31"/>
      <c r="J2891" s="17"/>
      <c r="K2891" s="17"/>
      <c r="L2891" s="17"/>
      <c r="M2891" s="17"/>
      <c r="N2891" s="17"/>
      <c r="O2891" s="17"/>
      <c r="P2891" s="17"/>
      <c r="Q2891" s="17"/>
      <c r="R2891" s="17"/>
      <c r="S2891" s="17"/>
      <c r="T2891" s="17"/>
      <c r="U2891" s="17"/>
      <c r="V2891" s="17"/>
      <c r="W2891" s="17"/>
      <c r="X2891" s="17"/>
      <c r="Y2891" s="17"/>
      <c r="Z2891" s="31"/>
      <c r="AA2891" s="32"/>
    </row>
    <row r="2892" spans="1:27" ht="12.75">
      <c r="A2892" s="17"/>
      <c r="B2892" s="17"/>
      <c r="C2892" s="17"/>
      <c r="D2892" s="17"/>
      <c r="E2892" s="17"/>
      <c r="F2892" s="17"/>
      <c r="G2892" s="17"/>
      <c r="H2892" s="17"/>
      <c r="I2892" s="31"/>
      <c r="J2892" s="17"/>
      <c r="K2892" s="17"/>
      <c r="L2892" s="17"/>
      <c r="M2892" s="17"/>
      <c r="N2892" s="17"/>
      <c r="O2892" s="17"/>
      <c r="P2892" s="17"/>
      <c r="Q2892" s="17"/>
      <c r="R2892" s="17"/>
      <c r="S2892" s="17"/>
      <c r="T2892" s="17"/>
      <c r="U2892" s="17"/>
      <c r="V2892" s="17"/>
      <c r="W2892" s="17"/>
      <c r="X2892" s="17"/>
      <c r="Y2892" s="17"/>
      <c r="Z2892" s="31"/>
      <c r="AA2892" s="32"/>
    </row>
    <row r="2893" spans="1:27" ht="12.75">
      <c r="A2893" s="17"/>
      <c r="B2893" s="17"/>
      <c r="C2893" s="17"/>
      <c r="D2893" s="17"/>
      <c r="E2893" s="17"/>
      <c r="F2893" s="17"/>
      <c r="G2893" s="17"/>
      <c r="H2893" s="17"/>
      <c r="I2893" s="31"/>
      <c r="J2893" s="17"/>
      <c r="K2893" s="17"/>
      <c r="L2893" s="17"/>
      <c r="M2893" s="17"/>
      <c r="N2893" s="17"/>
      <c r="O2893" s="17"/>
      <c r="P2893" s="17"/>
      <c r="Q2893" s="17"/>
      <c r="R2893" s="17"/>
      <c r="S2893" s="17"/>
      <c r="T2893" s="17"/>
      <c r="U2893" s="17"/>
      <c r="V2893" s="17"/>
      <c r="W2893" s="17"/>
      <c r="X2893" s="17"/>
      <c r="Y2893" s="17"/>
      <c r="Z2893" s="31"/>
      <c r="AA2893" s="32"/>
    </row>
    <row r="2894" spans="1:27" ht="12.75">
      <c r="A2894" s="17"/>
      <c r="B2894" s="17"/>
      <c r="C2894" s="17"/>
      <c r="D2894" s="17"/>
      <c r="E2894" s="17"/>
      <c r="F2894" s="17"/>
      <c r="G2894" s="17"/>
      <c r="H2894" s="17"/>
      <c r="I2894" s="31"/>
      <c r="J2894" s="17"/>
      <c r="K2894" s="17"/>
      <c r="L2894" s="17"/>
      <c r="M2894" s="17"/>
      <c r="N2894" s="17"/>
      <c r="O2894" s="17"/>
      <c r="P2894" s="17"/>
      <c r="Q2894" s="17"/>
      <c r="R2894" s="17"/>
      <c r="S2894" s="17"/>
      <c r="T2894" s="17"/>
      <c r="U2894" s="17"/>
      <c r="V2894" s="17"/>
      <c r="W2894" s="17"/>
      <c r="X2894" s="17"/>
      <c r="Y2894" s="17"/>
      <c r="Z2894" s="31"/>
      <c r="AA2894" s="32"/>
    </row>
    <row r="2895" spans="1:27" ht="12.75">
      <c r="A2895" s="17"/>
      <c r="B2895" s="17"/>
      <c r="C2895" s="17"/>
      <c r="D2895" s="17"/>
      <c r="E2895" s="17"/>
      <c r="F2895" s="17"/>
      <c r="G2895" s="17"/>
      <c r="H2895" s="17"/>
      <c r="I2895" s="31"/>
      <c r="J2895" s="17"/>
      <c r="K2895" s="17"/>
      <c r="L2895" s="17"/>
      <c r="M2895" s="17"/>
      <c r="N2895" s="17"/>
      <c r="O2895" s="17"/>
      <c r="P2895" s="17"/>
      <c r="Q2895" s="17"/>
      <c r="R2895" s="17"/>
      <c r="S2895" s="17"/>
      <c r="T2895" s="17"/>
      <c r="U2895" s="17"/>
      <c r="V2895" s="17"/>
      <c r="W2895" s="17"/>
      <c r="X2895" s="17"/>
      <c r="Y2895" s="17"/>
      <c r="Z2895" s="31"/>
      <c r="AA2895" s="32"/>
    </row>
    <row r="2896" spans="1:27" ht="12.75">
      <c r="A2896" s="17"/>
      <c r="B2896" s="17"/>
      <c r="C2896" s="17"/>
      <c r="D2896" s="17"/>
      <c r="E2896" s="17"/>
      <c r="F2896" s="17"/>
      <c r="G2896" s="17"/>
      <c r="H2896" s="17"/>
      <c r="I2896" s="31"/>
      <c r="J2896" s="17"/>
      <c r="K2896" s="17"/>
      <c r="L2896" s="17"/>
      <c r="M2896" s="17"/>
      <c r="N2896" s="17"/>
      <c r="O2896" s="17"/>
      <c r="P2896" s="17"/>
      <c r="Q2896" s="17"/>
      <c r="R2896" s="17"/>
      <c r="S2896" s="17"/>
      <c r="T2896" s="17"/>
      <c r="U2896" s="17"/>
      <c r="V2896" s="17"/>
      <c r="W2896" s="17"/>
      <c r="X2896" s="17"/>
      <c r="Y2896" s="17"/>
      <c r="Z2896" s="31"/>
      <c r="AA2896" s="32"/>
    </row>
    <row r="2897" spans="1:27" ht="12.75">
      <c r="A2897" s="17"/>
      <c r="B2897" s="17"/>
      <c r="C2897" s="17"/>
      <c r="D2897" s="17"/>
      <c r="E2897" s="17"/>
      <c r="F2897" s="17"/>
      <c r="G2897" s="17"/>
      <c r="H2897" s="17"/>
      <c r="I2897" s="31"/>
      <c r="J2897" s="17"/>
      <c r="K2897" s="17"/>
      <c r="L2897" s="17"/>
      <c r="M2897" s="17"/>
      <c r="N2897" s="17"/>
      <c r="O2897" s="17"/>
      <c r="P2897" s="17"/>
      <c r="Q2897" s="17"/>
      <c r="R2897" s="17"/>
      <c r="S2897" s="17"/>
      <c r="T2897" s="17"/>
      <c r="U2897" s="17"/>
      <c r="V2897" s="17"/>
      <c r="W2897" s="17"/>
      <c r="X2897" s="17"/>
      <c r="Y2897" s="17"/>
      <c r="Z2897" s="31"/>
      <c r="AA2897" s="32"/>
    </row>
    <row r="2898" spans="1:27" ht="12.75">
      <c r="A2898" s="17"/>
      <c r="B2898" s="17"/>
      <c r="C2898" s="17"/>
      <c r="D2898" s="17"/>
      <c r="E2898" s="17"/>
      <c r="F2898" s="17"/>
      <c r="G2898" s="17"/>
      <c r="H2898" s="17"/>
      <c r="I2898" s="31"/>
      <c r="J2898" s="17"/>
      <c r="K2898" s="17"/>
      <c r="L2898" s="17"/>
      <c r="M2898" s="17"/>
      <c r="N2898" s="17"/>
      <c r="O2898" s="17"/>
      <c r="P2898" s="17"/>
      <c r="Q2898" s="17"/>
      <c r="R2898" s="17"/>
      <c r="S2898" s="17"/>
      <c r="T2898" s="17"/>
      <c r="U2898" s="17"/>
      <c r="V2898" s="17"/>
      <c r="W2898" s="17"/>
      <c r="X2898" s="17"/>
      <c r="Y2898" s="17"/>
      <c r="Z2898" s="31"/>
      <c r="AA2898" s="32"/>
    </row>
    <row r="2899" spans="1:27" ht="12.75">
      <c r="A2899" s="17"/>
      <c r="B2899" s="17"/>
      <c r="C2899" s="17"/>
      <c r="D2899" s="17"/>
      <c r="E2899" s="17"/>
      <c r="F2899" s="17"/>
      <c r="G2899" s="17"/>
      <c r="H2899" s="17"/>
      <c r="I2899" s="31"/>
      <c r="J2899" s="17"/>
      <c r="K2899" s="17"/>
      <c r="L2899" s="17"/>
      <c r="M2899" s="17"/>
      <c r="N2899" s="17"/>
      <c r="O2899" s="17"/>
      <c r="P2899" s="17"/>
      <c r="Q2899" s="17"/>
      <c r="R2899" s="17"/>
      <c r="S2899" s="17"/>
      <c r="T2899" s="17"/>
      <c r="U2899" s="17"/>
      <c r="V2899" s="17"/>
      <c r="W2899" s="17"/>
      <c r="X2899" s="17"/>
      <c r="Y2899" s="17"/>
      <c r="Z2899" s="31"/>
      <c r="AA2899" s="32"/>
    </row>
    <row r="2900" spans="1:27" ht="12.75">
      <c r="A2900" s="17"/>
      <c r="B2900" s="17"/>
      <c r="C2900" s="17"/>
      <c r="D2900" s="17"/>
      <c r="E2900" s="17"/>
      <c r="F2900" s="17"/>
      <c r="G2900" s="17"/>
      <c r="H2900" s="17"/>
      <c r="I2900" s="31"/>
      <c r="J2900" s="17"/>
      <c r="K2900" s="17"/>
      <c r="L2900" s="17"/>
      <c r="M2900" s="17"/>
      <c r="N2900" s="17"/>
      <c r="O2900" s="17"/>
      <c r="P2900" s="17"/>
      <c r="Q2900" s="17"/>
      <c r="R2900" s="17"/>
      <c r="S2900" s="17"/>
      <c r="T2900" s="17"/>
      <c r="U2900" s="17"/>
      <c r="V2900" s="17"/>
      <c r="W2900" s="17"/>
      <c r="X2900" s="17"/>
      <c r="Y2900" s="17"/>
      <c r="Z2900" s="31"/>
      <c r="AA2900" s="32"/>
    </row>
    <row r="2901" spans="1:27" ht="12.75">
      <c r="A2901" s="17"/>
      <c r="B2901" s="17"/>
      <c r="C2901" s="17"/>
      <c r="D2901" s="17"/>
      <c r="E2901" s="17"/>
      <c r="F2901" s="17"/>
      <c r="G2901" s="17"/>
      <c r="H2901" s="17"/>
      <c r="I2901" s="31"/>
      <c r="J2901" s="17"/>
      <c r="K2901" s="17"/>
      <c r="L2901" s="17"/>
      <c r="M2901" s="17"/>
      <c r="N2901" s="17"/>
      <c r="O2901" s="17"/>
      <c r="P2901" s="17"/>
      <c r="Q2901" s="17"/>
      <c r="R2901" s="17"/>
      <c r="S2901" s="17"/>
      <c r="T2901" s="17"/>
      <c r="U2901" s="17"/>
      <c r="V2901" s="17"/>
      <c r="W2901" s="17"/>
      <c r="X2901" s="17"/>
      <c r="Y2901" s="17"/>
      <c r="Z2901" s="31"/>
      <c r="AA2901" s="32"/>
    </row>
    <row r="2902" spans="1:27" ht="12.75">
      <c r="A2902" s="17"/>
      <c r="B2902" s="17"/>
      <c r="C2902" s="17"/>
      <c r="D2902" s="17"/>
      <c r="E2902" s="17"/>
      <c r="F2902" s="17"/>
      <c r="G2902" s="17"/>
      <c r="H2902" s="17"/>
      <c r="I2902" s="31"/>
      <c r="J2902" s="17"/>
      <c r="K2902" s="17"/>
      <c r="L2902" s="17"/>
      <c r="M2902" s="17"/>
      <c r="N2902" s="17"/>
      <c r="O2902" s="17"/>
      <c r="P2902" s="17"/>
      <c r="Q2902" s="17"/>
      <c r="R2902" s="17"/>
      <c r="S2902" s="17"/>
      <c r="T2902" s="17"/>
      <c r="U2902" s="17"/>
      <c r="V2902" s="17"/>
      <c r="W2902" s="17"/>
      <c r="X2902" s="17"/>
      <c r="Y2902" s="17"/>
      <c r="Z2902" s="31"/>
      <c r="AA2902" s="32"/>
    </row>
    <row r="2903" spans="1:27" ht="12.75">
      <c r="A2903" s="17"/>
      <c r="B2903" s="17"/>
      <c r="C2903" s="17"/>
      <c r="D2903" s="17"/>
      <c r="E2903" s="17"/>
      <c r="F2903" s="17"/>
      <c r="G2903" s="17"/>
      <c r="H2903" s="17"/>
      <c r="I2903" s="31"/>
      <c r="J2903" s="17"/>
      <c r="K2903" s="17"/>
      <c r="L2903" s="17"/>
      <c r="M2903" s="17"/>
      <c r="N2903" s="17"/>
      <c r="O2903" s="17"/>
      <c r="P2903" s="17"/>
      <c r="Q2903" s="17"/>
      <c r="R2903" s="17"/>
      <c r="S2903" s="17"/>
      <c r="T2903" s="17"/>
      <c r="U2903" s="17"/>
      <c r="V2903" s="17"/>
      <c r="W2903" s="17"/>
      <c r="X2903" s="17"/>
      <c r="Y2903" s="17"/>
      <c r="Z2903" s="31"/>
      <c r="AA2903" s="32"/>
    </row>
    <row r="2904" spans="1:27" ht="12.75">
      <c r="A2904" s="17"/>
      <c r="B2904" s="17"/>
      <c r="C2904" s="17"/>
      <c r="D2904" s="17"/>
      <c r="E2904" s="17"/>
      <c r="F2904" s="17"/>
      <c r="G2904" s="17"/>
      <c r="H2904" s="17"/>
      <c r="I2904" s="31"/>
      <c r="J2904" s="17"/>
      <c r="K2904" s="17"/>
      <c r="L2904" s="17"/>
      <c r="M2904" s="17"/>
      <c r="N2904" s="17"/>
      <c r="O2904" s="17"/>
      <c r="P2904" s="17"/>
      <c r="Q2904" s="17"/>
      <c r="R2904" s="17"/>
      <c r="S2904" s="17"/>
      <c r="T2904" s="17"/>
      <c r="U2904" s="17"/>
      <c r="V2904" s="17"/>
      <c r="W2904" s="17"/>
      <c r="X2904" s="17"/>
      <c r="Y2904" s="17"/>
      <c r="Z2904" s="31"/>
      <c r="AA2904" s="32"/>
    </row>
    <row r="2905" spans="1:27" ht="12.75">
      <c r="A2905" s="17"/>
      <c r="B2905" s="17"/>
      <c r="C2905" s="17"/>
      <c r="D2905" s="17"/>
      <c r="E2905" s="17"/>
      <c r="F2905" s="17"/>
      <c r="G2905" s="17"/>
      <c r="H2905" s="17"/>
      <c r="I2905" s="31"/>
      <c r="J2905" s="17"/>
      <c r="K2905" s="17"/>
      <c r="L2905" s="17"/>
      <c r="M2905" s="17"/>
      <c r="N2905" s="17"/>
      <c r="O2905" s="17"/>
      <c r="P2905" s="17"/>
      <c r="Q2905" s="17"/>
      <c r="R2905" s="17"/>
      <c r="S2905" s="17"/>
      <c r="T2905" s="17"/>
      <c r="U2905" s="17"/>
      <c r="V2905" s="17"/>
      <c r="W2905" s="17"/>
      <c r="X2905" s="17"/>
      <c r="Y2905" s="17"/>
      <c r="Z2905" s="31"/>
      <c r="AA2905" s="32"/>
    </row>
    <row r="2906" spans="1:27" ht="12.75">
      <c r="A2906" s="17"/>
      <c r="B2906" s="17"/>
      <c r="C2906" s="17"/>
      <c r="D2906" s="17"/>
      <c r="E2906" s="17"/>
      <c r="F2906" s="17"/>
      <c r="G2906" s="17"/>
      <c r="H2906" s="17"/>
      <c r="I2906" s="31"/>
      <c r="J2906" s="17"/>
      <c r="K2906" s="17"/>
      <c r="L2906" s="17"/>
      <c r="M2906" s="17"/>
      <c r="N2906" s="17"/>
      <c r="O2906" s="17"/>
      <c r="P2906" s="17"/>
      <c r="Q2906" s="17"/>
      <c r="R2906" s="17"/>
      <c r="S2906" s="17"/>
      <c r="T2906" s="17"/>
      <c r="U2906" s="17"/>
      <c r="V2906" s="17"/>
      <c r="W2906" s="17"/>
      <c r="X2906" s="17"/>
      <c r="Y2906" s="17"/>
      <c r="Z2906" s="31"/>
      <c r="AA2906" s="32"/>
    </row>
    <row r="2907" spans="1:27" ht="12.75">
      <c r="A2907" s="17"/>
      <c r="B2907" s="17"/>
      <c r="C2907" s="17"/>
      <c r="D2907" s="17"/>
      <c r="E2907" s="17"/>
      <c r="F2907" s="17"/>
      <c r="G2907" s="17"/>
      <c r="H2907" s="17"/>
      <c r="I2907" s="31"/>
      <c r="J2907" s="17"/>
      <c r="K2907" s="17"/>
      <c r="L2907" s="17"/>
      <c r="M2907" s="17"/>
      <c r="N2907" s="17"/>
      <c r="O2907" s="17"/>
      <c r="P2907" s="17"/>
      <c r="Q2907" s="17"/>
      <c r="R2907" s="17"/>
      <c r="S2907" s="17"/>
      <c r="T2907" s="17"/>
      <c r="U2907" s="17"/>
      <c r="V2907" s="17"/>
      <c r="W2907" s="17"/>
      <c r="X2907" s="17"/>
      <c r="Y2907" s="17"/>
      <c r="Z2907" s="31"/>
      <c r="AA2907" s="32"/>
    </row>
    <row r="2908" spans="1:27" ht="12.75">
      <c r="A2908" s="17"/>
      <c r="B2908" s="17"/>
      <c r="C2908" s="17"/>
      <c r="D2908" s="17"/>
      <c r="E2908" s="17"/>
      <c r="F2908" s="17"/>
      <c r="G2908" s="17"/>
      <c r="H2908" s="17"/>
      <c r="I2908" s="31"/>
      <c r="J2908" s="17"/>
      <c r="K2908" s="17"/>
      <c r="L2908" s="17"/>
      <c r="M2908" s="17"/>
      <c r="N2908" s="17"/>
      <c r="O2908" s="17"/>
      <c r="P2908" s="17"/>
      <c r="Q2908" s="17"/>
      <c r="R2908" s="17"/>
      <c r="S2908" s="17"/>
      <c r="T2908" s="17"/>
      <c r="U2908" s="17"/>
      <c r="V2908" s="17"/>
      <c r="W2908" s="17"/>
      <c r="X2908" s="17"/>
      <c r="Y2908" s="17"/>
      <c r="Z2908" s="31"/>
      <c r="AA2908" s="32"/>
    </row>
    <row r="2909" spans="1:27" ht="12.75">
      <c r="A2909" s="17"/>
      <c r="B2909" s="17"/>
      <c r="C2909" s="17"/>
      <c r="D2909" s="17"/>
      <c r="E2909" s="17"/>
      <c r="F2909" s="17"/>
      <c r="G2909" s="17"/>
      <c r="H2909" s="17"/>
      <c r="I2909" s="31"/>
      <c r="J2909" s="17"/>
      <c r="K2909" s="17"/>
      <c r="L2909" s="17"/>
      <c r="M2909" s="17"/>
      <c r="N2909" s="17"/>
      <c r="O2909" s="17"/>
      <c r="P2909" s="17"/>
      <c r="Q2909" s="17"/>
      <c r="R2909" s="17"/>
      <c r="S2909" s="17"/>
      <c r="T2909" s="17"/>
      <c r="U2909" s="17"/>
      <c r="V2909" s="17"/>
      <c r="W2909" s="17"/>
      <c r="X2909" s="17"/>
      <c r="Y2909" s="17"/>
      <c r="Z2909" s="31"/>
      <c r="AA2909" s="32"/>
    </row>
    <row r="2910" spans="1:27" ht="12.75">
      <c r="A2910" s="17"/>
      <c r="B2910" s="17"/>
      <c r="C2910" s="17"/>
      <c r="D2910" s="17"/>
      <c r="E2910" s="17"/>
      <c r="F2910" s="17"/>
      <c r="G2910" s="17"/>
      <c r="H2910" s="17"/>
      <c r="I2910" s="31"/>
      <c r="J2910" s="17"/>
      <c r="K2910" s="17"/>
      <c r="L2910" s="17"/>
      <c r="M2910" s="17"/>
      <c r="N2910" s="17"/>
      <c r="O2910" s="17"/>
      <c r="P2910" s="17"/>
      <c r="Q2910" s="17"/>
      <c r="R2910" s="17"/>
      <c r="S2910" s="17"/>
      <c r="T2910" s="17"/>
      <c r="U2910" s="17"/>
      <c r="V2910" s="17"/>
      <c r="W2910" s="17"/>
      <c r="X2910" s="17"/>
      <c r="Y2910" s="17"/>
      <c r="Z2910" s="31"/>
      <c r="AA2910" s="32"/>
    </row>
    <row r="2911" spans="1:27" ht="12.75">
      <c r="A2911" s="17"/>
      <c r="B2911" s="17"/>
      <c r="C2911" s="17"/>
      <c r="D2911" s="17"/>
      <c r="E2911" s="17"/>
      <c r="F2911" s="17"/>
      <c r="G2911" s="17"/>
      <c r="H2911" s="17"/>
      <c r="I2911" s="31"/>
      <c r="J2911" s="17"/>
      <c r="K2911" s="17"/>
      <c r="L2911" s="17"/>
      <c r="M2911" s="17"/>
      <c r="N2911" s="17"/>
      <c r="O2911" s="17"/>
      <c r="P2911" s="17"/>
      <c r="Q2911" s="17"/>
      <c r="R2911" s="17"/>
      <c r="S2911" s="17"/>
      <c r="T2911" s="17"/>
      <c r="U2911" s="17"/>
      <c r="V2911" s="17"/>
      <c r="W2911" s="17"/>
      <c r="X2911" s="17"/>
      <c r="Y2911" s="17"/>
      <c r="Z2911" s="31"/>
      <c r="AA2911" s="32"/>
    </row>
    <row r="2912" spans="1:27" ht="12.75">
      <c r="A2912" s="17"/>
      <c r="B2912" s="17"/>
      <c r="C2912" s="17"/>
      <c r="D2912" s="17"/>
      <c r="E2912" s="17"/>
      <c r="F2912" s="17"/>
      <c r="G2912" s="17"/>
      <c r="H2912" s="17"/>
      <c r="I2912" s="31"/>
      <c r="J2912" s="17"/>
      <c r="K2912" s="17"/>
      <c r="L2912" s="17"/>
      <c r="M2912" s="17"/>
      <c r="N2912" s="17"/>
      <c r="O2912" s="17"/>
      <c r="P2912" s="17"/>
      <c r="Q2912" s="17"/>
      <c r="R2912" s="17"/>
      <c r="S2912" s="17"/>
      <c r="T2912" s="17"/>
      <c r="U2912" s="17"/>
      <c r="V2912" s="17"/>
      <c r="W2912" s="17"/>
      <c r="X2912" s="17"/>
      <c r="Y2912" s="17"/>
      <c r="Z2912" s="31"/>
      <c r="AA2912" s="32"/>
    </row>
    <row r="2913" spans="1:27" ht="12.75">
      <c r="A2913" s="17"/>
      <c r="B2913" s="17"/>
      <c r="C2913" s="17"/>
      <c r="D2913" s="17"/>
      <c r="E2913" s="17"/>
      <c r="F2913" s="17"/>
      <c r="G2913" s="17"/>
      <c r="H2913" s="17"/>
      <c r="I2913" s="31"/>
      <c r="J2913" s="17"/>
      <c r="K2913" s="17"/>
      <c r="L2913" s="17"/>
      <c r="M2913" s="17"/>
      <c r="N2913" s="17"/>
      <c r="O2913" s="17"/>
      <c r="P2913" s="17"/>
      <c r="Q2913" s="17"/>
      <c r="R2913" s="17"/>
      <c r="S2913" s="17"/>
      <c r="T2913" s="17"/>
      <c r="U2913" s="17"/>
      <c r="V2913" s="17"/>
      <c r="W2913" s="17"/>
      <c r="X2913" s="17"/>
      <c r="Y2913" s="17"/>
      <c r="Z2913" s="31"/>
      <c r="AA2913" s="32"/>
    </row>
    <row r="2914" spans="1:27" ht="12.75">
      <c r="A2914" s="17"/>
      <c r="B2914" s="17"/>
      <c r="C2914" s="17"/>
      <c r="D2914" s="17"/>
      <c r="E2914" s="17"/>
      <c r="F2914" s="17"/>
      <c r="G2914" s="17"/>
      <c r="H2914" s="17"/>
      <c r="I2914" s="31"/>
      <c r="J2914" s="17"/>
      <c r="K2914" s="17"/>
      <c r="L2914" s="17"/>
      <c r="M2914" s="17"/>
      <c r="N2914" s="17"/>
      <c r="O2914" s="17"/>
      <c r="P2914" s="17"/>
      <c r="Q2914" s="17"/>
      <c r="R2914" s="17"/>
      <c r="S2914" s="17"/>
      <c r="T2914" s="17"/>
      <c r="U2914" s="17"/>
      <c r="V2914" s="17"/>
      <c r="W2914" s="17"/>
      <c r="X2914" s="17"/>
      <c r="Y2914" s="17"/>
      <c r="Z2914" s="31"/>
      <c r="AA2914" s="32"/>
    </row>
    <row r="2915" spans="1:27" ht="12.75">
      <c r="A2915" s="17"/>
      <c r="B2915" s="17"/>
      <c r="C2915" s="17"/>
      <c r="D2915" s="17"/>
      <c r="E2915" s="17"/>
      <c r="F2915" s="17"/>
      <c r="G2915" s="17"/>
      <c r="H2915" s="17"/>
      <c r="I2915" s="31"/>
      <c r="J2915" s="17"/>
      <c r="K2915" s="17"/>
      <c r="L2915" s="17"/>
      <c r="M2915" s="17"/>
      <c r="N2915" s="17"/>
      <c r="O2915" s="17"/>
      <c r="P2915" s="17"/>
      <c r="Q2915" s="17"/>
      <c r="R2915" s="17"/>
      <c r="S2915" s="17"/>
      <c r="T2915" s="17"/>
      <c r="U2915" s="17"/>
      <c r="V2915" s="17"/>
      <c r="W2915" s="17"/>
      <c r="X2915" s="17"/>
      <c r="Y2915" s="17"/>
      <c r="Z2915" s="31"/>
      <c r="AA2915" s="32"/>
    </row>
    <row r="2916" spans="1:27" ht="12.75">
      <c r="A2916" s="17"/>
      <c r="B2916" s="17"/>
      <c r="C2916" s="17"/>
      <c r="D2916" s="17"/>
      <c r="E2916" s="17"/>
      <c r="F2916" s="17"/>
      <c r="G2916" s="17"/>
      <c r="H2916" s="17"/>
      <c r="I2916" s="31"/>
      <c r="J2916" s="17"/>
      <c r="K2916" s="17"/>
      <c r="L2916" s="17"/>
      <c r="M2916" s="17"/>
      <c r="N2916" s="17"/>
      <c r="O2916" s="17"/>
      <c r="P2916" s="17"/>
      <c r="Q2916" s="17"/>
      <c r="R2916" s="17"/>
      <c r="S2916" s="17"/>
      <c r="T2916" s="17"/>
      <c r="U2916" s="17"/>
      <c r="V2916" s="17"/>
      <c r="W2916" s="17"/>
      <c r="X2916" s="17"/>
      <c r="Y2916" s="17"/>
      <c r="Z2916" s="31"/>
      <c r="AA2916" s="32"/>
    </row>
    <row r="2917" spans="1:27" ht="12.75">
      <c r="A2917" s="17"/>
      <c r="B2917" s="17"/>
      <c r="C2917" s="17"/>
      <c r="D2917" s="17"/>
      <c r="E2917" s="17"/>
      <c r="F2917" s="17"/>
      <c r="G2917" s="17"/>
      <c r="H2917" s="17"/>
      <c r="I2917" s="31"/>
      <c r="J2917" s="17"/>
      <c r="K2917" s="17"/>
      <c r="L2917" s="17"/>
      <c r="M2917" s="17"/>
      <c r="N2917" s="17"/>
      <c r="O2917" s="17"/>
      <c r="P2917" s="17"/>
      <c r="Q2917" s="17"/>
      <c r="R2917" s="17"/>
      <c r="S2917" s="17"/>
      <c r="T2917" s="17"/>
      <c r="U2917" s="17"/>
      <c r="V2917" s="17"/>
      <c r="W2917" s="17"/>
      <c r="X2917" s="17"/>
      <c r="Y2917" s="17"/>
      <c r="Z2917" s="31"/>
      <c r="AA2917" s="32"/>
    </row>
    <row r="2918" spans="1:27" ht="12.75">
      <c r="A2918" s="17"/>
      <c r="B2918" s="17"/>
      <c r="C2918" s="17"/>
      <c r="D2918" s="17"/>
      <c r="E2918" s="17"/>
      <c r="F2918" s="17"/>
      <c r="G2918" s="17"/>
      <c r="H2918" s="17"/>
      <c r="I2918" s="31"/>
      <c r="J2918" s="17"/>
      <c r="K2918" s="17"/>
      <c r="L2918" s="17"/>
      <c r="M2918" s="17"/>
      <c r="N2918" s="17"/>
      <c r="O2918" s="17"/>
      <c r="P2918" s="17"/>
      <c r="Q2918" s="17"/>
      <c r="R2918" s="17"/>
      <c r="S2918" s="17"/>
      <c r="T2918" s="17"/>
      <c r="U2918" s="17"/>
      <c r="V2918" s="17"/>
      <c r="W2918" s="17"/>
      <c r="X2918" s="17"/>
      <c r="Y2918" s="17"/>
      <c r="Z2918" s="31"/>
      <c r="AA2918" s="32"/>
    </row>
    <row r="2919" spans="1:27" ht="12.75">
      <c r="A2919" s="17"/>
      <c r="B2919" s="17"/>
      <c r="C2919" s="17"/>
      <c r="D2919" s="17"/>
      <c r="E2919" s="17"/>
      <c r="F2919" s="17"/>
      <c r="G2919" s="17"/>
      <c r="H2919" s="17"/>
      <c r="I2919" s="31"/>
      <c r="J2919" s="17"/>
      <c r="K2919" s="17"/>
      <c r="L2919" s="17"/>
      <c r="M2919" s="17"/>
      <c r="N2919" s="17"/>
      <c r="O2919" s="17"/>
      <c r="P2919" s="17"/>
      <c r="Q2919" s="17"/>
      <c r="R2919" s="17"/>
      <c r="S2919" s="17"/>
      <c r="T2919" s="17"/>
      <c r="U2919" s="17"/>
      <c r="V2919" s="17"/>
      <c r="W2919" s="17"/>
      <c r="X2919" s="17"/>
      <c r="Y2919" s="17"/>
      <c r="Z2919" s="31"/>
      <c r="AA2919" s="32"/>
    </row>
    <row r="2920" spans="1:27" ht="12.75">
      <c r="A2920" s="17"/>
      <c r="B2920" s="17"/>
      <c r="C2920" s="17"/>
      <c r="D2920" s="17"/>
      <c r="E2920" s="17"/>
      <c r="F2920" s="17"/>
      <c r="G2920" s="17"/>
      <c r="H2920" s="17"/>
      <c r="I2920" s="31"/>
      <c r="J2920" s="17"/>
      <c r="K2920" s="17"/>
      <c r="L2920" s="17"/>
      <c r="M2920" s="17"/>
      <c r="N2920" s="17"/>
      <c r="O2920" s="17"/>
      <c r="P2920" s="17"/>
      <c r="Q2920" s="17"/>
      <c r="R2920" s="17"/>
      <c r="S2920" s="17"/>
      <c r="T2920" s="17"/>
      <c r="U2920" s="17"/>
      <c r="V2920" s="17"/>
      <c r="W2920" s="17"/>
      <c r="X2920" s="17"/>
      <c r="Y2920" s="17"/>
      <c r="Z2920" s="31"/>
      <c r="AA2920" s="32"/>
    </row>
    <row r="2921" spans="1:27" ht="12.75">
      <c r="A2921" s="17"/>
      <c r="B2921" s="17"/>
      <c r="C2921" s="17"/>
      <c r="D2921" s="17"/>
      <c r="E2921" s="17"/>
      <c r="F2921" s="17"/>
      <c r="G2921" s="17"/>
      <c r="H2921" s="17"/>
      <c r="I2921" s="31"/>
      <c r="J2921" s="17"/>
      <c r="K2921" s="17"/>
      <c r="L2921" s="17"/>
      <c r="M2921" s="17"/>
      <c r="N2921" s="17"/>
      <c r="O2921" s="17"/>
      <c r="P2921" s="17"/>
      <c r="Q2921" s="17"/>
      <c r="R2921" s="17"/>
      <c r="S2921" s="17"/>
      <c r="T2921" s="17"/>
      <c r="U2921" s="17"/>
      <c r="V2921" s="17"/>
      <c r="W2921" s="17"/>
      <c r="X2921" s="17"/>
      <c r="Y2921" s="17"/>
      <c r="Z2921" s="31"/>
      <c r="AA2921" s="32"/>
    </row>
    <row r="2922" spans="1:27" ht="12.75">
      <c r="A2922" s="17"/>
      <c r="B2922" s="17"/>
      <c r="C2922" s="17"/>
      <c r="D2922" s="17"/>
      <c r="E2922" s="17"/>
      <c r="F2922" s="17"/>
      <c r="G2922" s="17"/>
      <c r="H2922" s="17"/>
      <c r="I2922" s="31"/>
      <c r="J2922" s="17"/>
      <c r="K2922" s="17"/>
      <c r="L2922" s="17"/>
      <c r="M2922" s="17"/>
      <c r="N2922" s="17"/>
      <c r="O2922" s="17"/>
      <c r="P2922" s="17"/>
      <c r="Q2922" s="17"/>
      <c r="R2922" s="17"/>
      <c r="S2922" s="17"/>
      <c r="T2922" s="17"/>
      <c r="U2922" s="17"/>
      <c r="V2922" s="17"/>
      <c r="W2922" s="17"/>
      <c r="X2922" s="17"/>
      <c r="Y2922" s="17"/>
      <c r="Z2922" s="31"/>
      <c r="AA2922" s="32"/>
    </row>
    <row r="2923" spans="1:27" ht="12.75">
      <c r="A2923" s="17"/>
      <c r="B2923" s="17"/>
      <c r="C2923" s="17"/>
      <c r="D2923" s="17"/>
      <c r="E2923" s="17"/>
      <c r="F2923" s="17"/>
      <c r="G2923" s="17"/>
      <c r="H2923" s="17"/>
      <c r="I2923" s="31"/>
      <c r="J2923" s="17"/>
      <c r="K2923" s="17"/>
      <c r="L2923" s="17"/>
      <c r="M2923" s="17"/>
      <c r="N2923" s="17"/>
      <c r="O2923" s="17"/>
      <c r="P2923" s="17"/>
      <c r="Q2923" s="17"/>
      <c r="R2923" s="17"/>
      <c r="S2923" s="17"/>
      <c r="T2923" s="17"/>
      <c r="U2923" s="17"/>
      <c r="V2923" s="17"/>
      <c r="W2923" s="17"/>
      <c r="X2923" s="17"/>
      <c r="Y2923" s="17"/>
      <c r="Z2923" s="31"/>
      <c r="AA2923" s="32"/>
    </row>
    <row r="2924" spans="1:27" ht="12.75">
      <c r="A2924" s="17"/>
      <c r="B2924" s="17"/>
      <c r="C2924" s="17"/>
      <c r="D2924" s="17"/>
      <c r="E2924" s="17"/>
      <c r="F2924" s="17"/>
      <c r="G2924" s="17"/>
      <c r="H2924" s="17"/>
      <c r="I2924" s="31"/>
      <c r="J2924" s="17"/>
      <c r="K2924" s="17"/>
      <c r="L2924" s="17"/>
      <c r="M2924" s="17"/>
      <c r="N2924" s="17"/>
      <c r="O2924" s="17"/>
      <c r="P2924" s="17"/>
      <c r="Q2924" s="17"/>
      <c r="R2924" s="17"/>
      <c r="S2924" s="17"/>
      <c r="T2924" s="17"/>
      <c r="U2924" s="17"/>
      <c r="V2924" s="17"/>
      <c r="W2924" s="17"/>
      <c r="X2924" s="17"/>
      <c r="Y2924" s="17"/>
      <c r="Z2924" s="31"/>
      <c r="AA2924" s="32"/>
    </row>
    <row r="2925" spans="1:27" ht="12.75">
      <c r="A2925" s="17"/>
      <c r="B2925" s="17"/>
      <c r="C2925" s="17"/>
      <c r="D2925" s="17"/>
      <c r="E2925" s="17"/>
      <c r="F2925" s="17"/>
      <c r="G2925" s="17"/>
      <c r="H2925" s="17"/>
      <c r="I2925" s="31"/>
      <c r="J2925" s="17"/>
      <c r="K2925" s="17"/>
      <c r="L2925" s="17"/>
      <c r="M2925" s="17"/>
      <c r="N2925" s="17"/>
      <c r="O2925" s="17"/>
      <c r="P2925" s="17"/>
      <c r="Q2925" s="17"/>
      <c r="R2925" s="17"/>
      <c r="S2925" s="17"/>
      <c r="T2925" s="17"/>
      <c r="U2925" s="17"/>
      <c r="V2925" s="17"/>
      <c r="W2925" s="17"/>
      <c r="X2925" s="17"/>
      <c r="Y2925" s="17"/>
      <c r="Z2925" s="31"/>
      <c r="AA2925" s="32"/>
    </row>
    <row r="2926" spans="1:27" ht="12.75">
      <c r="A2926" s="17"/>
      <c r="B2926" s="17"/>
      <c r="C2926" s="17"/>
      <c r="D2926" s="17"/>
      <c r="E2926" s="17"/>
      <c r="F2926" s="17"/>
      <c r="G2926" s="17"/>
      <c r="H2926" s="17"/>
      <c r="I2926" s="31"/>
      <c r="J2926" s="17"/>
      <c r="K2926" s="17"/>
      <c r="L2926" s="17"/>
      <c r="M2926" s="17"/>
      <c r="N2926" s="17"/>
      <c r="O2926" s="17"/>
      <c r="P2926" s="17"/>
      <c r="Q2926" s="17"/>
      <c r="R2926" s="17"/>
      <c r="S2926" s="17"/>
      <c r="T2926" s="17"/>
      <c r="U2926" s="17"/>
      <c r="V2926" s="17"/>
      <c r="W2926" s="17"/>
      <c r="X2926" s="17"/>
      <c r="Y2926" s="17"/>
      <c r="Z2926" s="31"/>
      <c r="AA2926" s="32"/>
    </row>
    <row r="2927" spans="1:27" ht="12.75">
      <c r="A2927" s="17"/>
      <c r="B2927" s="17"/>
      <c r="C2927" s="17"/>
      <c r="D2927" s="17"/>
      <c r="E2927" s="17"/>
      <c r="F2927" s="17"/>
      <c r="G2927" s="17"/>
      <c r="H2927" s="17"/>
      <c r="I2927" s="31"/>
      <c r="J2927" s="17"/>
      <c r="K2927" s="17"/>
      <c r="L2927" s="17"/>
      <c r="M2927" s="17"/>
      <c r="N2927" s="17"/>
      <c r="O2927" s="17"/>
      <c r="P2927" s="17"/>
      <c r="Q2927" s="17"/>
      <c r="R2927" s="17"/>
      <c r="S2927" s="17"/>
      <c r="T2927" s="17"/>
      <c r="U2927" s="17"/>
      <c r="V2927" s="17"/>
      <c r="W2927" s="17"/>
      <c r="X2927" s="17"/>
      <c r="Y2927" s="17"/>
      <c r="Z2927" s="31"/>
      <c r="AA2927" s="32"/>
    </row>
    <row r="2928" spans="1:27" ht="12.75">
      <c r="A2928" s="17"/>
      <c r="B2928" s="17"/>
      <c r="C2928" s="17"/>
      <c r="D2928" s="17"/>
      <c r="E2928" s="17"/>
      <c r="F2928" s="17"/>
      <c r="G2928" s="17"/>
      <c r="H2928" s="17"/>
      <c r="I2928" s="31"/>
      <c r="J2928" s="17"/>
      <c r="K2928" s="17"/>
      <c r="L2928" s="17"/>
      <c r="M2928" s="17"/>
      <c r="N2928" s="17"/>
      <c r="O2928" s="17"/>
      <c r="P2928" s="17"/>
      <c r="Q2928" s="17"/>
      <c r="R2928" s="17"/>
      <c r="S2928" s="17"/>
      <c r="T2928" s="17"/>
      <c r="U2928" s="17"/>
      <c r="V2928" s="17"/>
      <c r="W2928" s="17"/>
      <c r="X2928" s="17"/>
      <c r="Y2928" s="17"/>
      <c r="Z2928" s="31"/>
      <c r="AA2928" s="32"/>
    </row>
    <row r="2929" spans="1:27" ht="12.75">
      <c r="A2929" s="17"/>
      <c r="B2929" s="17"/>
      <c r="C2929" s="17"/>
      <c r="D2929" s="17"/>
      <c r="E2929" s="17"/>
      <c r="F2929" s="17"/>
      <c r="G2929" s="17"/>
      <c r="H2929" s="17"/>
      <c r="I2929" s="31"/>
      <c r="J2929" s="17"/>
      <c r="K2929" s="17"/>
      <c r="L2929" s="17"/>
      <c r="M2929" s="17"/>
      <c r="N2929" s="17"/>
      <c r="O2929" s="17"/>
      <c r="P2929" s="17"/>
      <c r="Q2929" s="17"/>
      <c r="R2929" s="17"/>
      <c r="S2929" s="17"/>
      <c r="T2929" s="17"/>
      <c r="U2929" s="17"/>
      <c r="V2929" s="17"/>
      <c r="W2929" s="17"/>
      <c r="X2929" s="17"/>
      <c r="Y2929" s="17"/>
      <c r="Z2929" s="31"/>
      <c r="AA2929" s="32"/>
    </row>
    <row r="2930" spans="1:27" ht="12.75">
      <c r="A2930" s="17"/>
      <c r="B2930" s="17"/>
      <c r="C2930" s="17"/>
      <c r="D2930" s="17"/>
      <c r="E2930" s="17"/>
      <c r="F2930" s="17"/>
      <c r="G2930" s="17"/>
      <c r="H2930" s="17"/>
      <c r="I2930" s="31"/>
      <c r="J2930" s="17"/>
      <c r="K2930" s="17"/>
      <c r="L2930" s="17"/>
      <c r="M2930" s="17"/>
      <c r="N2930" s="17"/>
      <c r="O2930" s="17"/>
      <c r="P2930" s="17"/>
      <c r="Q2930" s="17"/>
      <c r="R2930" s="17"/>
      <c r="S2930" s="17"/>
      <c r="T2930" s="17"/>
      <c r="U2930" s="17"/>
      <c r="V2930" s="17"/>
      <c r="W2930" s="17"/>
      <c r="X2930" s="17"/>
      <c r="Y2930" s="17"/>
      <c r="Z2930" s="31"/>
      <c r="AA2930" s="32"/>
    </row>
    <row r="2931" spans="1:27" ht="12.75">
      <c r="A2931" s="17"/>
      <c r="B2931" s="17"/>
      <c r="C2931" s="17"/>
      <c r="D2931" s="17"/>
      <c r="E2931" s="17"/>
      <c r="F2931" s="17"/>
      <c r="G2931" s="17"/>
      <c r="H2931" s="17"/>
      <c r="I2931" s="31"/>
      <c r="J2931" s="17"/>
      <c r="K2931" s="17"/>
      <c r="L2931" s="17"/>
      <c r="M2931" s="17"/>
      <c r="N2931" s="17"/>
      <c r="O2931" s="17"/>
      <c r="P2931" s="17"/>
      <c r="Q2931" s="17"/>
      <c r="R2931" s="17"/>
      <c r="S2931" s="17"/>
      <c r="T2931" s="17"/>
      <c r="U2931" s="17"/>
      <c r="V2931" s="17"/>
      <c r="W2931" s="17"/>
      <c r="X2931" s="17"/>
      <c r="Y2931" s="17"/>
      <c r="Z2931" s="31"/>
      <c r="AA2931" s="32"/>
    </row>
    <row r="2932" spans="1:27" ht="12.75">
      <c r="A2932" s="17"/>
      <c r="B2932" s="17"/>
      <c r="C2932" s="17"/>
      <c r="D2932" s="17"/>
      <c r="E2932" s="17"/>
      <c r="F2932" s="17"/>
      <c r="G2932" s="17"/>
      <c r="H2932" s="17"/>
      <c r="I2932" s="31"/>
      <c r="J2932" s="17"/>
      <c r="K2932" s="17"/>
      <c r="L2932" s="17"/>
      <c r="M2932" s="17"/>
      <c r="N2932" s="17"/>
      <c r="O2932" s="17"/>
      <c r="P2932" s="17"/>
      <c r="Q2932" s="17"/>
      <c r="R2932" s="17"/>
      <c r="S2932" s="17"/>
      <c r="T2932" s="17"/>
      <c r="U2932" s="17"/>
      <c r="V2932" s="17"/>
      <c r="W2932" s="17"/>
      <c r="X2932" s="17"/>
      <c r="Y2932" s="17"/>
      <c r="Z2932" s="31"/>
      <c r="AA2932" s="32"/>
    </row>
    <row r="2933" spans="1:27" ht="12.75">
      <c r="A2933" s="17"/>
      <c r="B2933" s="17"/>
      <c r="C2933" s="17"/>
      <c r="D2933" s="17"/>
      <c r="E2933" s="17"/>
      <c r="F2933" s="17"/>
      <c r="G2933" s="17"/>
      <c r="H2933" s="17"/>
      <c r="I2933" s="31"/>
      <c r="J2933" s="17"/>
      <c r="K2933" s="17"/>
      <c r="L2933" s="17"/>
      <c r="M2933" s="17"/>
      <c r="N2933" s="17"/>
      <c r="O2933" s="17"/>
      <c r="P2933" s="17"/>
      <c r="Q2933" s="17"/>
      <c r="R2933" s="17"/>
      <c r="S2933" s="17"/>
      <c r="T2933" s="17"/>
      <c r="U2933" s="17"/>
      <c r="V2933" s="17"/>
      <c r="W2933" s="17"/>
      <c r="X2933" s="17"/>
      <c r="Y2933" s="17"/>
      <c r="Z2933" s="31"/>
      <c r="AA2933" s="32"/>
    </row>
    <row r="2934" spans="1:27" ht="12.75">
      <c r="A2934" s="17"/>
      <c r="B2934" s="17"/>
      <c r="C2934" s="17"/>
      <c r="D2934" s="17"/>
      <c r="E2934" s="17"/>
      <c r="F2934" s="17"/>
      <c r="G2934" s="17"/>
      <c r="H2934" s="17"/>
      <c r="I2934" s="31"/>
      <c r="J2934" s="17"/>
      <c r="K2934" s="17"/>
      <c r="L2934" s="17"/>
      <c r="M2934" s="17"/>
      <c r="N2934" s="17"/>
      <c r="O2934" s="17"/>
      <c r="P2934" s="17"/>
      <c r="Q2934" s="17"/>
      <c r="R2934" s="17"/>
      <c r="S2934" s="17"/>
      <c r="T2934" s="17"/>
      <c r="U2934" s="17"/>
      <c r="V2934" s="17"/>
      <c r="W2934" s="17"/>
      <c r="X2934" s="17"/>
      <c r="Y2934" s="17"/>
      <c r="Z2934" s="31"/>
      <c r="AA2934" s="32"/>
    </row>
    <row r="2935" spans="1:27" ht="12.75">
      <c r="A2935" s="17"/>
      <c r="B2935" s="17"/>
      <c r="C2935" s="17"/>
      <c r="D2935" s="17"/>
      <c r="E2935" s="17"/>
      <c r="F2935" s="17"/>
      <c r="G2935" s="17"/>
      <c r="H2935" s="17"/>
      <c r="I2935" s="31"/>
      <c r="J2935" s="17"/>
      <c r="K2935" s="17"/>
      <c r="L2935" s="17"/>
      <c r="M2935" s="17"/>
      <c r="N2935" s="17"/>
      <c r="O2935" s="17"/>
      <c r="P2935" s="17"/>
      <c r="Q2935" s="17"/>
      <c r="R2935" s="17"/>
      <c r="S2935" s="17"/>
      <c r="T2935" s="17"/>
      <c r="U2935" s="17"/>
      <c r="V2935" s="17"/>
      <c r="W2935" s="17"/>
      <c r="X2935" s="17"/>
      <c r="Y2935" s="17"/>
      <c r="Z2935" s="31"/>
      <c r="AA2935" s="32"/>
    </row>
    <row r="2936" spans="1:27" ht="12.75">
      <c r="A2936" s="17"/>
      <c r="B2936" s="17"/>
      <c r="C2936" s="17"/>
      <c r="D2936" s="17"/>
      <c r="E2936" s="17"/>
      <c r="F2936" s="17"/>
      <c r="G2936" s="17"/>
      <c r="H2936" s="17"/>
      <c r="I2936" s="31"/>
      <c r="J2936" s="17"/>
      <c r="K2936" s="17"/>
      <c r="L2936" s="17"/>
      <c r="M2936" s="17"/>
      <c r="N2936" s="17"/>
      <c r="O2936" s="17"/>
      <c r="P2936" s="17"/>
      <c r="Q2936" s="17"/>
      <c r="R2936" s="17"/>
      <c r="S2936" s="17"/>
      <c r="T2936" s="17"/>
      <c r="U2936" s="17"/>
      <c r="V2936" s="17"/>
      <c r="W2936" s="17"/>
      <c r="X2936" s="17"/>
      <c r="Y2936" s="17"/>
      <c r="Z2936" s="31"/>
      <c r="AA2936" s="32"/>
    </row>
    <row r="2937" spans="1:27" ht="12.75">
      <c r="A2937" s="17"/>
      <c r="B2937" s="17"/>
      <c r="C2937" s="17"/>
      <c r="D2937" s="17"/>
      <c r="E2937" s="17"/>
      <c r="F2937" s="17"/>
      <c r="G2937" s="17"/>
      <c r="H2937" s="17"/>
      <c r="I2937" s="31"/>
      <c r="J2937" s="17"/>
      <c r="K2937" s="17"/>
      <c r="L2937" s="17"/>
      <c r="M2937" s="17"/>
      <c r="N2937" s="17"/>
      <c r="O2937" s="17"/>
      <c r="P2937" s="17"/>
      <c r="Q2937" s="17"/>
      <c r="R2937" s="17"/>
      <c r="S2937" s="17"/>
      <c r="T2937" s="17"/>
      <c r="U2937" s="17"/>
      <c r="V2937" s="17"/>
      <c r="W2937" s="17"/>
      <c r="X2937" s="17"/>
      <c r="Y2937" s="17"/>
      <c r="Z2937" s="31"/>
      <c r="AA2937" s="32"/>
    </row>
    <row r="2938" spans="1:27" ht="12.75">
      <c r="A2938" s="17"/>
      <c r="B2938" s="17"/>
      <c r="C2938" s="17"/>
      <c r="D2938" s="17"/>
      <c r="E2938" s="17"/>
      <c r="F2938" s="17"/>
      <c r="G2938" s="17"/>
      <c r="H2938" s="17"/>
      <c r="I2938" s="31"/>
      <c r="J2938" s="17"/>
      <c r="K2938" s="17"/>
      <c r="L2938" s="17"/>
      <c r="M2938" s="17"/>
      <c r="N2938" s="17"/>
      <c r="O2938" s="17"/>
      <c r="P2938" s="17"/>
      <c r="Q2938" s="17"/>
      <c r="R2938" s="17"/>
      <c r="S2938" s="17"/>
      <c r="T2938" s="17"/>
      <c r="U2938" s="17"/>
      <c r="V2938" s="17"/>
      <c r="W2938" s="17"/>
      <c r="X2938" s="17"/>
      <c r="Y2938" s="17"/>
      <c r="Z2938" s="31"/>
      <c r="AA2938" s="32"/>
    </row>
    <row r="2939" spans="1:27" ht="12.75">
      <c r="A2939" s="17"/>
      <c r="B2939" s="17"/>
      <c r="C2939" s="17"/>
      <c r="D2939" s="17"/>
      <c r="E2939" s="17"/>
      <c r="F2939" s="17"/>
      <c r="G2939" s="17"/>
      <c r="H2939" s="17"/>
      <c r="I2939" s="31"/>
      <c r="J2939" s="17"/>
      <c r="K2939" s="17"/>
      <c r="L2939" s="17"/>
      <c r="M2939" s="17"/>
      <c r="N2939" s="17"/>
      <c r="O2939" s="17"/>
      <c r="P2939" s="17"/>
      <c r="Q2939" s="17"/>
      <c r="R2939" s="17"/>
      <c r="S2939" s="17"/>
      <c r="T2939" s="17"/>
      <c r="U2939" s="17"/>
      <c r="V2939" s="17"/>
      <c r="W2939" s="17"/>
      <c r="X2939" s="17"/>
      <c r="Y2939" s="17"/>
      <c r="Z2939" s="31"/>
      <c r="AA2939" s="32"/>
    </row>
    <row r="2940" spans="1:27" ht="12.75">
      <c r="A2940" s="17"/>
      <c r="B2940" s="17"/>
      <c r="C2940" s="17"/>
      <c r="D2940" s="17"/>
      <c r="E2940" s="17"/>
      <c r="F2940" s="17"/>
      <c r="G2940" s="17"/>
      <c r="H2940" s="17"/>
      <c r="I2940" s="31"/>
      <c r="J2940" s="17"/>
      <c r="K2940" s="17"/>
      <c r="L2940" s="17"/>
      <c r="M2940" s="17"/>
      <c r="N2940" s="17"/>
      <c r="O2940" s="17"/>
      <c r="P2940" s="17"/>
      <c r="Q2940" s="17"/>
      <c r="R2940" s="17"/>
      <c r="S2940" s="17"/>
      <c r="T2940" s="17"/>
      <c r="U2940" s="17"/>
      <c r="V2940" s="17"/>
      <c r="W2940" s="17"/>
      <c r="X2940" s="17"/>
      <c r="Y2940" s="17"/>
      <c r="Z2940" s="31"/>
      <c r="AA2940" s="32"/>
    </row>
    <row r="2941" spans="1:27" ht="12.75">
      <c r="A2941" s="17"/>
      <c r="B2941" s="17"/>
      <c r="C2941" s="17"/>
      <c r="D2941" s="17"/>
      <c r="E2941" s="17"/>
      <c r="F2941" s="17"/>
      <c r="G2941" s="17"/>
      <c r="H2941" s="17"/>
      <c r="I2941" s="31"/>
      <c r="J2941" s="17"/>
      <c r="K2941" s="17"/>
      <c r="L2941" s="17"/>
      <c r="M2941" s="17"/>
      <c r="N2941" s="17"/>
      <c r="O2941" s="17"/>
      <c r="P2941" s="17"/>
      <c r="Q2941" s="17"/>
      <c r="R2941" s="17"/>
      <c r="S2941" s="17"/>
      <c r="T2941" s="17"/>
      <c r="U2941" s="17"/>
      <c r="V2941" s="17"/>
      <c r="W2941" s="17"/>
      <c r="X2941" s="17"/>
      <c r="Y2941" s="17"/>
      <c r="Z2941" s="31"/>
      <c r="AA2941" s="32"/>
    </row>
    <row r="2942" spans="1:27" ht="12.75">
      <c r="A2942" s="17"/>
      <c r="B2942" s="17"/>
      <c r="C2942" s="17"/>
      <c r="D2942" s="17"/>
      <c r="E2942" s="17"/>
      <c r="F2942" s="17"/>
      <c r="G2942" s="17"/>
      <c r="H2942" s="17"/>
      <c r="I2942" s="31"/>
      <c r="J2942" s="17"/>
      <c r="K2942" s="17"/>
      <c r="L2942" s="17"/>
      <c r="M2942" s="17"/>
      <c r="N2942" s="17"/>
      <c r="O2942" s="17"/>
      <c r="P2942" s="17"/>
      <c r="Q2942" s="17"/>
      <c r="R2942" s="17"/>
      <c r="S2942" s="17"/>
      <c r="T2942" s="17"/>
      <c r="U2942" s="17"/>
      <c r="V2942" s="17"/>
      <c r="W2942" s="17"/>
      <c r="X2942" s="17"/>
      <c r="Y2942" s="17"/>
      <c r="Z2942" s="31"/>
      <c r="AA2942" s="32"/>
    </row>
    <row r="2943" spans="1:27" ht="12.75">
      <c r="A2943" s="17"/>
      <c r="B2943" s="17"/>
      <c r="C2943" s="17"/>
      <c r="D2943" s="17"/>
      <c r="E2943" s="17"/>
      <c r="F2943" s="17"/>
      <c r="G2943" s="17"/>
      <c r="H2943" s="17"/>
      <c r="I2943" s="31"/>
      <c r="J2943" s="17"/>
      <c r="K2943" s="17"/>
      <c r="L2943" s="17"/>
      <c r="M2943" s="17"/>
      <c r="N2943" s="17"/>
      <c r="O2943" s="17"/>
      <c r="P2943" s="17"/>
      <c r="Q2943" s="17"/>
      <c r="R2943" s="17"/>
      <c r="S2943" s="17"/>
      <c r="T2943" s="17"/>
      <c r="U2943" s="17"/>
      <c r="V2943" s="17"/>
      <c r="W2943" s="17"/>
      <c r="X2943" s="17"/>
      <c r="Y2943" s="17"/>
      <c r="Z2943" s="31"/>
      <c r="AA2943" s="32"/>
    </row>
    <row r="2944" spans="1:27" ht="12.75">
      <c r="A2944" s="17"/>
      <c r="B2944" s="17"/>
      <c r="C2944" s="17"/>
      <c r="D2944" s="17"/>
      <c r="E2944" s="17"/>
      <c r="F2944" s="17"/>
      <c r="G2944" s="17"/>
      <c r="H2944" s="17"/>
      <c r="I2944" s="31"/>
      <c r="J2944" s="17"/>
      <c r="K2944" s="17"/>
      <c r="L2944" s="17"/>
      <c r="M2944" s="17"/>
      <c r="N2944" s="17"/>
      <c r="O2944" s="17"/>
      <c r="P2944" s="17"/>
      <c r="Q2944" s="17"/>
      <c r="R2944" s="17"/>
      <c r="S2944" s="17"/>
      <c r="T2944" s="17"/>
      <c r="U2944" s="17"/>
      <c r="V2944" s="17"/>
      <c r="W2944" s="17"/>
      <c r="X2944" s="17"/>
      <c r="Y2944" s="17"/>
      <c r="Z2944" s="31"/>
      <c r="AA2944" s="32"/>
    </row>
    <row r="2945" spans="1:27" ht="12.75">
      <c r="A2945" s="17"/>
      <c r="B2945" s="17"/>
      <c r="C2945" s="17"/>
      <c r="D2945" s="17"/>
      <c r="E2945" s="17"/>
      <c r="F2945" s="17"/>
      <c r="G2945" s="17"/>
      <c r="H2945" s="17"/>
      <c r="I2945" s="31"/>
      <c r="J2945" s="17"/>
      <c r="K2945" s="17"/>
      <c r="L2945" s="17"/>
      <c r="M2945" s="17"/>
      <c r="N2945" s="17"/>
      <c r="O2945" s="17"/>
      <c r="P2945" s="17"/>
      <c r="Q2945" s="17"/>
      <c r="R2945" s="17"/>
      <c r="S2945" s="17"/>
      <c r="T2945" s="17"/>
      <c r="U2945" s="17"/>
      <c r="V2945" s="17"/>
      <c r="W2945" s="17"/>
      <c r="X2945" s="17"/>
      <c r="Y2945" s="17"/>
      <c r="Z2945" s="31"/>
      <c r="AA2945" s="32"/>
    </row>
    <row r="2946" spans="1:27" ht="12.75">
      <c r="A2946" s="17"/>
      <c r="B2946" s="17"/>
      <c r="C2946" s="17"/>
      <c r="D2946" s="17"/>
      <c r="E2946" s="17"/>
      <c r="F2946" s="17"/>
      <c r="G2946" s="17"/>
      <c r="H2946" s="17"/>
      <c r="I2946" s="31"/>
      <c r="J2946" s="17"/>
      <c r="K2946" s="17"/>
      <c r="L2946" s="17"/>
      <c r="M2946" s="17"/>
      <c r="N2946" s="17"/>
      <c r="O2946" s="17"/>
      <c r="P2946" s="17"/>
      <c r="Q2946" s="17"/>
      <c r="R2946" s="17"/>
      <c r="S2946" s="17"/>
      <c r="T2946" s="17"/>
      <c r="U2946" s="17"/>
      <c r="V2946" s="17"/>
      <c r="W2946" s="17"/>
      <c r="X2946" s="17"/>
      <c r="Y2946" s="17"/>
      <c r="Z2946" s="31"/>
      <c r="AA2946" s="32"/>
    </row>
    <row r="2947" spans="1:27" ht="12.75">
      <c r="A2947" s="17"/>
      <c r="B2947" s="17"/>
      <c r="C2947" s="17"/>
      <c r="D2947" s="17"/>
      <c r="E2947" s="17"/>
      <c r="F2947" s="17"/>
      <c r="G2947" s="17"/>
      <c r="H2947" s="17"/>
      <c r="I2947" s="31"/>
      <c r="J2947" s="17"/>
      <c r="K2947" s="17"/>
      <c r="L2947" s="17"/>
      <c r="M2947" s="17"/>
      <c r="N2947" s="17"/>
      <c r="O2947" s="17"/>
      <c r="P2947" s="17"/>
      <c r="Q2947" s="17"/>
      <c r="R2947" s="17"/>
      <c r="S2947" s="17"/>
      <c r="T2947" s="17"/>
      <c r="U2947" s="17"/>
      <c r="V2947" s="17"/>
      <c r="W2947" s="17"/>
      <c r="X2947" s="17"/>
      <c r="Y2947" s="17"/>
      <c r="Z2947" s="31"/>
      <c r="AA2947" s="32"/>
    </row>
    <row r="2948" spans="1:27" ht="12.75">
      <c r="A2948" s="17"/>
      <c r="B2948" s="17"/>
      <c r="C2948" s="17"/>
      <c r="D2948" s="17"/>
      <c r="E2948" s="17"/>
      <c r="F2948" s="17"/>
      <c r="G2948" s="17"/>
      <c r="H2948" s="17"/>
      <c r="I2948" s="31"/>
      <c r="J2948" s="17"/>
      <c r="K2948" s="17"/>
      <c r="L2948" s="17"/>
      <c r="M2948" s="17"/>
      <c r="N2948" s="17"/>
      <c r="O2948" s="17"/>
      <c r="P2948" s="17"/>
      <c r="Q2948" s="17"/>
      <c r="R2948" s="17"/>
      <c r="S2948" s="17"/>
      <c r="T2948" s="17"/>
      <c r="U2948" s="17"/>
      <c r="V2948" s="17"/>
      <c r="W2948" s="17"/>
      <c r="X2948" s="17"/>
      <c r="Y2948" s="17"/>
      <c r="Z2948" s="31"/>
      <c r="AA2948" s="32"/>
    </row>
    <row r="2949" spans="1:27" ht="12.75">
      <c r="A2949" s="17"/>
      <c r="B2949" s="17"/>
      <c r="C2949" s="17"/>
      <c r="D2949" s="17"/>
      <c r="E2949" s="17"/>
      <c r="F2949" s="17"/>
      <c r="G2949" s="17"/>
      <c r="H2949" s="17"/>
      <c r="I2949" s="31"/>
      <c r="J2949" s="17"/>
      <c r="K2949" s="17"/>
      <c r="L2949" s="17"/>
      <c r="M2949" s="17"/>
      <c r="N2949" s="17"/>
      <c r="O2949" s="17"/>
      <c r="P2949" s="17"/>
      <c r="Q2949" s="17"/>
      <c r="R2949" s="17"/>
      <c r="S2949" s="17"/>
      <c r="T2949" s="17"/>
      <c r="U2949" s="17"/>
      <c r="V2949" s="17"/>
      <c r="W2949" s="17"/>
      <c r="X2949" s="17"/>
      <c r="Y2949" s="17"/>
      <c r="Z2949" s="31"/>
      <c r="AA2949" s="32"/>
    </row>
    <row r="2950" spans="1:27" ht="12.75">
      <c r="A2950" s="17"/>
      <c r="B2950" s="17"/>
      <c r="C2950" s="17"/>
      <c r="D2950" s="17"/>
      <c r="E2950" s="17"/>
      <c r="F2950" s="17"/>
      <c r="G2950" s="17"/>
      <c r="H2950" s="17"/>
      <c r="I2950" s="31"/>
      <c r="J2950" s="17"/>
      <c r="K2950" s="17"/>
      <c r="L2950" s="17"/>
      <c r="M2950" s="17"/>
      <c r="N2950" s="17"/>
      <c r="O2950" s="17"/>
      <c r="P2950" s="17"/>
      <c r="Q2950" s="17"/>
      <c r="R2950" s="17"/>
      <c r="S2950" s="17"/>
      <c r="T2950" s="17"/>
      <c r="U2950" s="17"/>
      <c r="V2950" s="17"/>
      <c r="W2950" s="17"/>
      <c r="X2950" s="17"/>
      <c r="Y2950" s="17"/>
      <c r="Z2950" s="31"/>
      <c r="AA2950" s="32"/>
    </row>
    <row r="2951" spans="1:27" ht="12.75">
      <c r="A2951" s="17"/>
      <c r="B2951" s="17"/>
      <c r="C2951" s="17"/>
      <c r="D2951" s="17"/>
      <c r="E2951" s="17"/>
      <c r="F2951" s="17"/>
      <c r="G2951" s="17"/>
      <c r="H2951" s="17"/>
      <c r="I2951" s="31"/>
      <c r="J2951" s="17"/>
      <c r="K2951" s="17"/>
      <c r="L2951" s="17"/>
      <c r="M2951" s="17"/>
      <c r="N2951" s="17"/>
      <c r="O2951" s="17"/>
      <c r="P2951" s="17"/>
      <c r="Q2951" s="17"/>
      <c r="R2951" s="17"/>
      <c r="S2951" s="17"/>
      <c r="T2951" s="17"/>
      <c r="U2951" s="17"/>
      <c r="V2951" s="17"/>
      <c r="W2951" s="17"/>
      <c r="X2951" s="17"/>
      <c r="Y2951" s="17"/>
      <c r="Z2951" s="31"/>
      <c r="AA2951" s="32"/>
    </row>
    <row r="2952" spans="1:27" ht="12.75">
      <c r="A2952" s="17"/>
      <c r="B2952" s="17"/>
      <c r="C2952" s="17"/>
      <c r="D2952" s="17"/>
      <c r="E2952" s="17"/>
      <c r="F2952" s="17"/>
      <c r="G2952" s="17"/>
      <c r="H2952" s="17"/>
      <c r="I2952" s="31"/>
      <c r="J2952" s="17"/>
      <c r="K2952" s="17"/>
      <c r="L2952" s="17"/>
      <c r="M2952" s="17"/>
      <c r="N2952" s="17"/>
      <c r="O2952" s="17"/>
      <c r="P2952" s="17"/>
      <c r="Q2952" s="17"/>
      <c r="R2952" s="17"/>
      <c r="S2952" s="17"/>
      <c r="T2952" s="17"/>
      <c r="U2952" s="17"/>
      <c r="V2952" s="17"/>
      <c r="W2952" s="17"/>
      <c r="X2952" s="17"/>
      <c r="Y2952" s="17"/>
      <c r="Z2952" s="31"/>
      <c r="AA2952" s="32"/>
    </row>
    <row r="2953" spans="1:27" ht="12.75">
      <c r="A2953" s="17"/>
      <c r="B2953" s="17"/>
      <c r="C2953" s="17"/>
      <c r="D2953" s="17"/>
      <c r="E2953" s="17"/>
      <c r="F2953" s="17"/>
      <c r="G2953" s="17"/>
      <c r="H2953" s="17"/>
      <c r="I2953" s="31"/>
      <c r="J2953" s="17"/>
      <c r="K2953" s="17"/>
      <c r="L2953" s="17"/>
      <c r="M2953" s="17"/>
      <c r="N2953" s="17"/>
      <c r="O2953" s="17"/>
      <c r="P2953" s="17"/>
      <c r="Q2953" s="17"/>
      <c r="R2953" s="17"/>
      <c r="S2953" s="17"/>
      <c r="T2953" s="17"/>
      <c r="U2953" s="17"/>
      <c r="V2953" s="17"/>
      <c r="W2953" s="17"/>
      <c r="X2953" s="17"/>
      <c r="Y2953" s="17"/>
      <c r="Z2953" s="31"/>
      <c r="AA2953" s="32"/>
    </row>
    <row r="2954" spans="1:27" ht="12.75">
      <c r="A2954" s="17"/>
      <c r="B2954" s="17"/>
      <c r="C2954" s="17"/>
      <c r="D2954" s="17"/>
      <c r="E2954" s="17"/>
      <c r="F2954" s="17"/>
      <c r="G2954" s="17"/>
      <c r="H2954" s="17"/>
      <c r="I2954" s="31"/>
      <c r="J2954" s="17"/>
      <c r="K2954" s="17"/>
      <c r="L2954" s="17"/>
      <c r="M2954" s="17"/>
      <c r="N2954" s="17"/>
      <c r="O2954" s="17"/>
      <c r="P2954" s="17"/>
      <c r="Q2954" s="17"/>
      <c r="R2954" s="17"/>
      <c r="S2954" s="17"/>
      <c r="T2954" s="17"/>
      <c r="U2954" s="17"/>
      <c r="V2954" s="17"/>
      <c r="W2954" s="17"/>
      <c r="X2954" s="17"/>
      <c r="Y2954" s="17"/>
      <c r="Z2954" s="31"/>
      <c r="AA2954" s="32"/>
    </row>
    <row r="2955" spans="1:27" ht="12.75">
      <c r="A2955" s="17"/>
      <c r="B2955" s="17"/>
      <c r="C2955" s="17"/>
      <c r="D2955" s="17"/>
      <c r="E2955" s="17"/>
      <c r="F2955" s="17"/>
      <c r="G2955" s="17"/>
      <c r="H2955" s="17"/>
      <c r="I2955" s="31"/>
      <c r="J2955" s="17"/>
      <c r="K2955" s="17"/>
      <c r="L2955" s="17"/>
      <c r="M2955" s="17"/>
      <c r="N2955" s="17"/>
      <c r="O2955" s="17"/>
      <c r="P2955" s="17"/>
      <c r="Q2955" s="17"/>
      <c r="R2955" s="17"/>
      <c r="S2955" s="17"/>
      <c r="T2955" s="17"/>
      <c r="U2955" s="17"/>
      <c r="V2955" s="17"/>
      <c r="W2955" s="17"/>
      <c r="X2955" s="17"/>
      <c r="Y2955" s="17"/>
      <c r="Z2955" s="31"/>
      <c r="AA2955" s="32"/>
    </row>
    <row r="2956" spans="1:27" ht="12.75">
      <c r="A2956" s="17"/>
      <c r="B2956" s="17"/>
      <c r="C2956" s="17"/>
      <c r="D2956" s="17"/>
      <c r="E2956" s="17"/>
      <c r="F2956" s="17"/>
      <c r="G2956" s="17"/>
      <c r="H2956" s="17"/>
      <c r="I2956" s="31"/>
      <c r="J2956" s="17"/>
      <c r="K2956" s="17"/>
      <c r="L2956" s="17"/>
      <c r="M2956" s="17"/>
      <c r="N2956" s="17"/>
      <c r="O2956" s="17"/>
      <c r="P2956" s="17"/>
      <c r="Q2956" s="17"/>
      <c r="R2956" s="17"/>
      <c r="S2956" s="17"/>
      <c r="T2956" s="17"/>
      <c r="U2956" s="17"/>
      <c r="V2956" s="17"/>
      <c r="W2956" s="17"/>
      <c r="X2956" s="17"/>
      <c r="Y2956" s="17"/>
      <c r="Z2956" s="31"/>
      <c r="AA2956" s="32"/>
    </row>
    <row r="2957" spans="1:27" ht="12.75">
      <c r="A2957" s="17"/>
      <c r="B2957" s="17"/>
      <c r="C2957" s="17"/>
      <c r="D2957" s="17"/>
      <c r="E2957" s="17"/>
      <c r="F2957" s="17"/>
      <c r="G2957" s="17"/>
      <c r="H2957" s="17"/>
      <c r="I2957" s="31"/>
      <c r="J2957" s="17"/>
      <c r="K2957" s="17"/>
      <c r="L2957" s="17"/>
      <c r="M2957" s="17"/>
      <c r="N2957" s="17"/>
      <c r="O2957" s="17"/>
      <c r="P2957" s="17"/>
      <c r="Q2957" s="17"/>
      <c r="R2957" s="17"/>
      <c r="S2957" s="17"/>
      <c r="T2957" s="17"/>
      <c r="U2957" s="17"/>
      <c r="V2957" s="17"/>
      <c r="W2957" s="17"/>
      <c r="X2957" s="17"/>
      <c r="Y2957" s="17"/>
      <c r="Z2957" s="31"/>
      <c r="AA2957" s="32"/>
    </row>
    <row r="2958" spans="1:27" ht="12.75">
      <c r="A2958" s="17"/>
      <c r="B2958" s="17"/>
      <c r="C2958" s="17"/>
      <c r="D2958" s="17"/>
      <c r="E2958" s="17"/>
      <c r="F2958" s="17"/>
      <c r="G2958" s="17"/>
      <c r="H2958" s="17"/>
      <c r="I2958" s="31"/>
      <c r="J2958" s="17"/>
      <c r="K2958" s="17"/>
      <c r="L2958" s="17"/>
      <c r="M2958" s="17"/>
      <c r="N2958" s="17"/>
      <c r="O2958" s="17"/>
      <c r="P2958" s="17"/>
      <c r="Q2958" s="17"/>
      <c r="R2958" s="17"/>
      <c r="S2958" s="17"/>
      <c r="T2958" s="17"/>
      <c r="U2958" s="17"/>
      <c r="V2958" s="17"/>
      <c r="W2958" s="17"/>
      <c r="X2958" s="17"/>
      <c r="Y2958" s="17"/>
      <c r="Z2958" s="31"/>
      <c r="AA2958" s="32"/>
    </row>
    <row r="2959" spans="1:27" ht="12.75">
      <c r="A2959" s="17"/>
      <c r="B2959" s="17"/>
      <c r="C2959" s="17"/>
      <c r="D2959" s="17"/>
      <c r="E2959" s="17"/>
      <c r="F2959" s="17"/>
      <c r="G2959" s="17"/>
      <c r="H2959" s="17"/>
      <c r="I2959" s="31"/>
      <c r="J2959" s="17"/>
      <c r="K2959" s="17"/>
      <c r="L2959" s="17"/>
      <c r="M2959" s="17"/>
      <c r="N2959" s="17"/>
      <c r="O2959" s="17"/>
      <c r="P2959" s="17"/>
      <c r="Q2959" s="17"/>
      <c r="R2959" s="17"/>
      <c r="S2959" s="17"/>
      <c r="T2959" s="17"/>
      <c r="U2959" s="17"/>
      <c r="V2959" s="17"/>
      <c r="W2959" s="17"/>
      <c r="X2959" s="17"/>
      <c r="Y2959" s="17"/>
      <c r="Z2959" s="31"/>
      <c r="AA2959" s="32"/>
    </row>
    <row r="2960" spans="1:27" ht="12.75">
      <c r="A2960" s="17"/>
      <c r="B2960" s="17"/>
      <c r="C2960" s="17"/>
      <c r="D2960" s="17"/>
      <c r="E2960" s="17"/>
      <c r="F2960" s="17"/>
      <c r="G2960" s="17"/>
      <c r="H2960" s="17"/>
      <c r="I2960" s="31"/>
      <c r="J2960" s="17"/>
      <c r="K2960" s="17"/>
      <c r="L2960" s="17"/>
      <c r="M2960" s="17"/>
      <c r="N2960" s="17"/>
      <c r="O2960" s="17"/>
      <c r="P2960" s="17"/>
      <c r="Q2960" s="17"/>
      <c r="R2960" s="17"/>
      <c r="S2960" s="17"/>
      <c r="T2960" s="17"/>
      <c r="U2960" s="17"/>
      <c r="V2960" s="17"/>
      <c r="W2960" s="17"/>
      <c r="X2960" s="17"/>
      <c r="Y2960" s="17"/>
      <c r="Z2960" s="31"/>
      <c r="AA2960" s="32"/>
    </row>
    <row r="2961" spans="1:27" ht="12.75">
      <c r="A2961" s="17"/>
      <c r="B2961" s="17"/>
      <c r="C2961" s="17"/>
      <c r="D2961" s="17"/>
      <c r="E2961" s="17"/>
      <c r="F2961" s="17"/>
      <c r="G2961" s="17"/>
      <c r="H2961" s="17"/>
      <c r="I2961" s="31"/>
      <c r="J2961" s="17"/>
      <c r="K2961" s="17"/>
      <c r="L2961" s="17"/>
      <c r="M2961" s="17"/>
      <c r="N2961" s="17"/>
      <c r="O2961" s="17"/>
      <c r="P2961" s="17"/>
      <c r="Q2961" s="17"/>
      <c r="R2961" s="17"/>
      <c r="S2961" s="17"/>
      <c r="T2961" s="17"/>
      <c r="U2961" s="17"/>
      <c r="V2961" s="17"/>
      <c r="W2961" s="17"/>
      <c r="X2961" s="17"/>
      <c r="Y2961" s="17"/>
      <c r="Z2961" s="31"/>
      <c r="AA2961" s="32"/>
    </row>
    <row r="2962" spans="1:27" ht="12.75">
      <c r="A2962" s="17"/>
      <c r="B2962" s="17"/>
      <c r="C2962" s="17"/>
      <c r="D2962" s="17"/>
      <c r="E2962" s="17"/>
      <c r="F2962" s="17"/>
      <c r="G2962" s="17"/>
      <c r="H2962" s="17"/>
      <c r="I2962" s="31"/>
      <c r="J2962" s="17"/>
      <c r="K2962" s="17"/>
      <c r="L2962" s="17"/>
      <c r="M2962" s="17"/>
      <c r="N2962" s="17"/>
      <c r="O2962" s="17"/>
      <c r="P2962" s="17"/>
      <c r="Q2962" s="17"/>
      <c r="R2962" s="17"/>
      <c r="S2962" s="17"/>
      <c r="T2962" s="17"/>
      <c r="U2962" s="17"/>
      <c r="V2962" s="17"/>
      <c r="W2962" s="17"/>
      <c r="X2962" s="17"/>
      <c r="Y2962" s="17"/>
      <c r="Z2962" s="31"/>
      <c r="AA2962" s="32"/>
    </row>
    <row r="2963" spans="1:27" ht="12.75">
      <c r="A2963" s="17"/>
      <c r="B2963" s="17"/>
      <c r="C2963" s="17"/>
      <c r="D2963" s="17"/>
      <c r="E2963" s="17"/>
      <c r="F2963" s="17"/>
      <c r="G2963" s="17"/>
      <c r="H2963" s="17"/>
      <c r="I2963" s="31"/>
      <c r="J2963" s="17"/>
      <c r="K2963" s="17"/>
      <c r="L2963" s="17"/>
      <c r="M2963" s="17"/>
      <c r="N2963" s="17"/>
      <c r="O2963" s="17"/>
      <c r="P2963" s="17"/>
      <c r="Q2963" s="17"/>
      <c r="R2963" s="17"/>
      <c r="S2963" s="17"/>
      <c r="T2963" s="17"/>
      <c r="U2963" s="17"/>
      <c r="V2963" s="17"/>
      <c r="W2963" s="17"/>
      <c r="X2963" s="17"/>
      <c r="Y2963" s="17"/>
      <c r="Z2963" s="31"/>
      <c r="AA2963" s="32"/>
    </row>
    <row r="2964" spans="1:27" ht="12.75">
      <c r="A2964" s="17"/>
      <c r="B2964" s="17"/>
      <c r="C2964" s="17"/>
      <c r="D2964" s="17"/>
      <c r="E2964" s="17"/>
      <c r="F2964" s="17"/>
      <c r="G2964" s="17"/>
      <c r="H2964" s="17"/>
      <c r="I2964" s="31"/>
      <c r="J2964" s="17"/>
      <c r="K2964" s="17"/>
      <c r="L2964" s="17"/>
      <c r="M2964" s="17"/>
      <c r="N2964" s="17"/>
      <c r="O2964" s="17"/>
      <c r="P2964" s="17"/>
      <c r="Q2964" s="17"/>
      <c r="R2964" s="17"/>
      <c r="S2964" s="17"/>
      <c r="T2964" s="17"/>
      <c r="U2964" s="17"/>
      <c r="V2964" s="17"/>
      <c r="W2964" s="17"/>
      <c r="X2964" s="17"/>
      <c r="Y2964" s="17"/>
      <c r="Z2964" s="31"/>
      <c r="AA2964" s="32"/>
    </row>
    <row r="2965" spans="1:27" ht="12.75">
      <c r="A2965" s="17"/>
      <c r="B2965" s="17"/>
      <c r="C2965" s="17"/>
      <c r="D2965" s="17"/>
      <c r="E2965" s="17"/>
      <c r="F2965" s="17"/>
      <c r="G2965" s="17"/>
      <c r="H2965" s="17"/>
      <c r="I2965" s="31"/>
      <c r="J2965" s="17"/>
      <c r="K2965" s="17"/>
      <c r="L2965" s="17"/>
      <c r="M2965" s="17"/>
      <c r="N2965" s="17"/>
      <c r="O2965" s="17"/>
      <c r="P2965" s="17"/>
      <c r="Q2965" s="17"/>
      <c r="R2965" s="17"/>
      <c r="S2965" s="17"/>
      <c r="T2965" s="17"/>
      <c r="U2965" s="17"/>
      <c r="V2965" s="17"/>
      <c r="W2965" s="17"/>
      <c r="X2965" s="17"/>
      <c r="Y2965" s="17"/>
      <c r="Z2965" s="31"/>
      <c r="AA2965" s="32"/>
    </row>
    <row r="2966" spans="1:27" ht="12.75">
      <c r="A2966" s="17"/>
      <c r="B2966" s="17"/>
      <c r="C2966" s="17"/>
      <c r="D2966" s="17"/>
      <c r="E2966" s="17"/>
      <c r="F2966" s="17"/>
      <c r="G2966" s="17"/>
      <c r="H2966" s="17"/>
      <c r="I2966" s="31"/>
      <c r="J2966" s="17"/>
      <c r="K2966" s="17"/>
      <c r="L2966" s="17"/>
      <c r="M2966" s="17"/>
      <c r="N2966" s="17"/>
      <c r="O2966" s="17"/>
      <c r="P2966" s="17"/>
      <c r="Q2966" s="17"/>
      <c r="R2966" s="17"/>
      <c r="S2966" s="17"/>
      <c r="T2966" s="17"/>
      <c r="U2966" s="17"/>
      <c r="V2966" s="17"/>
      <c r="W2966" s="17"/>
      <c r="X2966" s="17"/>
      <c r="Y2966" s="17"/>
      <c r="Z2966" s="31"/>
      <c r="AA2966" s="32"/>
    </row>
    <row r="2967" spans="1:27" ht="12.75">
      <c r="A2967" s="17"/>
      <c r="B2967" s="17"/>
      <c r="C2967" s="17"/>
      <c r="D2967" s="17"/>
      <c r="E2967" s="17"/>
      <c r="F2967" s="17"/>
      <c r="G2967" s="17"/>
      <c r="H2967" s="17"/>
      <c r="I2967" s="31"/>
      <c r="J2967" s="17"/>
      <c r="K2967" s="17"/>
      <c r="L2967" s="17"/>
      <c r="M2967" s="17"/>
      <c r="N2967" s="17"/>
      <c r="O2967" s="17"/>
      <c r="P2967" s="17"/>
      <c r="Q2967" s="17"/>
      <c r="R2967" s="17"/>
      <c r="S2967" s="17"/>
      <c r="T2967" s="17"/>
      <c r="U2967" s="17"/>
      <c r="V2967" s="17"/>
      <c r="W2967" s="17"/>
      <c r="X2967" s="17"/>
      <c r="Y2967" s="17"/>
      <c r="Z2967" s="31"/>
      <c r="AA2967" s="32"/>
    </row>
    <row r="2968" spans="1:27" ht="12.75">
      <c r="A2968" s="17"/>
      <c r="B2968" s="17"/>
      <c r="C2968" s="17"/>
      <c r="D2968" s="17"/>
      <c r="E2968" s="17"/>
      <c r="F2968" s="17"/>
      <c r="G2968" s="17"/>
      <c r="H2968" s="17"/>
      <c r="I2968" s="31"/>
      <c r="J2968" s="17"/>
      <c r="K2968" s="17"/>
      <c r="L2968" s="17"/>
      <c r="M2968" s="17"/>
      <c r="N2968" s="17"/>
      <c r="O2968" s="17"/>
      <c r="P2968" s="17"/>
      <c r="Q2968" s="17"/>
      <c r="R2968" s="17"/>
      <c r="S2968" s="17"/>
      <c r="T2968" s="17"/>
      <c r="U2968" s="17"/>
      <c r="V2968" s="17"/>
      <c r="W2968" s="17"/>
      <c r="X2968" s="17"/>
      <c r="Y2968" s="17"/>
      <c r="Z2968" s="31"/>
      <c r="AA2968" s="32"/>
    </row>
    <row r="2969" spans="1:27" ht="12.75">
      <c r="A2969" s="17"/>
      <c r="B2969" s="17"/>
      <c r="C2969" s="17"/>
      <c r="D2969" s="17"/>
      <c r="E2969" s="17"/>
      <c r="F2969" s="17"/>
      <c r="G2969" s="17"/>
      <c r="H2969" s="17"/>
      <c r="I2969" s="31"/>
      <c r="J2969" s="17"/>
      <c r="K2969" s="17"/>
      <c r="L2969" s="17"/>
      <c r="M2969" s="17"/>
      <c r="N2969" s="17"/>
      <c r="O2969" s="17"/>
      <c r="P2969" s="17"/>
      <c r="Q2969" s="17"/>
      <c r="R2969" s="17"/>
      <c r="S2969" s="17"/>
      <c r="T2969" s="17"/>
      <c r="U2969" s="17"/>
      <c r="V2969" s="17"/>
      <c r="W2969" s="17"/>
      <c r="X2969" s="17"/>
      <c r="Y2969" s="17"/>
      <c r="Z2969" s="31"/>
      <c r="AA2969" s="32"/>
    </row>
    <row r="2970" spans="1:27" ht="12.75">
      <c r="A2970" s="17"/>
      <c r="B2970" s="17"/>
      <c r="C2970" s="17"/>
      <c r="D2970" s="17"/>
      <c r="E2970" s="17"/>
      <c r="F2970" s="17"/>
      <c r="G2970" s="17"/>
      <c r="H2970" s="17"/>
      <c r="I2970" s="31"/>
      <c r="J2970" s="17"/>
      <c r="K2970" s="17"/>
      <c r="L2970" s="17"/>
      <c r="M2970" s="17"/>
      <c r="N2970" s="17"/>
      <c r="O2970" s="17"/>
      <c r="P2970" s="17"/>
      <c r="Q2970" s="17"/>
      <c r="R2970" s="17"/>
      <c r="S2970" s="17"/>
      <c r="T2970" s="17"/>
      <c r="U2970" s="17"/>
      <c r="V2970" s="17"/>
      <c r="W2970" s="17"/>
      <c r="X2970" s="17"/>
      <c r="Y2970" s="17"/>
      <c r="Z2970" s="31"/>
      <c r="AA2970" s="32"/>
    </row>
    <row r="2971" spans="1:27" ht="12.75">
      <c r="A2971" s="17"/>
      <c r="B2971" s="17"/>
      <c r="C2971" s="17"/>
      <c r="D2971" s="17"/>
      <c r="E2971" s="17"/>
      <c r="F2971" s="17"/>
      <c r="G2971" s="17"/>
      <c r="H2971" s="17"/>
      <c r="I2971" s="31"/>
      <c r="J2971" s="17"/>
      <c r="K2971" s="17"/>
      <c r="L2971" s="17"/>
      <c r="M2971" s="17"/>
      <c r="N2971" s="17"/>
      <c r="O2971" s="17"/>
      <c r="P2971" s="17"/>
      <c r="Q2971" s="17"/>
      <c r="R2971" s="17"/>
      <c r="S2971" s="17"/>
      <c r="T2971" s="17"/>
      <c r="U2971" s="17"/>
      <c r="V2971" s="17"/>
      <c r="W2971" s="17"/>
      <c r="X2971" s="17"/>
      <c r="Y2971" s="17"/>
      <c r="Z2971" s="31"/>
      <c r="AA2971" s="32"/>
    </row>
    <row r="2972" spans="1:27" ht="12.75">
      <c r="A2972" s="17"/>
      <c r="B2972" s="17"/>
      <c r="C2972" s="17"/>
      <c r="D2972" s="17"/>
      <c r="E2972" s="17"/>
      <c r="F2972" s="17"/>
      <c r="G2972" s="17"/>
      <c r="H2972" s="17"/>
      <c r="I2972" s="31"/>
      <c r="J2972" s="17"/>
      <c r="K2972" s="17"/>
      <c r="L2972" s="17"/>
      <c r="M2972" s="17"/>
      <c r="N2972" s="17"/>
      <c r="O2972" s="17"/>
      <c r="P2972" s="17"/>
      <c r="Q2972" s="17"/>
      <c r="R2972" s="17"/>
      <c r="S2972" s="17"/>
      <c r="T2972" s="17"/>
      <c r="U2972" s="17"/>
      <c r="V2972" s="17"/>
      <c r="W2972" s="17"/>
      <c r="X2972" s="17"/>
      <c r="Y2972" s="17"/>
      <c r="Z2972" s="31"/>
      <c r="AA2972" s="32"/>
    </row>
    <row r="2973" spans="1:27" ht="12.75">
      <c r="A2973" s="17"/>
      <c r="B2973" s="17"/>
      <c r="C2973" s="17"/>
      <c r="D2973" s="17"/>
      <c r="E2973" s="17"/>
      <c r="F2973" s="17"/>
      <c r="G2973" s="17"/>
      <c r="H2973" s="17"/>
      <c r="I2973" s="31"/>
      <c r="J2973" s="17"/>
      <c r="K2973" s="17"/>
      <c r="L2973" s="17"/>
      <c r="M2973" s="17"/>
      <c r="N2973" s="17"/>
      <c r="O2973" s="17"/>
      <c r="P2973" s="17"/>
      <c r="Q2973" s="17"/>
      <c r="R2973" s="17"/>
      <c r="S2973" s="17"/>
      <c r="T2973" s="17"/>
      <c r="U2973" s="17"/>
      <c r="V2973" s="17"/>
      <c r="W2973" s="17"/>
      <c r="X2973" s="17"/>
      <c r="Y2973" s="17"/>
      <c r="Z2973" s="31"/>
      <c r="AA2973" s="32"/>
    </row>
    <row r="2974" spans="1:27" ht="12.75">
      <c r="A2974" s="17"/>
      <c r="B2974" s="17"/>
      <c r="C2974" s="17"/>
      <c r="D2974" s="17"/>
      <c r="E2974" s="17"/>
      <c r="F2974" s="17"/>
      <c r="G2974" s="17"/>
      <c r="H2974" s="17"/>
      <c r="I2974" s="31"/>
      <c r="J2974" s="17"/>
      <c r="K2974" s="17"/>
      <c r="L2974" s="17"/>
      <c r="M2974" s="17"/>
      <c r="N2974" s="17"/>
      <c r="O2974" s="17"/>
      <c r="P2974" s="17"/>
      <c r="Q2974" s="17"/>
      <c r="R2974" s="17"/>
      <c r="S2974" s="17"/>
      <c r="T2974" s="17"/>
      <c r="U2974" s="17"/>
      <c r="V2974" s="17"/>
      <c r="W2974" s="17"/>
      <c r="X2974" s="17"/>
      <c r="Y2974" s="17"/>
      <c r="Z2974" s="31"/>
      <c r="AA2974" s="32"/>
    </row>
    <row r="2975" spans="1:27" ht="12.75">
      <c r="A2975" s="17"/>
      <c r="B2975" s="17"/>
      <c r="C2975" s="17"/>
      <c r="D2975" s="17"/>
      <c r="E2975" s="17"/>
      <c r="F2975" s="17"/>
      <c r="G2975" s="17"/>
      <c r="H2975" s="17"/>
      <c r="I2975" s="31"/>
      <c r="J2975" s="17"/>
      <c r="K2975" s="17"/>
      <c r="L2975" s="17"/>
      <c r="M2975" s="17"/>
      <c r="N2975" s="17"/>
      <c r="O2975" s="17"/>
      <c r="P2975" s="17"/>
      <c r="Q2975" s="17"/>
      <c r="R2975" s="17"/>
      <c r="S2975" s="17"/>
      <c r="T2975" s="17"/>
      <c r="U2975" s="17"/>
      <c r="V2975" s="17"/>
      <c r="W2975" s="17"/>
      <c r="X2975" s="17"/>
      <c r="Y2975" s="17"/>
      <c r="Z2975" s="31"/>
      <c r="AA2975" s="32"/>
    </row>
    <row r="2976" spans="1:27" ht="12.75">
      <c r="A2976" s="17"/>
      <c r="B2976" s="17"/>
      <c r="C2976" s="17"/>
      <c r="D2976" s="17"/>
      <c r="E2976" s="17"/>
      <c r="F2976" s="17"/>
      <c r="G2976" s="17"/>
      <c r="H2976" s="17"/>
      <c r="I2976" s="31"/>
      <c r="J2976" s="17"/>
      <c r="K2976" s="17"/>
      <c r="L2976" s="17"/>
      <c r="M2976" s="17"/>
      <c r="N2976" s="17"/>
      <c r="O2976" s="17"/>
      <c r="P2976" s="17"/>
      <c r="Q2976" s="17"/>
      <c r="R2976" s="17"/>
      <c r="S2976" s="17"/>
      <c r="T2976" s="17"/>
      <c r="U2976" s="17"/>
      <c r="V2976" s="17"/>
      <c r="W2976" s="17"/>
      <c r="X2976" s="17"/>
      <c r="Y2976" s="17"/>
      <c r="Z2976" s="31"/>
      <c r="AA2976" s="32"/>
    </row>
    <row r="2977" spans="1:27" ht="12.75">
      <c r="A2977" s="17"/>
      <c r="B2977" s="17"/>
      <c r="C2977" s="17"/>
      <c r="D2977" s="17"/>
      <c r="E2977" s="17"/>
      <c r="F2977" s="17"/>
      <c r="G2977" s="17"/>
      <c r="H2977" s="17"/>
      <c r="I2977" s="31"/>
      <c r="J2977" s="17"/>
      <c r="K2977" s="17"/>
      <c r="L2977" s="17"/>
      <c r="M2977" s="17"/>
      <c r="N2977" s="17"/>
      <c r="O2977" s="17"/>
      <c r="P2977" s="17"/>
      <c r="Q2977" s="17"/>
      <c r="R2977" s="17"/>
      <c r="S2977" s="17"/>
      <c r="T2977" s="17"/>
      <c r="U2977" s="17"/>
      <c r="V2977" s="17"/>
      <c r="W2977" s="17"/>
      <c r="X2977" s="17"/>
      <c r="Y2977" s="17"/>
      <c r="Z2977" s="31"/>
      <c r="AA2977" s="32"/>
    </row>
    <row r="2978" spans="1:27" ht="12.75">
      <c r="A2978" s="17"/>
      <c r="B2978" s="17"/>
      <c r="C2978" s="17"/>
      <c r="D2978" s="17"/>
      <c r="E2978" s="17"/>
      <c r="F2978" s="17"/>
      <c r="G2978" s="17"/>
      <c r="H2978" s="17"/>
      <c r="I2978" s="31"/>
      <c r="J2978" s="17"/>
      <c r="K2978" s="17"/>
      <c r="L2978" s="17"/>
      <c r="M2978" s="17"/>
      <c r="N2978" s="17"/>
      <c r="O2978" s="17"/>
      <c r="P2978" s="17"/>
      <c r="Q2978" s="17"/>
      <c r="R2978" s="17"/>
      <c r="S2978" s="17"/>
      <c r="T2978" s="17"/>
      <c r="U2978" s="17"/>
      <c r="V2978" s="17"/>
      <c r="W2978" s="17"/>
      <c r="X2978" s="17"/>
      <c r="Y2978" s="17"/>
      <c r="Z2978" s="31"/>
      <c r="AA2978" s="32"/>
    </row>
    <row r="2979" spans="1:27" ht="12.75">
      <c r="A2979" s="17"/>
      <c r="B2979" s="17"/>
      <c r="C2979" s="17"/>
      <c r="D2979" s="17"/>
      <c r="E2979" s="17"/>
      <c r="F2979" s="17"/>
      <c r="G2979" s="17"/>
      <c r="H2979" s="17"/>
      <c r="I2979" s="31"/>
      <c r="J2979" s="17"/>
      <c r="K2979" s="17"/>
      <c r="L2979" s="17"/>
      <c r="M2979" s="17"/>
      <c r="N2979" s="17"/>
      <c r="O2979" s="17"/>
      <c r="P2979" s="17"/>
      <c r="Q2979" s="17"/>
      <c r="R2979" s="17"/>
      <c r="S2979" s="17"/>
      <c r="T2979" s="17"/>
      <c r="U2979" s="17"/>
      <c r="V2979" s="17"/>
      <c r="W2979" s="17"/>
      <c r="X2979" s="17"/>
      <c r="Y2979" s="17"/>
      <c r="Z2979" s="31"/>
      <c r="AA2979" s="32"/>
    </row>
    <row r="2980" spans="1:27" ht="12.75">
      <c r="A2980" s="17"/>
      <c r="B2980" s="17"/>
      <c r="C2980" s="17"/>
      <c r="D2980" s="17"/>
      <c r="E2980" s="17"/>
      <c r="F2980" s="17"/>
      <c r="G2980" s="17"/>
      <c r="H2980" s="17"/>
      <c r="I2980" s="31"/>
      <c r="J2980" s="17"/>
      <c r="K2980" s="17"/>
      <c r="L2980" s="17"/>
      <c r="M2980" s="17"/>
      <c r="N2980" s="17"/>
      <c r="O2980" s="17"/>
      <c r="P2980" s="17"/>
      <c r="Q2980" s="17"/>
      <c r="R2980" s="17"/>
      <c r="S2980" s="17"/>
      <c r="T2980" s="17"/>
      <c r="U2980" s="17"/>
      <c r="V2980" s="17"/>
      <c r="W2980" s="17"/>
      <c r="X2980" s="17"/>
      <c r="Y2980" s="17"/>
      <c r="Z2980" s="31"/>
      <c r="AA2980" s="32"/>
    </row>
    <row r="2981" spans="1:27" ht="12.75">
      <c r="A2981" s="17"/>
      <c r="B2981" s="17"/>
      <c r="C2981" s="17"/>
      <c r="D2981" s="17"/>
      <c r="E2981" s="17"/>
      <c r="F2981" s="17"/>
      <c r="G2981" s="17"/>
      <c r="H2981" s="17"/>
      <c r="I2981" s="31"/>
      <c r="J2981" s="17"/>
      <c r="K2981" s="17"/>
      <c r="L2981" s="17"/>
      <c r="M2981" s="17"/>
      <c r="N2981" s="17"/>
      <c r="O2981" s="17"/>
      <c r="P2981" s="17"/>
      <c r="Q2981" s="17"/>
      <c r="R2981" s="17"/>
      <c r="S2981" s="17"/>
      <c r="T2981" s="17"/>
      <c r="U2981" s="17"/>
      <c r="V2981" s="17"/>
      <c r="W2981" s="17"/>
      <c r="X2981" s="17"/>
      <c r="Y2981" s="17"/>
      <c r="Z2981" s="31"/>
      <c r="AA2981" s="32"/>
    </row>
    <row r="2982" spans="1:27" ht="12.75">
      <c r="A2982" s="17"/>
      <c r="B2982" s="17"/>
      <c r="C2982" s="17"/>
      <c r="D2982" s="17"/>
      <c r="E2982" s="17"/>
      <c r="F2982" s="17"/>
      <c r="G2982" s="17"/>
      <c r="H2982" s="17"/>
      <c r="I2982" s="31"/>
      <c r="J2982" s="17"/>
      <c r="K2982" s="17"/>
      <c r="L2982" s="17"/>
      <c r="M2982" s="17"/>
      <c r="N2982" s="17"/>
      <c r="O2982" s="17"/>
      <c r="P2982" s="17"/>
      <c r="Q2982" s="17"/>
      <c r="R2982" s="17"/>
      <c r="S2982" s="17"/>
      <c r="T2982" s="17"/>
      <c r="U2982" s="17"/>
      <c r="V2982" s="17"/>
      <c r="W2982" s="17"/>
      <c r="X2982" s="17"/>
      <c r="Y2982" s="17"/>
      <c r="Z2982" s="31"/>
      <c r="AA2982" s="32"/>
    </row>
    <row r="2983" spans="1:27" ht="12.75">
      <c r="A2983" s="17"/>
      <c r="B2983" s="17"/>
      <c r="C2983" s="17"/>
      <c r="D2983" s="17"/>
      <c r="E2983" s="17"/>
      <c r="F2983" s="17"/>
      <c r="G2983" s="17"/>
      <c r="H2983" s="17"/>
      <c r="I2983" s="31"/>
      <c r="J2983" s="17"/>
      <c r="K2983" s="17"/>
      <c r="L2983" s="17"/>
      <c r="M2983" s="17"/>
      <c r="N2983" s="17"/>
      <c r="O2983" s="17"/>
      <c r="P2983" s="17"/>
      <c r="Q2983" s="17"/>
      <c r="R2983" s="17"/>
      <c r="S2983" s="17"/>
      <c r="T2983" s="17"/>
      <c r="U2983" s="17"/>
      <c r="V2983" s="17"/>
      <c r="W2983" s="17"/>
      <c r="X2983" s="17"/>
      <c r="Y2983" s="17"/>
      <c r="Z2983" s="31"/>
      <c r="AA2983" s="32"/>
    </row>
    <row r="2984" spans="1:27" ht="12.75">
      <c r="A2984" s="17"/>
      <c r="B2984" s="17"/>
      <c r="C2984" s="17"/>
      <c r="D2984" s="17"/>
      <c r="E2984" s="17"/>
      <c r="F2984" s="17"/>
      <c r="G2984" s="17"/>
      <c r="H2984" s="17"/>
      <c r="I2984" s="31"/>
      <c r="J2984" s="17"/>
      <c r="K2984" s="17"/>
      <c r="L2984" s="17"/>
      <c r="M2984" s="17"/>
      <c r="N2984" s="17"/>
      <c r="O2984" s="17"/>
      <c r="P2984" s="17"/>
      <c r="Q2984" s="17"/>
      <c r="R2984" s="17"/>
      <c r="S2984" s="17"/>
      <c r="T2984" s="17"/>
      <c r="U2984" s="17"/>
      <c r="V2984" s="17"/>
      <c r="W2984" s="17"/>
      <c r="X2984" s="17"/>
      <c r="Y2984" s="17"/>
      <c r="Z2984" s="31"/>
      <c r="AA2984" s="32"/>
    </row>
    <row r="2985" spans="1:27" ht="12.75">
      <c r="A2985" s="17"/>
      <c r="B2985" s="17"/>
      <c r="C2985" s="17"/>
      <c r="D2985" s="17"/>
      <c r="E2985" s="17"/>
      <c r="F2985" s="17"/>
      <c r="G2985" s="17"/>
      <c r="H2985" s="17"/>
      <c r="I2985" s="31"/>
      <c r="J2985" s="17"/>
      <c r="K2985" s="17"/>
      <c r="L2985" s="17"/>
      <c r="M2985" s="17"/>
      <c r="N2985" s="17"/>
      <c r="O2985" s="17"/>
      <c r="P2985" s="17"/>
      <c r="Q2985" s="17"/>
      <c r="R2985" s="17"/>
      <c r="S2985" s="17"/>
      <c r="T2985" s="17"/>
      <c r="U2985" s="17"/>
      <c r="V2985" s="17"/>
      <c r="W2985" s="17"/>
      <c r="X2985" s="17"/>
      <c r="Y2985" s="17"/>
      <c r="Z2985" s="31"/>
      <c r="AA2985" s="32"/>
    </row>
    <row r="2986" spans="1:27" ht="12.75">
      <c r="A2986" s="17"/>
      <c r="B2986" s="17"/>
      <c r="C2986" s="17"/>
      <c r="D2986" s="17"/>
      <c r="E2986" s="17"/>
      <c r="F2986" s="17"/>
      <c r="G2986" s="17"/>
      <c r="H2986" s="17"/>
      <c r="I2986" s="31"/>
      <c r="J2986" s="17"/>
      <c r="K2986" s="17"/>
      <c r="L2986" s="17"/>
      <c r="M2986" s="17"/>
      <c r="N2986" s="17"/>
      <c r="O2986" s="17"/>
      <c r="P2986" s="17"/>
      <c r="Q2986" s="17"/>
      <c r="R2986" s="17"/>
      <c r="S2986" s="17"/>
      <c r="T2986" s="17"/>
      <c r="U2986" s="17"/>
      <c r="V2986" s="17"/>
      <c r="W2986" s="17"/>
      <c r="X2986" s="17"/>
      <c r="Y2986" s="17"/>
      <c r="Z2986" s="31"/>
      <c r="AA2986" s="32"/>
    </row>
    <row r="2987" spans="1:27" ht="12.75">
      <c r="A2987" s="17"/>
      <c r="B2987" s="17"/>
      <c r="C2987" s="17"/>
      <c r="D2987" s="17"/>
      <c r="E2987" s="17"/>
      <c r="F2987" s="17"/>
      <c r="G2987" s="17"/>
      <c r="H2987" s="17"/>
      <c r="I2987" s="31"/>
      <c r="J2987" s="17"/>
      <c r="K2987" s="17"/>
      <c r="L2987" s="17"/>
      <c r="M2987" s="17"/>
      <c r="N2987" s="17"/>
      <c r="O2987" s="17"/>
      <c r="P2987" s="17"/>
      <c r="Q2987" s="17"/>
      <c r="R2987" s="17"/>
      <c r="S2987" s="17"/>
      <c r="T2987" s="17"/>
      <c r="U2987" s="17"/>
      <c r="V2987" s="17"/>
      <c r="W2987" s="17"/>
      <c r="X2987" s="17"/>
      <c r="Y2987" s="17"/>
      <c r="Z2987" s="31"/>
      <c r="AA2987" s="32"/>
    </row>
    <row r="2988" spans="1:27" ht="12.75">
      <c r="A2988" s="17"/>
      <c r="B2988" s="17"/>
      <c r="C2988" s="17"/>
      <c r="D2988" s="17"/>
      <c r="E2988" s="17"/>
      <c r="F2988" s="17"/>
      <c r="G2988" s="17"/>
      <c r="H2988" s="17"/>
      <c r="I2988" s="31"/>
      <c r="J2988" s="17"/>
      <c r="K2988" s="17"/>
      <c r="L2988" s="17"/>
      <c r="M2988" s="17"/>
      <c r="N2988" s="17"/>
      <c r="O2988" s="17"/>
      <c r="P2988" s="17"/>
      <c r="Q2988" s="17"/>
      <c r="R2988" s="17"/>
      <c r="S2988" s="17"/>
      <c r="T2988" s="17"/>
      <c r="U2988" s="17"/>
      <c r="V2988" s="17"/>
      <c r="W2988" s="17"/>
      <c r="X2988" s="17"/>
      <c r="Y2988" s="17"/>
      <c r="Z2988" s="31"/>
      <c r="AA2988" s="32"/>
    </row>
    <row r="2989" spans="1:27" ht="12.75">
      <c r="A2989" s="17"/>
      <c r="B2989" s="17"/>
      <c r="C2989" s="17"/>
      <c r="D2989" s="17"/>
      <c r="E2989" s="17"/>
      <c r="F2989" s="17"/>
      <c r="G2989" s="17"/>
      <c r="H2989" s="17"/>
      <c r="I2989" s="31"/>
      <c r="J2989" s="17"/>
      <c r="K2989" s="17"/>
      <c r="L2989" s="17"/>
      <c r="M2989" s="17"/>
      <c r="N2989" s="17"/>
      <c r="O2989" s="17"/>
      <c r="P2989" s="17"/>
      <c r="Q2989" s="17"/>
      <c r="R2989" s="17"/>
      <c r="S2989" s="17"/>
      <c r="T2989" s="17"/>
      <c r="U2989" s="17"/>
      <c r="V2989" s="17"/>
      <c r="W2989" s="17"/>
      <c r="X2989" s="17"/>
      <c r="Y2989" s="17"/>
      <c r="Z2989" s="31"/>
      <c r="AA2989" s="32"/>
    </row>
    <row r="2990" spans="1:27" ht="12.75">
      <c r="A2990" s="17"/>
      <c r="B2990" s="17"/>
      <c r="C2990" s="17"/>
      <c r="D2990" s="17"/>
      <c r="E2990" s="17"/>
      <c r="F2990" s="17"/>
      <c r="G2990" s="17"/>
      <c r="H2990" s="17"/>
      <c r="I2990" s="31"/>
      <c r="J2990" s="17"/>
      <c r="K2990" s="17"/>
      <c r="L2990" s="17"/>
      <c r="M2990" s="17"/>
      <c r="N2990" s="17"/>
      <c r="O2990" s="17"/>
      <c r="P2990" s="17"/>
      <c r="Q2990" s="17"/>
      <c r="R2990" s="17"/>
      <c r="S2990" s="17"/>
      <c r="T2990" s="17"/>
      <c r="U2990" s="17"/>
      <c r="V2990" s="17"/>
      <c r="W2990" s="17"/>
      <c r="X2990" s="17"/>
      <c r="Y2990" s="17"/>
      <c r="Z2990" s="31"/>
      <c r="AA2990" s="32"/>
    </row>
    <row r="2991" spans="1:27" ht="12.75">
      <c r="A2991" s="17"/>
      <c r="B2991" s="17"/>
      <c r="C2991" s="17"/>
      <c r="D2991" s="17"/>
      <c r="E2991" s="17"/>
      <c r="F2991" s="17"/>
      <c r="G2991" s="17"/>
      <c r="H2991" s="17"/>
      <c r="I2991" s="31"/>
      <c r="J2991" s="17"/>
      <c r="K2991" s="17"/>
      <c r="L2991" s="17"/>
      <c r="M2991" s="17"/>
      <c r="N2991" s="17"/>
      <c r="O2991" s="17"/>
      <c r="P2991" s="17"/>
      <c r="Q2991" s="17"/>
      <c r="R2991" s="17"/>
      <c r="S2991" s="17"/>
      <c r="T2991" s="17"/>
      <c r="U2991" s="17"/>
      <c r="V2991" s="17"/>
      <c r="W2991" s="17"/>
      <c r="X2991" s="17"/>
      <c r="Y2991" s="17"/>
      <c r="Z2991" s="31"/>
      <c r="AA2991" s="32"/>
    </row>
    <row r="2992" spans="1:27" ht="12.75">
      <c r="A2992" s="17"/>
      <c r="B2992" s="17"/>
      <c r="C2992" s="17"/>
      <c r="D2992" s="17"/>
      <c r="E2992" s="17"/>
      <c r="F2992" s="17"/>
      <c r="G2992" s="17"/>
      <c r="H2992" s="17"/>
      <c r="I2992" s="31"/>
      <c r="J2992" s="17"/>
      <c r="K2992" s="17"/>
      <c r="L2992" s="17"/>
      <c r="M2992" s="17"/>
      <c r="N2992" s="17"/>
      <c r="O2992" s="17"/>
      <c r="P2992" s="17"/>
      <c r="Q2992" s="17"/>
      <c r="R2992" s="17"/>
      <c r="S2992" s="17"/>
      <c r="T2992" s="17"/>
      <c r="U2992" s="17"/>
      <c r="V2992" s="17"/>
      <c r="W2992" s="17"/>
      <c r="X2992" s="17"/>
      <c r="Y2992" s="17"/>
      <c r="Z2992" s="31"/>
      <c r="AA2992" s="32"/>
    </row>
    <row r="2993" spans="1:27" ht="12.75">
      <c r="A2993" s="17"/>
      <c r="B2993" s="17"/>
      <c r="C2993" s="17"/>
      <c r="D2993" s="17"/>
      <c r="E2993" s="17"/>
      <c r="F2993" s="17"/>
      <c r="G2993" s="17"/>
      <c r="H2993" s="17"/>
      <c r="I2993" s="31"/>
      <c r="J2993" s="17"/>
      <c r="K2993" s="17"/>
      <c r="L2993" s="17"/>
      <c r="M2993" s="17"/>
      <c r="N2993" s="17"/>
      <c r="O2993" s="17"/>
      <c r="P2993" s="17"/>
      <c r="Q2993" s="17"/>
      <c r="R2993" s="17"/>
      <c r="S2993" s="17"/>
      <c r="T2993" s="17"/>
      <c r="U2993" s="17"/>
      <c r="V2993" s="17"/>
      <c r="W2993" s="17"/>
      <c r="X2993" s="17"/>
      <c r="Y2993" s="17"/>
      <c r="Z2993" s="31"/>
      <c r="AA2993" s="32"/>
    </row>
    <row r="2994" spans="1:27" ht="12.75">
      <c r="A2994" s="17"/>
      <c r="B2994" s="17"/>
      <c r="C2994" s="17"/>
      <c r="D2994" s="17"/>
      <c r="E2994" s="17"/>
      <c r="F2994" s="17"/>
      <c r="G2994" s="17"/>
      <c r="H2994" s="17"/>
      <c r="I2994" s="31"/>
      <c r="J2994" s="17"/>
      <c r="K2994" s="17"/>
      <c r="L2994" s="17"/>
      <c r="M2994" s="17"/>
      <c r="N2994" s="17"/>
      <c r="O2994" s="17"/>
      <c r="P2994" s="17"/>
      <c r="Q2994" s="17"/>
      <c r="R2994" s="17"/>
      <c r="S2994" s="17"/>
      <c r="T2994" s="17"/>
      <c r="U2994" s="17"/>
      <c r="V2994" s="17"/>
      <c r="W2994" s="17"/>
      <c r="X2994" s="17"/>
      <c r="Y2994" s="17"/>
      <c r="Z2994" s="31"/>
      <c r="AA2994" s="32"/>
    </row>
    <row r="2995" spans="1:27" ht="12.75">
      <c r="A2995" s="17"/>
      <c r="B2995" s="17"/>
      <c r="C2995" s="17"/>
      <c r="D2995" s="17"/>
      <c r="E2995" s="17"/>
      <c r="F2995" s="17"/>
      <c r="G2995" s="17"/>
      <c r="H2995" s="17"/>
      <c r="I2995" s="31"/>
      <c r="J2995" s="17"/>
      <c r="K2995" s="17"/>
      <c r="L2995" s="17"/>
      <c r="M2995" s="17"/>
      <c r="N2995" s="17"/>
      <c r="O2995" s="17"/>
      <c r="P2995" s="17"/>
      <c r="Q2995" s="17"/>
      <c r="R2995" s="17"/>
      <c r="S2995" s="17"/>
      <c r="T2995" s="17"/>
      <c r="U2995" s="17"/>
      <c r="V2995" s="17"/>
      <c r="W2995" s="17"/>
      <c r="X2995" s="17"/>
      <c r="Y2995" s="17"/>
      <c r="Z2995" s="31"/>
      <c r="AA2995" s="32"/>
    </row>
    <row r="2996" spans="1:27" ht="12.75">
      <c r="A2996" s="17"/>
      <c r="B2996" s="17"/>
      <c r="C2996" s="17"/>
      <c r="D2996" s="17"/>
      <c r="E2996" s="17"/>
      <c r="F2996" s="17"/>
      <c r="G2996" s="17"/>
      <c r="H2996" s="17"/>
      <c r="I2996" s="31"/>
      <c r="J2996" s="17"/>
      <c r="K2996" s="17"/>
      <c r="L2996" s="17"/>
      <c r="M2996" s="17"/>
      <c r="N2996" s="17"/>
      <c r="O2996" s="17"/>
      <c r="P2996" s="17"/>
      <c r="Q2996" s="17"/>
      <c r="R2996" s="17"/>
      <c r="S2996" s="17"/>
      <c r="T2996" s="17"/>
      <c r="U2996" s="17"/>
      <c r="V2996" s="17"/>
      <c r="W2996" s="17"/>
      <c r="X2996" s="17"/>
      <c r="Y2996" s="17"/>
      <c r="Z2996" s="31"/>
      <c r="AA2996" s="32"/>
    </row>
    <row r="2997" spans="1:27" ht="12.75">
      <c r="A2997" s="17"/>
      <c r="B2997" s="17"/>
      <c r="C2997" s="17"/>
      <c r="D2997" s="17"/>
      <c r="E2997" s="17"/>
      <c r="F2997" s="17"/>
      <c r="G2997" s="17"/>
      <c r="H2997" s="17"/>
      <c r="I2997" s="31"/>
      <c r="J2997" s="17"/>
      <c r="K2997" s="17"/>
      <c r="L2997" s="17"/>
      <c r="M2997" s="17"/>
      <c r="N2997" s="17"/>
      <c r="O2997" s="17"/>
      <c r="P2997" s="17"/>
      <c r="Q2997" s="17"/>
      <c r="R2997" s="17"/>
      <c r="S2997" s="17"/>
      <c r="T2997" s="17"/>
      <c r="U2997" s="17"/>
      <c r="V2997" s="17"/>
      <c r="W2997" s="17"/>
      <c r="X2997" s="17"/>
      <c r="Y2997" s="17"/>
      <c r="Z2997" s="31"/>
      <c r="AA2997" s="32"/>
    </row>
    <row r="2998" spans="1:27" ht="12.75">
      <c r="A2998" s="17"/>
      <c r="B2998" s="17"/>
      <c r="C2998" s="17"/>
      <c r="D2998" s="17"/>
      <c r="E2998" s="17"/>
      <c r="F2998" s="17"/>
      <c r="G2998" s="17"/>
      <c r="H2998" s="17"/>
      <c r="I2998" s="31"/>
      <c r="J2998" s="17"/>
      <c r="K2998" s="17"/>
      <c r="L2998" s="17"/>
      <c r="M2998" s="17"/>
      <c r="N2998" s="17"/>
      <c r="O2998" s="17"/>
      <c r="P2998" s="17"/>
      <c r="Q2998" s="17"/>
      <c r="R2998" s="17"/>
      <c r="S2998" s="17"/>
      <c r="T2998" s="17"/>
      <c r="U2998" s="17"/>
      <c r="V2998" s="17"/>
      <c r="W2998" s="17"/>
      <c r="X2998" s="17"/>
      <c r="Y2998" s="17"/>
      <c r="Z2998" s="31"/>
      <c r="AA2998" s="32"/>
    </row>
    <row r="2999" spans="1:27" ht="12.75">
      <c r="A2999" s="17"/>
      <c r="B2999" s="17"/>
      <c r="C2999" s="17"/>
      <c r="D2999" s="17"/>
      <c r="E2999" s="17"/>
      <c r="F2999" s="17"/>
      <c r="G2999" s="17"/>
      <c r="H2999" s="17"/>
      <c r="I2999" s="31"/>
      <c r="J2999" s="17"/>
      <c r="K2999" s="17"/>
      <c r="L2999" s="17"/>
      <c r="M2999" s="17"/>
      <c r="N2999" s="17"/>
      <c r="O2999" s="17"/>
      <c r="P2999" s="17"/>
      <c r="Q2999" s="17"/>
      <c r="R2999" s="17"/>
      <c r="S2999" s="17"/>
      <c r="T2999" s="17"/>
      <c r="U2999" s="17"/>
      <c r="V2999" s="17"/>
      <c r="W2999" s="17"/>
      <c r="X2999" s="17"/>
      <c r="Y2999" s="17"/>
      <c r="Z2999" s="31"/>
      <c r="AA2999" s="32"/>
    </row>
    <row r="3000" spans="1:27" ht="12.75">
      <c r="A3000" s="17"/>
      <c r="B3000" s="17"/>
      <c r="C3000" s="17"/>
      <c r="D3000" s="17"/>
      <c r="E3000" s="17"/>
      <c r="F3000" s="17"/>
      <c r="G3000" s="17"/>
      <c r="H3000" s="17"/>
      <c r="I3000" s="31"/>
      <c r="J3000" s="17"/>
      <c r="K3000" s="17"/>
      <c r="L3000" s="17"/>
      <c r="M3000" s="17"/>
      <c r="N3000" s="17"/>
      <c r="O3000" s="17"/>
      <c r="P3000" s="17"/>
      <c r="Q3000" s="17"/>
      <c r="R3000" s="17"/>
      <c r="S3000" s="17"/>
      <c r="T3000" s="17"/>
      <c r="U3000" s="17"/>
      <c r="V3000" s="17"/>
      <c r="W3000" s="17"/>
      <c r="X3000" s="17"/>
      <c r="Y3000" s="17"/>
      <c r="Z3000" s="31"/>
      <c r="AA3000" s="32"/>
    </row>
    <row r="3001" spans="1:27" ht="12.75">
      <c r="A3001" s="17"/>
      <c r="B3001" s="17"/>
      <c r="C3001" s="17"/>
      <c r="D3001" s="17"/>
      <c r="E3001" s="17"/>
      <c r="F3001" s="17"/>
      <c r="G3001" s="17"/>
      <c r="H3001" s="17"/>
      <c r="I3001" s="31"/>
      <c r="J3001" s="17"/>
      <c r="K3001" s="17"/>
      <c r="L3001" s="17"/>
      <c r="M3001" s="17"/>
      <c r="N3001" s="17"/>
      <c r="O3001" s="17"/>
      <c r="P3001" s="17"/>
      <c r="Q3001" s="17"/>
      <c r="R3001" s="17"/>
      <c r="S3001" s="17"/>
      <c r="T3001" s="17"/>
      <c r="U3001" s="17"/>
      <c r="V3001" s="17"/>
      <c r="W3001" s="17"/>
      <c r="X3001" s="17"/>
      <c r="Y3001" s="17"/>
      <c r="Z3001" s="31"/>
      <c r="AA3001" s="32"/>
    </row>
    <row r="3002" spans="1:27" ht="12.75">
      <c r="A3002" s="17"/>
      <c r="B3002" s="17"/>
      <c r="C3002" s="17"/>
      <c r="D3002" s="17"/>
      <c r="E3002" s="17"/>
      <c r="F3002" s="17"/>
      <c r="G3002" s="17"/>
      <c r="H3002" s="17"/>
      <c r="I3002" s="31"/>
      <c r="J3002" s="17"/>
      <c r="K3002" s="17"/>
      <c r="L3002" s="17"/>
      <c r="M3002" s="17"/>
      <c r="N3002" s="17"/>
      <c r="O3002" s="17"/>
      <c r="P3002" s="17"/>
      <c r="Q3002" s="17"/>
      <c r="R3002" s="17"/>
      <c r="S3002" s="17"/>
      <c r="T3002" s="17"/>
      <c r="U3002" s="17"/>
      <c r="V3002" s="17"/>
      <c r="W3002" s="17"/>
      <c r="X3002" s="17"/>
      <c r="Y3002" s="17"/>
      <c r="Z3002" s="31"/>
      <c r="AA3002" s="32"/>
    </row>
    <row r="3003" spans="1:27" ht="12.75">
      <c r="A3003" s="17"/>
      <c r="B3003" s="17"/>
      <c r="C3003" s="17"/>
      <c r="D3003" s="17"/>
      <c r="E3003" s="17"/>
      <c r="F3003" s="17"/>
      <c r="G3003" s="17"/>
      <c r="H3003" s="17"/>
      <c r="I3003" s="31"/>
      <c r="J3003" s="17"/>
      <c r="K3003" s="17"/>
      <c r="L3003" s="17"/>
      <c r="M3003" s="17"/>
      <c r="N3003" s="17"/>
      <c r="O3003" s="17"/>
      <c r="P3003" s="17"/>
      <c r="Q3003" s="17"/>
      <c r="R3003" s="17"/>
      <c r="S3003" s="17"/>
      <c r="T3003" s="17"/>
      <c r="U3003" s="17"/>
      <c r="V3003" s="17"/>
      <c r="W3003" s="17"/>
      <c r="X3003" s="17"/>
      <c r="Y3003" s="17"/>
      <c r="Z3003" s="31"/>
      <c r="AA3003" s="32"/>
    </row>
    <row r="3004" spans="1:27" ht="12.75">
      <c r="A3004" s="17"/>
      <c r="B3004" s="17"/>
      <c r="C3004" s="17"/>
      <c r="D3004" s="17"/>
      <c r="E3004" s="17"/>
      <c r="F3004" s="17"/>
      <c r="G3004" s="17"/>
      <c r="H3004" s="17"/>
      <c r="I3004" s="31"/>
      <c r="J3004" s="17"/>
      <c r="K3004" s="17"/>
      <c r="L3004" s="17"/>
      <c r="M3004" s="17"/>
      <c r="N3004" s="17"/>
      <c r="O3004" s="17"/>
      <c r="P3004" s="17"/>
      <c r="Q3004" s="17"/>
      <c r="R3004" s="17"/>
      <c r="S3004" s="17"/>
      <c r="T3004" s="17"/>
      <c r="U3004" s="17"/>
      <c r="V3004" s="17"/>
      <c r="W3004" s="17"/>
      <c r="X3004" s="17"/>
      <c r="Y3004" s="17"/>
      <c r="Z3004" s="31"/>
      <c r="AA3004" s="32"/>
    </row>
    <row r="3005" spans="1:27" ht="12.75">
      <c r="A3005" s="17"/>
      <c r="B3005" s="17"/>
      <c r="C3005" s="17"/>
      <c r="D3005" s="17"/>
      <c r="E3005" s="17"/>
      <c r="F3005" s="17"/>
      <c r="G3005" s="17"/>
      <c r="H3005" s="17"/>
      <c r="I3005" s="31"/>
      <c r="J3005" s="17"/>
      <c r="K3005" s="17"/>
      <c r="L3005" s="17"/>
      <c r="M3005" s="17"/>
      <c r="N3005" s="17"/>
      <c r="O3005" s="17"/>
      <c r="P3005" s="17"/>
      <c r="Q3005" s="17"/>
      <c r="R3005" s="17"/>
      <c r="S3005" s="17"/>
      <c r="T3005" s="17"/>
      <c r="U3005" s="17"/>
      <c r="V3005" s="17"/>
      <c r="W3005" s="17"/>
      <c r="X3005" s="17"/>
      <c r="Y3005" s="17"/>
      <c r="Z3005" s="31"/>
      <c r="AA3005" s="32"/>
    </row>
    <row r="3006" spans="1:27" ht="12.75">
      <c r="A3006" s="17"/>
      <c r="B3006" s="17"/>
      <c r="C3006" s="17"/>
      <c r="D3006" s="17"/>
      <c r="E3006" s="17"/>
      <c r="F3006" s="17"/>
      <c r="G3006" s="17"/>
      <c r="H3006" s="17"/>
      <c r="I3006" s="31"/>
      <c r="J3006" s="17"/>
      <c r="K3006" s="17"/>
      <c r="L3006" s="17"/>
      <c r="M3006" s="17"/>
      <c r="N3006" s="17"/>
      <c r="O3006" s="17"/>
      <c r="P3006" s="17"/>
      <c r="Q3006" s="17"/>
      <c r="R3006" s="17"/>
      <c r="S3006" s="17"/>
      <c r="T3006" s="17"/>
      <c r="U3006" s="17"/>
      <c r="V3006" s="17"/>
      <c r="W3006" s="17"/>
      <c r="X3006" s="17"/>
      <c r="Y3006" s="17"/>
      <c r="Z3006" s="31"/>
      <c r="AA3006" s="32"/>
    </row>
    <row r="3007" spans="1:27" ht="12.75">
      <c r="A3007" s="17"/>
      <c r="B3007" s="17"/>
      <c r="C3007" s="17"/>
      <c r="D3007" s="17"/>
      <c r="E3007" s="17"/>
      <c r="F3007" s="17"/>
      <c r="G3007" s="17"/>
      <c r="H3007" s="17"/>
      <c r="I3007" s="31"/>
      <c r="J3007" s="17"/>
      <c r="K3007" s="17"/>
      <c r="L3007" s="17"/>
      <c r="M3007" s="17"/>
      <c r="N3007" s="17"/>
      <c r="O3007" s="17"/>
      <c r="P3007" s="17"/>
      <c r="Q3007" s="17"/>
      <c r="R3007" s="17"/>
      <c r="S3007" s="17"/>
      <c r="T3007" s="17"/>
      <c r="U3007" s="17"/>
      <c r="V3007" s="17"/>
      <c r="W3007" s="17"/>
      <c r="X3007" s="17"/>
      <c r="Y3007" s="17"/>
      <c r="Z3007" s="31"/>
      <c r="AA3007" s="32"/>
    </row>
    <row r="3008" spans="1:27" ht="12.75">
      <c r="A3008" s="17"/>
      <c r="B3008" s="17"/>
      <c r="C3008" s="17"/>
      <c r="D3008" s="17"/>
      <c r="E3008" s="17"/>
      <c r="F3008" s="17"/>
      <c r="G3008" s="17"/>
      <c r="H3008" s="17"/>
      <c r="I3008" s="31"/>
      <c r="J3008" s="17"/>
      <c r="K3008" s="17"/>
      <c r="L3008" s="17"/>
      <c r="M3008" s="17"/>
      <c r="N3008" s="17"/>
      <c r="O3008" s="17"/>
      <c r="P3008" s="17"/>
      <c r="Q3008" s="17"/>
      <c r="R3008" s="17"/>
      <c r="S3008" s="17"/>
      <c r="T3008" s="17"/>
      <c r="U3008" s="17"/>
      <c r="V3008" s="17"/>
      <c r="W3008" s="17"/>
      <c r="X3008" s="17"/>
      <c r="Y3008" s="17"/>
      <c r="Z3008" s="31"/>
      <c r="AA3008" s="32"/>
    </row>
    <row r="3009" spans="1:27" ht="12.75">
      <c r="A3009" s="17"/>
      <c r="B3009" s="17"/>
      <c r="C3009" s="17"/>
      <c r="D3009" s="17"/>
      <c r="E3009" s="17"/>
      <c r="F3009" s="17"/>
      <c r="G3009" s="17"/>
      <c r="H3009" s="17"/>
      <c r="I3009" s="31"/>
      <c r="J3009" s="17"/>
      <c r="K3009" s="17"/>
      <c r="L3009" s="17"/>
      <c r="M3009" s="17"/>
      <c r="N3009" s="17"/>
      <c r="O3009" s="17"/>
      <c r="P3009" s="17"/>
      <c r="Q3009" s="17"/>
      <c r="R3009" s="17"/>
      <c r="S3009" s="17"/>
      <c r="T3009" s="17"/>
      <c r="U3009" s="17"/>
      <c r="V3009" s="17"/>
      <c r="W3009" s="17"/>
      <c r="X3009" s="17"/>
      <c r="Y3009" s="17"/>
      <c r="Z3009" s="31"/>
      <c r="AA3009" s="32"/>
    </row>
    <row r="3010" spans="1:27" ht="12.75">
      <c r="A3010" s="17"/>
      <c r="B3010" s="17"/>
      <c r="C3010" s="17"/>
      <c r="D3010" s="17"/>
      <c r="E3010" s="17"/>
      <c r="F3010" s="17"/>
      <c r="G3010" s="17"/>
      <c r="H3010" s="17"/>
      <c r="I3010" s="31"/>
      <c r="J3010" s="17"/>
      <c r="K3010" s="17"/>
      <c r="L3010" s="17"/>
      <c r="M3010" s="17"/>
      <c r="N3010" s="17"/>
      <c r="O3010" s="17"/>
      <c r="P3010" s="17"/>
      <c r="Q3010" s="17"/>
      <c r="R3010" s="17"/>
      <c r="S3010" s="17"/>
      <c r="T3010" s="17"/>
      <c r="U3010" s="17"/>
      <c r="V3010" s="17"/>
      <c r="W3010" s="17"/>
      <c r="X3010" s="17"/>
      <c r="Y3010" s="17"/>
      <c r="Z3010" s="31"/>
      <c r="AA3010" s="32"/>
    </row>
    <row r="3011" spans="1:27" ht="12.75">
      <c r="A3011" s="17"/>
      <c r="B3011" s="17"/>
      <c r="C3011" s="17"/>
      <c r="D3011" s="17"/>
      <c r="E3011" s="17"/>
      <c r="F3011" s="17"/>
      <c r="G3011" s="17"/>
      <c r="H3011" s="17"/>
      <c r="I3011" s="31"/>
      <c r="J3011" s="17"/>
      <c r="K3011" s="17"/>
      <c r="L3011" s="17"/>
      <c r="M3011" s="17"/>
      <c r="N3011" s="17"/>
      <c r="O3011" s="17"/>
      <c r="P3011" s="17"/>
      <c r="Q3011" s="17"/>
      <c r="R3011" s="17"/>
      <c r="S3011" s="17"/>
      <c r="T3011" s="17"/>
      <c r="U3011" s="17"/>
      <c r="V3011" s="17"/>
      <c r="W3011" s="17"/>
      <c r="X3011" s="17"/>
      <c r="Y3011" s="17"/>
      <c r="Z3011" s="31"/>
      <c r="AA3011" s="32"/>
    </row>
    <row r="3012" spans="1:27" ht="12.75">
      <c r="A3012" s="17"/>
      <c r="B3012" s="17"/>
      <c r="C3012" s="17"/>
      <c r="D3012" s="17"/>
      <c r="E3012" s="17"/>
      <c r="F3012" s="17"/>
      <c r="G3012" s="17"/>
      <c r="H3012" s="17"/>
      <c r="I3012" s="31"/>
      <c r="J3012" s="17"/>
      <c r="K3012" s="17"/>
      <c r="L3012" s="17"/>
      <c r="M3012" s="17"/>
      <c r="N3012" s="17"/>
      <c r="O3012" s="17"/>
      <c r="P3012" s="17"/>
      <c r="Q3012" s="17"/>
      <c r="R3012" s="17"/>
      <c r="S3012" s="17"/>
      <c r="T3012" s="17"/>
      <c r="U3012" s="17"/>
      <c r="V3012" s="17"/>
      <c r="W3012" s="17"/>
      <c r="X3012" s="17"/>
      <c r="Y3012" s="17"/>
      <c r="Z3012" s="31"/>
      <c r="AA3012" s="32"/>
    </row>
    <row r="3013" spans="1:27" ht="12.75">
      <c r="A3013" s="17"/>
      <c r="B3013" s="17"/>
      <c r="C3013" s="17"/>
      <c r="D3013" s="17"/>
      <c r="E3013" s="17"/>
      <c r="F3013" s="17"/>
      <c r="G3013" s="17"/>
      <c r="H3013" s="17"/>
      <c r="I3013" s="31"/>
      <c r="J3013" s="17"/>
      <c r="K3013" s="17"/>
      <c r="L3013" s="17"/>
      <c r="M3013" s="17"/>
      <c r="N3013" s="17"/>
      <c r="O3013" s="17"/>
      <c r="P3013" s="17"/>
      <c r="Q3013" s="17"/>
      <c r="R3013" s="17"/>
      <c r="S3013" s="17"/>
      <c r="T3013" s="17"/>
      <c r="U3013" s="17"/>
      <c r="V3013" s="17"/>
      <c r="W3013" s="17"/>
      <c r="X3013" s="17"/>
      <c r="Y3013" s="17"/>
      <c r="Z3013" s="31"/>
      <c r="AA3013" s="32"/>
    </row>
    <row r="3014" spans="1:27" ht="12.75">
      <c r="A3014" s="17"/>
      <c r="B3014" s="17"/>
      <c r="C3014" s="17"/>
      <c r="D3014" s="17"/>
      <c r="E3014" s="17"/>
      <c r="F3014" s="17"/>
      <c r="G3014" s="17"/>
      <c r="H3014" s="17"/>
      <c r="I3014" s="31"/>
      <c r="J3014" s="17"/>
      <c r="K3014" s="17"/>
      <c r="L3014" s="17"/>
      <c r="M3014" s="17"/>
      <c r="N3014" s="17"/>
      <c r="O3014" s="17"/>
      <c r="P3014" s="17"/>
      <c r="Q3014" s="17"/>
      <c r="R3014" s="17"/>
      <c r="S3014" s="17"/>
      <c r="T3014" s="17"/>
      <c r="U3014" s="17"/>
      <c r="V3014" s="17"/>
      <c r="W3014" s="17"/>
      <c r="X3014" s="17"/>
      <c r="Y3014" s="17"/>
      <c r="Z3014" s="31"/>
      <c r="AA3014" s="32"/>
    </row>
    <row r="3015" spans="1:27" ht="12.75">
      <c r="A3015" s="17"/>
      <c r="B3015" s="17"/>
      <c r="C3015" s="17"/>
      <c r="D3015" s="17"/>
      <c r="E3015" s="17"/>
      <c r="F3015" s="17"/>
      <c r="G3015" s="17"/>
      <c r="H3015" s="17"/>
      <c r="I3015" s="31"/>
      <c r="J3015" s="17"/>
      <c r="K3015" s="17"/>
      <c r="L3015" s="17"/>
      <c r="M3015" s="17"/>
      <c r="N3015" s="17"/>
      <c r="O3015" s="17"/>
      <c r="P3015" s="17"/>
      <c r="Q3015" s="17"/>
      <c r="R3015" s="17"/>
      <c r="S3015" s="17"/>
      <c r="T3015" s="17"/>
      <c r="U3015" s="17"/>
      <c r="V3015" s="17"/>
      <c r="W3015" s="17"/>
      <c r="X3015" s="17"/>
      <c r="Y3015" s="17"/>
      <c r="Z3015" s="31"/>
      <c r="AA3015" s="32"/>
    </row>
    <row r="3016" spans="1:27" ht="12.75">
      <c r="A3016" s="17"/>
      <c r="B3016" s="17"/>
      <c r="C3016" s="17"/>
      <c r="D3016" s="17"/>
      <c r="E3016" s="17"/>
      <c r="F3016" s="17"/>
      <c r="G3016" s="17"/>
      <c r="H3016" s="17"/>
      <c r="I3016" s="31"/>
      <c r="J3016" s="17"/>
      <c r="K3016" s="17"/>
      <c r="L3016" s="17"/>
      <c r="M3016" s="17"/>
      <c r="N3016" s="17"/>
      <c r="O3016" s="17"/>
      <c r="P3016" s="17"/>
      <c r="Q3016" s="17"/>
      <c r="R3016" s="17"/>
      <c r="S3016" s="17"/>
      <c r="T3016" s="17"/>
      <c r="U3016" s="17"/>
      <c r="V3016" s="17"/>
      <c r="W3016" s="17"/>
      <c r="X3016" s="17"/>
      <c r="Y3016" s="17"/>
      <c r="Z3016" s="31"/>
      <c r="AA3016" s="32"/>
    </row>
    <row r="3017" spans="1:27" ht="12.75">
      <c r="A3017" s="17"/>
      <c r="B3017" s="17"/>
      <c r="C3017" s="17"/>
      <c r="D3017" s="17"/>
      <c r="E3017" s="17"/>
      <c r="F3017" s="17"/>
      <c r="G3017" s="17"/>
      <c r="H3017" s="17"/>
      <c r="I3017" s="31"/>
      <c r="J3017" s="17"/>
      <c r="K3017" s="17"/>
      <c r="L3017" s="17"/>
      <c r="M3017" s="17"/>
      <c r="N3017" s="17"/>
      <c r="O3017" s="17"/>
      <c r="P3017" s="17"/>
      <c r="Q3017" s="17"/>
      <c r="R3017" s="17"/>
      <c r="S3017" s="17"/>
      <c r="T3017" s="17"/>
      <c r="U3017" s="17"/>
      <c r="V3017" s="17"/>
      <c r="W3017" s="17"/>
      <c r="X3017" s="17"/>
      <c r="Y3017" s="17"/>
      <c r="Z3017" s="31"/>
      <c r="AA3017" s="32"/>
    </row>
    <row r="3018" spans="1:27" ht="12.75">
      <c r="A3018" s="17"/>
      <c r="B3018" s="17"/>
      <c r="C3018" s="17"/>
      <c r="D3018" s="17"/>
      <c r="E3018" s="17"/>
      <c r="F3018" s="17"/>
      <c r="G3018" s="17"/>
      <c r="H3018" s="17"/>
      <c r="I3018" s="31"/>
      <c r="J3018" s="17"/>
      <c r="K3018" s="17"/>
      <c r="L3018" s="17"/>
      <c r="M3018" s="17"/>
      <c r="N3018" s="17"/>
      <c r="O3018" s="17"/>
      <c r="P3018" s="17"/>
      <c r="Q3018" s="17"/>
      <c r="R3018" s="17"/>
      <c r="S3018" s="17"/>
      <c r="T3018" s="17"/>
      <c r="U3018" s="17"/>
      <c r="V3018" s="17"/>
      <c r="W3018" s="17"/>
      <c r="X3018" s="17"/>
      <c r="Y3018" s="17"/>
      <c r="Z3018" s="31"/>
      <c r="AA3018" s="32"/>
    </row>
    <row r="3019" spans="1:27" ht="12.75">
      <c r="A3019" s="17"/>
      <c r="B3019" s="17"/>
      <c r="C3019" s="17"/>
      <c r="D3019" s="17"/>
      <c r="E3019" s="17"/>
      <c r="F3019" s="17"/>
      <c r="G3019" s="17"/>
      <c r="H3019" s="17"/>
      <c r="I3019" s="31"/>
      <c r="J3019" s="17"/>
      <c r="K3019" s="17"/>
      <c r="L3019" s="17"/>
      <c r="M3019" s="17"/>
      <c r="N3019" s="17"/>
      <c r="O3019" s="17"/>
      <c r="P3019" s="17"/>
      <c r="Q3019" s="17"/>
      <c r="R3019" s="17"/>
      <c r="S3019" s="17"/>
      <c r="T3019" s="17"/>
      <c r="U3019" s="17"/>
      <c r="V3019" s="17"/>
      <c r="W3019" s="17"/>
      <c r="X3019" s="17"/>
      <c r="Y3019" s="17"/>
      <c r="Z3019" s="31"/>
      <c r="AA3019" s="32"/>
    </row>
    <row r="3020" spans="1:27" ht="12.75">
      <c r="A3020" s="17"/>
      <c r="B3020" s="17"/>
      <c r="C3020" s="17"/>
      <c r="D3020" s="17"/>
      <c r="E3020" s="17"/>
      <c r="F3020" s="17"/>
      <c r="G3020" s="17"/>
      <c r="H3020" s="17"/>
      <c r="I3020" s="31"/>
      <c r="J3020" s="17"/>
      <c r="K3020" s="17"/>
      <c r="L3020" s="17"/>
      <c r="M3020" s="17"/>
      <c r="N3020" s="17"/>
      <c r="O3020" s="17"/>
      <c r="P3020" s="17"/>
      <c r="Q3020" s="17"/>
      <c r="R3020" s="17"/>
      <c r="S3020" s="17"/>
      <c r="T3020" s="17"/>
      <c r="U3020" s="17"/>
      <c r="V3020" s="17"/>
      <c r="W3020" s="17"/>
      <c r="X3020" s="17"/>
      <c r="Y3020" s="17"/>
      <c r="Z3020" s="31"/>
      <c r="AA3020" s="32"/>
    </row>
    <row r="3021" spans="1:27" ht="12.75">
      <c r="A3021" s="17"/>
      <c r="B3021" s="17"/>
      <c r="C3021" s="17"/>
      <c r="D3021" s="17"/>
      <c r="E3021" s="17"/>
      <c r="F3021" s="17"/>
      <c r="G3021" s="17"/>
      <c r="H3021" s="17"/>
      <c r="I3021" s="31"/>
      <c r="J3021" s="17"/>
      <c r="K3021" s="17"/>
      <c r="L3021" s="17"/>
      <c r="M3021" s="17"/>
      <c r="N3021" s="17"/>
      <c r="O3021" s="17"/>
      <c r="P3021" s="17"/>
      <c r="Q3021" s="17"/>
      <c r="R3021" s="17"/>
      <c r="S3021" s="17"/>
      <c r="T3021" s="17"/>
      <c r="U3021" s="17"/>
      <c r="V3021" s="17"/>
      <c r="W3021" s="17"/>
      <c r="X3021" s="17"/>
      <c r="Y3021" s="17"/>
      <c r="Z3021" s="31"/>
      <c r="AA3021" s="32"/>
    </row>
    <row r="3022" spans="1:27" ht="12.75">
      <c r="A3022" s="17"/>
      <c r="B3022" s="17"/>
      <c r="C3022" s="17"/>
      <c r="D3022" s="17"/>
      <c r="E3022" s="17"/>
      <c r="F3022" s="17"/>
      <c r="G3022" s="17"/>
      <c r="H3022" s="17"/>
      <c r="I3022" s="31"/>
      <c r="J3022" s="17"/>
      <c r="K3022" s="17"/>
      <c r="L3022" s="17"/>
      <c r="M3022" s="17"/>
      <c r="N3022" s="17"/>
      <c r="O3022" s="17"/>
      <c r="P3022" s="17"/>
      <c r="Q3022" s="17"/>
      <c r="R3022" s="17"/>
      <c r="S3022" s="17"/>
      <c r="T3022" s="17"/>
      <c r="U3022" s="17"/>
      <c r="V3022" s="17"/>
      <c r="W3022" s="17"/>
      <c r="X3022" s="17"/>
      <c r="Y3022" s="17"/>
      <c r="Z3022" s="31"/>
      <c r="AA3022" s="32"/>
    </row>
    <row r="3023" spans="1:27" ht="12.75">
      <c r="A3023" s="17"/>
      <c r="B3023" s="17"/>
      <c r="C3023" s="17"/>
      <c r="D3023" s="17"/>
      <c r="E3023" s="17"/>
      <c r="F3023" s="17"/>
      <c r="G3023" s="17"/>
      <c r="H3023" s="17"/>
      <c r="I3023" s="31"/>
      <c r="J3023" s="17"/>
      <c r="K3023" s="17"/>
      <c r="L3023" s="17"/>
      <c r="M3023" s="17"/>
      <c r="N3023" s="17"/>
      <c r="O3023" s="17"/>
      <c r="P3023" s="17"/>
      <c r="Q3023" s="17"/>
      <c r="R3023" s="17"/>
      <c r="S3023" s="17"/>
      <c r="T3023" s="17"/>
      <c r="U3023" s="17"/>
      <c r="V3023" s="17"/>
      <c r="W3023" s="17"/>
      <c r="X3023" s="17"/>
      <c r="Y3023" s="17"/>
      <c r="Z3023" s="31"/>
      <c r="AA3023" s="32"/>
    </row>
    <row r="3024" spans="1:27" ht="12.75">
      <c r="A3024" s="17"/>
      <c r="B3024" s="17"/>
      <c r="C3024" s="17"/>
      <c r="D3024" s="17"/>
      <c r="E3024" s="17"/>
      <c r="F3024" s="17"/>
      <c r="G3024" s="17"/>
      <c r="H3024" s="17"/>
      <c r="I3024" s="31"/>
      <c r="J3024" s="17"/>
      <c r="K3024" s="17"/>
      <c r="L3024" s="17"/>
      <c r="M3024" s="17"/>
      <c r="N3024" s="17"/>
      <c r="O3024" s="17"/>
      <c r="P3024" s="17"/>
      <c r="Q3024" s="17"/>
      <c r="R3024" s="17"/>
      <c r="S3024" s="17"/>
      <c r="T3024" s="17"/>
      <c r="U3024" s="17"/>
      <c r="V3024" s="17"/>
      <c r="W3024" s="17"/>
      <c r="X3024" s="17"/>
      <c r="Y3024" s="17"/>
      <c r="Z3024" s="31"/>
      <c r="AA3024" s="32"/>
    </row>
    <row r="3025" spans="1:27" ht="12.75">
      <c r="A3025" s="17"/>
      <c r="B3025" s="17"/>
      <c r="C3025" s="17"/>
      <c r="D3025" s="17"/>
      <c r="E3025" s="17"/>
      <c r="F3025" s="17"/>
      <c r="G3025" s="17"/>
      <c r="H3025" s="17"/>
      <c r="I3025" s="31"/>
      <c r="J3025" s="17"/>
      <c r="K3025" s="17"/>
      <c r="L3025" s="17"/>
      <c r="M3025" s="17"/>
      <c r="N3025" s="17"/>
      <c r="O3025" s="17"/>
      <c r="P3025" s="17"/>
      <c r="Q3025" s="17"/>
      <c r="R3025" s="17"/>
      <c r="S3025" s="17"/>
      <c r="T3025" s="17"/>
      <c r="U3025" s="17"/>
      <c r="V3025" s="17"/>
      <c r="W3025" s="17"/>
      <c r="X3025" s="17"/>
      <c r="Y3025" s="17"/>
      <c r="Z3025" s="31"/>
      <c r="AA3025" s="32"/>
    </row>
    <row r="3026" spans="1:27" ht="12.75">
      <c r="A3026" s="17"/>
      <c r="B3026" s="17"/>
      <c r="C3026" s="17"/>
      <c r="D3026" s="17"/>
      <c r="E3026" s="17"/>
      <c r="F3026" s="17"/>
      <c r="G3026" s="17"/>
      <c r="H3026" s="17"/>
      <c r="I3026" s="31"/>
      <c r="J3026" s="17"/>
      <c r="K3026" s="17"/>
      <c r="L3026" s="17"/>
      <c r="M3026" s="17"/>
      <c r="N3026" s="17"/>
      <c r="O3026" s="17"/>
      <c r="P3026" s="17"/>
      <c r="Q3026" s="17"/>
      <c r="R3026" s="17"/>
      <c r="S3026" s="17"/>
      <c r="T3026" s="17"/>
      <c r="U3026" s="17"/>
      <c r="V3026" s="17"/>
      <c r="W3026" s="17"/>
      <c r="X3026" s="17"/>
      <c r="Y3026" s="17"/>
      <c r="Z3026" s="31"/>
      <c r="AA3026" s="32"/>
    </row>
    <row r="3027" spans="1:27" ht="12.75">
      <c r="A3027" s="17"/>
      <c r="B3027" s="17"/>
      <c r="C3027" s="17"/>
      <c r="D3027" s="17"/>
      <c r="E3027" s="17"/>
      <c r="F3027" s="17"/>
      <c r="G3027" s="17"/>
      <c r="H3027" s="17"/>
      <c r="I3027" s="31"/>
      <c r="J3027" s="17"/>
      <c r="K3027" s="17"/>
      <c r="L3027" s="17"/>
      <c r="M3027" s="17"/>
      <c r="N3027" s="17"/>
      <c r="O3027" s="17"/>
      <c r="P3027" s="17"/>
      <c r="Q3027" s="17"/>
      <c r="R3027" s="17"/>
      <c r="S3027" s="17"/>
      <c r="T3027" s="17"/>
      <c r="U3027" s="17"/>
      <c r="V3027" s="17"/>
      <c r="W3027" s="17"/>
      <c r="X3027" s="17"/>
      <c r="Y3027" s="17"/>
      <c r="Z3027" s="31"/>
      <c r="AA3027" s="32"/>
    </row>
    <row r="3028" spans="1:27" ht="12.75">
      <c r="A3028" s="17"/>
      <c r="B3028" s="17"/>
      <c r="C3028" s="17"/>
      <c r="D3028" s="17"/>
      <c r="E3028" s="17"/>
      <c r="F3028" s="17"/>
      <c r="G3028" s="17"/>
      <c r="H3028" s="17"/>
      <c r="I3028" s="31"/>
      <c r="J3028" s="17"/>
      <c r="K3028" s="17"/>
      <c r="L3028" s="17"/>
      <c r="M3028" s="17"/>
      <c r="N3028" s="17"/>
      <c r="O3028" s="17"/>
      <c r="P3028" s="17"/>
      <c r="Q3028" s="17"/>
      <c r="R3028" s="17"/>
      <c r="S3028" s="17"/>
      <c r="T3028" s="17"/>
      <c r="U3028" s="17"/>
      <c r="V3028" s="17"/>
      <c r="W3028" s="17"/>
      <c r="X3028" s="17"/>
      <c r="Y3028" s="17"/>
      <c r="Z3028" s="31"/>
      <c r="AA3028" s="32"/>
    </row>
    <row r="3029" spans="1:27" ht="12.75">
      <c r="A3029" s="17"/>
      <c r="B3029" s="17"/>
      <c r="C3029" s="17"/>
      <c r="D3029" s="17"/>
      <c r="E3029" s="17"/>
      <c r="F3029" s="17"/>
      <c r="G3029" s="17"/>
      <c r="H3029" s="17"/>
      <c r="I3029" s="31"/>
      <c r="J3029" s="17"/>
      <c r="K3029" s="17"/>
      <c r="L3029" s="17"/>
      <c r="M3029" s="17"/>
      <c r="N3029" s="17"/>
      <c r="O3029" s="17"/>
      <c r="P3029" s="17"/>
      <c r="Q3029" s="17"/>
      <c r="R3029" s="17"/>
      <c r="S3029" s="17"/>
      <c r="T3029" s="17"/>
      <c r="U3029" s="17"/>
      <c r="V3029" s="17"/>
      <c r="W3029" s="17"/>
      <c r="X3029" s="17"/>
      <c r="Y3029" s="17"/>
      <c r="Z3029" s="31"/>
      <c r="AA3029" s="32"/>
    </row>
    <row r="3030" spans="1:27" ht="12.75">
      <c r="A3030" s="17"/>
      <c r="B3030" s="17"/>
      <c r="C3030" s="17"/>
      <c r="D3030" s="17"/>
      <c r="E3030" s="17"/>
      <c r="F3030" s="17"/>
      <c r="G3030" s="17"/>
      <c r="H3030" s="17"/>
      <c r="I3030" s="31"/>
      <c r="J3030" s="17"/>
      <c r="K3030" s="17"/>
      <c r="L3030" s="17"/>
      <c r="M3030" s="17"/>
      <c r="N3030" s="17"/>
      <c r="O3030" s="17"/>
      <c r="P3030" s="17"/>
      <c r="Q3030" s="17"/>
      <c r="R3030" s="17"/>
      <c r="S3030" s="17"/>
      <c r="T3030" s="17"/>
      <c r="U3030" s="17"/>
      <c r="V3030" s="17"/>
      <c r="W3030" s="17"/>
      <c r="X3030" s="17"/>
      <c r="Y3030" s="17"/>
      <c r="Z3030" s="31"/>
      <c r="AA3030" s="32"/>
    </row>
    <row r="3031" spans="1:27" ht="12.75">
      <c r="A3031" s="17"/>
      <c r="B3031" s="17"/>
      <c r="C3031" s="17"/>
      <c r="D3031" s="17"/>
      <c r="E3031" s="17"/>
      <c r="F3031" s="17"/>
      <c r="G3031" s="17"/>
      <c r="H3031" s="17"/>
      <c r="I3031" s="31"/>
      <c r="J3031" s="17"/>
      <c r="K3031" s="17"/>
      <c r="L3031" s="17"/>
      <c r="M3031" s="17"/>
      <c r="N3031" s="17"/>
      <c r="O3031" s="17"/>
      <c r="P3031" s="17"/>
      <c r="Q3031" s="17"/>
      <c r="R3031" s="17"/>
      <c r="S3031" s="17"/>
      <c r="T3031" s="17"/>
      <c r="U3031" s="17"/>
      <c r="V3031" s="17"/>
      <c r="W3031" s="17"/>
      <c r="X3031" s="17"/>
      <c r="Y3031" s="17"/>
      <c r="Z3031" s="31"/>
      <c r="AA3031" s="32"/>
    </row>
    <row r="3032" spans="1:27" ht="12.75">
      <c r="A3032" s="17"/>
      <c r="B3032" s="17"/>
      <c r="C3032" s="17"/>
      <c r="D3032" s="17"/>
      <c r="E3032" s="17"/>
      <c r="F3032" s="17"/>
      <c r="G3032" s="17"/>
      <c r="H3032" s="17"/>
      <c r="I3032" s="31"/>
      <c r="J3032" s="17"/>
      <c r="K3032" s="17"/>
      <c r="L3032" s="17"/>
      <c r="M3032" s="17"/>
      <c r="N3032" s="17"/>
      <c r="O3032" s="17"/>
      <c r="P3032" s="17"/>
      <c r="Q3032" s="17"/>
      <c r="R3032" s="17"/>
      <c r="S3032" s="17"/>
      <c r="T3032" s="17"/>
      <c r="U3032" s="17"/>
      <c r="V3032" s="17"/>
      <c r="W3032" s="17"/>
      <c r="X3032" s="17"/>
      <c r="Y3032" s="17"/>
      <c r="Z3032" s="31"/>
      <c r="AA3032" s="32"/>
    </row>
    <row r="3033" spans="1:27" ht="12.75">
      <c r="A3033" s="17"/>
      <c r="B3033" s="17"/>
      <c r="C3033" s="17"/>
      <c r="D3033" s="17"/>
      <c r="E3033" s="17"/>
      <c r="F3033" s="17"/>
      <c r="G3033" s="17"/>
      <c r="H3033" s="17"/>
      <c r="I3033" s="31"/>
      <c r="J3033" s="17"/>
      <c r="K3033" s="17"/>
      <c r="L3033" s="17"/>
      <c r="M3033" s="17"/>
      <c r="N3033" s="17"/>
      <c r="O3033" s="17"/>
      <c r="P3033" s="17"/>
      <c r="Q3033" s="17"/>
      <c r="R3033" s="17"/>
      <c r="S3033" s="17"/>
      <c r="T3033" s="17"/>
      <c r="U3033" s="17"/>
      <c r="V3033" s="17"/>
      <c r="W3033" s="17"/>
      <c r="X3033" s="17"/>
      <c r="Y3033" s="17"/>
      <c r="Z3033" s="31"/>
      <c r="AA3033" s="32"/>
    </row>
    <row r="3034" spans="1:27" ht="12.75">
      <c r="A3034" s="17"/>
      <c r="B3034" s="17"/>
      <c r="C3034" s="17"/>
      <c r="D3034" s="17"/>
      <c r="E3034" s="17"/>
      <c r="F3034" s="17"/>
      <c r="G3034" s="17"/>
      <c r="H3034" s="17"/>
      <c r="I3034" s="31"/>
      <c r="J3034" s="17"/>
      <c r="K3034" s="17"/>
      <c r="L3034" s="17"/>
      <c r="M3034" s="17"/>
      <c r="N3034" s="17"/>
      <c r="O3034" s="17"/>
      <c r="P3034" s="17"/>
      <c r="Q3034" s="17"/>
      <c r="R3034" s="17"/>
      <c r="S3034" s="17"/>
      <c r="T3034" s="17"/>
      <c r="U3034" s="17"/>
      <c r="V3034" s="17"/>
      <c r="W3034" s="17"/>
      <c r="X3034" s="17"/>
      <c r="Y3034" s="17"/>
      <c r="Z3034" s="31"/>
      <c r="AA3034" s="32"/>
    </row>
    <row r="3035" spans="1:27" ht="12.75">
      <c r="A3035" s="17"/>
      <c r="B3035" s="17"/>
      <c r="C3035" s="17"/>
      <c r="D3035" s="17"/>
      <c r="E3035" s="17"/>
      <c r="F3035" s="17"/>
      <c r="G3035" s="17"/>
      <c r="H3035" s="17"/>
      <c r="I3035" s="31"/>
      <c r="J3035" s="17"/>
      <c r="K3035" s="17"/>
      <c r="L3035" s="17"/>
      <c r="M3035" s="17"/>
      <c r="N3035" s="17"/>
      <c r="O3035" s="17"/>
      <c r="P3035" s="17"/>
      <c r="Q3035" s="17"/>
      <c r="R3035" s="17"/>
      <c r="S3035" s="17"/>
      <c r="T3035" s="17"/>
      <c r="U3035" s="17"/>
      <c r="V3035" s="17"/>
      <c r="W3035" s="17"/>
      <c r="X3035" s="17"/>
      <c r="Y3035" s="17"/>
      <c r="Z3035" s="31"/>
      <c r="AA3035" s="32"/>
    </row>
    <row r="3036" spans="1:27" ht="12.75">
      <c r="A3036" s="17"/>
      <c r="B3036" s="17"/>
      <c r="C3036" s="17"/>
      <c r="D3036" s="17"/>
      <c r="E3036" s="17"/>
      <c r="F3036" s="17"/>
      <c r="G3036" s="17"/>
      <c r="H3036" s="17"/>
      <c r="I3036" s="31"/>
      <c r="J3036" s="17"/>
      <c r="K3036" s="17"/>
      <c r="L3036" s="17"/>
      <c r="M3036" s="17"/>
      <c r="N3036" s="17"/>
      <c r="O3036" s="17"/>
      <c r="P3036" s="17"/>
      <c r="Q3036" s="17"/>
      <c r="R3036" s="17"/>
      <c r="S3036" s="17"/>
      <c r="T3036" s="17"/>
      <c r="U3036" s="17"/>
      <c r="V3036" s="17"/>
      <c r="W3036" s="17"/>
      <c r="X3036" s="17"/>
      <c r="Y3036" s="17"/>
      <c r="Z3036" s="31"/>
      <c r="AA3036" s="32"/>
    </row>
    <row r="3037" spans="1:27" ht="12.75">
      <c r="A3037" s="17"/>
      <c r="B3037" s="17"/>
      <c r="C3037" s="17"/>
      <c r="D3037" s="17"/>
      <c r="E3037" s="17"/>
      <c r="F3037" s="17"/>
      <c r="G3037" s="17"/>
      <c r="H3037" s="17"/>
      <c r="I3037" s="31"/>
      <c r="J3037" s="17"/>
      <c r="K3037" s="17"/>
      <c r="L3037" s="17"/>
      <c r="M3037" s="17"/>
      <c r="N3037" s="17"/>
      <c r="O3037" s="17"/>
      <c r="P3037" s="17"/>
      <c r="Q3037" s="17"/>
      <c r="R3037" s="17"/>
      <c r="S3037" s="17"/>
      <c r="T3037" s="17"/>
      <c r="U3037" s="17"/>
      <c r="V3037" s="17"/>
      <c r="W3037" s="17"/>
      <c r="X3037" s="17"/>
      <c r="Y3037" s="17"/>
      <c r="Z3037" s="31"/>
      <c r="AA3037" s="32"/>
    </row>
    <row r="3038" spans="1:27" ht="12.75">
      <c r="A3038" s="17"/>
      <c r="B3038" s="17"/>
      <c r="C3038" s="17"/>
      <c r="D3038" s="17"/>
      <c r="E3038" s="17"/>
      <c r="F3038" s="17"/>
      <c r="G3038" s="17"/>
      <c r="H3038" s="17"/>
      <c r="I3038" s="31"/>
      <c r="J3038" s="17"/>
      <c r="K3038" s="17"/>
      <c r="L3038" s="17"/>
      <c r="M3038" s="17"/>
      <c r="N3038" s="17"/>
      <c r="O3038" s="17"/>
      <c r="P3038" s="17"/>
      <c r="Q3038" s="17"/>
      <c r="R3038" s="17"/>
      <c r="S3038" s="17"/>
      <c r="T3038" s="17"/>
      <c r="U3038" s="17"/>
      <c r="V3038" s="17"/>
      <c r="W3038" s="17"/>
      <c r="X3038" s="17"/>
      <c r="Y3038" s="17"/>
      <c r="Z3038" s="31"/>
      <c r="AA3038" s="32"/>
    </row>
    <row r="3039" spans="1:27" ht="12.75">
      <c r="A3039" s="17"/>
      <c r="B3039" s="17"/>
      <c r="C3039" s="17"/>
      <c r="D3039" s="17"/>
      <c r="E3039" s="17"/>
      <c r="F3039" s="17"/>
      <c r="G3039" s="17"/>
      <c r="H3039" s="17"/>
      <c r="I3039" s="31"/>
      <c r="J3039" s="17"/>
      <c r="K3039" s="17"/>
      <c r="L3039" s="17"/>
      <c r="M3039" s="17"/>
      <c r="N3039" s="17"/>
      <c r="O3039" s="17"/>
      <c r="P3039" s="17"/>
      <c r="Q3039" s="17"/>
      <c r="R3039" s="17"/>
      <c r="S3039" s="17"/>
      <c r="T3039" s="17"/>
      <c r="U3039" s="17"/>
      <c r="V3039" s="17"/>
      <c r="W3039" s="17"/>
      <c r="X3039" s="17"/>
      <c r="Y3039" s="17"/>
      <c r="Z3039" s="31"/>
      <c r="AA3039" s="32"/>
    </row>
    <row r="3040" spans="1:27" ht="12.75">
      <c r="A3040" s="17"/>
      <c r="B3040" s="17"/>
      <c r="C3040" s="17"/>
      <c r="D3040" s="17"/>
      <c r="E3040" s="17"/>
      <c r="F3040" s="17"/>
      <c r="G3040" s="17"/>
      <c r="H3040" s="17"/>
      <c r="I3040" s="31"/>
      <c r="J3040" s="17"/>
      <c r="K3040" s="17"/>
      <c r="L3040" s="17"/>
      <c r="M3040" s="17"/>
      <c r="N3040" s="17"/>
      <c r="O3040" s="17"/>
      <c r="P3040" s="17"/>
      <c r="Q3040" s="17"/>
      <c r="R3040" s="17"/>
      <c r="S3040" s="17"/>
      <c r="T3040" s="17"/>
      <c r="U3040" s="17"/>
      <c r="V3040" s="17"/>
      <c r="W3040" s="17"/>
      <c r="X3040" s="17"/>
      <c r="Y3040" s="17"/>
      <c r="Z3040" s="31"/>
      <c r="AA3040" s="32"/>
    </row>
    <row r="3041" spans="1:27" ht="12.75">
      <c r="A3041" s="17"/>
      <c r="B3041" s="17"/>
      <c r="C3041" s="17"/>
      <c r="D3041" s="17"/>
      <c r="E3041" s="17"/>
      <c r="F3041" s="17"/>
      <c r="G3041" s="17"/>
      <c r="H3041" s="17"/>
      <c r="I3041" s="31"/>
      <c r="J3041" s="17"/>
      <c r="K3041" s="17"/>
      <c r="L3041" s="17"/>
      <c r="M3041" s="17"/>
      <c r="N3041" s="17"/>
      <c r="O3041" s="17"/>
      <c r="P3041" s="17"/>
      <c r="Q3041" s="17"/>
      <c r="R3041" s="17"/>
      <c r="S3041" s="17"/>
      <c r="T3041" s="17"/>
      <c r="U3041" s="17"/>
      <c r="V3041" s="17"/>
      <c r="W3041" s="17"/>
      <c r="X3041" s="17"/>
      <c r="Y3041" s="17"/>
      <c r="Z3041" s="31"/>
      <c r="AA3041" s="32"/>
    </row>
    <row r="3042" spans="1:27" ht="12.75">
      <c r="A3042" s="17"/>
      <c r="B3042" s="17"/>
      <c r="C3042" s="17"/>
      <c r="D3042" s="17"/>
      <c r="E3042" s="17"/>
      <c r="F3042" s="17"/>
      <c r="G3042" s="17"/>
      <c r="H3042" s="17"/>
      <c r="I3042" s="31"/>
      <c r="J3042" s="17"/>
      <c r="K3042" s="17"/>
      <c r="L3042" s="17"/>
      <c r="M3042" s="17"/>
      <c r="N3042" s="17"/>
      <c r="O3042" s="17"/>
      <c r="P3042" s="17"/>
      <c r="Q3042" s="17"/>
      <c r="R3042" s="17"/>
      <c r="S3042" s="17"/>
      <c r="T3042" s="17"/>
      <c r="U3042" s="17"/>
      <c r="V3042" s="17"/>
      <c r="W3042" s="17"/>
      <c r="X3042" s="17"/>
      <c r="Y3042" s="17"/>
      <c r="Z3042" s="31"/>
      <c r="AA3042" s="32"/>
    </row>
    <row r="3043" spans="1:27" ht="12.75">
      <c r="A3043" s="17"/>
      <c r="B3043" s="17"/>
      <c r="C3043" s="17"/>
      <c r="D3043" s="17"/>
      <c r="E3043" s="17"/>
      <c r="F3043" s="17"/>
      <c r="G3043" s="17"/>
      <c r="H3043" s="17"/>
      <c r="I3043" s="31"/>
      <c r="J3043" s="17"/>
      <c r="K3043" s="17"/>
      <c r="L3043" s="17"/>
      <c r="M3043" s="17"/>
      <c r="N3043" s="17"/>
      <c r="O3043" s="17"/>
      <c r="P3043" s="17"/>
      <c r="Q3043" s="17"/>
      <c r="R3043" s="17"/>
      <c r="S3043" s="17"/>
      <c r="T3043" s="17"/>
      <c r="U3043" s="17"/>
      <c r="V3043" s="17"/>
      <c r="W3043" s="17"/>
      <c r="X3043" s="17"/>
      <c r="Y3043" s="17"/>
      <c r="Z3043" s="31"/>
      <c r="AA3043" s="32"/>
    </row>
    <row r="3044" spans="1:27" ht="12.75">
      <c r="A3044" s="17"/>
      <c r="B3044" s="17"/>
      <c r="C3044" s="17"/>
      <c r="D3044" s="17"/>
      <c r="E3044" s="17"/>
      <c r="F3044" s="17"/>
      <c r="G3044" s="17"/>
      <c r="H3044" s="17"/>
      <c r="I3044" s="31"/>
      <c r="J3044" s="17"/>
      <c r="K3044" s="17"/>
      <c r="L3044" s="17"/>
      <c r="M3044" s="17"/>
      <c r="N3044" s="17"/>
      <c r="O3044" s="17"/>
      <c r="P3044" s="17"/>
      <c r="Q3044" s="17"/>
      <c r="R3044" s="17"/>
      <c r="S3044" s="17"/>
      <c r="T3044" s="17"/>
      <c r="U3044" s="17"/>
      <c r="V3044" s="17"/>
      <c r="W3044" s="17"/>
      <c r="X3044" s="17"/>
      <c r="Y3044" s="17"/>
      <c r="Z3044" s="31"/>
      <c r="AA3044" s="32"/>
    </row>
    <row r="3045" spans="1:27" ht="12.75">
      <c r="A3045" s="17"/>
      <c r="B3045" s="17"/>
      <c r="C3045" s="17"/>
      <c r="D3045" s="17"/>
      <c r="E3045" s="17"/>
      <c r="F3045" s="17"/>
      <c r="G3045" s="17"/>
      <c r="H3045" s="17"/>
      <c r="I3045" s="31"/>
      <c r="J3045" s="17"/>
      <c r="K3045" s="17"/>
      <c r="L3045" s="17"/>
      <c r="M3045" s="17"/>
      <c r="N3045" s="17"/>
      <c r="O3045" s="17"/>
      <c r="P3045" s="17"/>
      <c r="Q3045" s="17"/>
      <c r="R3045" s="17"/>
      <c r="S3045" s="17"/>
      <c r="T3045" s="17"/>
      <c r="U3045" s="17"/>
      <c r="V3045" s="17"/>
      <c r="W3045" s="17"/>
      <c r="X3045" s="17"/>
      <c r="Y3045" s="17"/>
      <c r="Z3045" s="31"/>
      <c r="AA3045" s="32"/>
    </row>
    <row r="3046" spans="1:27" ht="12.75">
      <c r="A3046" s="17"/>
      <c r="B3046" s="17"/>
      <c r="C3046" s="17"/>
      <c r="D3046" s="17"/>
      <c r="E3046" s="17"/>
      <c r="F3046" s="17"/>
      <c r="G3046" s="17"/>
      <c r="H3046" s="17"/>
      <c r="I3046" s="31"/>
      <c r="J3046" s="17"/>
      <c r="K3046" s="17"/>
      <c r="L3046" s="17"/>
      <c r="M3046" s="17"/>
      <c r="N3046" s="17"/>
      <c r="O3046" s="17"/>
      <c r="P3046" s="17"/>
      <c r="Q3046" s="17"/>
      <c r="R3046" s="17"/>
      <c r="S3046" s="17"/>
      <c r="T3046" s="17"/>
      <c r="U3046" s="17"/>
      <c r="V3046" s="17"/>
      <c r="W3046" s="17"/>
      <c r="X3046" s="17"/>
      <c r="Y3046" s="17"/>
      <c r="Z3046" s="31"/>
      <c r="AA3046" s="32"/>
    </row>
    <row r="3047" spans="1:27" ht="12.75">
      <c r="A3047" s="17"/>
      <c r="B3047" s="17"/>
      <c r="C3047" s="17"/>
      <c r="D3047" s="17"/>
      <c r="E3047" s="17"/>
      <c r="F3047" s="17"/>
      <c r="G3047" s="17"/>
      <c r="H3047" s="17"/>
      <c r="I3047" s="31"/>
      <c r="J3047" s="17"/>
      <c r="K3047" s="17"/>
      <c r="L3047" s="17"/>
      <c r="M3047" s="17"/>
      <c r="N3047" s="17"/>
      <c r="O3047" s="17"/>
      <c r="P3047" s="17"/>
      <c r="Q3047" s="17"/>
      <c r="R3047" s="17"/>
      <c r="S3047" s="17"/>
      <c r="T3047" s="17"/>
      <c r="U3047" s="17"/>
      <c r="V3047" s="17"/>
      <c r="W3047" s="17"/>
      <c r="X3047" s="17"/>
      <c r="Y3047" s="17"/>
      <c r="Z3047" s="31"/>
      <c r="AA3047" s="32"/>
    </row>
    <row r="3048" spans="1:27" ht="12.75">
      <c r="A3048" s="17"/>
      <c r="B3048" s="17"/>
      <c r="C3048" s="17"/>
      <c r="D3048" s="17"/>
      <c r="E3048" s="17"/>
      <c r="F3048" s="17"/>
      <c r="G3048" s="17"/>
      <c r="H3048" s="17"/>
      <c r="I3048" s="31"/>
      <c r="J3048" s="17"/>
      <c r="K3048" s="17"/>
      <c r="L3048" s="17"/>
      <c r="M3048" s="17"/>
      <c r="N3048" s="17"/>
      <c r="O3048" s="17"/>
      <c r="P3048" s="17"/>
      <c r="Q3048" s="17"/>
      <c r="R3048" s="17"/>
      <c r="S3048" s="17"/>
      <c r="T3048" s="17"/>
      <c r="U3048" s="17"/>
      <c r="V3048" s="17"/>
      <c r="W3048" s="17"/>
      <c r="X3048" s="17"/>
      <c r="Y3048" s="17"/>
      <c r="Z3048" s="31"/>
      <c r="AA3048" s="32"/>
    </row>
    <row r="3049" spans="1:27" ht="12.75">
      <c r="A3049" s="17"/>
      <c r="B3049" s="17"/>
      <c r="C3049" s="17"/>
      <c r="D3049" s="17"/>
      <c r="E3049" s="17"/>
      <c r="F3049" s="17"/>
      <c r="G3049" s="17"/>
      <c r="H3049" s="17"/>
      <c r="I3049" s="31"/>
      <c r="J3049" s="17"/>
      <c r="K3049" s="17"/>
      <c r="L3049" s="17"/>
      <c r="M3049" s="17"/>
      <c r="N3049" s="17"/>
      <c r="O3049" s="17"/>
      <c r="P3049" s="17"/>
      <c r="Q3049" s="17"/>
      <c r="R3049" s="17"/>
      <c r="S3049" s="17"/>
      <c r="T3049" s="17"/>
      <c r="U3049" s="17"/>
      <c r="V3049" s="17"/>
      <c r="W3049" s="17"/>
      <c r="X3049" s="17"/>
      <c r="Y3049" s="17"/>
      <c r="Z3049" s="31"/>
      <c r="AA3049" s="32"/>
    </row>
    <row r="3050" spans="1:27" ht="12.75">
      <c r="A3050" s="17"/>
      <c r="B3050" s="17"/>
      <c r="C3050" s="17"/>
      <c r="D3050" s="17"/>
      <c r="E3050" s="17"/>
      <c r="F3050" s="17"/>
      <c r="G3050" s="17"/>
      <c r="H3050" s="17"/>
      <c r="I3050" s="31"/>
      <c r="J3050" s="17"/>
      <c r="K3050" s="17"/>
      <c r="L3050" s="17"/>
      <c r="M3050" s="17"/>
      <c r="N3050" s="17"/>
      <c r="O3050" s="17"/>
      <c r="P3050" s="17"/>
      <c r="Q3050" s="17"/>
      <c r="R3050" s="17"/>
      <c r="S3050" s="17"/>
      <c r="T3050" s="17"/>
      <c r="U3050" s="17"/>
      <c r="V3050" s="17"/>
      <c r="W3050" s="17"/>
      <c r="X3050" s="17"/>
      <c r="Y3050" s="17"/>
      <c r="Z3050" s="31"/>
      <c r="AA3050" s="32"/>
    </row>
    <row r="3051" spans="1:27" ht="12.75">
      <c r="A3051" s="17"/>
      <c r="B3051" s="17"/>
      <c r="C3051" s="17"/>
      <c r="D3051" s="17"/>
      <c r="E3051" s="17"/>
      <c r="F3051" s="17"/>
      <c r="G3051" s="17"/>
      <c r="H3051" s="17"/>
      <c r="I3051" s="31"/>
      <c r="J3051" s="17"/>
      <c r="K3051" s="17"/>
      <c r="L3051" s="17"/>
      <c r="M3051" s="17"/>
      <c r="N3051" s="17"/>
      <c r="O3051" s="17"/>
      <c r="P3051" s="17"/>
      <c r="Q3051" s="17"/>
      <c r="R3051" s="17"/>
      <c r="S3051" s="17"/>
      <c r="T3051" s="17"/>
      <c r="U3051" s="17"/>
      <c r="V3051" s="17"/>
      <c r="W3051" s="17"/>
      <c r="X3051" s="17"/>
      <c r="Y3051" s="17"/>
      <c r="Z3051" s="31"/>
      <c r="AA3051" s="32"/>
    </row>
    <row r="3052" spans="1:27" ht="12.75">
      <c r="A3052" s="17"/>
      <c r="B3052" s="17"/>
      <c r="C3052" s="17"/>
      <c r="D3052" s="17"/>
      <c r="E3052" s="17"/>
      <c r="F3052" s="17"/>
      <c r="G3052" s="17"/>
      <c r="H3052" s="17"/>
      <c r="I3052" s="31"/>
      <c r="J3052" s="17"/>
      <c r="K3052" s="17"/>
      <c r="L3052" s="17"/>
      <c r="M3052" s="17"/>
      <c r="N3052" s="17"/>
      <c r="O3052" s="17"/>
      <c r="P3052" s="17"/>
      <c r="Q3052" s="17"/>
      <c r="R3052" s="17"/>
      <c r="S3052" s="17"/>
      <c r="T3052" s="17"/>
      <c r="U3052" s="17"/>
      <c r="V3052" s="17"/>
      <c r="W3052" s="17"/>
      <c r="X3052" s="17"/>
      <c r="Y3052" s="17"/>
      <c r="Z3052" s="31"/>
      <c r="AA3052" s="32"/>
    </row>
    <row r="3053" spans="1:27" ht="12.75">
      <c r="A3053" s="17"/>
      <c r="B3053" s="17"/>
      <c r="C3053" s="17"/>
      <c r="D3053" s="17"/>
      <c r="E3053" s="17"/>
      <c r="F3053" s="17"/>
      <c r="G3053" s="17"/>
      <c r="H3053" s="17"/>
      <c r="I3053" s="31"/>
      <c r="J3053" s="17"/>
      <c r="K3053" s="17"/>
      <c r="L3053" s="17"/>
      <c r="M3053" s="17"/>
      <c r="N3053" s="17"/>
      <c r="O3053" s="17"/>
      <c r="P3053" s="17"/>
      <c r="Q3053" s="17"/>
      <c r="R3053" s="17"/>
      <c r="S3053" s="17"/>
      <c r="T3053" s="17"/>
      <c r="U3053" s="17"/>
      <c r="V3053" s="17"/>
      <c r="W3053" s="17"/>
      <c r="X3053" s="17"/>
      <c r="Y3053" s="17"/>
      <c r="Z3053" s="31"/>
      <c r="AA3053" s="32"/>
    </row>
    <row r="3054" spans="1:27" ht="12.75">
      <c r="A3054" s="17"/>
      <c r="B3054" s="17"/>
      <c r="C3054" s="17"/>
      <c r="D3054" s="17"/>
      <c r="E3054" s="17"/>
      <c r="F3054" s="17"/>
      <c r="G3054" s="17"/>
      <c r="H3054" s="17"/>
      <c r="I3054" s="31"/>
      <c r="J3054" s="17"/>
      <c r="K3054" s="17"/>
      <c r="L3054" s="17"/>
      <c r="M3054" s="17"/>
      <c r="N3054" s="17"/>
      <c r="O3054" s="17"/>
      <c r="P3054" s="17"/>
      <c r="Q3054" s="17"/>
      <c r="R3054" s="17"/>
      <c r="S3054" s="17"/>
      <c r="T3054" s="17"/>
      <c r="U3054" s="17"/>
      <c r="V3054" s="17"/>
      <c r="W3054" s="17"/>
      <c r="X3054" s="17"/>
      <c r="Y3054" s="17"/>
      <c r="Z3054" s="31"/>
      <c r="AA3054" s="32"/>
    </row>
    <row r="3055" spans="1:27" ht="12.75">
      <c r="A3055" s="17"/>
      <c r="B3055" s="17"/>
      <c r="C3055" s="17"/>
      <c r="D3055" s="17"/>
      <c r="E3055" s="17"/>
      <c r="F3055" s="17"/>
      <c r="G3055" s="17"/>
      <c r="H3055" s="17"/>
      <c r="I3055" s="31"/>
      <c r="J3055" s="17"/>
      <c r="K3055" s="17"/>
      <c r="L3055" s="17"/>
      <c r="M3055" s="17"/>
      <c r="N3055" s="17"/>
      <c r="O3055" s="17"/>
      <c r="P3055" s="17"/>
      <c r="Q3055" s="17"/>
      <c r="R3055" s="17"/>
      <c r="S3055" s="17"/>
      <c r="T3055" s="17"/>
      <c r="U3055" s="17"/>
      <c r="V3055" s="17"/>
      <c r="W3055" s="17"/>
      <c r="X3055" s="17"/>
      <c r="Y3055" s="17"/>
      <c r="Z3055" s="31"/>
      <c r="AA3055" s="32"/>
    </row>
    <row r="3056" spans="1:27" ht="12.75">
      <c r="A3056" s="17"/>
      <c r="B3056" s="17"/>
      <c r="C3056" s="17"/>
      <c r="D3056" s="17"/>
      <c r="E3056" s="17"/>
      <c r="F3056" s="17"/>
      <c r="G3056" s="17"/>
      <c r="H3056" s="17"/>
      <c r="I3056" s="31"/>
      <c r="J3056" s="17"/>
      <c r="K3056" s="17"/>
      <c r="L3056" s="17"/>
      <c r="M3056" s="17"/>
      <c r="N3056" s="17"/>
      <c r="O3056" s="17"/>
      <c r="P3056" s="17"/>
      <c r="Q3056" s="17"/>
      <c r="R3056" s="17"/>
      <c r="S3056" s="17"/>
      <c r="T3056" s="17"/>
      <c r="U3056" s="17"/>
      <c r="V3056" s="17"/>
      <c r="W3056" s="17"/>
      <c r="X3056" s="17"/>
      <c r="Y3056" s="17"/>
      <c r="Z3056" s="31"/>
      <c r="AA3056" s="32"/>
    </row>
    <row r="3057" spans="1:27" ht="12.75">
      <c r="A3057" s="17"/>
      <c r="B3057" s="17"/>
      <c r="C3057" s="17"/>
      <c r="D3057" s="17"/>
      <c r="E3057" s="17"/>
      <c r="F3057" s="17"/>
      <c r="G3057" s="17"/>
      <c r="H3057" s="17"/>
      <c r="I3057" s="31"/>
      <c r="J3057" s="17"/>
      <c r="K3057" s="17"/>
      <c r="L3057" s="17"/>
      <c r="M3057" s="17"/>
      <c r="N3057" s="17"/>
      <c r="O3057" s="17"/>
      <c r="P3057" s="17"/>
      <c r="Q3057" s="17"/>
      <c r="R3057" s="17"/>
      <c r="S3057" s="17"/>
      <c r="T3057" s="17"/>
      <c r="U3057" s="17"/>
      <c r="V3057" s="17"/>
      <c r="W3057" s="17"/>
      <c r="X3057" s="17"/>
      <c r="Y3057" s="17"/>
      <c r="Z3057" s="31"/>
      <c r="AA3057" s="32"/>
    </row>
    <row r="3058" spans="1:27" ht="12.75">
      <c r="A3058" s="17"/>
      <c r="B3058" s="17"/>
      <c r="C3058" s="17"/>
      <c r="D3058" s="17"/>
      <c r="E3058" s="17"/>
      <c r="F3058" s="17"/>
      <c r="G3058" s="17"/>
      <c r="H3058" s="17"/>
      <c r="I3058" s="31"/>
      <c r="J3058" s="17"/>
      <c r="K3058" s="17"/>
      <c r="L3058" s="17"/>
      <c r="M3058" s="17"/>
      <c r="N3058" s="17"/>
      <c r="O3058" s="17"/>
      <c r="P3058" s="17"/>
      <c r="Q3058" s="17"/>
      <c r="R3058" s="17"/>
      <c r="S3058" s="17"/>
      <c r="T3058" s="17"/>
      <c r="U3058" s="17"/>
      <c r="V3058" s="17"/>
      <c r="W3058" s="17"/>
      <c r="X3058" s="17"/>
      <c r="Y3058" s="17"/>
      <c r="Z3058" s="31"/>
      <c r="AA3058" s="32"/>
    </row>
    <row r="3059" spans="1:27" ht="12.75">
      <c r="A3059" s="17"/>
      <c r="B3059" s="17"/>
      <c r="C3059" s="17"/>
      <c r="D3059" s="17"/>
      <c r="E3059" s="17"/>
      <c r="F3059" s="17"/>
      <c r="G3059" s="17"/>
      <c r="H3059" s="17"/>
      <c r="I3059" s="31"/>
      <c r="J3059" s="17"/>
      <c r="K3059" s="17"/>
      <c r="L3059" s="17"/>
      <c r="M3059" s="17"/>
      <c r="N3059" s="17"/>
      <c r="O3059" s="17"/>
      <c r="P3059" s="17"/>
      <c r="Q3059" s="17"/>
      <c r="R3059" s="17"/>
      <c r="S3059" s="17"/>
      <c r="T3059" s="17"/>
      <c r="U3059" s="17"/>
      <c r="V3059" s="17"/>
      <c r="W3059" s="17"/>
      <c r="X3059" s="17"/>
      <c r="Y3059" s="17"/>
      <c r="Z3059" s="31"/>
      <c r="AA3059" s="32"/>
    </row>
    <row r="3060" spans="1:27" ht="12.75">
      <c r="A3060" s="17"/>
      <c r="B3060" s="17"/>
      <c r="C3060" s="17"/>
      <c r="D3060" s="17"/>
      <c r="E3060" s="17"/>
      <c r="F3060" s="17"/>
      <c r="G3060" s="17"/>
      <c r="H3060" s="17"/>
      <c r="I3060" s="31"/>
      <c r="J3060" s="17"/>
      <c r="K3060" s="17"/>
      <c r="L3060" s="17"/>
      <c r="M3060" s="17"/>
      <c r="N3060" s="17"/>
      <c r="O3060" s="17"/>
      <c r="P3060" s="17"/>
      <c r="Q3060" s="17"/>
      <c r="R3060" s="17"/>
      <c r="S3060" s="17"/>
      <c r="T3060" s="17"/>
      <c r="U3060" s="17"/>
      <c r="V3060" s="17"/>
      <c r="W3060" s="17"/>
      <c r="X3060" s="17"/>
      <c r="Y3060" s="17"/>
      <c r="Z3060" s="31"/>
      <c r="AA3060" s="32"/>
    </row>
    <row r="3061" spans="1:27" ht="12.75">
      <c r="A3061" s="17"/>
      <c r="B3061" s="17"/>
      <c r="C3061" s="17"/>
      <c r="D3061" s="17"/>
      <c r="E3061" s="17"/>
      <c r="F3061" s="17"/>
      <c r="G3061" s="17"/>
      <c r="H3061" s="17"/>
      <c r="I3061" s="31"/>
      <c r="J3061" s="17"/>
      <c r="K3061" s="17"/>
      <c r="L3061" s="17"/>
      <c r="M3061" s="17"/>
      <c r="N3061" s="17"/>
      <c r="O3061" s="17"/>
      <c r="P3061" s="17"/>
      <c r="Q3061" s="17"/>
      <c r="R3061" s="17"/>
      <c r="S3061" s="17"/>
      <c r="T3061" s="17"/>
      <c r="U3061" s="17"/>
      <c r="V3061" s="17"/>
      <c r="W3061" s="17"/>
      <c r="X3061" s="17"/>
      <c r="Y3061" s="17"/>
      <c r="Z3061" s="31"/>
      <c r="AA3061" s="32"/>
    </row>
    <row r="3062" spans="1:27" ht="12.75">
      <c r="A3062" s="17"/>
      <c r="B3062" s="17"/>
      <c r="C3062" s="17"/>
      <c r="D3062" s="17"/>
      <c r="E3062" s="17"/>
      <c r="F3062" s="17"/>
      <c r="G3062" s="17"/>
      <c r="H3062" s="17"/>
      <c r="I3062" s="31"/>
      <c r="J3062" s="17"/>
      <c r="K3062" s="17"/>
      <c r="L3062" s="17"/>
      <c r="M3062" s="17"/>
      <c r="N3062" s="17"/>
      <c r="O3062" s="17"/>
      <c r="P3062" s="17"/>
      <c r="Q3062" s="17"/>
      <c r="R3062" s="17"/>
      <c r="S3062" s="17"/>
      <c r="T3062" s="17"/>
      <c r="U3062" s="17"/>
      <c r="V3062" s="17"/>
      <c r="W3062" s="17"/>
      <c r="X3062" s="17"/>
      <c r="Y3062" s="17"/>
      <c r="Z3062" s="31"/>
      <c r="AA3062" s="32"/>
    </row>
    <row r="3063" spans="1:27" ht="12.75">
      <c r="A3063" s="17"/>
      <c r="B3063" s="17"/>
      <c r="C3063" s="17"/>
      <c r="D3063" s="17"/>
      <c r="E3063" s="17"/>
      <c r="F3063" s="17"/>
      <c r="G3063" s="17"/>
      <c r="H3063" s="17"/>
      <c r="I3063" s="31"/>
      <c r="J3063" s="17"/>
      <c r="K3063" s="17"/>
      <c r="L3063" s="17"/>
      <c r="M3063" s="17"/>
      <c r="N3063" s="17"/>
      <c r="O3063" s="17"/>
      <c r="P3063" s="17"/>
      <c r="Q3063" s="17"/>
      <c r="R3063" s="17"/>
      <c r="S3063" s="17"/>
      <c r="T3063" s="17"/>
      <c r="U3063" s="17"/>
      <c r="V3063" s="17"/>
      <c r="W3063" s="17"/>
      <c r="X3063" s="17"/>
      <c r="Y3063" s="17"/>
      <c r="Z3063" s="31"/>
      <c r="AA3063" s="32"/>
    </row>
    <row r="3064" spans="1:27" ht="12.75">
      <c r="A3064" s="17"/>
      <c r="B3064" s="17"/>
      <c r="C3064" s="17"/>
      <c r="D3064" s="17"/>
      <c r="E3064" s="17"/>
      <c r="F3064" s="17"/>
      <c r="G3064" s="17"/>
      <c r="H3064" s="17"/>
      <c r="I3064" s="31"/>
      <c r="J3064" s="17"/>
      <c r="K3064" s="17"/>
      <c r="L3064" s="17"/>
      <c r="M3064" s="17"/>
      <c r="N3064" s="17"/>
      <c r="O3064" s="17"/>
      <c r="P3064" s="17"/>
      <c r="Q3064" s="17"/>
      <c r="R3064" s="17"/>
      <c r="S3064" s="17"/>
      <c r="T3064" s="17"/>
      <c r="U3064" s="17"/>
      <c r="V3064" s="17"/>
      <c r="W3064" s="17"/>
      <c r="X3064" s="17"/>
      <c r="Y3064" s="17"/>
      <c r="Z3064" s="31"/>
      <c r="AA3064" s="32"/>
    </row>
    <row r="3065" spans="1:27" ht="12.75">
      <c r="A3065" s="17"/>
      <c r="B3065" s="17"/>
      <c r="C3065" s="17"/>
      <c r="D3065" s="17"/>
      <c r="E3065" s="17"/>
      <c r="F3065" s="17"/>
      <c r="G3065" s="17"/>
      <c r="H3065" s="17"/>
      <c r="I3065" s="31"/>
      <c r="J3065" s="17"/>
      <c r="K3065" s="17"/>
      <c r="L3065" s="17"/>
      <c r="M3065" s="17"/>
      <c r="N3065" s="17"/>
      <c r="O3065" s="17"/>
      <c r="P3065" s="17"/>
      <c r="Q3065" s="17"/>
      <c r="R3065" s="17"/>
      <c r="S3065" s="17"/>
      <c r="T3065" s="17"/>
      <c r="U3065" s="17"/>
      <c r="V3065" s="17"/>
      <c r="W3065" s="17"/>
      <c r="X3065" s="17"/>
      <c r="Y3065" s="17"/>
      <c r="Z3065" s="31"/>
      <c r="AA3065" s="32"/>
    </row>
    <row r="3066" spans="1:27" ht="12.75">
      <c r="A3066" s="17"/>
      <c r="B3066" s="17"/>
      <c r="C3066" s="17"/>
      <c r="D3066" s="17"/>
      <c r="E3066" s="17"/>
      <c r="F3066" s="17"/>
      <c r="G3066" s="17"/>
      <c r="H3066" s="17"/>
      <c r="I3066" s="31"/>
      <c r="J3066" s="17"/>
      <c r="K3066" s="17"/>
      <c r="L3066" s="17"/>
      <c r="M3066" s="17"/>
      <c r="N3066" s="17"/>
      <c r="O3066" s="17"/>
      <c r="P3066" s="17"/>
      <c r="Q3066" s="17"/>
      <c r="R3066" s="17"/>
      <c r="S3066" s="17"/>
      <c r="T3066" s="17"/>
      <c r="U3066" s="17"/>
      <c r="V3066" s="17"/>
      <c r="W3066" s="17"/>
      <c r="X3066" s="17"/>
      <c r="Y3066" s="17"/>
      <c r="Z3066" s="31"/>
      <c r="AA3066" s="32"/>
    </row>
    <row r="3067" spans="1:27" ht="12.75">
      <c r="A3067" s="17"/>
      <c r="B3067" s="17"/>
      <c r="C3067" s="17"/>
      <c r="D3067" s="17"/>
      <c r="E3067" s="17"/>
      <c r="F3067" s="17"/>
      <c r="G3067" s="17"/>
      <c r="H3067" s="17"/>
      <c r="I3067" s="31"/>
      <c r="J3067" s="17"/>
      <c r="K3067" s="17"/>
      <c r="L3067" s="17"/>
      <c r="M3067" s="17"/>
      <c r="N3067" s="17"/>
      <c r="O3067" s="17"/>
      <c r="P3067" s="17"/>
      <c r="Q3067" s="17"/>
      <c r="R3067" s="17"/>
      <c r="S3067" s="17"/>
      <c r="T3067" s="17"/>
      <c r="U3067" s="17"/>
      <c r="V3067" s="17"/>
      <c r="W3067" s="17"/>
      <c r="X3067" s="17"/>
      <c r="Y3067" s="17"/>
      <c r="Z3067" s="31"/>
      <c r="AA3067" s="32"/>
    </row>
    <row r="3068" spans="1:27" ht="12.75">
      <c r="A3068" s="17"/>
      <c r="B3068" s="17"/>
      <c r="C3068" s="17"/>
      <c r="D3068" s="17"/>
      <c r="E3068" s="17"/>
      <c r="F3068" s="17"/>
      <c r="G3068" s="17"/>
      <c r="H3068" s="17"/>
      <c r="I3068" s="31"/>
      <c r="J3068" s="17"/>
      <c r="K3068" s="17"/>
      <c r="L3068" s="17"/>
      <c r="M3068" s="17"/>
      <c r="N3068" s="17"/>
      <c r="O3068" s="17"/>
      <c r="P3068" s="17"/>
      <c r="Q3068" s="17"/>
      <c r="R3068" s="17"/>
      <c r="S3068" s="17"/>
      <c r="T3068" s="17"/>
      <c r="U3068" s="17"/>
      <c r="V3068" s="17"/>
      <c r="W3068" s="17"/>
      <c r="X3068" s="17"/>
      <c r="Y3068" s="17"/>
      <c r="Z3068" s="31"/>
      <c r="AA3068" s="32"/>
    </row>
    <row r="3069" spans="1:27" ht="12.75">
      <c r="A3069" s="17"/>
      <c r="B3069" s="17"/>
      <c r="C3069" s="17"/>
      <c r="D3069" s="17"/>
      <c r="E3069" s="17"/>
      <c r="F3069" s="17"/>
      <c r="G3069" s="17"/>
      <c r="H3069" s="17"/>
      <c r="I3069" s="31"/>
      <c r="J3069" s="17"/>
      <c r="K3069" s="17"/>
      <c r="L3069" s="17"/>
      <c r="M3069" s="17"/>
      <c r="N3069" s="17"/>
      <c r="O3069" s="17"/>
      <c r="P3069" s="17"/>
      <c r="Q3069" s="17"/>
      <c r="R3069" s="17"/>
      <c r="S3069" s="17"/>
      <c r="T3069" s="17"/>
      <c r="U3069" s="17"/>
      <c r="V3069" s="17"/>
      <c r="W3069" s="17"/>
      <c r="X3069" s="17"/>
      <c r="Y3069" s="17"/>
      <c r="Z3069" s="31"/>
      <c r="AA3069" s="32"/>
    </row>
    <row r="3070" spans="1:27" ht="12.75">
      <c r="A3070" s="17"/>
      <c r="B3070" s="17"/>
      <c r="C3070" s="17"/>
      <c r="D3070" s="17"/>
      <c r="E3070" s="17"/>
      <c r="F3070" s="17"/>
      <c r="G3070" s="17"/>
      <c r="H3070" s="17"/>
      <c r="I3070" s="31"/>
      <c r="J3070" s="17"/>
      <c r="K3070" s="17"/>
      <c r="L3070" s="17"/>
      <c r="M3070" s="17"/>
      <c r="N3070" s="17"/>
      <c r="O3070" s="17"/>
      <c r="P3070" s="17"/>
      <c r="Q3070" s="17"/>
      <c r="R3070" s="17"/>
      <c r="S3070" s="17"/>
      <c r="T3070" s="17"/>
      <c r="U3070" s="17"/>
      <c r="V3070" s="17"/>
      <c r="W3070" s="17"/>
      <c r="X3070" s="17"/>
      <c r="Y3070" s="17"/>
      <c r="Z3070" s="31"/>
      <c r="AA3070" s="32"/>
    </row>
    <row r="3071" spans="1:27" ht="12.75">
      <c r="A3071" s="17"/>
      <c r="B3071" s="17"/>
      <c r="C3071" s="17"/>
      <c r="D3071" s="17"/>
      <c r="E3071" s="17"/>
      <c r="F3071" s="17"/>
      <c r="G3071" s="17"/>
      <c r="H3071" s="17"/>
      <c r="I3071" s="31"/>
      <c r="J3071" s="17"/>
      <c r="K3071" s="17"/>
      <c r="L3071" s="17"/>
      <c r="M3071" s="17"/>
      <c r="N3071" s="17"/>
      <c r="O3071" s="17"/>
      <c r="P3071" s="17"/>
      <c r="Q3071" s="17"/>
      <c r="R3071" s="17"/>
      <c r="S3071" s="17"/>
      <c r="T3071" s="17"/>
      <c r="U3071" s="17"/>
      <c r="V3071" s="17"/>
      <c r="W3071" s="17"/>
      <c r="X3071" s="17"/>
      <c r="Y3071" s="17"/>
      <c r="Z3071" s="31"/>
      <c r="AA3071" s="32"/>
    </row>
    <row r="3072" spans="1:27" ht="12.75">
      <c r="A3072" s="17"/>
      <c r="B3072" s="17"/>
      <c r="C3072" s="17"/>
      <c r="D3072" s="17"/>
      <c r="E3072" s="17"/>
      <c r="F3072" s="17"/>
      <c r="G3072" s="17"/>
      <c r="H3072" s="17"/>
      <c r="I3072" s="31"/>
      <c r="J3072" s="17"/>
      <c r="K3072" s="17"/>
      <c r="L3072" s="17"/>
      <c r="M3072" s="17"/>
      <c r="N3072" s="17"/>
      <c r="O3072" s="17"/>
      <c r="P3072" s="17"/>
      <c r="Q3072" s="17"/>
      <c r="R3072" s="17"/>
      <c r="S3072" s="17"/>
      <c r="T3072" s="17"/>
      <c r="U3072" s="17"/>
      <c r="V3072" s="17"/>
      <c r="W3072" s="17"/>
      <c r="X3072" s="17"/>
      <c r="Y3072" s="17"/>
      <c r="Z3072" s="31"/>
      <c r="AA3072" s="32"/>
    </row>
    <row r="3073" spans="1:27" ht="12.75">
      <c r="A3073" s="17"/>
      <c r="B3073" s="17"/>
      <c r="C3073" s="17"/>
      <c r="D3073" s="17"/>
      <c r="E3073" s="17"/>
      <c r="F3073" s="17"/>
      <c r="G3073" s="17"/>
      <c r="H3073" s="17"/>
      <c r="I3073" s="31"/>
      <c r="J3073" s="17"/>
      <c r="K3073" s="17"/>
      <c r="L3073" s="17"/>
      <c r="M3073" s="17"/>
      <c r="N3073" s="17"/>
      <c r="O3073" s="17"/>
      <c r="P3073" s="17"/>
      <c r="Q3073" s="17"/>
      <c r="R3073" s="17"/>
      <c r="S3073" s="17"/>
      <c r="T3073" s="17"/>
      <c r="U3073" s="17"/>
      <c r="V3073" s="17"/>
      <c r="W3073" s="17"/>
      <c r="X3073" s="17"/>
      <c r="Y3073" s="17"/>
      <c r="Z3073" s="31"/>
      <c r="AA3073" s="32"/>
    </row>
    <row r="3074" spans="1:27" ht="12.75">
      <c r="A3074" s="17"/>
      <c r="B3074" s="17"/>
      <c r="C3074" s="17"/>
      <c r="D3074" s="17"/>
      <c r="E3074" s="17"/>
      <c r="F3074" s="17"/>
      <c r="G3074" s="17"/>
      <c r="H3074" s="17"/>
      <c r="I3074" s="31"/>
      <c r="J3074" s="17"/>
      <c r="K3074" s="17"/>
      <c r="L3074" s="17"/>
      <c r="M3074" s="17"/>
      <c r="N3074" s="17"/>
      <c r="O3074" s="17"/>
      <c r="P3074" s="17"/>
      <c r="Q3074" s="17"/>
      <c r="R3074" s="17"/>
      <c r="S3074" s="17"/>
      <c r="T3074" s="17"/>
      <c r="U3074" s="17"/>
      <c r="V3074" s="17"/>
      <c r="W3074" s="17"/>
      <c r="X3074" s="17"/>
      <c r="Y3074" s="17"/>
      <c r="Z3074" s="31"/>
      <c r="AA3074" s="32"/>
    </row>
    <row r="3075" spans="1:27" ht="12.75">
      <c r="A3075" s="17"/>
      <c r="B3075" s="17"/>
      <c r="C3075" s="17"/>
      <c r="D3075" s="17"/>
      <c r="E3075" s="17"/>
      <c r="F3075" s="17"/>
      <c r="G3075" s="17"/>
      <c r="H3075" s="17"/>
      <c r="I3075" s="31"/>
      <c r="J3075" s="17"/>
      <c r="K3075" s="17"/>
      <c r="L3075" s="17"/>
      <c r="M3075" s="17"/>
      <c r="N3075" s="17"/>
      <c r="O3075" s="17"/>
      <c r="P3075" s="17"/>
      <c r="Q3075" s="17"/>
      <c r="R3075" s="17"/>
      <c r="S3075" s="17"/>
      <c r="T3075" s="17"/>
      <c r="U3075" s="17"/>
      <c r="V3075" s="17"/>
      <c r="W3075" s="17"/>
      <c r="X3075" s="17"/>
      <c r="Y3075" s="17"/>
      <c r="Z3075" s="31"/>
      <c r="AA3075" s="32"/>
    </row>
    <row r="3076" spans="1:27" ht="12.75">
      <c r="A3076" s="17"/>
      <c r="B3076" s="17"/>
      <c r="C3076" s="17"/>
      <c r="D3076" s="17"/>
      <c r="E3076" s="17"/>
      <c r="F3076" s="17"/>
      <c r="G3076" s="17"/>
      <c r="H3076" s="17"/>
      <c r="I3076" s="31"/>
      <c r="J3076" s="17"/>
      <c r="K3076" s="17"/>
      <c r="L3076" s="17"/>
      <c r="M3076" s="17"/>
      <c r="N3076" s="17"/>
      <c r="O3076" s="17"/>
      <c r="P3076" s="17"/>
      <c r="Q3076" s="17"/>
      <c r="R3076" s="17"/>
      <c r="S3076" s="17"/>
      <c r="T3076" s="17"/>
      <c r="U3076" s="17"/>
      <c r="V3076" s="17"/>
      <c r="W3076" s="17"/>
      <c r="X3076" s="17"/>
      <c r="Y3076" s="17"/>
      <c r="Z3076" s="31"/>
      <c r="AA3076" s="32"/>
    </row>
    <row r="3077" spans="1:27" ht="12.75">
      <c r="A3077" s="17"/>
      <c r="B3077" s="17"/>
      <c r="C3077" s="17"/>
      <c r="D3077" s="17"/>
      <c r="E3077" s="17"/>
      <c r="F3077" s="17"/>
      <c r="G3077" s="17"/>
      <c r="H3077" s="17"/>
      <c r="I3077" s="31"/>
      <c r="J3077" s="17"/>
      <c r="K3077" s="17"/>
      <c r="L3077" s="17"/>
      <c r="M3077" s="17"/>
      <c r="N3077" s="17"/>
      <c r="O3077" s="17"/>
      <c r="P3077" s="17"/>
      <c r="Q3077" s="17"/>
      <c r="R3077" s="17"/>
      <c r="S3077" s="17"/>
      <c r="T3077" s="17"/>
      <c r="U3077" s="17"/>
      <c r="V3077" s="17"/>
      <c r="W3077" s="17"/>
      <c r="X3077" s="17"/>
      <c r="Y3077" s="17"/>
      <c r="Z3077" s="31"/>
      <c r="AA3077" s="32"/>
    </row>
    <row r="3078" spans="1:27" ht="12.75">
      <c r="A3078" s="17"/>
      <c r="B3078" s="17"/>
      <c r="C3078" s="17"/>
      <c r="D3078" s="17"/>
      <c r="E3078" s="17"/>
      <c r="F3078" s="17"/>
      <c r="G3078" s="17"/>
      <c r="H3078" s="17"/>
      <c r="I3078" s="31"/>
      <c r="J3078" s="17"/>
      <c r="K3078" s="17"/>
      <c r="L3078" s="17"/>
      <c r="M3078" s="17"/>
      <c r="N3078" s="17"/>
      <c r="O3078" s="17"/>
      <c r="P3078" s="17"/>
      <c r="Q3078" s="17"/>
      <c r="R3078" s="17"/>
      <c r="S3078" s="17"/>
      <c r="T3078" s="17"/>
      <c r="U3078" s="17"/>
      <c r="V3078" s="17"/>
      <c r="W3078" s="17"/>
      <c r="X3078" s="17"/>
      <c r="Y3078" s="17"/>
      <c r="Z3078" s="31"/>
      <c r="AA3078" s="32"/>
    </row>
    <row r="3079" spans="1:27" ht="12.75">
      <c r="A3079" s="17"/>
      <c r="B3079" s="17"/>
      <c r="C3079" s="17"/>
      <c r="D3079" s="17"/>
      <c r="E3079" s="17"/>
      <c r="F3079" s="17"/>
      <c r="G3079" s="17"/>
      <c r="H3079" s="17"/>
      <c r="I3079" s="31"/>
      <c r="J3079" s="17"/>
      <c r="K3079" s="17"/>
      <c r="L3079" s="17"/>
      <c r="M3079" s="17"/>
      <c r="N3079" s="17"/>
      <c r="O3079" s="17"/>
      <c r="P3079" s="17"/>
      <c r="Q3079" s="17"/>
      <c r="R3079" s="17"/>
      <c r="S3079" s="17"/>
      <c r="T3079" s="17"/>
      <c r="U3079" s="17"/>
      <c r="V3079" s="17"/>
      <c r="W3079" s="17"/>
      <c r="X3079" s="17"/>
      <c r="Y3079" s="17"/>
      <c r="Z3079" s="31"/>
      <c r="AA3079" s="32"/>
    </row>
    <row r="3080" spans="1:27" ht="12.75">
      <c r="A3080" s="17"/>
      <c r="B3080" s="17"/>
      <c r="C3080" s="17"/>
      <c r="D3080" s="17"/>
      <c r="E3080" s="17"/>
      <c r="F3080" s="17"/>
      <c r="G3080" s="17"/>
      <c r="H3080" s="17"/>
      <c r="I3080" s="31"/>
      <c r="J3080" s="17"/>
      <c r="K3080" s="17"/>
      <c r="L3080" s="17"/>
      <c r="M3080" s="17"/>
      <c r="N3080" s="17"/>
      <c r="O3080" s="17"/>
      <c r="P3080" s="17"/>
      <c r="Q3080" s="17"/>
      <c r="R3080" s="17"/>
      <c r="S3080" s="17"/>
      <c r="T3080" s="17"/>
      <c r="U3080" s="17"/>
      <c r="V3080" s="17"/>
      <c r="W3080" s="17"/>
      <c r="X3080" s="17"/>
      <c r="Y3080" s="17"/>
      <c r="Z3080" s="31"/>
      <c r="AA3080" s="32"/>
    </row>
    <row r="3081" spans="1:27" ht="12.75">
      <c r="A3081" s="17"/>
      <c r="B3081" s="17"/>
      <c r="C3081" s="17"/>
      <c r="D3081" s="17"/>
      <c r="E3081" s="17"/>
      <c r="F3081" s="17"/>
      <c r="G3081" s="17"/>
      <c r="H3081" s="17"/>
      <c r="I3081" s="31"/>
      <c r="J3081" s="17"/>
      <c r="K3081" s="17"/>
      <c r="L3081" s="17"/>
      <c r="M3081" s="17"/>
      <c r="N3081" s="17"/>
      <c r="O3081" s="17"/>
      <c r="P3081" s="17"/>
      <c r="Q3081" s="17"/>
      <c r="R3081" s="17"/>
      <c r="S3081" s="17"/>
      <c r="T3081" s="17"/>
      <c r="U3081" s="17"/>
      <c r="V3081" s="17"/>
      <c r="W3081" s="17"/>
      <c r="X3081" s="17"/>
      <c r="Y3081" s="17"/>
      <c r="Z3081" s="31"/>
      <c r="AA3081" s="32"/>
    </row>
    <row r="3082" spans="1:27" ht="12.75">
      <c r="A3082" s="17"/>
      <c r="B3082" s="17"/>
      <c r="C3082" s="17"/>
      <c r="D3082" s="17"/>
      <c r="E3082" s="17"/>
      <c r="F3082" s="17"/>
      <c r="G3082" s="17"/>
      <c r="H3082" s="17"/>
      <c r="I3082" s="31"/>
      <c r="J3082" s="17"/>
      <c r="K3082" s="17"/>
      <c r="L3082" s="17"/>
      <c r="M3082" s="17"/>
      <c r="N3082" s="17"/>
      <c r="O3082" s="17"/>
      <c r="P3082" s="17"/>
      <c r="Q3082" s="17"/>
      <c r="R3082" s="17"/>
      <c r="S3082" s="17"/>
      <c r="T3082" s="17"/>
      <c r="U3082" s="17"/>
      <c r="V3082" s="17"/>
      <c r="W3082" s="17"/>
      <c r="X3082" s="17"/>
      <c r="Y3082" s="17"/>
      <c r="Z3082" s="31"/>
      <c r="AA3082" s="32"/>
    </row>
    <row r="3083" spans="1:27" ht="12.75">
      <c r="A3083" s="17"/>
      <c r="B3083" s="17"/>
      <c r="C3083" s="17"/>
      <c r="D3083" s="17"/>
      <c r="E3083" s="17"/>
      <c r="F3083" s="17"/>
      <c r="G3083" s="17"/>
      <c r="H3083" s="17"/>
      <c r="I3083" s="31"/>
      <c r="J3083" s="17"/>
      <c r="K3083" s="17"/>
      <c r="L3083" s="17"/>
      <c r="M3083" s="17"/>
      <c r="N3083" s="17"/>
      <c r="O3083" s="17"/>
      <c r="P3083" s="17"/>
      <c r="Q3083" s="17"/>
      <c r="R3083" s="17"/>
      <c r="S3083" s="17"/>
      <c r="T3083" s="17"/>
      <c r="U3083" s="17"/>
      <c r="V3083" s="17"/>
      <c r="W3083" s="17"/>
      <c r="X3083" s="17"/>
      <c r="Y3083" s="17"/>
      <c r="Z3083" s="31"/>
      <c r="AA3083" s="32"/>
    </row>
    <row r="3084" spans="1:27" ht="12.75">
      <c r="A3084" s="17"/>
      <c r="B3084" s="17"/>
      <c r="C3084" s="17"/>
      <c r="D3084" s="17"/>
      <c r="E3084" s="17"/>
      <c r="F3084" s="17"/>
      <c r="G3084" s="17"/>
      <c r="H3084" s="17"/>
      <c r="I3084" s="31"/>
      <c r="J3084" s="17"/>
      <c r="K3084" s="17"/>
      <c r="L3084" s="17"/>
      <c r="M3084" s="17"/>
      <c r="N3084" s="17"/>
      <c r="O3084" s="17"/>
      <c r="P3084" s="17"/>
      <c r="Q3084" s="17"/>
      <c r="R3084" s="17"/>
      <c r="S3084" s="17"/>
      <c r="T3084" s="17"/>
      <c r="U3084" s="17"/>
      <c r="V3084" s="17"/>
      <c r="W3084" s="17"/>
      <c r="X3084" s="17"/>
      <c r="Y3084" s="17"/>
      <c r="Z3084" s="31"/>
      <c r="AA3084" s="32"/>
    </row>
    <row r="3085" spans="1:27" ht="12.75">
      <c r="A3085" s="17"/>
      <c r="B3085" s="17"/>
      <c r="C3085" s="17"/>
      <c r="D3085" s="17"/>
      <c r="E3085" s="17"/>
      <c r="F3085" s="17"/>
      <c r="G3085" s="17"/>
      <c r="H3085" s="17"/>
      <c r="I3085" s="31"/>
      <c r="J3085" s="17"/>
      <c r="K3085" s="17"/>
      <c r="L3085" s="17"/>
      <c r="M3085" s="17"/>
      <c r="N3085" s="17"/>
      <c r="O3085" s="17"/>
      <c r="P3085" s="17"/>
      <c r="Q3085" s="17"/>
      <c r="R3085" s="17"/>
      <c r="S3085" s="17"/>
      <c r="T3085" s="17"/>
      <c r="U3085" s="17"/>
      <c r="V3085" s="17"/>
      <c r="W3085" s="17"/>
      <c r="X3085" s="17"/>
      <c r="Y3085" s="17"/>
      <c r="Z3085" s="31"/>
      <c r="AA3085" s="32"/>
    </row>
    <row r="3086" spans="1:27" ht="12.75">
      <c r="A3086" s="17"/>
      <c r="B3086" s="17"/>
      <c r="C3086" s="17"/>
      <c r="D3086" s="17"/>
      <c r="E3086" s="17"/>
      <c r="F3086" s="17"/>
      <c r="G3086" s="17"/>
      <c r="H3086" s="17"/>
      <c r="I3086" s="31"/>
      <c r="J3086" s="17"/>
      <c r="K3086" s="17"/>
      <c r="L3086" s="17"/>
      <c r="M3086" s="17"/>
      <c r="N3086" s="17"/>
      <c r="O3086" s="17"/>
      <c r="P3086" s="17"/>
      <c r="Q3086" s="17"/>
      <c r="R3086" s="17"/>
      <c r="S3086" s="17"/>
      <c r="T3086" s="17"/>
      <c r="U3086" s="17"/>
      <c r="V3086" s="17"/>
      <c r="W3086" s="17"/>
      <c r="X3086" s="17"/>
      <c r="Y3086" s="17"/>
      <c r="Z3086" s="31"/>
      <c r="AA3086" s="32"/>
    </row>
    <row r="3087" spans="1:27" ht="12.75">
      <c r="A3087" s="17"/>
      <c r="B3087" s="17"/>
      <c r="C3087" s="17"/>
      <c r="D3087" s="17"/>
      <c r="E3087" s="17"/>
      <c r="F3087" s="17"/>
      <c r="G3087" s="17"/>
      <c r="H3087" s="17"/>
      <c r="I3087" s="31"/>
      <c r="J3087" s="17"/>
      <c r="K3087" s="17"/>
      <c r="L3087" s="17"/>
      <c r="M3087" s="17"/>
      <c r="N3087" s="17"/>
      <c r="O3087" s="17"/>
      <c r="P3087" s="17"/>
      <c r="Q3087" s="17"/>
      <c r="R3087" s="17"/>
      <c r="S3087" s="17"/>
      <c r="T3087" s="17"/>
      <c r="U3087" s="17"/>
      <c r="V3087" s="17"/>
      <c r="W3087" s="17"/>
      <c r="X3087" s="17"/>
      <c r="Y3087" s="17"/>
      <c r="Z3087" s="31"/>
      <c r="AA3087" s="32"/>
    </row>
    <row r="3088" spans="1:27" ht="12.75">
      <c r="A3088" s="17"/>
      <c r="B3088" s="17"/>
      <c r="C3088" s="17"/>
      <c r="D3088" s="17"/>
      <c r="E3088" s="17"/>
      <c r="F3088" s="17"/>
      <c r="G3088" s="17"/>
      <c r="H3088" s="17"/>
      <c r="I3088" s="31"/>
      <c r="J3088" s="17"/>
      <c r="K3088" s="17"/>
      <c r="L3088" s="17"/>
      <c r="M3088" s="17"/>
      <c r="N3088" s="17"/>
      <c r="O3088" s="17"/>
      <c r="P3088" s="17"/>
      <c r="Q3088" s="17"/>
      <c r="R3088" s="17"/>
      <c r="S3088" s="17"/>
      <c r="T3088" s="17"/>
      <c r="U3088" s="17"/>
      <c r="V3088" s="17"/>
      <c r="W3088" s="17"/>
      <c r="X3088" s="17"/>
      <c r="Y3088" s="17"/>
      <c r="Z3088" s="31"/>
      <c r="AA3088" s="32"/>
    </row>
    <row r="3089" spans="1:27" ht="12.75">
      <c r="A3089" s="17"/>
      <c r="B3089" s="17"/>
      <c r="C3089" s="17"/>
      <c r="D3089" s="17"/>
      <c r="E3089" s="17"/>
      <c r="F3089" s="17"/>
      <c r="G3089" s="17"/>
      <c r="H3089" s="17"/>
      <c r="I3089" s="31"/>
      <c r="J3089" s="17"/>
      <c r="K3089" s="17"/>
      <c r="L3089" s="17"/>
      <c r="M3089" s="17"/>
      <c r="N3089" s="17"/>
      <c r="O3089" s="17"/>
      <c r="P3089" s="17"/>
      <c r="Q3089" s="17"/>
      <c r="R3089" s="17"/>
      <c r="S3089" s="17"/>
      <c r="T3089" s="17"/>
      <c r="U3089" s="17"/>
      <c r="V3089" s="17"/>
      <c r="W3089" s="17"/>
      <c r="X3089" s="17"/>
      <c r="Y3089" s="17"/>
      <c r="Z3089" s="31"/>
      <c r="AA3089" s="32"/>
    </row>
    <row r="3090" spans="1:27" ht="12.75">
      <c r="A3090" s="17"/>
      <c r="B3090" s="17"/>
      <c r="C3090" s="17"/>
      <c r="D3090" s="17"/>
      <c r="E3090" s="17"/>
      <c r="F3090" s="17"/>
      <c r="G3090" s="17"/>
      <c r="H3090" s="17"/>
      <c r="I3090" s="31"/>
      <c r="J3090" s="17"/>
      <c r="K3090" s="17"/>
      <c r="L3090" s="17"/>
      <c r="M3090" s="17"/>
      <c r="N3090" s="17"/>
      <c r="O3090" s="17"/>
      <c r="P3090" s="17"/>
      <c r="Q3090" s="17"/>
      <c r="R3090" s="17"/>
      <c r="S3090" s="17"/>
      <c r="T3090" s="17"/>
      <c r="U3090" s="17"/>
      <c r="V3090" s="17"/>
      <c r="W3090" s="17"/>
      <c r="X3090" s="17"/>
      <c r="Y3090" s="17"/>
      <c r="Z3090" s="31"/>
      <c r="AA3090" s="32"/>
    </row>
    <row r="3091" spans="1:27" ht="12.75">
      <c r="A3091" s="17"/>
      <c r="B3091" s="17"/>
      <c r="C3091" s="17"/>
      <c r="D3091" s="17"/>
      <c r="E3091" s="17"/>
      <c r="F3091" s="17"/>
      <c r="G3091" s="17"/>
      <c r="H3091" s="17"/>
      <c r="I3091" s="31"/>
      <c r="J3091" s="17"/>
      <c r="K3091" s="17"/>
      <c r="L3091" s="17"/>
      <c r="M3091" s="17"/>
      <c r="N3091" s="17"/>
      <c r="O3091" s="17"/>
      <c r="P3091" s="17"/>
      <c r="Q3091" s="17"/>
      <c r="R3091" s="17"/>
      <c r="S3091" s="17"/>
      <c r="T3091" s="17"/>
      <c r="U3091" s="17"/>
      <c r="V3091" s="17"/>
      <c r="W3091" s="17"/>
      <c r="X3091" s="17"/>
      <c r="Y3091" s="17"/>
      <c r="Z3091" s="31"/>
      <c r="AA3091" s="32"/>
    </row>
    <row r="3092" spans="1:27" ht="12.75">
      <c r="A3092" s="17"/>
      <c r="B3092" s="17"/>
      <c r="C3092" s="17"/>
      <c r="D3092" s="17"/>
      <c r="E3092" s="17"/>
      <c r="F3092" s="17"/>
      <c r="G3092" s="17"/>
      <c r="H3092" s="17"/>
      <c r="I3092" s="31"/>
      <c r="J3092" s="17"/>
      <c r="K3092" s="17"/>
      <c r="L3092" s="17"/>
      <c r="M3092" s="17"/>
      <c r="N3092" s="17"/>
      <c r="O3092" s="17"/>
      <c r="P3092" s="17"/>
      <c r="Q3092" s="17"/>
      <c r="R3092" s="17"/>
      <c r="S3092" s="17"/>
      <c r="T3092" s="17"/>
      <c r="U3092" s="17"/>
      <c r="V3092" s="17"/>
      <c r="W3092" s="17"/>
      <c r="X3092" s="17"/>
      <c r="Y3092" s="17"/>
      <c r="Z3092" s="31"/>
      <c r="AA3092" s="32"/>
    </row>
    <row r="3093" spans="1:27" ht="12.75">
      <c r="A3093" s="17"/>
      <c r="B3093" s="17"/>
      <c r="C3093" s="17"/>
      <c r="D3093" s="17"/>
      <c r="E3093" s="17"/>
      <c r="F3093" s="17"/>
      <c r="G3093" s="17"/>
      <c r="H3093" s="17"/>
      <c r="I3093" s="31"/>
      <c r="J3093" s="17"/>
      <c r="K3093" s="17"/>
      <c r="L3093" s="17"/>
      <c r="M3093" s="17"/>
      <c r="N3093" s="17"/>
      <c r="O3093" s="17"/>
      <c r="P3093" s="17"/>
      <c r="Q3093" s="17"/>
      <c r="R3093" s="17"/>
      <c r="S3093" s="17"/>
      <c r="T3093" s="17"/>
      <c r="U3093" s="17"/>
      <c r="V3093" s="17"/>
      <c r="W3093" s="17"/>
      <c r="X3093" s="17"/>
      <c r="Y3093" s="17"/>
      <c r="Z3093" s="31"/>
      <c r="AA3093" s="32"/>
    </row>
    <row r="3094" spans="1:27" ht="12.75">
      <c r="A3094" s="17"/>
      <c r="B3094" s="17"/>
      <c r="C3094" s="17"/>
      <c r="D3094" s="17"/>
      <c r="E3094" s="17"/>
      <c r="F3094" s="17"/>
      <c r="G3094" s="17"/>
      <c r="H3094" s="17"/>
      <c r="I3094" s="31"/>
      <c r="J3094" s="17"/>
      <c r="K3094" s="17"/>
      <c r="L3094" s="17"/>
      <c r="M3094" s="17"/>
      <c r="N3094" s="17"/>
      <c r="O3094" s="17"/>
      <c r="P3094" s="17"/>
      <c r="Q3094" s="17"/>
      <c r="R3094" s="17"/>
      <c r="S3094" s="17"/>
      <c r="T3094" s="17"/>
      <c r="U3094" s="17"/>
      <c r="V3094" s="17"/>
      <c r="W3094" s="17"/>
      <c r="X3094" s="17"/>
      <c r="Y3094" s="17"/>
      <c r="Z3094" s="31"/>
      <c r="AA3094" s="32"/>
    </row>
    <row r="3095" spans="1:27" ht="12.75">
      <c r="A3095" s="17"/>
      <c r="B3095" s="17"/>
      <c r="C3095" s="17"/>
      <c r="D3095" s="17"/>
      <c r="E3095" s="17"/>
      <c r="F3095" s="17"/>
      <c r="G3095" s="17"/>
      <c r="H3095" s="17"/>
      <c r="I3095" s="31"/>
      <c r="J3095" s="17"/>
      <c r="K3095" s="17"/>
      <c r="L3095" s="17"/>
      <c r="M3095" s="17"/>
      <c r="N3095" s="17"/>
      <c r="O3095" s="17"/>
      <c r="P3095" s="17"/>
      <c r="Q3095" s="17"/>
      <c r="R3095" s="17"/>
      <c r="S3095" s="17"/>
      <c r="T3095" s="17"/>
      <c r="U3095" s="17"/>
      <c r="V3095" s="17"/>
      <c r="W3095" s="17"/>
      <c r="X3095" s="17"/>
      <c r="Y3095" s="17"/>
      <c r="Z3095" s="31"/>
      <c r="AA3095" s="32"/>
    </row>
    <row r="3096" spans="1:27" ht="12.75">
      <c r="A3096" s="17"/>
      <c r="B3096" s="17"/>
      <c r="C3096" s="17"/>
      <c r="D3096" s="17"/>
      <c r="E3096" s="17"/>
      <c r="F3096" s="17"/>
      <c r="G3096" s="17"/>
      <c r="H3096" s="17"/>
      <c r="I3096" s="31"/>
      <c r="J3096" s="17"/>
      <c r="K3096" s="17"/>
      <c r="L3096" s="17"/>
      <c r="M3096" s="17"/>
      <c r="N3096" s="17"/>
      <c r="O3096" s="17"/>
      <c r="P3096" s="17"/>
      <c r="Q3096" s="17"/>
      <c r="R3096" s="17"/>
      <c r="S3096" s="17"/>
      <c r="T3096" s="17"/>
      <c r="U3096" s="17"/>
      <c r="V3096" s="17"/>
      <c r="W3096" s="17"/>
      <c r="X3096" s="17"/>
      <c r="Y3096" s="17"/>
      <c r="Z3096" s="31"/>
      <c r="AA3096" s="32"/>
    </row>
    <row r="3097" spans="1:27" ht="12.75">
      <c r="A3097" s="17"/>
      <c r="B3097" s="17"/>
      <c r="C3097" s="17"/>
      <c r="D3097" s="17"/>
      <c r="E3097" s="17"/>
      <c r="F3097" s="17"/>
      <c r="G3097" s="17"/>
      <c r="H3097" s="17"/>
      <c r="I3097" s="31"/>
      <c r="J3097" s="17"/>
      <c r="K3097" s="17"/>
      <c r="L3097" s="17"/>
      <c r="M3097" s="17"/>
      <c r="N3097" s="17"/>
      <c r="O3097" s="17"/>
      <c r="P3097" s="17"/>
      <c r="Q3097" s="17"/>
      <c r="R3097" s="17"/>
      <c r="S3097" s="17"/>
      <c r="T3097" s="17"/>
      <c r="U3097" s="17"/>
      <c r="V3097" s="17"/>
      <c r="W3097" s="17"/>
      <c r="X3097" s="17"/>
      <c r="Y3097" s="17"/>
      <c r="Z3097" s="31"/>
      <c r="AA3097" s="32"/>
    </row>
    <row r="3098" spans="1:27" ht="12.75">
      <c r="A3098" s="17"/>
      <c r="B3098" s="17"/>
      <c r="C3098" s="17"/>
      <c r="D3098" s="17"/>
      <c r="E3098" s="17"/>
      <c r="F3098" s="17"/>
      <c r="G3098" s="17"/>
      <c r="H3098" s="17"/>
      <c r="I3098" s="31"/>
      <c r="J3098" s="17"/>
      <c r="K3098" s="17"/>
      <c r="L3098" s="17"/>
      <c r="M3098" s="17"/>
      <c r="N3098" s="17"/>
      <c r="O3098" s="17"/>
      <c r="P3098" s="17"/>
      <c r="Q3098" s="17"/>
      <c r="R3098" s="17"/>
      <c r="S3098" s="17"/>
      <c r="T3098" s="17"/>
      <c r="U3098" s="17"/>
      <c r="V3098" s="17"/>
      <c r="W3098" s="17"/>
      <c r="X3098" s="17"/>
      <c r="Y3098" s="17"/>
      <c r="Z3098" s="31"/>
      <c r="AA3098" s="32"/>
    </row>
    <row r="3099" spans="1:27" ht="12.75">
      <c r="A3099" s="17"/>
      <c r="B3099" s="17"/>
      <c r="C3099" s="17"/>
      <c r="D3099" s="17"/>
      <c r="E3099" s="17"/>
      <c r="F3099" s="17"/>
      <c r="G3099" s="17"/>
      <c r="H3099" s="17"/>
      <c r="I3099" s="31"/>
      <c r="J3099" s="17"/>
      <c r="K3099" s="17"/>
      <c r="L3099" s="17"/>
      <c r="M3099" s="17"/>
      <c r="N3099" s="17"/>
      <c r="O3099" s="17"/>
      <c r="P3099" s="17"/>
      <c r="Q3099" s="17"/>
      <c r="R3099" s="17"/>
      <c r="S3099" s="17"/>
      <c r="T3099" s="17"/>
      <c r="U3099" s="17"/>
      <c r="V3099" s="17"/>
      <c r="W3099" s="17"/>
      <c r="X3099" s="17"/>
      <c r="Y3099" s="17"/>
      <c r="Z3099" s="31"/>
      <c r="AA3099" s="32"/>
    </row>
    <row r="3100" spans="1:27" ht="12.75">
      <c r="A3100" s="17"/>
      <c r="B3100" s="17"/>
      <c r="C3100" s="17"/>
      <c r="D3100" s="17"/>
      <c r="E3100" s="17"/>
      <c r="F3100" s="17"/>
      <c r="G3100" s="17"/>
      <c r="H3100" s="17"/>
      <c r="I3100" s="31"/>
      <c r="J3100" s="17"/>
      <c r="K3100" s="17"/>
      <c r="L3100" s="17"/>
      <c r="M3100" s="17"/>
      <c r="N3100" s="17"/>
      <c r="O3100" s="17"/>
      <c r="P3100" s="17"/>
      <c r="Q3100" s="17"/>
      <c r="R3100" s="17"/>
      <c r="S3100" s="17"/>
      <c r="T3100" s="17"/>
      <c r="U3100" s="17"/>
      <c r="V3100" s="17"/>
      <c r="W3100" s="17"/>
      <c r="X3100" s="17"/>
      <c r="Y3100" s="17"/>
      <c r="Z3100" s="31"/>
      <c r="AA3100" s="32"/>
    </row>
    <row r="3101" spans="1:27" ht="12.75">
      <c r="A3101" s="17"/>
      <c r="B3101" s="17"/>
      <c r="C3101" s="17"/>
      <c r="D3101" s="17"/>
      <c r="E3101" s="17"/>
      <c r="F3101" s="17"/>
      <c r="G3101" s="17"/>
      <c r="H3101" s="17"/>
      <c r="I3101" s="31"/>
      <c r="J3101" s="17"/>
      <c r="K3101" s="17"/>
      <c r="L3101" s="17"/>
      <c r="M3101" s="17"/>
      <c r="N3101" s="17"/>
      <c r="O3101" s="17"/>
      <c r="P3101" s="17"/>
      <c r="Q3101" s="17"/>
      <c r="R3101" s="17"/>
      <c r="S3101" s="17"/>
      <c r="T3101" s="17"/>
      <c r="U3101" s="17"/>
      <c r="V3101" s="17"/>
      <c r="W3101" s="17"/>
      <c r="X3101" s="17"/>
      <c r="Y3101" s="17"/>
      <c r="Z3101" s="31"/>
      <c r="AA3101" s="32"/>
    </row>
    <row r="3102" spans="1:27" ht="12.75">
      <c r="A3102" s="17"/>
      <c r="B3102" s="17"/>
      <c r="C3102" s="17"/>
      <c r="D3102" s="17"/>
      <c r="E3102" s="17"/>
      <c r="F3102" s="17"/>
      <c r="G3102" s="17"/>
      <c r="H3102" s="17"/>
      <c r="I3102" s="31"/>
      <c r="J3102" s="17"/>
      <c r="K3102" s="17"/>
      <c r="L3102" s="17"/>
      <c r="M3102" s="17"/>
      <c r="N3102" s="17"/>
      <c r="O3102" s="17"/>
      <c r="P3102" s="17"/>
      <c r="Q3102" s="17"/>
      <c r="R3102" s="17"/>
      <c r="S3102" s="17"/>
      <c r="T3102" s="17"/>
      <c r="U3102" s="17"/>
      <c r="V3102" s="17"/>
      <c r="W3102" s="17"/>
      <c r="X3102" s="17"/>
      <c r="Y3102" s="17"/>
      <c r="Z3102" s="31"/>
      <c r="AA3102" s="32"/>
    </row>
    <row r="3103" spans="1:27" ht="12.75">
      <c r="A3103" s="17"/>
      <c r="B3103" s="17"/>
      <c r="C3103" s="17"/>
      <c r="D3103" s="17"/>
      <c r="E3103" s="17"/>
      <c r="F3103" s="17"/>
      <c r="G3103" s="17"/>
      <c r="H3103" s="17"/>
      <c r="I3103" s="31"/>
      <c r="J3103" s="17"/>
      <c r="K3103" s="17"/>
      <c r="L3103" s="17"/>
      <c r="M3103" s="17"/>
      <c r="N3103" s="17"/>
      <c r="O3103" s="17"/>
      <c r="P3103" s="17"/>
      <c r="Q3103" s="17"/>
      <c r="R3103" s="17"/>
      <c r="S3103" s="17"/>
      <c r="T3103" s="17"/>
      <c r="U3103" s="17"/>
      <c r="V3103" s="17"/>
      <c r="W3103" s="17"/>
      <c r="X3103" s="17"/>
      <c r="Y3103" s="17"/>
      <c r="Z3103" s="31"/>
      <c r="AA3103" s="32"/>
    </row>
    <row r="3104" spans="1:27" ht="12.75">
      <c r="A3104" s="17"/>
      <c r="B3104" s="17"/>
      <c r="C3104" s="17"/>
      <c r="D3104" s="17"/>
      <c r="E3104" s="17"/>
      <c r="F3104" s="17"/>
      <c r="G3104" s="17"/>
      <c r="H3104" s="17"/>
      <c r="I3104" s="31"/>
      <c r="J3104" s="17"/>
      <c r="K3104" s="17"/>
      <c r="L3104" s="17"/>
      <c r="M3104" s="17"/>
      <c r="N3104" s="17"/>
      <c r="O3104" s="17"/>
      <c r="P3104" s="17"/>
      <c r="Q3104" s="17"/>
      <c r="R3104" s="17"/>
      <c r="S3104" s="17"/>
      <c r="T3104" s="17"/>
      <c r="U3104" s="17"/>
      <c r="V3104" s="17"/>
      <c r="W3104" s="17"/>
      <c r="X3104" s="17"/>
      <c r="Y3104" s="17"/>
      <c r="Z3104" s="31"/>
      <c r="AA3104" s="32"/>
    </row>
    <row r="3105" spans="1:27" ht="12.75">
      <c r="A3105" s="17"/>
      <c r="B3105" s="17"/>
      <c r="C3105" s="17"/>
      <c r="D3105" s="17"/>
      <c r="E3105" s="17"/>
      <c r="F3105" s="17"/>
      <c r="G3105" s="17"/>
      <c r="H3105" s="17"/>
      <c r="I3105" s="31"/>
      <c r="J3105" s="17"/>
      <c r="K3105" s="17"/>
      <c r="L3105" s="17"/>
      <c r="M3105" s="17"/>
      <c r="N3105" s="17"/>
      <c r="O3105" s="17"/>
      <c r="P3105" s="17"/>
      <c r="Q3105" s="17"/>
      <c r="R3105" s="17"/>
      <c r="S3105" s="17"/>
      <c r="T3105" s="17"/>
      <c r="U3105" s="17"/>
      <c r="V3105" s="17"/>
      <c r="W3105" s="17"/>
      <c r="X3105" s="17"/>
      <c r="Y3105" s="17"/>
      <c r="Z3105" s="31"/>
      <c r="AA3105" s="32"/>
    </row>
    <row r="3106" spans="1:27" ht="12.75">
      <c r="A3106" s="17"/>
      <c r="B3106" s="17"/>
      <c r="C3106" s="17"/>
      <c r="D3106" s="17"/>
      <c r="E3106" s="17"/>
      <c r="F3106" s="17"/>
      <c r="G3106" s="17"/>
      <c r="H3106" s="17"/>
      <c r="I3106" s="31"/>
      <c r="J3106" s="17"/>
      <c r="K3106" s="17"/>
      <c r="L3106" s="17"/>
      <c r="M3106" s="17"/>
      <c r="N3106" s="17"/>
      <c r="O3106" s="17"/>
      <c r="P3106" s="17"/>
      <c r="Q3106" s="17"/>
      <c r="R3106" s="17"/>
      <c r="S3106" s="17"/>
      <c r="T3106" s="17"/>
      <c r="U3106" s="17"/>
      <c r="V3106" s="17"/>
      <c r="W3106" s="17"/>
      <c r="X3106" s="17"/>
      <c r="Y3106" s="17"/>
      <c r="Z3106" s="31"/>
      <c r="AA3106" s="32"/>
    </row>
    <row r="3107" spans="1:27" ht="12.75">
      <c r="A3107" s="17"/>
      <c r="B3107" s="17"/>
      <c r="C3107" s="17"/>
      <c r="D3107" s="17"/>
      <c r="E3107" s="17"/>
      <c r="F3107" s="17"/>
      <c r="G3107" s="17"/>
      <c r="H3107" s="17"/>
      <c r="I3107" s="31"/>
      <c r="J3107" s="17"/>
      <c r="K3107" s="17"/>
      <c r="L3107" s="17"/>
      <c r="M3107" s="17"/>
      <c r="N3107" s="17"/>
      <c r="O3107" s="17"/>
      <c r="P3107" s="17"/>
      <c r="Q3107" s="17"/>
      <c r="R3107" s="17"/>
      <c r="S3107" s="17"/>
      <c r="T3107" s="17"/>
      <c r="U3107" s="17"/>
      <c r="V3107" s="17"/>
      <c r="W3107" s="17"/>
      <c r="X3107" s="17"/>
      <c r="Y3107" s="17"/>
      <c r="Z3107" s="31"/>
      <c r="AA3107" s="32"/>
    </row>
    <row r="3108" spans="1:27" ht="12.75">
      <c r="A3108" s="17"/>
      <c r="B3108" s="17"/>
      <c r="C3108" s="17"/>
      <c r="D3108" s="17"/>
      <c r="E3108" s="17"/>
      <c r="F3108" s="17"/>
      <c r="G3108" s="17"/>
      <c r="H3108" s="17"/>
      <c r="I3108" s="31"/>
      <c r="J3108" s="17"/>
      <c r="K3108" s="17"/>
      <c r="L3108" s="17"/>
      <c r="M3108" s="17"/>
      <c r="N3108" s="17"/>
      <c r="O3108" s="17"/>
      <c r="P3108" s="17"/>
      <c r="Q3108" s="17"/>
      <c r="R3108" s="17"/>
      <c r="S3108" s="17"/>
      <c r="T3108" s="17"/>
      <c r="U3108" s="17"/>
      <c r="V3108" s="17"/>
      <c r="W3108" s="17"/>
      <c r="X3108" s="17"/>
      <c r="Y3108" s="17"/>
      <c r="Z3108" s="31"/>
      <c r="AA3108" s="32"/>
    </row>
    <row r="3109" spans="1:27" ht="12.75">
      <c r="A3109" s="17"/>
      <c r="B3109" s="17"/>
      <c r="C3109" s="17"/>
      <c r="D3109" s="17"/>
      <c r="E3109" s="17"/>
      <c r="F3109" s="17"/>
      <c r="G3109" s="17"/>
      <c r="H3109" s="17"/>
      <c r="I3109" s="31"/>
      <c r="J3109" s="17"/>
      <c r="K3109" s="17"/>
      <c r="L3109" s="17"/>
      <c r="M3109" s="17"/>
      <c r="N3109" s="17"/>
      <c r="O3109" s="17"/>
      <c r="P3109" s="17"/>
      <c r="Q3109" s="17"/>
      <c r="R3109" s="17"/>
      <c r="S3109" s="17"/>
      <c r="T3109" s="17"/>
      <c r="U3109" s="17"/>
      <c r="V3109" s="17"/>
      <c r="W3109" s="17"/>
      <c r="X3109" s="17"/>
      <c r="Y3109" s="17"/>
      <c r="Z3109" s="31"/>
      <c r="AA3109" s="32"/>
    </row>
    <row r="3110" spans="1:27" ht="12.75">
      <c r="A3110" s="17"/>
      <c r="B3110" s="17"/>
      <c r="C3110" s="17"/>
      <c r="D3110" s="17"/>
      <c r="E3110" s="17"/>
      <c r="F3110" s="17"/>
      <c r="G3110" s="17"/>
      <c r="H3110" s="17"/>
      <c r="I3110" s="31"/>
      <c r="J3110" s="17"/>
      <c r="K3110" s="17"/>
      <c r="L3110" s="17"/>
      <c r="M3110" s="17"/>
      <c r="N3110" s="17"/>
      <c r="O3110" s="17"/>
      <c r="P3110" s="17"/>
      <c r="Q3110" s="17"/>
      <c r="R3110" s="17"/>
      <c r="S3110" s="17"/>
      <c r="T3110" s="17"/>
      <c r="U3110" s="17"/>
      <c r="V3110" s="17"/>
      <c r="W3110" s="17"/>
      <c r="X3110" s="17"/>
      <c r="Y3110" s="17"/>
      <c r="Z3110" s="31"/>
      <c r="AA3110" s="32"/>
    </row>
    <row r="3111" spans="1:27" ht="12.75">
      <c r="A3111" s="17"/>
      <c r="B3111" s="17"/>
      <c r="C3111" s="17"/>
      <c r="D3111" s="17"/>
      <c r="E3111" s="17"/>
      <c r="F3111" s="17"/>
      <c r="G3111" s="17"/>
      <c r="H3111" s="17"/>
      <c r="I3111" s="31"/>
      <c r="J3111" s="17"/>
      <c r="K3111" s="17"/>
      <c r="L3111" s="17"/>
      <c r="M3111" s="17"/>
      <c r="N3111" s="17"/>
      <c r="O3111" s="17"/>
      <c r="P3111" s="17"/>
      <c r="Q3111" s="17"/>
      <c r="R3111" s="17"/>
      <c r="S3111" s="17"/>
      <c r="T3111" s="17"/>
      <c r="U3111" s="17"/>
      <c r="V3111" s="17"/>
      <c r="W3111" s="17"/>
      <c r="X3111" s="17"/>
      <c r="Y3111" s="17"/>
      <c r="Z3111" s="31"/>
      <c r="AA3111" s="32"/>
    </row>
    <row r="3112" spans="1:27" ht="12.75">
      <c r="A3112" s="17"/>
      <c r="B3112" s="17"/>
      <c r="C3112" s="17"/>
      <c r="D3112" s="17"/>
      <c r="E3112" s="17"/>
      <c r="F3112" s="17"/>
      <c r="G3112" s="17"/>
      <c r="H3112" s="17"/>
      <c r="I3112" s="31"/>
      <c r="J3112" s="17"/>
      <c r="K3112" s="17"/>
      <c r="L3112" s="17"/>
      <c r="M3112" s="17"/>
      <c r="N3112" s="17"/>
      <c r="O3112" s="17"/>
      <c r="P3112" s="17"/>
      <c r="Q3112" s="17"/>
      <c r="R3112" s="17"/>
      <c r="S3112" s="17"/>
      <c r="T3112" s="17"/>
      <c r="U3112" s="17"/>
      <c r="V3112" s="17"/>
      <c r="W3112" s="17"/>
      <c r="X3112" s="17"/>
      <c r="Y3112" s="17"/>
      <c r="Z3112" s="31"/>
      <c r="AA3112" s="32"/>
    </row>
    <row r="3113" spans="1:27" ht="12.75">
      <c r="A3113" s="17"/>
      <c r="B3113" s="17"/>
      <c r="C3113" s="17"/>
      <c r="D3113" s="17"/>
      <c r="E3113" s="17"/>
      <c r="F3113" s="17"/>
      <c r="G3113" s="17"/>
      <c r="H3113" s="17"/>
      <c r="I3113" s="31"/>
      <c r="J3113" s="17"/>
      <c r="K3113" s="17"/>
      <c r="L3113" s="17"/>
      <c r="M3113" s="17"/>
      <c r="N3113" s="17"/>
      <c r="O3113" s="17"/>
      <c r="P3113" s="17"/>
      <c r="Q3113" s="17"/>
      <c r="R3113" s="17"/>
      <c r="S3113" s="17"/>
      <c r="T3113" s="17"/>
      <c r="U3113" s="17"/>
      <c r="V3113" s="17"/>
      <c r="W3113" s="17"/>
      <c r="X3113" s="17"/>
      <c r="Y3113" s="17"/>
      <c r="Z3113" s="31"/>
      <c r="AA3113" s="32"/>
    </row>
    <row r="3114" spans="1:27" ht="12.75">
      <c r="A3114" s="17"/>
      <c r="B3114" s="17"/>
      <c r="C3114" s="17"/>
      <c r="D3114" s="17"/>
      <c r="E3114" s="17"/>
      <c r="F3114" s="17"/>
      <c r="G3114" s="17"/>
      <c r="H3114" s="17"/>
      <c r="I3114" s="31"/>
      <c r="J3114" s="17"/>
      <c r="K3114" s="17"/>
      <c r="L3114" s="17"/>
      <c r="M3114" s="17"/>
      <c r="N3114" s="17"/>
      <c r="O3114" s="17"/>
      <c r="P3114" s="17"/>
      <c r="Q3114" s="17"/>
      <c r="R3114" s="17"/>
      <c r="S3114" s="17"/>
      <c r="T3114" s="17"/>
      <c r="U3114" s="17"/>
      <c r="V3114" s="17"/>
      <c r="W3114" s="17"/>
      <c r="X3114" s="17"/>
      <c r="Y3114" s="17"/>
      <c r="Z3114" s="31"/>
      <c r="AA3114" s="32"/>
    </row>
    <row r="3115" spans="1:27" ht="12.75">
      <c r="A3115" s="17"/>
      <c r="B3115" s="17"/>
      <c r="C3115" s="17"/>
      <c r="D3115" s="17"/>
      <c r="E3115" s="17"/>
      <c r="F3115" s="17"/>
      <c r="G3115" s="17"/>
      <c r="H3115" s="17"/>
      <c r="I3115" s="31"/>
      <c r="J3115" s="17"/>
      <c r="K3115" s="17"/>
      <c r="L3115" s="17"/>
      <c r="M3115" s="17"/>
      <c r="N3115" s="17"/>
      <c r="O3115" s="17"/>
      <c r="P3115" s="17"/>
      <c r="Q3115" s="17"/>
      <c r="R3115" s="17"/>
      <c r="S3115" s="17"/>
      <c r="T3115" s="17"/>
      <c r="U3115" s="17"/>
      <c r="V3115" s="17"/>
      <c r="W3115" s="17"/>
      <c r="X3115" s="17"/>
      <c r="Y3115" s="17"/>
      <c r="Z3115" s="31"/>
      <c r="AA3115" s="32"/>
    </row>
    <row r="3116" spans="1:27" ht="12.75">
      <c r="A3116" s="17"/>
      <c r="B3116" s="17"/>
      <c r="C3116" s="17"/>
      <c r="D3116" s="17"/>
      <c r="E3116" s="17"/>
      <c r="F3116" s="17"/>
      <c r="G3116" s="17"/>
      <c r="H3116" s="17"/>
      <c r="I3116" s="31"/>
      <c r="J3116" s="17"/>
      <c r="K3116" s="17"/>
      <c r="L3116" s="17"/>
      <c r="M3116" s="17"/>
      <c r="N3116" s="17"/>
      <c r="O3116" s="17"/>
      <c r="P3116" s="17"/>
      <c r="Q3116" s="17"/>
      <c r="R3116" s="17"/>
      <c r="S3116" s="17"/>
      <c r="T3116" s="17"/>
      <c r="U3116" s="17"/>
      <c r="V3116" s="17"/>
      <c r="W3116" s="17"/>
      <c r="X3116" s="17"/>
      <c r="Y3116" s="17"/>
      <c r="Z3116" s="31"/>
      <c r="AA3116" s="32"/>
    </row>
    <row r="3117" spans="1:27" ht="12.75">
      <c r="A3117" s="17"/>
      <c r="B3117" s="17"/>
      <c r="C3117" s="17"/>
      <c r="D3117" s="17"/>
      <c r="E3117" s="17"/>
      <c r="F3117" s="17"/>
      <c r="G3117" s="17"/>
      <c r="H3117" s="17"/>
      <c r="I3117" s="31"/>
      <c r="J3117" s="17"/>
      <c r="K3117" s="17"/>
      <c r="L3117" s="17"/>
      <c r="M3117" s="17"/>
      <c r="N3117" s="17"/>
      <c r="O3117" s="17"/>
      <c r="P3117" s="17"/>
      <c r="Q3117" s="17"/>
      <c r="R3117" s="17"/>
      <c r="S3117" s="17"/>
      <c r="T3117" s="17"/>
      <c r="U3117" s="17"/>
      <c r="V3117" s="17"/>
      <c r="W3117" s="17"/>
      <c r="X3117" s="17"/>
      <c r="Y3117" s="17"/>
      <c r="Z3117" s="31"/>
      <c r="AA3117" s="32"/>
    </row>
    <row r="3118" spans="1:27" ht="12.75">
      <c r="A3118" s="17"/>
      <c r="B3118" s="17"/>
      <c r="C3118" s="17"/>
      <c r="D3118" s="17"/>
      <c r="E3118" s="17"/>
      <c r="F3118" s="17"/>
      <c r="G3118" s="17"/>
      <c r="H3118" s="17"/>
      <c r="I3118" s="31"/>
      <c r="J3118" s="17"/>
      <c r="K3118" s="17"/>
      <c r="L3118" s="17"/>
      <c r="M3118" s="17"/>
      <c r="N3118" s="17"/>
      <c r="O3118" s="17"/>
      <c r="P3118" s="17"/>
      <c r="Q3118" s="17"/>
      <c r="R3118" s="17"/>
      <c r="S3118" s="17"/>
      <c r="T3118" s="17"/>
      <c r="U3118" s="17"/>
      <c r="V3118" s="17"/>
      <c r="W3118" s="17"/>
      <c r="X3118" s="17"/>
      <c r="Y3118" s="17"/>
      <c r="Z3118" s="31"/>
      <c r="AA3118" s="32"/>
    </row>
    <row r="3119" spans="1:27" ht="12.75">
      <c r="A3119" s="17"/>
      <c r="B3119" s="17"/>
      <c r="C3119" s="17"/>
      <c r="D3119" s="17"/>
      <c r="E3119" s="17"/>
      <c r="F3119" s="17"/>
      <c r="G3119" s="17"/>
      <c r="H3119" s="17"/>
      <c r="I3119" s="31"/>
      <c r="J3119" s="17"/>
      <c r="K3119" s="17"/>
      <c r="L3119" s="17"/>
      <c r="M3119" s="17"/>
      <c r="N3119" s="17"/>
      <c r="O3119" s="17"/>
      <c r="P3119" s="17"/>
      <c r="Q3119" s="17"/>
      <c r="R3119" s="17"/>
      <c r="S3119" s="17"/>
      <c r="T3119" s="17"/>
      <c r="U3119" s="17"/>
      <c r="V3119" s="17"/>
      <c r="W3119" s="17"/>
      <c r="X3119" s="17"/>
      <c r="Y3119" s="17"/>
      <c r="Z3119" s="31"/>
      <c r="AA3119" s="32"/>
    </row>
    <row r="3120" spans="1:27" ht="12.75">
      <c r="A3120" s="17"/>
      <c r="B3120" s="17"/>
      <c r="C3120" s="17"/>
      <c r="D3120" s="17"/>
      <c r="E3120" s="17"/>
      <c r="F3120" s="17"/>
      <c r="G3120" s="17"/>
      <c r="H3120" s="17"/>
      <c r="I3120" s="31"/>
      <c r="J3120" s="17"/>
      <c r="K3120" s="17"/>
      <c r="L3120" s="17"/>
      <c r="M3120" s="17"/>
      <c r="N3120" s="17"/>
      <c r="O3120" s="17"/>
      <c r="P3120" s="17"/>
      <c r="Q3120" s="17"/>
      <c r="R3120" s="17"/>
      <c r="S3120" s="17"/>
      <c r="T3120" s="17"/>
      <c r="U3120" s="17"/>
      <c r="V3120" s="17"/>
      <c r="W3120" s="17"/>
      <c r="X3120" s="17"/>
      <c r="Y3120" s="17"/>
      <c r="Z3120" s="31"/>
      <c r="AA3120" s="32"/>
    </row>
    <row r="3121" spans="1:27" ht="12.75">
      <c r="A3121" s="17"/>
      <c r="B3121" s="17"/>
      <c r="C3121" s="17"/>
      <c r="D3121" s="17"/>
      <c r="E3121" s="17"/>
      <c r="F3121" s="17"/>
      <c r="G3121" s="17"/>
      <c r="H3121" s="17"/>
      <c r="I3121" s="31"/>
      <c r="J3121" s="17"/>
      <c r="K3121" s="17"/>
      <c r="L3121" s="17"/>
      <c r="M3121" s="17"/>
      <c r="N3121" s="17"/>
      <c r="O3121" s="17"/>
      <c r="P3121" s="17"/>
      <c r="Q3121" s="17"/>
      <c r="R3121" s="17"/>
      <c r="S3121" s="17"/>
      <c r="T3121" s="17"/>
      <c r="U3121" s="17"/>
      <c r="V3121" s="17"/>
      <c r="W3121" s="17"/>
      <c r="X3121" s="17"/>
      <c r="Y3121" s="17"/>
      <c r="Z3121" s="31"/>
      <c r="AA3121" s="32"/>
    </row>
    <row r="3122" spans="1:27" ht="12.75">
      <c r="A3122" s="17"/>
      <c r="B3122" s="17"/>
      <c r="C3122" s="17"/>
      <c r="D3122" s="17"/>
      <c r="E3122" s="17"/>
      <c r="F3122" s="17"/>
      <c r="G3122" s="17"/>
      <c r="H3122" s="17"/>
      <c r="I3122" s="31"/>
      <c r="J3122" s="17"/>
      <c r="K3122" s="17"/>
      <c r="L3122" s="17"/>
      <c r="M3122" s="17"/>
      <c r="N3122" s="17"/>
      <c r="O3122" s="17"/>
      <c r="P3122" s="17"/>
      <c r="Q3122" s="17"/>
      <c r="R3122" s="17"/>
      <c r="S3122" s="17"/>
      <c r="T3122" s="17"/>
      <c r="U3122" s="17"/>
      <c r="V3122" s="17"/>
      <c r="W3122" s="17"/>
      <c r="X3122" s="17"/>
      <c r="Y3122" s="17"/>
      <c r="Z3122" s="31"/>
      <c r="AA3122" s="32"/>
    </row>
    <row r="3123" spans="1:27" ht="12.75">
      <c r="A3123" s="17"/>
      <c r="B3123" s="17"/>
      <c r="C3123" s="17"/>
      <c r="D3123" s="17"/>
      <c r="E3123" s="17"/>
      <c r="F3123" s="17"/>
      <c r="G3123" s="17"/>
      <c r="H3123" s="17"/>
      <c r="I3123" s="31"/>
      <c r="J3123" s="17"/>
      <c r="K3123" s="17"/>
      <c r="L3123" s="17"/>
      <c r="M3123" s="17"/>
      <c r="N3123" s="17"/>
      <c r="O3123" s="17"/>
      <c r="P3123" s="17"/>
      <c r="Q3123" s="17"/>
      <c r="R3123" s="17"/>
      <c r="S3123" s="17"/>
      <c r="T3123" s="17"/>
      <c r="U3123" s="17"/>
      <c r="V3123" s="17"/>
      <c r="W3123" s="17"/>
      <c r="X3123" s="17"/>
      <c r="Y3123" s="17"/>
      <c r="Z3123" s="31"/>
      <c r="AA3123" s="32"/>
    </row>
    <row r="3124" spans="1:27" ht="12.75">
      <c r="A3124" s="17"/>
      <c r="B3124" s="17"/>
      <c r="C3124" s="17"/>
      <c r="D3124" s="17"/>
      <c r="E3124" s="17"/>
      <c r="F3124" s="17"/>
      <c r="G3124" s="17"/>
      <c r="H3124" s="17"/>
      <c r="I3124" s="31"/>
      <c r="J3124" s="17"/>
      <c r="K3124" s="17"/>
      <c r="L3124" s="17"/>
      <c r="M3124" s="17"/>
      <c r="N3124" s="17"/>
      <c r="O3124" s="17"/>
      <c r="P3124" s="17"/>
      <c r="Q3124" s="17"/>
      <c r="R3124" s="17"/>
      <c r="S3124" s="17"/>
      <c r="T3124" s="17"/>
      <c r="U3124" s="17"/>
      <c r="V3124" s="17"/>
      <c r="W3124" s="17"/>
      <c r="X3124" s="17"/>
      <c r="Y3124" s="17"/>
      <c r="Z3124" s="31"/>
      <c r="AA3124" s="32"/>
    </row>
    <row r="3125" spans="1:27" ht="12.75">
      <c r="A3125" s="17"/>
      <c r="B3125" s="17"/>
      <c r="C3125" s="17"/>
      <c r="D3125" s="17"/>
      <c r="E3125" s="17"/>
      <c r="F3125" s="17"/>
      <c r="G3125" s="17"/>
      <c r="H3125" s="17"/>
      <c r="I3125" s="31"/>
      <c r="J3125" s="17"/>
      <c r="K3125" s="17"/>
      <c r="L3125" s="17"/>
      <c r="M3125" s="17"/>
      <c r="N3125" s="17"/>
      <c r="O3125" s="17"/>
      <c r="P3125" s="17"/>
      <c r="Q3125" s="17"/>
      <c r="R3125" s="17"/>
      <c r="S3125" s="17"/>
      <c r="T3125" s="17"/>
      <c r="U3125" s="17"/>
      <c r="V3125" s="17"/>
      <c r="W3125" s="17"/>
      <c r="X3125" s="17"/>
      <c r="Y3125" s="17"/>
      <c r="Z3125" s="31"/>
      <c r="AA3125" s="32"/>
    </row>
    <row r="3126" spans="1:27" ht="12.75">
      <c r="A3126" s="17"/>
      <c r="B3126" s="17"/>
      <c r="C3126" s="17"/>
      <c r="D3126" s="17"/>
      <c r="E3126" s="17"/>
      <c r="F3126" s="17"/>
      <c r="G3126" s="17"/>
      <c r="H3126" s="17"/>
      <c r="I3126" s="31"/>
      <c r="J3126" s="17"/>
      <c r="K3126" s="17"/>
      <c r="L3126" s="17"/>
      <c r="M3126" s="17"/>
      <c r="N3126" s="17"/>
      <c r="O3126" s="17"/>
      <c r="P3126" s="17"/>
      <c r="Q3126" s="17"/>
      <c r="R3126" s="17"/>
      <c r="S3126" s="17"/>
      <c r="T3126" s="17"/>
      <c r="U3126" s="17"/>
      <c r="V3126" s="17"/>
      <c r="W3126" s="17"/>
      <c r="X3126" s="17"/>
      <c r="Y3126" s="17"/>
      <c r="Z3126" s="31"/>
      <c r="AA3126" s="32"/>
    </row>
    <row r="3127" spans="1:27" ht="12.75">
      <c r="A3127" s="17"/>
      <c r="B3127" s="17"/>
      <c r="C3127" s="17"/>
      <c r="D3127" s="17"/>
      <c r="E3127" s="17"/>
      <c r="F3127" s="17"/>
      <c r="G3127" s="17"/>
      <c r="H3127" s="17"/>
      <c r="I3127" s="31"/>
      <c r="J3127" s="17"/>
      <c r="K3127" s="17"/>
      <c r="L3127" s="17"/>
      <c r="M3127" s="17"/>
      <c r="N3127" s="17"/>
      <c r="O3127" s="17"/>
      <c r="P3127" s="17"/>
      <c r="Q3127" s="17"/>
      <c r="R3127" s="17"/>
      <c r="S3127" s="17"/>
      <c r="T3127" s="17"/>
      <c r="U3127" s="17"/>
      <c r="V3127" s="17"/>
      <c r="W3127" s="17"/>
      <c r="X3127" s="17"/>
      <c r="Y3127" s="17"/>
      <c r="Z3127" s="31"/>
      <c r="AA3127" s="32"/>
    </row>
    <row r="3128" spans="1:27" ht="12.75">
      <c r="A3128" s="17"/>
      <c r="B3128" s="17"/>
      <c r="C3128" s="17"/>
      <c r="D3128" s="17"/>
      <c r="E3128" s="17"/>
      <c r="F3128" s="17"/>
      <c r="G3128" s="17"/>
      <c r="H3128" s="17"/>
      <c r="I3128" s="31"/>
      <c r="J3128" s="17"/>
      <c r="K3128" s="17"/>
      <c r="L3128" s="17"/>
      <c r="M3128" s="17"/>
      <c r="N3128" s="17"/>
      <c r="O3128" s="17"/>
      <c r="P3128" s="17"/>
      <c r="Q3128" s="17"/>
      <c r="R3128" s="17"/>
      <c r="S3128" s="17"/>
      <c r="T3128" s="17"/>
      <c r="U3128" s="17"/>
      <c r="V3128" s="17"/>
      <c r="W3128" s="17"/>
      <c r="X3128" s="17"/>
      <c r="Y3128" s="17"/>
      <c r="Z3128" s="31"/>
      <c r="AA3128" s="32"/>
    </row>
    <row r="3129" spans="1:27" ht="12.75">
      <c r="A3129" s="17"/>
      <c r="B3129" s="17"/>
      <c r="C3129" s="17"/>
      <c r="D3129" s="17"/>
      <c r="E3129" s="17"/>
      <c r="F3129" s="17"/>
      <c r="G3129" s="17"/>
      <c r="H3129" s="17"/>
      <c r="I3129" s="31"/>
      <c r="J3129" s="17"/>
      <c r="K3129" s="17"/>
      <c r="L3129" s="17"/>
      <c r="M3129" s="17"/>
      <c r="N3129" s="17"/>
      <c r="O3129" s="17"/>
      <c r="P3129" s="17"/>
      <c r="Q3129" s="17"/>
      <c r="R3129" s="17"/>
      <c r="S3129" s="17"/>
      <c r="T3129" s="17"/>
      <c r="U3129" s="17"/>
      <c r="V3129" s="17"/>
      <c r="W3129" s="17"/>
      <c r="X3129" s="17"/>
      <c r="Y3129" s="17"/>
      <c r="Z3129" s="31"/>
      <c r="AA3129" s="32"/>
    </row>
    <row r="3130" spans="1:27" ht="12.75">
      <c r="A3130" s="17"/>
      <c r="B3130" s="17"/>
      <c r="C3130" s="17"/>
      <c r="D3130" s="17"/>
      <c r="E3130" s="17"/>
      <c r="F3130" s="17"/>
      <c r="G3130" s="17"/>
      <c r="H3130" s="17"/>
      <c r="I3130" s="31"/>
      <c r="J3130" s="17"/>
      <c r="K3130" s="17"/>
      <c r="L3130" s="17"/>
      <c r="M3130" s="17"/>
      <c r="N3130" s="17"/>
      <c r="O3130" s="17"/>
      <c r="P3130" s="17"/>
      <c r="Q3130" s="17"/>
      <c r="R3130" s="17"/>
      <c r="S3130" s="17"/>
      <c r="T3130" s="17"/>
      <c r="U3130" s="17"/>
      <c r="V3130" s="17"/>
      <c r="W3130" s="17"/>
      <c r="X3130" s="17"/>
      <c r="Y3130" s="17"/>
      <c r="Z3130" s="31"/>
      <c r="AA3130" s="32"/>
    </row>
    <row r="3131" spans="1:27" ht="12.75">
      <c r="A3131" s="17"/>
      <c r="B3131" s="17"/>
      <c r="C3131" s="17"/>
      <c r="D3131" s="17"/>
      <c r="E3131" s="17"/>
      <c r="F3131" s="17"/>
      <c r="G3131" s="17"/>
      <c r="H3131" s="17"/>
      <c r="I3131" s="31"/>
      <c r="J3131" s="17"/>
      <c r="K3131" s="17"/>
      <c r="L3131" s="17"/>
      <c r="M3131" s="17"/>
      <c r="N3131" s="17"/>
      <c r="O3131" s="17"/>
      <c r="P3131" s="17"/>
      <c r="Q3131" s="17"/>
      <c r="R3131" s="17"/>
      <c r="S3131" s="17"/>
      <c r="T3131" s="17"/>
      <c r="U3131" s="17"/>
      <c r="V3131" s="17"/>
      <c r="W3131" s="17"/>
      <c r="X3131" s="17"/>
      <c r="Y3131" s="17"/>
      <c r="Z3131" s="31"/>
      <c r="AA3131" s="32"/>
    </row>
    <row r="3132" spans="1:27" ht="12.75">
      <c r="A3132" s="17"/>
      <c r="B3132" s="17"/>
      <c r="C3132" s="17"/>
      <c r="D3132" s="17"/>
      <c r="E3132" s="17"/>
      <c r="F3132" s="17"/>
      <c r="G3132" s="17"/>
      <c r="H3132" s="17"/>
      <c r="I3132" s="31"/>
      <c r="J3132" s="17"/>
      <c r="K3132" s="17"/>
      <c r="L3132" s="17"/>
      <c r="M3132" s="17"/>
      <c r="N3132" s="17"/>
      <c r="O3132" s="17"/>
      <c r="P3132" s="17"/>
      <c r="Q3132" s="17"/>
      <c r="R3132" s="17"/>
      <c r="S3132" s="17"/>
      <c r="T3132" s="17"/>
      <c r="U3132" s="17"/>
      <c r="V3132" s="17"/>
      <c r="W3132" s="17"/>
      <c r="X3132" s="17"/>
      <c r="Y3132" s="17"/>
      <c r="Z3132" s="31"/>
      <c r="AA3132" s="32"/>
    </row>
    <row r="3133" spans="1:27" ht="12.75">
      <c r="A3133" s="17"/>
      <c r="B3133" s="17"/>
      <c r="C3133" s="17"/>
      <c r="D3133" s="17"/>
      <c r="E3133" s="17"/>
      <c r="F3133" s="17"/>
      <c r="G3133" s="17"/>
      <c r="H3133" s="17"/>
      <c r="I3133" s="31"/>
      <c r="J3133" s="17"/>
      <c r="K3133" s="17"/>
      <c r="L3133" s="17"/>
      <c r="M3133" s="17"/>
      <c r="N3133" s="17"/>
      <c r="O3133" s="17"/>
      <c r="P3133" s="17"/>
      <c r="Q3133" s="17"/>
      <c r="R3133" s="17"/>
      <c r="S3133" s="17"/>
      <c r="T3133" s="17"/>
      <c r="U3133" s="17"/>
      <c r="V3133" s="17"/>
      <c r="W3133" s="17"/>
      <c r="X3133" s="17"/>
      <c r="Y3133" s="17"/>
      <c r="Z3133" s="31"/>
      <c r="AA3133" s="32"/>
    </row>
    <row r="3134" spans="1:27" ht="12.75">
      <c r="A3134" s="17"/>
      <c r="B3134" s="17"/>
      <c r="C3134" s="17"/>
      <c r="D3134" s="17"/>
      <c r="E3134" s="17"/>
      <c r="F3134" s="17"/>
      <c r="G3134" s="17"/>
      <c r="H3134" s="17"/>
      <c r="I3134" s="31"/>
      <c r="J3134" s="17"/>
      <c r="K3134" s="17"/>
      <c r="L3134" s="17"/>
      <c r="M3134" s="17"/>
      <c r="N3134" s="17"/>
      <c r="O3134" s="17"/>
      <c r="P3134" s="17"/>
      <c r="Q3134" s="17"/>
      <c r="R3134" s="17"/>
      <c r="S3134" s="17"/>
      <c r="T3134" s="17"/>
      <c r="U3134" s="17"/>
      <c r="V3134" s="17"/>
      <c r="W3134" s="17"/>
      <c r="X3134" s="17"/>
      <c r="Y3134" s="17"/>
      <c r="Z3134" s="31"/>
      <c r="AA3134" s="32"/>
    </row>
    <row r="3135" spans="1:27" ht="12.75">
      <c r="A3135" s="17"/>
      <c r="B3135" s="17"/>
      <c r="C3135" s="17"/>
      <c r="D3135" s="17"/>
      <c r="E3135" s="17"/>
      <c r="F3135" s="17"/>
      <c r="G3135" s="17"/>
      <c r="H3135" s="17"/>
      <c r="I3135" s="31"/>
      <c r="J3135" s="17"/>
      <c r="K3135" s="17"/>
      <c r="L3135" s="17"/>
      <c r="M3135" s="17"/>
      <c r="N3135" s="17"/>
      <c r="O3135" s="17"/>
      <c r="P3135" s="17"/>
      <c r="Q3135" s="17"/>
      <c r="R3135" s="17"/>
      <c r="S3135" s="17"/>
      <c r="T3135" s="17"/>
      <c r="U3135" s="17"/>
      <c r="V3135" s="17"/>
      <c r="W3135" s="17"/>
      <c r="X3135" s="17"/>
      <c r="Y3135" s="17"/>
      <c r="Z3135" s="31"/>
      <c r="AA3135" s="32"/>
    </row>
    <row r="3136" spans="1:27" ht="12.75">
      <c r="A3136" s="17"/>
      <c r="B3136" s="17"/>
      <c r="C3136" s="17"/>
      <c r="D3136" s="17"/>
      <c r="E3136" s="17"/>
      <c r="F3136" s="17"/>
      <c r="G3136" s="17"/>
      <c r="H3136" s="17"/>
      <c r="I3136" s="31"/>
      <c r="J3136" s="17"/>
      <c r="K3136" s="17"/>
      <c r="L3136" s="17"/>
      <c r="M3136" s="17"/>
      <c r="N3136" s="17"/>
      <c r="O3136" s="17"/>
      <c r="P3136" s="17"/>
      <c r="Q3136" s="17"/>
      <c r="R3136" s="17"/>
      <c r="S3136" s="17"/>
      <c r="T3136" s="17"/>
      <c r="U3136" s="17"/>
      <c r="V3136" s="17"/>
      <c r="W3136" s="17"/>
      <c r="X3136" s="17"/>
      <c r="Y3136" s="17"/>
      <c r="Z3136" s="31"/>
      <c r="AA3136" s="32"/>
    </row>
    <row r="3137" spans="1:27" ht="12.75">
      <c r="A3137" s="17"/>
      <c r="B3137" s="17"/>
      <c r="C3137" s="17"/>
      <c r="D3137" s="17"/>
      <c r="E3137" s="17"/>
      <c r="F3137" s="17"/>
      <c r="G3137" s="17"/>
      <c r="H3137" s="17"/>
      <c r="I3137" s="31"/>
      <c r="J3137" s="17"/>
      <c r="K3137" s="17"/>
      <c r="L3137" s="17"/>
      <c r="M3137" s="17"/>
      <c r="N3137" s="17"/>
      <c r="O3137" s="17"/>
      <c r="P3137" s="17"/>
      <c r="Q3137" s="17"/>
      <c r="R3137" s="17"/>
      <c r="S3137" s="17"/>
      <c r="T3137" s="17"/>
      <c r="U3137" s="17"/>
      <c r="V3137" s="17"/>
      <c r="W3137" s="17"/>
      <c r="X3137" s="17"/>
      <c r="Y3137" s="17"/>
      <c r="Z3137" s="31"/>
      <c r="AA3137" s="32"/>
    </row>
    <row r="3138" spans="1:27" ht="12.75">
      <c r="A3138" s="17"/>
      <c r="B3138" s="17"/>
      <c r="C3138" s="17"/>
      <c r="D3138" s="17"/>
      <c r="E3138" s="17"/>
      <c r="F3138" s="17"/>
      <c r="G3138" s="17"/>
      <c r="H3138" s="17"/>
      <c r="I3138" s="31"/>
      <c r="J3138" s="17"/>
      <c r="K3138" s="17"/>
      <c r="L3138" s="17"/>
      <c r="M3138" s="17"/>
      <c r="N3138" s="17"/>
      <c r="O3138" s="17"/>
      <c r="P3138" s="17"/>
      <c r="Q3138" s="17"/>
      <c r="R3138" s="17"/>
      <c r="S3138" s="17"/>
      <c r="T3138" s="17"/>
      <c r="U3138" s="17"/>
      <c r="V3138" s="17"/>
      <c r="W3138" s="17"/>
      <c r="X3138" s="17"/>
      <c r="Y3138" s="17"/>
      <c r="Z3138" s="31"/>
      <c r="AA3138" s="32"/>
    </row>
    <row r="3139" spans="1:27" ht="12.75">
      <c r="A3139" s="17"/>
      <c r="B3139" s="17"/>
      <c r="C3139" s="17"/>
      <c r="D3139" s="17"/>
      <c r="E3139" s="17"/>
      <c r="F3139" s="17"/>
      <c r="G3139" s="17"/>
      <c r="H3139" s="17"/>
      <c r="I3139" s="31"/>
      <c r="J3139" s="17"/>
      <c r="K3139" s="17"/>
      <c r="L3139" s="17"/>
      <c r="M3139" s="17"/>
      <c r="N3139" s="17"/>
      <c r="O3139" s="17"/>
      <c r="P3139" s="17"/>
      <c r="Q3139" s="17"/>
      <c r="R3139" s="17"/>
      <c r="S3139" s="17"/>
      <c r="T3139" s="17"/>
      <c r="U3139" s="17"/>
      <c r="V3139" s="17"/>
      <c r="W3139" s="17"/>
      <c r="X3139" s="17"/>
      <c r="Y3139" s="17"/>
      <c r="Z3139" s="31"/>
      <c r="AA3139" s="32"/>
    </row>
    <row r="3140" spans="1:27" ht="12.75">
      <c r="A3140" s="17"/>
      <c r="B3140" s="17"/>
      <c r="C3140" s="17"/>
      <c r="D3140" s="17"/>
      <c r="E3140" s="17"/>
      <c r="F3140" s="17"/>
      <c r="G3140" s="17"/>
      <c r="H3140" s="17"/>
      <c r="I3140" s="31"/>
      <c r="J3140" s="17"/>
      <c r="K3140" s="17"/>
      <c r="L3140" s="17"/>
      <c r="M3140" s="17"/>
      <c r="N3140" s="17"/>
      <c r="O3140" s="17"/>
      <c r="P3140" s="17"/>
      <c r="Q3140" s="17"/>
      <c r="R3140" s="17"/>
      <c r="S3140" s="17"/>
      <c r="T3140" s="17"/>
      <c r="U3140" s="17"/>
      <c r="V3140" s="17"/>
      <c r="W3140" s="17"/>
      <c r="X3140" s="17"/>
      <c r="Y3140" s="17"/>
      <c r="Z3140" s="31"/>
      <c r="AA3140" s="32"/>
    </row>
    <row r="3141" spans="1:27" ht="12.75">
      <c r="A3141" s="17"/>
      <c r="B3141" s="17"/>
      <c r="C3141" s="17"/>
      <c r="D3141" s="17"/>
      <c r="E3141" s="17"/>
      <c r="F3141" s="17"/>
      <c r="G3141" s="17"/>
      <c r="H3141" s="17"/>
      <c r="I3141" s="31"/>
      <c r="J3141" s="17"/>
      <c r="K3141" s="17"/>
      <c r="L3141" s="17"/>
      <c r="M3141" s="17"/>
      <c r="N3141" s="17"/>
      <c r="O3141" s="17"/>
      <c r="P3141" s="17"/>
      <c r="Q3141" s="17"/>
      <c r="R3141" s="17"/>
      <c r="S3141" s="17"/>
      <c r="T3141" s="17"/>
      <c r="U3141" s="17"/>
      <c r="V3141" s="17"/>
      <c r="W3141" s="17"/>
      <c r="X3141" s="17"/>
      <c r="Y3141" s="17"/>
      <c r="Z3141" s="31"/>
      <c r="AA3141" s="32"/>
    </row>
    <row r="3142" spans="1:27" ht="12.75">
      <c r="A3142" s="17"/>
      <c r="B3142" s="17"/>
      <c r="C3142" s="17"/>
      <c r="D3142" s="17"/>
      <c r="E3142" s="17"/>
      <c r="F3142" s="17"/>
      <c r="G3142" s="17"/>
      <c r="H3142" s="17"/>
      <c r="I3142" s="31"/>
      <c r="J3142" s="17"/>
      <c r="K3142" s="17"/>
      <c r="L3142" s="17"/>
      <c r="M3142" s="17"/>
      <c r="N3142" s="17"/>
      <c r="O3142" s="17"/>
      <c r="P3142" s="17"/>
      <c r="Q3142" s="17"/>
      <c r="R3142" s="17"/>
      <c r="S3142" s="17"/>
      <c r="T3142" s="17"/>
      <c r="U3142" s="17"/>
      <c r="V3142" s="17"/>
      <c r="W3142" s="17"/>
      <c r="X3142" s="17"/>
      <c r="Y3142" s="17"/>
      <c r="Z3142" s="31"/>
      <c r="AA3142" s="32"/>
    </row>
    <row r="3143" spans="1:27" ht="12.75">
      <c r="A3143" s="17"/>
      <c r="B3143" s="17"/>
      <c r="C3143" s="17"/>
      <c r="D3143" s="17"/>
      <c r="E3143" s="17"/>
      <c r="F3143" s="17"/>
      <c r="G3143" s="17"/>
      <c r="H3143" s="17"/>
      <c r="I3143" s="31"/>
      <c r="J3143" s="17"/>
      <c r="K3143" s="17"/>
      <c r="L3143" s="17"/>
      <c r="M3143" s="17"/>
      <c r="N3143" s="17"/>
      <c r="O3143" s="17"/>
      <c r="P3143" s="17"/>
      <c r="Q3143" s="17"/>
      <c r="R3143" s="17"/>
      <c r="S3143" s="17"/>
      <c r="T3143" s="17"/>
      <c r="U3143" s="17"/>
      <c r="V3143" s="17"/>
      <c r="W3143" s="17"/>
      <c r="X3143" s="17"/>
      <c r="Y3143" s="17"/>
      <c r="Z3143" s="31"/>
      <c r="AA3143" s="32"/>
    </row>
    <row r="3144" spans="1:27" ht="12.75">
      <c r="A3144" s="17"/>
      <c r="B3144" s="17"/>
      <c r="C3144" s="17"/>
      <c r="D3144" s="17"/>
      <c r="E3144" s="17"/>
      <c r="F3144" s="17"/>
      <c r="G3144" s="17"/>
      <c r="H3144" s="17"/>
      <c r="I3144" s="31"/>
      <c r="J3144" s="17"/>
      <c r="K3144" s="17"/>
      <c r="L3144" s="17"/>
      <c r="M3144" s="17"/>
      <c r="N3144" s="17"/>
      <c r="O3144" s="17"/>
      <c r="P3144" s="17"/>
      <c r="Q3144" s="17"/>
      <c r="R3144" s="17"/>
      <c r="S3144" s="17"/>
      <c r="T3144" s="17"/>
      <c r="U3144" s="17"/>
      <c r="V3144" s="17"/>
      <c r="W3144" s="17"/>
      <c r="X3144" s="17"/>
      <c r="Y3144" s="17"/>
      <c r="Z3144" s="31"/>
      <c r="AA3144" s="32"/>
    </row>
    <row r="3145" spans="1:27" ht="12.75">
      <c r="A3145" s="17"/>
      <c r="B3145" s="17"/>
      <c r="C3145" s="17"/>
      <c r="D3145" s="17"/>
      <c r="E3145" s="17"/>
      <c r="F3145" s="17"/>
      <c r="G3145" s="17"/>
      <c r="H3145" s="17"/>
      <c r="I3145" s="31"/>
      <c r="J3145" s="17"/>
      <c r="K3145" s="17"/>
      <c r="L3145" s="17"/>
      <c r="M3145" s="17"/>
      <c r="N3145" s="17"/>
      <c r="O3145" s="17"/>
      <c r="P3145" s="17"/>
      <c r="Q3145" s="17"/>
      <c r="R3145" s="17"/>
      <c r="S3145" s="17"/>
      <c r="T3145" s="17"/>
      <c r="U3145" s="17"/>
      <c r="V3145" s="17"/>
      <c r="W3145" s="17"/>
      <c r="X3145" s="17"/>
      <c r="Y3145" s="17"/>
      <c r="Z3145" s="31"/>
      <c r="AA3145" s="32"/>
    </row>
    <row r="3146" spans="1:27" ht="12.75">
      <c r="A3146" s="17"/>
      <c r="B3146" s="17"/>
      <c r="C3146" s="17"/>
      <c r="D3146" s="17"/>
      <c r="E3146" s="17"/>
      <c r="F3146" s="17"/>
      <c r="G3146" s="17"/>
      <c r="H3146" s="17"/>
      <c r="I3146" s="31"/>
      <c r="J3146" s="17"/>
      <c r="K3146" s="17"/>
      <c r="L3146" s="17"/>
      <c r="M3146" s="17"/>
      <c r="N3146" s="17"/>
      <c r="O3146" s="17"/>
      <c r="P3146" s="17"/>
      <c r="Q3146" s="17"/>
      <c r="R3146" s="17"/>
      <c r="S3146" s="17"/>
      <c r="T3146" s="17"/>
      <c r="U3146" s="17"/>
      <c r="V3146" s="17"/>
      <c r="W3146" s="17"/>
      <c r="X3146" s="17"/>
      <c r="Y3146" s="17"/>
      <c r="Z3146" s="31"/>
      <c r="AA3146" s="32"/>
    </row>
    <row r="3147" spans="1:27" ht="12.75">
      <c r="A3147" s="17"/>
      <c r="B3147" s="17"/>
      <c r="C3147" s="17"/>
      <c r="D3147" s="17"/>
      <c r="E3147" s="17"/>
      <c r="F3147" s="17"/>
      <c r="G3147" s="17"/>
      <c r="H3147" s="17"/>
      <c r="I3147" s="31"/>
      <c r="J3147" s="17"/>
      <c r="K3147" s="17"/>
      <c r="L3147" s="17"/>
      <c r="M3147" s="17"/>
      <c r="N3147" s="17"/>
      <c r="O3147" s="17"/>
      <c r="P3147" s="17"/>
      <c r="Q3147" s="17"/>
      <c r="R3147" s="17"/>
      <c r="S3147" s="17"/>
      <c r="T3147" s="17"/>
      <c r="U3147" s="17"/>
      <c r="V3147" s="17"/>
      <c r="W3147" s="17"/>
      <c r="X3147" s="17"/>
      <c r="Y3147" s="17"/>
      <c r="Z3147" s="31"/>
      <c r="AA3147" s="32"/>
    </row>
    <row r="3148" spans="1:27" ht="12.75">
      <c r="A3148" s="17"/>
      <c r="B3148" s="17"/>
      <c r="C3148" s="17"/>
      <c r="D3148" s="17"/>
      <c r="E3148" s="17"/>
      <c r="F3148" s="17"/>
      <c r="G3148" s="17"/>
      <c r="H3148" s="17"/>
      <c r="I3148" s="31"/>
      <c r="J3148" s="17"/>
      <c r="K3148" s="17"/>
      <c r="L3148" s="17"/>
      <c r="M3148" s="17"/>
      <c r="N3148" s="17"/>
      <c r="O3148" s="17"/>
      <c r="P3148" s="17"/>
      <c r="Q3148" s="17"/>
      <c r="R3148" s="17"/>
      <c r="S3148" s="17"/>
      <c r="T3148" s="17"/>
      <c r="U3148" s="17"/>
      <c r="V3148" s="17"/>
      <c r="W3148" s="17"/>
      <c r="X3148" s="17"/>
      <c r="Y3148" s="17"/>
      <c r="Z3148" s="31"/>
      <c r="AA3148" s="32"/>
    </row>
    <row r="3149" spans="1:27" ht="12.75">
      <c r="A3149" s="17"/>
      <c r="B3149" s="17"/>
      <c r="C3149" s="17"/>
      <c r="D3149" s="17"/>
      <c r="E3149" s="17"/>
      <c r="F3149" s="17"/>
      <c r="G3149" s="17"/>
      <c r="H3149" s="17"/>
      <c r="I3149" s="31"/>
      <c r="J3149" s="17"/>
      <c r="K3149" s="17"/>
      <c r="L3149" s="17"/>
      <c r="M3149" s="17"/>
      <c r="N3149" s="17"/>
      <c r="O3149" s="17"/>
      <c r="P3149" s="17"/>
      <c r="Q3149" s="17"/>
      <c r="R3149" s="17"/>
      <c r="S3149" s="17"/>
      <c r="T3149" s="17"/>
      <c r="U3149" s="17"/>
      <c r="V3149" s="17"/>
      <c r="W3149" s="17"/>
      <c r="X3149" s="17"/>
      <c r="Y3149" s="17"/>
      <c r="Z3149" s="31"/>
      <c r="AA3149" s="32"/>
    </row>
    <row r="3150" spans="1:27" ht="12.75">
      <c r="A3150" s="17"/>
      <c r="B3150" s="17"/>
      <c r="C3150" s="17"/>
      <c r="D3150" s="17"/>
      <c r="E3150" s="17"/>
      <c r="F3150" s="17"/>
      <c r="G3150" s="17"/>
      <c r="H3150" s="17"/>
      <c r="I3150" s="31"/>
      <c r="J3150" s="17"/>
      <c r="K3150" s="17"/>
      <c r="L3150" s="17"/>
      <c r="M3150" s="17"/>
      <c r="N3150" s="17"/>
      <c r="O3150" s="17"/>
      <c r="P3150" s="17"/>
      <c r="Q3150" s="17"/>
      <c r="R3150" s="17"/>
      <c r="S3150" s="17"/>
      <c r="T3150" s="17"/>
      <c r="U3150" s="17"/>
      <c r="V3150" s="17"/>
      <c r="W3150" s="17"/>
      <c r="X3150" s="17"/>
      <c r="Y3150" s="17"/>
      <c r="Z3150" s="31"/>
      <c r="AA3150" s="32"/>
    </row>
    <row r="3151" spans="1:27" ht="12.75">
      <c r="A3151" s="17"/>
      <c r="B3151" s="17"/>
      <c r="C3151" s="17"/>
      <c r="D3151" s="17"/>
      <c r="E3151" s="17"/>
      <c r="F3151" s="17"/>
      <c r="G3151" s="17"/>
      <c r="H3151" s="17"/>
      <c r="I3151" s="31"/>
      <c r="J3151" s="17"/>
      <c r="K3151" s="17"/>
      <c r="L3151" s="17"/>
      <c r="M3151" s="17"/>
      <c r="N3151" s="17"/>
      <c r="O3151" s="17"/>
      <c r="P3151" s="17"/>
      <c r="Q3151" s="17"/>
      <c r="R3151" s="17"/>
      <c r="S3151" s="17"/>
      <c r="T3151" s="17"/>
      <c r="U3151" s="17"/>
      <c r="V3151" s="17"/>
      <c r="W3151" s="17"/>
      <c r="X3151" s="17"/>
      <c r="Y3151" s="17"/>
      <c r="Z3151" s="31"/>
      <c r="AA3151" s="32"/>
    </row>
    <row r="3152" spans="1:27" ht="12.75">
      <c r="A3152" s="17"/>
      <c r="B3152" s="17"/>
      <c r="C3152" s="17"/>
      <c r="D3152" s="17"/>
      <c r="E3152" s="17"/>
      <c r="F3152" s="17"/>
      <c r="G3152" s="17"/>
      <c r="H3152" s="17"/>
      <c r="I3152" s="31"/>
      <c r="J3152" s="17"/>
      <c r="K3152" s="17"/>
      <c r="L3152" s="17"/>
      <c r="M3152" s="17"/>
      <c r="N3152" s="17"/>
      <c r="O3152" s="17"/>
      <c r="P3152" s="17"/>
      <c r="Q3152" s="17"/>
      <c r="R3152" s="17"/>
      <c r="S3152" s="17"/>
      <c r="T3152" s="17"/>
      <c r="U3152" s="17"/>
      <c r="V3152" s="17"/>
      <c r="W3152" s="17"/>
      <c r="X3152" s="17"/>
      <c r="Y3152" s="17"/>
      <c r="Z3152" s="31"/>
      <c r="AA3152" s="32"/>
    </row>
    <row r="3153" spans="1:27" ht="12.75">
      <c r="A3153" s="17"/>
      <c r="B3153" s="17"/>
      <c r="C3153" s="17"/>
      <c r="D3153" s="17"/>
      <c r="E3153" s="17"/>
      <c r="F3153" s="17"/>
      <c r="G3153" s="17"/>
      <c r="H3153" s="17"/>
      <c r="I3153" s="31"/>
      <c r="J3153" s="17"/>
      <c r="K3153" s="17"/>
      <c r="L3153" s="17"/>
      <c r="M3153" s="17"/>
      <c r="N3153" s="17"/>
      <c r="O3153" s="17"/>
      <c r="P3153" s="17"/>
      <c r="Q3153" s="17"/>
      <c r="R3153" s="17"/>
      <c r="S3153" s="17"/>
      <c r="T3153" s="17"/>
      <c r="U3153" s="17"/>
      <c r="V3153" s="17"/>
      <c r="W3153" s="17"/>
      <c r="X3153" s="17"/>
      <c r="Y3153" s="17"/>
      <c r="Z3153" s="31"/>
      <c r="AA3153" s="32"/>
    </row>
    <row r="3154" spans="1:27" ht="12.75">
      <c r="A3154" s="17"/>
      <c r="B3154" s="17"/>
      <c r="C3154" s="17"/>
      <c r="D3154" s="17"/>
      <c r="E3154" s="17"/>
      <c r="F3154" s="17"/>
      <c r="G3154" s="17"/>
      <c r="H3154" s="17"/>
      <c r="I3154" s="31"/>
      <c r="J3154" s="17"/>
      <c r="K3154" s="17"/>
      <c r="L3154" s="17"/>
      <c r="M3154" s="17"/>
      <c r="N3154" s="17"/>
      <c r="O3154" s="17"/>
      <c r="P3154" s="17"/>
      <c r="Q3154" s="17"/>
      <c r="R3154" s="17"/>
      <c r="S3154" s="17"/>
      <c r="T3154" s="17"/>
      <c r="U3154" s="17"/>
      <c r="V3154" s="17"/>
      <c r="W3154" s="17"/>
      <c r="X3154" s="17"/>
      <c r="Y3154" s="17"/>
      <c r="Z3154" s="31"/>
      <c r="AA3154" s="32"/>
    </row>
    <row r="3155" spans="1:27" ht="12.75">
      <c r="A3155" s="17"/>
      <c r="B3155" s="17"/>
      <c r="C3155" s="17"/>
      <c r="D3155" s="17"/>
      <c r="E3155" s="17"/>
      <c r="F3155" s="17"/>
      <c r="G3155" s="17"/>
      <c r="H3155" s="17"/>
      <c r="I3155" s="31"/>
      <c r="J3155" s="17"/>
      <c r="K3155" s="17"/>
      <c r="L3155" s="17"/>
      <c r="M3155" s="17"/>
      <c r="N3155" s="17"/>
      <c r="O3155" s="17"/>
      <c r="P3155" s="17"/>
      <c r="Q3155" s="17"/>
      <c r="R3155" s="17"/>
      <c r="S3155" s="17"/>
      <c r="T3155" s="17"/>
      <c r="U3155" s="17"/>
      <c r="V3155" s="17"/>
      <c r="W3155" s="17"/>
      <c r="X3155" s="17"/>
      <c r="Y3155" s="17"/>
      <c r="Z3155" s="31"/>
      <c r="AA3155" s="32"/>
    </row>
    <row r="3156" spans="1:27" ht="12.75">
      <c r="A3156" s="17"/>
      <c r="B3156" s="17"/>
      <c r="C3156" s="17"/>
      <c r="D3156" s="17"/>
      <c r="E3156" s="17"/>
      <c r="F3156" s="17"/>
      <c r="G3156" s="17"/>
      <c r="H3156" s="17"/>
      <c r="I3156" s="31"/>
      <c r="J3156" s="17"/>
      <c r="K3156" s="17"/>
      <c r="L3156" s="17"/>
      <c r="M3156" s="17"/>
      <c r="N3156" s="17"/>
      <c r="O3156" s="17"/>
      <c r="P3156" s="17"/>
      <c r="Q3156" s="17"/>
      <c r="R3156" s="17"/>
      <c r="S3156" s="17"/>
      <c r="T3156" s="17"/>
      <c r="U3156" s="17"/>
      <c r="V3156" s="17"/>
      <c r="W3156" s="17"/>
      <c r="X3156" s="17"/>
      <c r="Y3156" s="17"/>
      <c r="Z3156" s="31"/>
      <c r="AA3156" s="32"/>
    </row>
    <row r="3157" spans="1:27" ht="12.75">
      <c r="A3157" s="17"/>
      <c r="B3157" s="17"/>
      <c r="C3157" s="17"/>
      <c r="D3157" s="17"/>
      <c r="E3157" s="17"/>
      <c r="F3157" s="17"/>
      <c r="G3157" s="17"/>
      <c r="H3157" s="17"/>
      <c r="I3157" s="31"/>
      <c r="J3157" s="17"/>
      <c r="K3157" s="17"/>
      <c r="L3157" s="17"/>
      <c r="M3157" s="17"/>
      <c r="N3157" s="17"/>
      <c r="O3157" s="17"/>
      <c r="P3157" s="17"/>
      <c r="Q3157" s="17"/>
      <c r="R3157" s="17"/>
      <c r="S3157" s="17"/>
      <c r="T3157" s="17"/>
      <c r="U3157" s="17"/>
      <c r="V3157" s="17"/>
      <c r="W3157" s="17"/>
      <c r="X3157" s="17"/>
      <c r="Y3157" s="17"/>
      <c r="Z3157" s="31"/>
      <c r="AA3157" s="32"/>
    </row>
    <row r="3158" spans="1:27" ht="12.75">
      <c r="A3158" s="17"/>
      <c r="B3158" s="17"/>
      <c r="C3158" s="17"/>
      <c r="D3158" s="17"/>
      <c r="E3158" s="17"/>
      <c r="F3158" s="17"/>
      <c r="G3158" s="17"/>
      <c r="H3158" s="17"/>
      <c r="I3158" s="31"/>
      <c r="J3158" s="17"/>
      <c r="K3158" s="17"/>
      <c r="L3158" s="17"/>
      <c r="M3158" s="17"/>
      <c r="N3158" s="17"/>
      <c r="O3158" s="17"/>
      <c r="P3158" s="17"/>
      <c r="Q3158" s="17"/>
      <c r="R3158" s="17"/>
      <c r="S3158" s="17"/>
      <c r="T3158" s="17"/>
      <c r="U3158" s="17"/>
      <c r="V3158" s="17"/>
      <c r="W3158" s="17"/>
      <c r="X3158" s="17"/>
      <c r="Y3158" s="17"/>
      <c r="Z3158" s="31"/>
      <c r="AA3158" s="32"/>
    </row>
    <row r="3159" spans="1:27" ht="12.75">
      <c r="A3159" s="17"/>
      <c r="B3159" s="17"/>
      <c r="C3159" s="17"/>
      <c r="D3159" s="17"/>
      <c r="E3159" s="17"/>
      <c r="F3159" s="17"/>
      <c r="G3159" s="17"/>
      <c r="H3159" s="17"/>
      <c r="I3159" s="31"/>
      <c r="J3159" s="17"/>
      <c r="K3159" s="17"/>
      <c r="L3159" s="17"/>
      <c r="M3159" s="17"/>
      <c r="N3159" s="17"/>
      <c r="O3159" s="17"/>
      <c r="P3159" s="17"/>
      <c r="Q3159" s="17"/>
      <c r="R3159" s="17"/>
      <c r="S3159" s="17"/>
      <c r="T3159" s="17"/>
      <c r="U3159" s="17"/>
      <c r="V3159" s="17"/>
      <c r="W3159" s="17"/>
      <c r="X3159" s="17"/>
      <c r="Y3159" s="17"/>
      <c r="Z3159" s="31"/>
      <c r="AA3159" s="32"/>
    </row>
    <row r="3160" spans="1:27" ht="12.75">
      <c r="A3160" s="17"/>
      <c r="B3160" s="17"/>
      <c r="C3160" s="17"/>
      <c r="D3160" s="17"/>
      <c r="E3160" s="17"/>
      <c r="F3160" s="17"/>
      <c r="G3160" s="17"/>
      <c r="H3160" s="17"/>
      <c r="I3160" s="31"/>
      <c r="J3160" s="17"/>
      <c r="K3160" s="17"/>
      <c r="L3160" s="17"/>
      <c r="M3160" s="17"/>
      <c r="N3160" s="17"/>
      <c r="O3160" s="17"/>
      <c r="P3160" s="17"/>
      <c r="Q3160" s="17"/>
      <c r="R3160" s="17"/>
      <c r="S3160" s="17"/>
      <c r="T3160" s="17"/>
      <c r="U3160" s="17"/>
      <c r="V3160" s="17"/>
      <c r="W3160" s="17"/>
      <c r="X3160" s="17"/>
      <c r="Y3160" s="17"/>
      <c r="Z3160" s="31"/>
      <c r="AA3160" s="32"/>
    </row>
    <row r="3161" spans="1:27" ht="12.75">
      <c r="A3161" s="17"/>
      <c r="B3161" s="17"/>
      <c r="C3161" s="17"/>
      <c r="D3161" s="17"/>
      <c r="E3161" s="17"/>
      <c r="F3161" s="17"/>
      <c r="G3161" s="17"/>
      <c r="H3161" s="17"/>
      <c r="I3161" s="31"/>
      <c r="J3161" s="17"/>
      <c r="K3161" s="17"/>
      <c r="L3161" s="17"/>
      <c r="M3161" s="17"/>
      <c r="N3161" s="17"/>
      <c r="O3161" s="17"/>
      <c r="P3161" s="17"/>
      <c r="Q3161" s="17"/>
      <c r="R3161" s="17"/>
      <c r="S3161" s="17"/>
      <c r="T3161" s="17"/>
      <c r="U3161" s="17"/>
      <c r="V3161" s="17"/>
      <c r="W3161" s="17"/>
      <c r="X3161" s="17"/>
      <c r="Y3161" s="17"/>
      <c r="Z3161" s="31"/>
      <c r="AA3161" s="32"/>
    </row>
    <row r="3162" spans="1:27" ht="12.75">
      <c r="A3162" s="17"/>
      <c r="B3162" s="17"/>
      <c r="C3162" s="17"/>
      <c r="D3162" s="17"/>
      <c r="E3162" s="17"/>
      <c r="F3162" s="17"/>
      <c r="G3162" s="17"/>
      <c r="H3162" s="17"/>
      <c r="I3162" s="31"/>
      <c r="J3162" s="17"/>
      <c r="K3162" s="17"/>
      <c r="L3162" s="17"/>
      <c r="M3162" s="17"/>
      <c r="N3162" s="17"/>
      <c r="O3162" s="17"/>
      <c r="P3162" s="17"/>
      <c r="Q3162" s="17"/>
      <c r="R3162" s="17"/>
      <c r="S3162" s="17"/>
      <c r="T3162" s="17"/>
      <c r="U3162" s="17"/>
      <c r="V3162" s="17"/>
      <c r="W3162" s="17"/>
      <c r="X3162" s="17"/>
      <c r="Y3162" s="17"/>
      <c r="Z3162" s="31"/>
      <c r="AA3162" s="32"/>
    </row>
    <row r="3163" spans="1:27" ht="12.75">
      <c r="A3163" s="17"/>
      <c r="B3163" s="17"/>
      <c r="C3163" s="17"/>
      <c r="D3163" s="17"/>
      <c r="E3163" s="17"/>
      <c r="F3163" s="17"/>
      <c r="G3163" s="17"/>
      <c r="H3163" s="17"/>
      <c r="I3163" s="31"/>
      <c r="J3163" s="17"/>
      <c r="K3163" s="17"/>
      <c r="L3163" s="17"/>
      <c r="M3163" s="17"/>
      <c r="N3163" s="17"/>
      <c r="O3163" s="17"/>
      <c r="P3163" s="17"/>
      <c r="Q3163" s="17"/>
      <c r="R3163" s="17"/>
      <c r="S3163" s="17"/>
      <c r="T3163" s="17"/>
      <c r="U3163" s="17"/>
      <c r="V3163" s="17"/>
      <c r="W3163" s="17"/>
      <c r="X3163" s="17"/>
      <c r="Y3163" s="17"/>
      <c r="Z3163" s="31"/>
      <c r="AA3163" s="32"/>
    </row>
    <row r="3164" spans="1:27" ht="12.75">
      <c r="A3164" s="17"/>
      <c r="B3164" s="17"/>
      <c r="C3164" s="17"/>
      <c r="D3164" s="17"/>
      <c r="E3164" s="17"/>
      <c r="F3164" s="17"/>
      <c r="G3164" s="17"/>
      <c r="H3164" s="17"/>
      <c r="I3164" s="31"/>
      <c r="J3164" s="17"/>
      <c r="K3164" s="17"/>
      <c r="L3164" s="17"/>
      <c r="M3164" s="17"/>
      <c r="N3164" s="17"/>
      <c r="O3164" s="17"/>
      <c r="P3164" s="17"/>
      <c r="Q3164" s="17"/>
      <c r="R3164" s="17"/>
      <c r="S3164" s="17"/>
      <c r="T3164" s="17"/>
      <c r="U3164" s="17"/>
      <c r="V3164" s="17"/>
      <c r="W3164" s="17"/>
      <c r="X3164" s="17"/>
      <c r="Y3164" s="17"/>
      <c r="Z3164" s="31"/>
      <c r="AA3164" s="32"/>
    </row>
    <row r="3165" spans="1:27" ht="12.75">
      <c r="A3165" s="17"/>
      <c r="B3165" s="17"/>
      <c r="C3165" s="17"/>
      <c r="D3165" s="17"/>
      <c r="E3165" s="17"/>
      <c r="F3165" s="17"/>
      <c r="G3165" s="17"/>
      <c r="H3165" s="17"/>
      <c r="I3165" s="31"/>
      <c r="J3165" s="17"/>
      <c r="K3165" s="17"/>
      <c r="L3165" s="17"/>
      <c r="M3165" s="17"/>
      <c r="N3165" s="17"/>
      <c r="O3165" s="17"/>
      <c r="P3165" s="17"/>
      <c r="Q3165" s="17"/>
      <c r="R3165" s="17"/>
      <c r="S3165" s="17"/>
      <c r="T3165" s="17"/>
      <c r="U3165" s="17"/>
      <c r="V3165" s="17"/>
      <c r="W3165" s="17"/>
      <c r="X3165" s="17"/>
      <c r="Y3165" s="17"/>
      <c r="Z3165" s="31"/>
      <c r="AA3165" s="32"/>
    </row>
    <row r="3166" spans="1:27" ht="12.75">
      <c r="A3166" s="17"/>
      <c r="B3166" s="17"/>
      <c r="C3166" s="17"/>
      <c r="D3166" s="17"/>
      <c r="E3166" s="17"/>
      <c r="F3166" s="17"/>
      <c r="G3166" s="17"/>
      <c r="H3166" s="17"/>
      <c r="I3166" s="31"/>
      <c r="J3166" s="17"/>
      <c r="K3166" s="17"/>
      <c r="L3166" s="17"/>
      <c r="M3166" s="17"/>
      <c r="N3166" s="17"/>
      <c r="O3166" s="17"/>
      <c r="P3166" s="17"/>
      <c r="Q3166" s="17"/>
      <c r="R3166" s="17"/>
      <c r="S3166" s="17"/>
      <c r="T3166" s="17"/>
      <c r="U3166" s="17"/>
      <c r="V3166" s="17"/>
      <c r="W3166" s="17"/>
      <c r="X3166" s="17"/>
      <c r="Y3166" s="17"/>
      <c r="Z3166" s="31"/>
      <c r="AA3166" s="32"/>
    </row>
    <row r="3167" spans="1:27" ht="12.75">
      <c r="A3167" s="17"/>
      <c r="B3167" s="17"/>
      <c r="C3167" s="17"/>
      <c r="D3167" s="17"/>
      <c r="E3167" s="17"/>
      <c r="F3167" s="17"/>
      <c r="G3167" s="17"/>
      <c r="H3167" s="17"/>
      <c r="I3167" s="31"/>
      <c r="J3167" s="17"/>
      <c r="K3167" s="17"/>
      <c r="L3167" s="17"/>
      <c r="M3167" s="17"/>
      <c r="N3167" s="17"/>
      <c r="O3167" s="17"/>
      <c r="P3167" s="17"/>
      <c r="Q3167" s="17"/>
      <c r="R3167" s="17"/>
      <c r="S3167" s="17"/>
      <c r="T3167" s="17"/>
      <c r="U3167" s="17"/>
      <c r="V3167" s="17"/>
      <c r="W3167" s="17"/>
      <c r="X3167" s="17"/>
      <c r="Y3167" s="17"/>
      <c r="Z3167" s="31"/>
      <c r="AA3167" s="32"/>
    </row>
    <row r="3168" spans="1:27" ht="12.75">
      <c r="A3168" s="17"/>
      <c r="B3168" s="17"/>
      <c r="C3168" s="17"/>
      <c r="D3168" s="17"/>
      <c r="E3168" s="17"/>
      <c r="F3168" s="17"/>
      <c r="G3168" s="17"/>
      <c r="H3168" s="17"/>
      <c r="I3168" s="31"/>
      <c r="J3168" s="17"/>
      <c r="K3168" s="17"/>
      <c r="L3168" s="17"/>
      <c r="M3168" s="17"/>
      <c r="N3168" s="17"/>
      <c r="O3168" s="17"/>
      <c r="P3168" s="17"/>
      <c r="Q3168" s="17"/>
      <c r="R3168" s="17"/>
      <c r="S3168" s="17"/>
      <c r="T3168" s="17"/>
      <c r="U3168" s="17"/>
      <c r="V3168" s="17"/>
      <c r="W3168" s="17"/>
      <c r="X3168" s="17"/>
      <c r="Y3168" s="17"/>
      <c r="Z3168" s="31"/>
      <c r="AA3168" s="32"/>
    </row>
    <row r="3169" spans="1:27" ht="12.75">
      <c r="A3169" s="17"/>
      <c r="B3169" s="17"/>
      <c r="C3169" s="17"/>
      <c r="D3169" s="17"/>
      <c r="E3169" s="17"/>
      <c r="F3169" s="17"/>
      <c r="G3169" s="17"/>
      <c r="H3169" s="17"/>
      <c r="I3169" s="31"/>
      <c r="J3169" s="17"/>
      <c r="K3169" s="17"/>
      <c r="L3169" s="17"/>
      <c r="M3169" s="17"/>
      <c r="N3169" s="17"/>
      <c r="O3169" s="17"/>
      <c r="P3169" s="17"/>
      <c r="Q3169" s="17"/>
      <c r="R3169" s="17"/>
      <c r="S3169" s="17"/>
      <c r="T3169" s="17"/>
      <c r="U3169" s="17"/>
      <c r="V3169" s="17"/>
      <c r="W3169" s="17"/>
      <c r="X3169" s="17"/>
      <c r="Y3169" s="17"/>
      <c r="Z3169" s="31"/>
      <c r="AA3169" s="32"/>
    </row>
    <row r="3170" spans="1:27" ht="12.75">
      <c r="A3170" s="17"/>
      <c r="B3170" s="17"/>
      <c r="C3170" s="17"/>
      <c r="D3170" s="17"/>
      <c r="E3170" s="17"/>
      <c r="F3170" s="17"/>
      <c r="G3170" s="17"/>
      <c r="H3170" s="17"/>
      <c r="I3170" s="31"/>
      <c r="J3170" s="17"/>
      <c r="K3170" s="17"/>
      <c r="L3170" s="17"/>
      <c r="M3170" s="17"/>
      <c r="N3170" s="17"/>
      <c r="O3170" s="17"/>
      <c r="P3170" s="17"/>
      <c r="Q3170" s="17"/>
      <c r="R3170" s="17"/>
      <c r="S3170" s="17"/>
      <c r="T3170" s="17"/>
      <c r="U3170" s="17"/>
      <c r="V3170" s="17"/>
      <c r="W3170" s="17"/>
      <c r="X3170" s="17"/>
      <c r="Y3170" s="17"/>
      <c r="Z3170" s="31"/>
      <c r="AA3170" s="32"/>
    </row>
    <row r="3171" spans="1:27" ht="12.75">
      <c r="A3171" s="17"/>
      <c r="B3171" s="17"/>
      <c r="C3171" s="17"/>
      <c r="D3171" s="17"/>
      <c r="E3171" s="17"/>
      <c r="F3171" s="17"/>
      <c r="G3171" s="17"/>
      <c r="H3171" s="17"/>
      <c r="I3171" s="31"/>
      <c r="J3171" s="17"/>
      <c r="K3171" s="17"/>
      <c r="L3171" s="17"/>
      <c r="M3171" s="17"/>
      <c r="N3171" s="17"/>
      <c r="O3171" s="17"/>
      <c r="P3171" s="17"/>
      <c r="Q3171" s="17"/>
      <c r="R3171" s="17"/>
      <c r="S3171" s="17"/>
      <c r="T3171" s="17"/>
      <c r="U3171" s="17"/>
      <c r="V3171" s="17"/>
      <c r="W3171" s="17"/>
      <c r="X3171" s="17"/>
      <c r="Y3171" s="17"/>
      <c r="Z3171" s="31"/>
      <c r="AA3171" s="32"/>
    </row>
    <row r="3172" spans="1:27" ht="12.75">
      <c r="A3172" s="17"/>
      <c r="B3172" s="17"/>
      <c r="C3172" s="17"/>
      <c r="D3172" s="17"/>
      <c r="E3172" s="17"/>
      <c r="F3172" s="17"/>
      <c r="G3172" s="17"/>
      <c r="H3172" s="17"/>
      <c r="I3172" s="31"/>
      <c r="J3172" s="17"/>
      <c r="K3172" s="17"/>
      <c r="L3172" s="17"/>
      <c r="M3172" s="17"/>
      <c r="N3172" s="17"/>
      <c r="O3172" s="17"/>
      <c r="P3172" s="17"/>
      <c r="Q3172" s="17"/>
      <c r="R3172" s="17"/>
      <c r="S3172" s="17"/>
      <c r="T3172" s="17"/>
      <c r="U3172" s="17"/>
      <c r="V3172" s="17"/>
      <c r="W3172" s="17"/>
      <c r="X3172" s="17"/>
      <c r="Y3172" s="17"/>
      <c r="Z3172" s="31"/>
      <c r="AA3172" s="32"/>
    </row>
    <row r="3173" spans="1:27" ht="12.75">
      <c r="A3173" s="17"/>
      <c r="B3173" s="17"/>
      <c r="C3173" s="17"/>
      <c r="D3173" s="17"/>
      <c r="E3173" s="17"/>
      <c r="F3173" s="17"/>
      <c r="G3173" s="17"/>
      <c r="H3173" s="17"/>
      <c r="I3173" s="31"/>
      <c r="J3173" s="17"/>
      <c r="K3173" s="17"/>
      <c r="L3173" s="17"/>
      <c r="M3173" s="17"/>
      <c r="N3173" s="17"/>
      <c r="O3173" s="17"/>
      <c r="P3173" s="17"/>
      <c r="Q3173" s="17"/>
      <c r="R3173" s="17"/>
      <c r="S3173" s="17"/>
      <c r="T3173" s="17"/>
      <c r="U3173" s="17"/>
      <c r="V3173" s="17"/>
      <c r="W3173" s="17"/>
      <c r="X3173" s="17"/>
      <c r="Y3173" s="17"/>
      <c r="Z3173" s="31"/>
      <c r="AA3173" s="32"/>
    </row>
    <row r="3174" spans="1:27" ht="12.75">
      <c r="A3174" s="17"/>
      <c r="B3174" s="17"/>
      <c r="C3174" s="17"/>
      <c r="D3174" s="17"/>
      <c r="E3174" s="17"/>
      <c r="F3174" s="17"/>
      <c r="G3174" s="17"/>
      <c r="H3174" s="17"/>
      <c r="I3174" s="31"/>
      <c r="J3174" s="17"/>
      <c r="K3174" s="17"/>
      <c r="L3174" s="17"/>
      <c r="M3174" s="17"/>
      <c r="N3174" s="17"/>
      <c r="O3174" s="17"/>
      <c r="P3174" s="17"/>
      <c r="Q3174" s="17"/>
      <c r="R3174" s="17"/>
      <c r="S3174" s="17"/>
      <c r="T3174" s="17"/>
      <c r="U3174" s="17"/>
      <c r="V3174" s="17"/>
      <c r="W3174" s="17"/>
      <c r="X3174" s="17"/>
      <c r="Y3174" s="17"/>
      <c r="Z3174" s="31"/>
      <c r="AA3174" s="32"/>
    </row>
    <row r="3175" spans="1:27" ht="12.75">
      <c r="A3175" s="17"/>
      <c r="B3175" s="17"/>
      <c r="C3175" s="17"/>
      <c r="D3175" s="17"/>
      <c r="E3175" s="17"/>
      <c r="F3175" s="17"/>
      <c r="G3175" s="17"/>
      <c r="H3175" s="17"/>
      <c r="I3175" s="31"/>
      <c r="J3175" s="17"/>
      <c r="K3175" s="17"/>
      <c r="L3175" s="17"/>
      <c r="M3175" s="17"/>
      <c r="N3175" s="17"/>
      <c r="O3175" s="17"/>
      <c r="P3175" s="17"/>
      <c r="Q3175" s="17"/>
      <c r="R3175" s="17"/>
      <c r="S3175" s="17"/>
      <c r="T3175" s="17"/>
      <c r="U3175" s="17"/>
      <c r="V3175" s="17"/>
      <c r="W3175" s="17"/>
      <c r="X3175" s="17"/>
      <c r="Y3175" s="17"/>
      <c r="Z3175" s="31"/>
      <c r="AA3175" s="32"/>
    </row>
    <row r="3176" spans="1:27" ht="12.75">
      <c r="A3176" s="17"/>
      <c r="B3176" s="17"/>
      <c r="C3176" s="17"/>
      <c r="D3176" s="17"/>
      <c r="E3176" s="17"/>
      <c r="F3176" s="17"/>
      <c r="G3176" s="17"/>
      <c r="H3176" s="17"/>
      <c r="I3176" s="31"/>
      <c r="J3176" s="17"/>
      <c r="K3176" s="17"/>
      <c r="L3176" s="17"/>
      <c r="M3176" s="17"/>
      <c r="N3176" s="17"/>
      <c r="O3176" s="17"/>
      <c r="P3176" s="17"/>
      <c r="Q3176" s="17"/>
      <c r="R3176" s="17"/>
      <c r="S3176" s="17"/>
      <c r="T3176" s="17"/>
      <c r="U3176" s="17"/>
      <c r="V3176" s="17"/>
      <c r="W3176" s="17"/>
      <c r="X3176" s="17"/>
      <c r="Y3176" s="17"/>
      <c r="Z3176" s="31"/>
      <c r="AA3176" s="32"/>
    </row>
    <row r="3177" spans="1:27" ht="12.75">
      <c r="A3177" s="17"/>
      <c r="B3177" s="17"/>
      <c r="C3177" s="17"/>
      <c r="D3177" s="17"/>
      <c r="E3177" s="17"/>
      <c r="F3177" s="17"/>
      <c r="G3177" s="17"/>
      <c r="H3177" s="17"/>
      <c r="I3177" s="31"/>
      <c r="J3177" s="17"/>
      <c r="K3177" s="17"/>
      <c r="L3177" s="17"/>
      <c r="M3177" s="17"/>
      <c r="N3177" s="17"/>
      <c r="O3177" s="17"/>
      <c r="P3177" s="17"/>
      <c r="Q3177" s="17"/>
      <c r="R3177" s="17"/>
      <c r="S3177" s="17"/>
      <c r="T3177" s="17"/>
      <c r="U3177" s="17"/>
      <c r="V3177" s="17"/>
      <c r="W3177" s="17"/>
      <c r="X3177" s="17"/>
      <c r="Y3177" s="17"/>
      <c r="Z3177" s="31"/>
      <c r="AA3177" s="32"/>
    </row>
    <row r="3178" spans="1:27" ht="12.75">
      <c r="A3178" s="17"/>
      <c r="B3178" s="17"/>
      <c r="C3178" s="17"/>
      <c r="D3178" s="17"/>
      <c r="E3178" s="17"/>
      <c r="F3178" s="17"/>
      <c r="G3178" s="17"/>
      <c r="H3178" s="17"/>
      <c r="I3178" s="31"/>
      <c r="J3178" s="17"/>
      <c r="K3178" s="17"/>
      <c r="L3178" s="17"/>
      <c r="M3178" s="17"/>
      <c r="N3178" s="17"/>
      <c r="O3178" s="17"/>
      <c r="P3178" s="17"/>
      <c r="Q3178" s="17"/>
      <c r="R3178" s="17"/>
      <c r="S3178" s="17"/>
      <c r="T3178" s="17"/>
      <c r="U3178" s="17"/>
      <c r="V3178" s="17"/>
      <c r="W3178" s="17"/>
      <c r="X3178" s="17"/>
      <c r="Y3178" s="17"/>
      <c r="Z3178" s="31"/>
      <c r="AA3178" s="32"/>
    </row>
    <row r="3179" spans="1:27" ht="12.75">
      <c r="A3179" s="17"/>
      <c r="B3179" s="17"/>
      <c r="C3179" s="17"/>
      <c r="D3179" s="17"/>
      <c r="E3179" s="17"/>
      <c r="F3179" s="17"/>
      <c r="G3179" s="17"/>
      <c r="H3179" s="17"/>
      <c r="I3179" s="31"/>
      <c r="J3179" s="17"/>
      <c r="K3179" s="17"/>
      <c r="L3179" s="17"/>
      <c r="M3179" s="17"/>
      <c r="N3179" s="17"/>
      <c r="O3179" s="17"/>
      <c r="P3179" s="17"/>
      <c r="Q3179" s="17"/>
      <c r="R3179" s="17"/>
      <c r="S3179" s="17"/>
      <c r="T3179" s="17"/>
      <c r="U3179" s="17"/>
      <c r="V3179" s="17"/>
      <c r="W3179" s="17"/>
      <c r="X3179" s="17"/>
      <c r="Y3179" s="17"/>
      <c r="Z3179" s="31"/>
      <c r="AA3179" s="32"/>
    </row>
    <row r="3180" spans="1:27" ht="12.75">
      <c r="A3180" s="17"/>
      <c r="B3180" s="17"/>
      <c r="C3180" s="17"/>
      <c r="D3180" s="17"/>
      <c r="E3180" s="17"/>
      <c r="F3180" s="17"/>
      <c r="G3180" s="17"/>
      <c r="H3180" s="17"/>
      <c r="I3180" s="31"/>
      <c r="J3180" s="17"/>
      <c r="K3180" s="17"/>
      <c r="L3180" s="17"/>
      <c r="M3180" s="17"/>
      <c r="N3180" s="17"/>
      <c r="O3180" s="17"/>
      <c r="P3180" s="17"/>
      <c r="Q3180" s="17"/>
      <c r="R3180" s="17"/>
      <c r="S3180" s="17"/>
      <c r="T3180" s="17"/>
      <c r="U3180" s="17"/>
      <c r="V3180" s="17"/>
      <c r="W3180" s="17"/>
      <c r="X3180" s="17"/>
      <c r="Y3180" s="17"/>
      <c r="Z3180" s="31"/>
      <c r="AA3180" s="32"/>
    </row>
    <row r="3181" spans="1:27" ht="12.75">
      <c r="A3181" s="17"/>
      <c r="B3181" s="17"/>
      <c r="C3181" s="17"/>
      <c r="D3181" s="17"/>
      <c r="E3181" s="17"/>
      <c r="F3181" s="17"/>
      <c r="G3181" s="17"/>
      <c r="H3181" s="17"/>
      <c r="I3181" s="31"/>
      <c r="J3181" s="17"/>
      <c r="K3181" s="17"/>
      <c r="L3181" s="17"/>
      <c r="M3181" s="17"/>
      <c r="N3181" s="17"/>
      <c r="O3181" s="17"/>
      <c r="P3181" s="17"/>
      <c r="Q3181" s="17"/>
      <c r="R3181" s="17"/>
      <c r="S3181" s="17"/>
      <c r="T3181" s="17"/>
      <c r="U3181" s="17"/>
      <c r="V3181" s="17"/>
      <c r="W3181" s="17"/>
      <c r="X3181" s="17"/>
      <c r="Y3181" s="17"/>
      <c r="Z3181" s="31"/>
      <c r="AA3181" s="32"/>
    </row>
    <row r="3182" spans="1:27" ht="12.75">
      <c r="A3182" s="17"/>
      <c r="B3182" s="17"/>
      <c r="C3182" s="17"/>
      <c r="D3182" s="17"/>
      <c r="E3182" s="17"/>
      <c r="F3182" s="17"/>
      <c r="G3182" s="17"/>
      <c r="H3182" s="17"/>
      <c r="I3182" s="31"/>
      <c r="J3182" s="17"/>
      <c r="K3182" s="17"/>
      <c r="L3182" s="17"/>
      <c r="M3182" s="17"/>
      <c r="N3182" s="17"/>
      <c r="O3182" s="17"/>
      <c r="P3182" s="17"/>
      <c r="Q3182" s="17"/>
      <c r="R3182" s="17"/>
      <c r="S3182" s="17"/>
      <c r="T3182" s="17"/>
      <c r="U3182" s="17"/>
      <c r="V3182" s="17"/>
      <c r="W3182" s="17"/>
      <c r="X3182" s="17"/>
      <c r="Y3182" s="17"/>
      <c r="Z3182" s="31"/>
      <c r="AA3182" s="32"/>
    </row>
    <row r="3183" spans="1:27" ht="12.75">
      <c r="A3183" s="17"/>
      <c r="B3183" s="17"/>
      <c r="C3183" s="17"/>
      <c r="D3183" s="17"/>
      <c r="E3183" s="17"/>
      <c r="F3183" s="17"/>
      <c r="G3183" s="17"/>
      <c r="H3183" s="17"/>
      <c r="I3183" s="31"/>
      <c r="J3183" s="17"/>
      <c r="K3183" s="17"/>
      <c r="L3183" s="17"/>
      <c r="M3183" s="17"/>
      <c r="N3183" s="17"/>
      <c r="O3183" s="17"/>
      <c r="P3183" s="17"/>
      <c r="Q3183" s="17"/>
      <c r="R3183" s="17"/>
      <c r="S3183" s="17"/>
      <c r="T3183" s="17"/>
      <c r="U3183" s="17"/>
      <c r="V3183" s="17"/>
      <c r="W3183" s="17"/>
      <c r="X3183" s="17"/>
      <c r="Y3183" s="17"/>
      <c r="Z3183" s="31"/>
      <c r="AA3183" s="32"/>
    </row>
    <row r="3184" spans="1:27" ht="12.75">
      <c r="A3184" s="17"/>
      <c r="B3184" s="17"/>
      <c r="C3184" s="17"/>
      <c r="D3184" s="17"/>
      <c r="E3184" s="17"/>
      <c r="F3184" s="17"/>
      <c r="G3184" s="17"/>
      <c r="H3184" s="17"/>
      <c r="I3184" s="31"/>
      <c r="J3184" s="17"/>
      <c r="K3184" s="17"/>
      <c r="L3184" s="17"/>
      <c r="M3184" s="17"/>
      <c r="N3184" s="17"/>
      <c r="O3184" s="17"/>
      <c r="P3184" s="17"/>
      <c r="Q3184" s="17"/>
      <c r="R3184" s="17"/>
      <c r="S3184" s="17"/>
      <c r="T3184" s="17"/>
      <c r="U3184" s="17"/>
      <c r="V3184" s="17"/>
      <c r="W3184" s="17"/>
      <c r="X3184" s="17"/>
      <c r="Y3184" s="17"/>
      <c r="Z3184" s="31"/>
      <c r="AA3184" s="32"/>
    </row>
    <row r="3185" spans="1:27" ht="12.75">
      <c r="A3185" s="17"/>
      <c r="B3185" s="17"/>
      <c r="C3185" s="17"/>
      <c r="D3185" s="17"/>
      <c r="E3185" s="17"/>
      <c r="F3185" s="17"/>
      <c r="G3185" s="17"/>
      <c r="H3185" s="17"/>
      <c r="I3185" s="31"/>
      <c r="J3185" s="17"/>
      <c r="K3185" s="17"/>
      <c r="L3185" s="17"/>
      <c r="M3185" s="17"/>
      <c r="N3185" s="17"/>
      <c r="O3185" s="17"/>
      <c r="P3185" s="17"/>
      <c r="Q3185" s="17"/>
      <c r="R3185" s="17"/>
      <c r="S3185" s="17"/>
      <c r="T3185" s="17"/>
      <c r="U3185" s="17"/>
      <c r="V3185" s="17"/>
      <c r="W3185" s="17"/>
      <c r="X3185" s="17"/>
      <c r="Y3185" s="17"/>
      <c r="Z3185" s="31"/>
      <c r="AA3185" s="32"/>
    </row>
    <row r="3186" spans="1:27" ht="12.75">
      <c r="A3186" s="17"/>
      <c r="B3186" s="17"/>
      <c r="C3186" s="17"/>
      <c r="D3186" s="17"/>
      <c r="E3186" s="17"/>
      <c r="F3186" s="17"/>
      <c r="G3186" s="17"/>
      <c r="H3186" s="17"/>
      <c r="I3186" s="31"/>
      <c r="J3186" s="17"/>
      <c r="K3186" s="17"/>
      <c r="L3186" s="17"/>
      <c r="M3186" s="17"/>
      <c r="N3186" s="17"/>
      <c r="O3186" s="17"/>
      <c r="P3186" s="17"/>
      <c r="Q3186" s="17"/>
      <c r="R3186" s="17"/>
      <c r="S3186" s="17"/>
      <c r="T3186" s="17"/>
      <c r="U3186" s="17"/>
      <c r="V3186" s="17"/>
      <c r="W3186" s="17"/>
      <c r="X3186" s="17"/>
      <c r="Y3186" s="17"/>
      <c r="Z3186" s="31"/>
      <c r="AA3186" s="32"/>
    </row>
    <row r="3187" spans="1:27" ht="12.75">
      <c r="A3187" s="17"/>
      <c r="B3187" s="17"/>
      <c r="C3187" s="17"/>
      <c r="D3187" s="17"/>
      <c r="E3187" s="17"/>
      <c r="F3187" s="17"/>
      <c r="G3187" s="17"/>
      <c r="H3187" s="17"/>
      <c r="I3187" s="31"/>
      <c r="J3187" s="17"/>
      <c r="K3187" s="17"/>
      <c r="L3187" s="17"/>
      <c r="M3187" s="17"/>
      <c r="N3187" s="17"/>
      <c r="O3187" s="17"/>
      <c r="P3187" s="17"/>
      <c r="Q3187" s="17"/>
      <c r="R3187" s="17"/>
      <c r="S3187" s="17"/>
      <c r="T3187" s="17"/>
      <c r="U3187" s="17"/>
      <c r="V3187" s="17"/>
      <c r="W3187" s="17"/>
      <c r="X3187" s="17"/>
      <c r="Y3187" s="17"/>
      <c r="Z3187" s="31"/>
      <c r="AA3187" s="32"/>
    </row>
    <row r="3188" spans="1:27" ht="12.75">
      <c r="A3188" s="17"/>
      <c r="B3188" s="17"/>
      <c r="C3188" s="17"/>
      <c r="D3188" s="17"/>
      <c r="E3188" s="17"/>
      <c r="F3188" s="17"/>
      <c r="G3188" s="17"/>
      <c r="H3188" s="17"/>
      <c r="I3188" s="31"/>
      <c r="J3188" s="17"/>
      <c r="K3188" s="17"/>
      <c r="L3188" s="17"/>
      <c r="M3188" s="17"/>
      <c r="N3188" s="17"/>
      <c r="O3188" s="17"/>
      <c r="P3188" s="17"/>
      <c r="Q3188" s="17"/>
      <c r="R3188" s="17"/>
      <c r="S3188" s="17"/>
      <c r="T3188" s="17"/>
      <c r="U3188" s="17"/>
      <c r="V3188" s="17"/>
      <c r="W3188" s="17"/>
      <c r="X3188" s="17"/>
      <c r="Y3188" s="17"/>
      <c r="Z3188" s="31"/>
      <c r="AA3188" s="32"/>
    </row>
    <row r="3189" spans="1:27" ht="12.75">
      <c r="A3189" s="17"/>
      <c r="B3189" s="17"/>
      <c r="C3189" s="17"/>
      <c r="D3189" s="17"/>
      <c r="E3189" s="17"/>
      <c r="F3189" s="17"/>
      <c r="G3189" s="17"/>
      <c r="H3189" s="17"/>
      <c r="I3189" s="31"/>
      <c r="J3189" s="17"/>
      <c r="K3189" s="17"/>
      <c r="L3189" s="17"/>
      <c r="M3189" s="17"/>
      <c r="N3189" s="17"/>
      <c r="O3189" s="17"/>
      <c r="P3189" s="17"/>
      <c r="Q3189" s="17"/>
      <c r="R3189" s="17"/>
      <c r="S3189" s="17"/>
      <c r="T3189" s="17"/>
      <c r="U3189" s="17"/>
      <c r="V3189" s="17"/>
      <c r="W3189" s="17"/>
      <c r="X3189" s="17"/>
      <c r="Y3189" s="17"/>
      <c r="Z3189" s="31"/>
      <c r="AA3189" s="32"/>
    </row>
    <row r="3190" spans="1:27" ht="12.75">
      <c r="A3190" s="17"/>
      <c r="B3190" s="17"/>
      <c r="C3190" s="17"/>
      <c r="D3190" s="17"/>
      <c r="E3190" s="17"/>
      <c r="F3190" s="17"/>
      <c r="G3190" s="17"/>
      <c r="H3190" s="17"/>
      <c r="I3190" s="31"/>
      <c r="J3190" s="17"/>
      <c r="K3190" s="17"/>
      <c r="L3190" s="17"/>
      <c r="M3190" s="17"/>
      <c r="N3190" s="17"/>
      <c r="O3190" s="17"/>
      <c r="P3190" s="17"/>
      <c r="Q3190" s="17"/>
      <c r="R3190" s="17"/>
      <c r="S3190" s="17"/>
      <c r="T3190" s="17"/>
      <c r="U3190" s="17"/>
      <c r="V3190" s="17"/>
      <c r="W3190" s="17"/>
      <c r="X3190" s="17"/>
      <c r="Y3190" s="17"/>
      <c r="Z3190" s="31"/>
      <c r="AA3190" s="32"/>
    </row>
    <row r="3191" spans="1:27" ht="12.75">
      <c r="A3191" s="17"/>
      <c r="B3191" s="17"/>
      <c r="C3191" s="17"/>
      <c r="D3191" s="17"/>
      <c r="E3191" s="17"/>
      <c r="F3191" s="17"/>
      <c r="G3191" s="17"/>
      <c r="H3191" s="17"/>
      <c r="I3191" s="31"/>
      <c r="J3191" s="17"/>
      <c r="K3191" s="17"/>
      <c r="L3191" s="17"/>
      <c r="M3191" s="17"/>
      <c r="N3191" s="17"/>
      <c r="O3191" s="17"/>
      <c r="P3191" s="17"/>
      <c r="Q3191" s="17"/>
      <c r="R3191" s="17"/>
      <c r="S3191" s="17"/>
      <c r="T3191" s="17"/>
      <c r="U3191" s="17"/>
      <c r="V3191" s="17"/>
      <c r="W3191" s="17"/>
      <c r="X3191" s="17"/>
      <c r="Y3191" s="17"/>
      <c r="Z3191" s="31"/>
      <c r="AA3191" s="32"/>
    </row>
    <row r="3192" spans="1:27" ht="12.75">
      <c r="A3192" s="17"/>
      <c r="B3192" s="17"/>
      <c r="C3192" s="17"/>
      <c r="D3192" s="17"/>
      <c r="E3192" s="17"/>
      <c r="F3192" s="17"/>
      <c r="G3192" s="17"/>
      <c r="H3192" s="17"/>
      <c r="I3192" s="31"/>
      <c r="J3192" s="17"/>
      <c r="K3192" s="17"/>
      <c r="L3192" s="17"/>
      <c r="M3192" s="17"/>
      <c r="N3192" s="17"/>
      <c r="O3192" s="17"/>
      <c r="P3192" s="17"/>
      <c r="Q3192" s="17"/>
      <c r="R3192" s="17"/>
      <c r="S3192" s="17"/>
      <c r="T3192" s="17"/>
      <c r="U3192" s="17"/>
      <c r="V3192" s="17"/>
      <c r="W3192" s="17"/>
      <c r="X3192" s="17"/>
      <c r="Y3192" s="17"/>
      <c r="Z3192" s="31"/>
      <c r="AA3192" s="32"/>
    </row>
    <row r="3193" spans="1:27" ht="12.75">
      <c r="A3193" s="17"/>
      <c r="B3193" s="17"/>
      <c r="C3193" s="17"/>
      <c r="D3193" s="17"/>
      <c r="E3193" s="17"/>
      <c r="F3193" s="17"/>
      <c r="G3193" s="17"/>
      <c r="H3193" s="17"/>
      <c r="I3193" s="31"/>
      <c r="J3193" s="17"/>
      <c r="K3193" s="17"/>
      <c r="L3193" s="17"/>
      <c r="M3193" s="17"/>
      <c r="N3193" s="17"/>
      <c r="O3193" s="17"/>
      <c r="P3193" s="17"/>
      <c r="Q3193" s="17"/>
      <c r="R3193" s="17"/>
      <c r="S3193" s="17"/>
      <c r="T3193" s="17"/>
      <c r="U3193" s="17"/>
      <c r="V3193" s="17"/>
      <c r="W3193" s="17"/>
      <c r="X3193" s="17"/>
      <c r="Y3193" s="17"/>
      <c r="Z3193" s="31"/>
      <c r="AA3193" s="32"/>
    </row>
    <row r="3194" spans="1:27" ht="12.75">
      <c r="A3194" s="17"/>
      <c r="B3194" s="17"/>
      <c r="C3194" s="17"/>
      <c r="D3194" s="17"/>
      <c r="E3194" s="17"/>
      <c r="F3194" s="17"/>
      <c r="G3194" s="17"/>
      <c r="H3194" s="17"/>
      <c r="I3194" s="31"/>
      <c r="J3194" s="17"/>
      <c r="K3194" s="17"/>
      <c r="L3194" s="17"/>
      <c r="M3194" s="17"/>
      <c r="N3194" s="17"/>
      <c r="O3194" s="17"/>
      <c r="P3194" s="17"/>
      <c r="Q3194" s="17"/>
      <c r="R3194" s="17"/>
      <c r="S3194" s="17"/>
      <c r="T3194" s="17"/>
      <c r="U3194" s="17"/>
      <c r="V3194" s="17"/>
      <c r="W3194" s="17"/>
      <c r="X3194" s="17"/>
      <c r="Y3194" s="17"/>
      <c r="Z3194" s="31"/>
      <c r="AA3194" s="32"/>
    </row>
    <row r="3195" spans="1:27" ht="12.75">
      <c r="A3195" s="17"/>
      <c r="B3195" s="17"/>
      <c r="C3195" s="17"/>
      <c r="D3195" s="17"/>
      <c r="E3195" s="17"/>
      <c r="F3195" s="17"/>
      <c r="G3195" s="17"/>
      <c r="H3195" s="17"/>
      <c r="I3195" s="31"/>
      <c r="J3195" s="17"/>
      <c r="K3195" s="17"/>
      <c r="L3195" s="17"/>
      <c r="M3195" s="17"/>
      <c r="N3195" s="17"/>
      <c r="O3195" s="17"/>
      <c r="P3195" s="17"/>
      <c r="Q3195" s="17"/>
      <c r="R3195" s="17"/>
      <c r="S3195" s="17"/>
      <c r="T3195" s="17"/>
      <c r="U3195" s="17"/>
      <c r="V3195" s="17"/>
      <c r="W3195" s="17"/>
      <c r="X3195" s="17"/>
      <c r="Y3195" s="17"/>
      <c r="Z3195" s="31"/>
      <c r="AA3195" s="32"/>
    </row>
    <row r="3196" spans="1:27" ht="12.75">
      <c r="A3196" s="17"/>
      <c r="B3196" s="17"/>
      <c r="C3196" s="17"/>
      <c r="D3196" s="17"/>
      <c r="E3196" s="17"/>
      <c r="F3196" s="17"/>
      <c r="G3196" s="17"/>
      <c r="H3196" s="17"/>
      <c r="I3196" s="31"/>
      <c r="J3196" s="17"/>
      <c r="K3196" s="17"/>
      <c r="L3196" s="17"/>
      <c r="M3196" s="17"/>
      <c r="N3196" s="17"/>
      <c r="O3196" s="17"/>
      <c r="P3196" s="17"/>
      <c r="Q3196" s="17"/>
      <c r="R3196" s="17"/>
      <c r="S3196" s="17"/>
      <c r="T3196" s="17"/>
      <c r="U3196" s="17"/>
      <c r="V3196" s="17"/>
      <c r="W3196" s="17"/>
      <c r="X3196" s="17"/>
      <c r="Y3196" s="17"/>
      <c r="Z3196" s="31"/>
      <c r="AA3196" s="32"/>
    </row>
    <row r="3197" spans="1:27" ht="12.75">
      <c r="A3197" s="17"/>
      <c r="B3197" s="17"/>
      <c r="C3197" s="17"/>
      <c r="D3197" s="17"/>
      <c r="E3197" s="17"/>
      <c r="F3197" s="17"/>
      <c r="G3197" s="17"/>
      <c r="H3197" s="17"/>
      <c r="I3197" s="31"/>
      <c r="J3197" s="17"/>
      <c r="K3197" s="17"/>
      <c r="L3197" s="17"/>
      <c r="M3197" s="17"/>
      <c r="N3197" s="17"/>
      <c r="O3197" s="17"/>
      <c r="P3197" s="17"/>
      <c r="Q3197" s="17"/>
      <c r="R3197" s="17"/>
      <c r="S3197" s="17"/>
      <c r="T3197" s="17"/>
      <c r="U3197" s="17"/>
      <c r="V3197" s="17"/>
      <c r="W3197" s="17"/>
      <c r="X3197" s="17"/>
      <c r="Y3197" s="17"/>
      <c r="Z3197" s="31"/>
      <c r="AA3197" s="32"/>
    </row>
    <row r="3198" spans="1:27" ht="12.75">
      <c r="A3198" s="17"/>
      <c r="B3198" s="17"/>
      <c r="C3198" s="17"/>
      <c r="D3198" s="17"/>
      <c r="E3198" s="17"/>
      <c r="F3198" s="17"/>
      <c r="G3198" s="17"/>
      <c r="H3198" s="17"/>
      <c r="I3198" s="31"/>
      <c r="J3198" s="17"/>
      <c r="K3198" s="17"/>
      <c r="L3198" s="17"/>
      <c r="M3198" s="17"/>
      <c r="N3198" s="17"/>
      <c r="O3198" s="17"/>
      <c r="P3198" s="17"/>
      <c r="Q3198" s="17"/>
      <c r="R3198" s="17"/>
      <c r="S3198" s="17"/>
      <c r="T3198" s="17"/>
      <c r="U3198" s="17"/>
      <c r="V3198" s="17"/>
      <c r="W3198" s="17"/>
      <c r="X3198" s="17"/>
      <c r="Y3198" s="17"/>
      <c r="Z3198" s="31"/>
      <c r="AA3198" s="32"/>
    </row>
    <row r="3199" spans="1:27" ht="12.75">
      <c r="A3199" s="17"/>
      <c r="B3199" s="17"/>
      <c r="C3199" s="17"/>
      <c r="D3199" s="17"/>
      <c r="E3199" s="17"/>
      <c r="F3199" s="17"/>
      <c r="G3199" s="17"/>
      <c r="H3199" s="17"/>
      <c r="I3199" s="31"/>
      <c r="J3199" s="17"/>
      <c r="K3199" s="17"/>
      <c r="L3199" s="17"/>
      <c r="M3199" s="17"/>
      <c r="N3199" s="17"/>
      <c r="O3199" s="17"/>
      <c r="P3199" s="17"/>
      <c r="Q3199" s="17"/>
      <c r="R3199" s="17"/>
      <c r="S3199" s="17"/>
      <c r="T3199" s="17"/>
      <c r="U3199" s="17"/>
      <c r="V3199" s="17"/>
      <c r="W3199" s="17"/>
      <c r="X3199" s="17"/>
      <c r="Y3199" s="17"/>
      <c r="Z3199" s="31"/>
      <c r="AA3199" s="32"/>
    </row>
    <row r="3200" spans="1:27" ht="12.75">
      <c r="A3200" s="17"/>
      <c r="B3200" s="17"/>
      <c r="C3200" s="17"/>
      <c r="D3200" s="17"/>
      <c r="E3200" s="17"/>
      <c r="F3200" s="17"/>
      <c r="G3200" s="17"/>
      <c r="H3200" s="17"/>
      <c r="I3200" s="31"/>
      <c r="J3200" s="17"/>
      <c r="K3200" s="17"/>
      <c r="L3200" s="17"/>
      <c r="M3200" s="17"/>
      <c r="N3200" s="17"/>
      <c r="O3200" s="17"/>
      <c r="P3200" s="17"/>
      <c r="Q3200" s="17"/>
      <c r="R3200" s="17"/>
      <c r="S3200" s="17"/>
      <c r="T3200" s="17"/>
      <c r="U3200" s="17"/>
      <c r="V3200" s="17"/>
      <c r="W3200" s="17"/>
      <c r="X3200" s="17"/>
      <c r="Y3200" s="17"/>
      <c r="Z3200" s="31"/>
      <c r="AA3200" s="32"/>
    </row>
    <row r="3201" spans="1:27" ht="12.75">
      <c r="A3201" s="17"/>
      <c r="B3201" s="17"/>
      <c r="C3201" s="17"/>
      <c r="D3201" s="17"/>
      <c r="E3201" s="17"/>
      <c r="F3201" s="17"/>
      <c r="G3201" s="17"/>
      <c r="H3201" s="17"/>
      <c r="I3201" s="31"/>
      <c r="J3201" s="17"/>
      <c r="K3201" s="17"/>
      <c r="L3201" s="17"/>
      <c r="M3201" s="17"/>
      <c r="N3201" s="17"/>
      <c r="O3201" s="17"/>
      <c r="P3201" s="17"/>
      <c r="Q3201" s="17"/>
      <c r="R3201" s="17"/>
      <c r="S3201" s="17"/>
      <c r="T3201" s="17"/>
      <c r="U3201" s="17"/>
      <c r="V3201" s="17"/>
      <c r="W3201" s="17"/>
      <c r="X3201" s="17"/>
      <c r="Y3201" s="17"/>
      <c r="Z3201" s="31"/>
      <c r="AA3201" s="32"/>
    </row>
    <row r="3202" spans="1:27" ht="12.75">
      <c r="A3202" s="17"/>
      <c r="B3202" s="17"/>
      <c r="C3202" s="17"/>
      <c r="D3202" s="17"/>
      <c r="E3202" s="17"/>
      <c r="F3202" s="17"/>
      <c r="G3202" s="17"/>
      <c r="H3202" s="17"/>
      <c r="I3202" s="31"/>
      <c r="J3202" s="17"/>
      <c r="K3202" s="17"/>
      <c r="L3202" s="17"/>
      <c r="M3202" s="17"/>
      <c r="N3202" s="17"/>
      <c r="O3202" s="17"/>
      <c r="P3202" s="17"/>
      <c r="Q3202" s="17"/>
      <c r="R3202" s="17"/>
      <c r="S3202" s="17"/>
      <c r="T3202" s="17"/>
      <c r="U3202" s="17"/>
      <c r="V3202" s="17"/>
      <c r="W3202" s="17"/>
      <c r="X3202" s="17"/>
      <c r="Y3202" s="17"/>
      <c r="Z3202" s="31"/>
      <c r="AA3202" s="32"/>
    </row>
    <row r="3203" spans="1:27" ht="12.75">
      <c r="A3203" s="17"/>
      <c r="B3203" s="17"/>
      <c r="C3203" s="17"/>
      <c r="D3203" s="17"/>
      <c r="E3203" s="17"/>
      <c r="F3203" s="17"/>
      <c r="G3203" s="17"/>
      <c r="H3203" s="17"/>
      <c r="I3203" s="31"/>
      <c r="J3203" s="17"/>
      <c r="K3203" s="17"/>
      <c r="L3203" s="17"/>
      <c r="M3203" s="17"/>
      <c r="N3203" s="17"/>
      <c r="O3203" s="17"/>
      <c r="P3203" s="17"/>
      <c r="Q3203" s="17"/>
      <c r="R3203" s="17"/>
      <c r="S3203" s="17"/>
      <c r="T3203" s="17"/>
      <c r="U3203" s="17"/>
      <c r="V3203" s="17"/>
      <c r="W3203" s="17"/>
      <c r="X3203" s="17"/>
      <c r="Y3203" s="17"/>
      <c r="Z3203" s="31"/>
      <c r="AA3203" s="32"/>
    </row>
    <row r="3204" spans="1:27" ht="12.75">
      <c r="A3204" s="17"/>
      <c r="B3204" s="17"/>
      <c r="C3204" s="17"/>
      <c r="D3204" s="17"/>
      <c r="E3204" s="17"/>
      <c r="F3204" s="17"/>
      <c r="G3204" s="17"/>
      <c r="H3204" s="17"/>
      <c r="I3204" s="31"/>
      <c r="J3204" s="17"/>
      <c r="K3204" s="17"/>
      <c r="L3204" s="17"/>
      <c r="M3204" s="17"/>
      <c r="N3204" s="17"/>
      <c r="O3204" s="17"/>
      <c r="P3204" s="17"/>
      <c r="Q3204" s="17"/>
      <c r="R3204" s="17"/>
      <c r="S3204" s="17"/>
      <c r="T3204" s="17"/>
      <c r="U3204" s="17"/>
      <c r="V3204" s="17"/>
      <c r="W3204" s="17"/>
      <c r="X3204" s="17"/>
      <c r="Y3204" s="17"/>
      <c r="Z3204" s="31"/>
      <c r="AA3204" s="32"/>
    </row>
    <row r="3205" spans="1:27" ht="12.75">
      <c r="A3205" s="17"/>
      <c r="B3205" s="17"/>
      <c r="C3205" s="17"/>
      <c r="D3205" s="17"/>
      <c r="E3205" s="17"/>
      <c r="F3205" s="17"/>
      <c r="G3205" s="17"/>
      <c r="H3205" s="17"/>
      <c r="I3205" s="31"/>
      <c r="J3205" s="17"/>
      <c r="K3205" s="17"/>
      <c r="L3205" s="17"/>
      <c r="M3205" s="17"/>
      <c r="N3205" s="17"/>
      <c r="O3205" s="17"/>
      <c r="P3205" s="17"/>
      <c r="Q3205" s="17"/>
      <c r="R3205" s="17"/>
      <c r="S3205" s="17"/>
      <c r="T3205" s="17"/>
      <c r="U3205" s="17"/>
      <c r="V3205" s="17"/>
      <c r="W3205" s="17"/>
      <c r="X3205" s="17"/>
      <c r="Y3205" s="17"/>
      <c r="Z3205" s="31"/>
      <c r="AA3205" s="32"/>
    </row>
    <row r="3206" spans="1:27" ht="12.75">
      <c r="A3206" s="17"/>
      <c r="B3206" s="17"/>
      <c r="C3206" s="17"/>
      <c r="D3206" s="17"/>
      <c r="E3206" s="17"/>
      <c r="F3206" s="17"/>
      <c r="G3206" s="17"/>
      <c r="H3206" s="17"/>
      <c r="I3206" s="31"/>
      <c r="J3206" s="17"/>
      <c r="K3206" s="17"/>
      <c r="L3206" s="17"/>
      <c r="M3206" s="17"/>
      <c r="N3206" s="17"/>
      <c r="O3206" s="17"/>
      <c r="P3206" s="17"/>
      <c r="Q3206" s="17"/>
      <c r="R3206" s="17"/>
      <c r="S3206" s="17"/>
      <c r="T3206" s="17"/>
      <c r="U3206" s="17"/>
      <c r="V3206" s="17"/>
      <c r="W3206" s="17"/>
      <c r="X3206" s="17"/>
      <c r="Y3206" s="17"/>
      <c r="Z3206" s="31"/>
      <c r="AA3206" s="32"/>
    </row>
    <row r="3207" spans="1:27" ht="12.75">
      <c r="A3207" s="17"/>
      <c r="B3207" s="17"/>
      <c r="C3207" s="17"/>
      <c r="D3207" s="17"/>
      <c r="E3207" s="17"/>
      <c r="F3207" s="17"/>
      <c r="G3207" s="17"/>
      <c r="H3207" s="17"/>
      <c r="I3207" s="31"/>
      <c r="J3207" s="17"/>
      <c r="K3207" s="17"/>
      <c r="L3207" s="17"/>
      <c r="M3207" s="17"/>
      <c r="N3207" s="17"/>
      <c r="O3207" s="17"/>
      <c r="P3207" s="17"/>
      <c r="Q3207" s="17"/>
      <c r="R3207" s="17"/>
      <c r="S3207" s="17"/>
      <c r="T3207" s="17"/>
      <c r="U3207" s="17"/>
      <c r="V3207" s="17"/>
      <c r="W3207" s="17"/>
      <c r="X3207" s="17"/>
      <c r="Y3207" s="17"/>
      <c r="Z3207" s="31"/>
      <c r="AA3207" s="32"/>
    </row>
    <row r="3208" spans="1:27" ht="12.75">
      <c r="A3208" s="17"/>
      <c r="B3208" s="17"/>
      <c r="C3208" s="17"/>
      <c r="D3208" s="17"/>
      <c r="E3208" s="17"/>
      <c r="F3208" s="17"/>
      <c r="G3208" s="17"/>
      <c r="H3208" s="17"/>
      <c r="I3208" s="31"/>
      <c r="J3208" s="17"/>
      <c r="K3208" s="17"/>
      <c r="L3208" s="17"/>
      <c r="M3208" s="17"/>
      <c r="N3208" s="17"/>
      <c r="O3208" s="17"/>
      <c r="P3208" s="17"/>
      <c r="Q3208" s="17"/>
      <c r="R3208" s="17"/>
      <c r="S3208" s="17"/>
      <c r="T3208" s="17"/>
      <c r="U3208" s="17"/>
      <c r="V3208" s="17"/>
      <c r="W3208" s="17"/>
      <c r="X3208" s="17"/>
      <c r="Y3208" s="17"/>
      <c r="Z3208" s="31"/>
      <c r="AA3208" s="32"/>
    </row>
    <row r="3209" spans="1:27" ht="12.75">
      <c r="A3209" s="17"/>
      <c r="B3209" s="17"/>
      <c r="C3209" s="17"/>
      <c r="D3209" s="17"/>
      <c r="E3209" s="17"/>
      <c r="F3209" s="17"/>
      <c r="G3209" s="17"/>
      <c r="H3209" s="17"/>
      <c r="I3209" s="31"/>
      <c r="J3209" s="17"/>
      <c r="K3209" s="17"/>
      <c r="L3209" s="17"/>
      <c r="M3209" s="17"/>
      <c r="N3209" s="17"/>
      <c r="O3209" s="17"/>
      <c r="P3209" s="17"/>
      <c r="Q3209" s="17"/>
      <c r="R3209" s="17"/>
      <c r="S3209" s="17"/>
      <c r="T3209" s="17"/>
      <c r="U3209" s="17"/>
      <c r="V3209" s="17"/>
      <c r="W3209" s="17"/>
      <c r="X3209" s="17"/>
      <c r="Y3209" s="17"/>
      <c r="Z3209" s="31"/>
      <c r="AA3209" s="32"/>
    </row>
    <row r="3210" spans="1:27" ht="12.75">
      <c r="A3210" s="17"/>
      <c r="B3210" s="17"/>
      <c r="C3210" s="17"/>
      <c r="D3210" s="17"/>
      <c r="E3210" s="17"/>
      <c r="F3210" s="17"/>
      <c r="G3210" s="17"/>
      <c r="H3210" s="17"/>
      <c r="I3210" s="31"/>
      <c r="J3210" s="17"/>
      <c r="K3210" s="17"/>
      <c r="L3210" s="17"/>
      <c r="M3210" s="17"/>
      <c r="N3210" s="17"/>
      <c r="O3210" s="17"/>
      <c r="P3210" s="17"/>
      <c r="Q3210" s="17"/>
      <c r="R3210" s="17"/>
      <c r="S3210" s="17"/>
      <c r="T3210" s="17"/>
      <c r="U3210" s="17"/>
      <c r="V3210" s="17"/>
      <c r="W3210" s="17"/>
      <c r="X3210" s="17"/>
      <c r="Y3210" s="17"/>
      <c r="Z3210" s="31"/>
      <c r="AA3210" s="32"/>
    </row>
    <row r="3211" spans="1:27" ht="12.75">
      <c r="A3211" s="17"/>
      <c r="B3211" s="17"/>
      <c r="C3211" s="17"/>
      <c r="D3211" s="17"/>
      <c r="E3211" s="17"/>
      <c r="F3211" s="17"/>
      <c r="G3211" s="17"/>
      <c r="H3211" s="17"/>
      <c r="I3211" s="31"/>
      <c r="J3211" s="17"/>
      <c r="K3211" s="17"/>
      <c r="L3211" s="17"/>
      <c r="M3211" s="17"/>
      <c r="N3211" s="17"/>
      <c r="O3211" s="17"/>
      <c r="P3211" s="17"/>
      <c r="Q3211" s="17"/>
      <c r="R3211" s="17"/>
      <c r="S3211" s="17"/>
      <c r="T3211" s="17"/>
      <c r="U3211" s="17"/>
      <c r="V3211" s="17"/>
      <c r="W3211" s="17"/>
      <c r="X3211" s="17"/>
      <c r="Y3211" s="17"/>
      <c r="Z3211" s="31"/>
      <c r="AA3211" s="32"/>
    </row>
    <row r="3212" spans="1:27" ht="12.75">
      <c r="A3212" s="17"/>
      <c r="B3212" s="17"/>
      <c r="C3212" s="17"/>
      <c r="D3212" s="17"/>
      <c r="E3212" s="17"/>
      <c r="F3212" s="17"/>
      <c r="G3212" s="17"/>
      <c r="H3212" s="17"/>
      <c r="I3212" s="31"/>
      <c r="J3212" s="17"/>
      <c r="K3212" s="17"/>
      <c r="L3212" s="17"/>
      <c r="M3212" s="17"/>
      <c r="N3212" s="17"/>
      <c r="O3212" s="17"/>
      <c r="P3212" s="17"/>
      <c r="Q3212" s="17"/>
      <c r="R3212" s="17"/>
      <c r="S3212" s="17"/>
      <c r="T3212" s="17"/>
      <c r="U3212" s="17"/>
      <c r="V3212" s="17"/>
      <c r="W3212" s="17"/>
      <c r="X3212" s="17"/>
      <c r="Y3212" s="17"/>
      <c r="Z3212" s="31"/>
      <c r="AA3212" s="32"/>
    </row>
    <row r="3213" spans="1:27" ht="12.75">
      <c r="A3213" s="17"/>
      <c r="B3213" s="17"/>
      <c r="C3213" s="17"/>
      <c r="D3213" s="17"/>
      <c r="E3213" s="17"/>
      <c r="F3213" s="17"/>
      <c r="G3213" s="17"/>
      <c r="H3213" s="17"/>
      <c r="I3213" s="31"/>
      <c r="J3213" s="17"/>
      <c r="K3213" s="17"/>
      <c r="L3213" s="17"/>
      <c r="M3213" s="17"/>
      <c r="N3213" s="17"/>
      <c r="O3213" s="17"/>
      <c r="P3213" s="17"/>
      <c r="Q3213" s="17"/>
      <c r="R3213" s="17"/>
      <c r="S3213" s="17"/>
      <c r="T3213" s="17"/>
      <c r="U3213" s="17"/>
      <c r="V3213" s="17"/>
      <c r="W3213" s="17"/>
      <c r="X3213" s="17"/>
      <c r="Y3213" s="17"/>
      <c r="Z3213" s="31"/>
      <c r="AA3213" s="32"/>
    </row>
    <row r="3214" spans="1:27" ht="12.75">
      <c r="A3214" s="17"/>
      <c r="B3214" s="17"/>
      <c r="C3214" s="17"/>
      <c r="D3214" s="17"/>
      <c r="E3214" s="17"/>
      <c r="F3214" s="17"/>
      <c r="G3214" s="17"/>
      <c r="H3214" s="17"/>
      <c r="I3214" s="31"/>
      <c r="J3214" s="17"/>
      <c r="K3214" s="17"/>
      <c r="L3214" s="17"/>
      <c r="M3214" s="17"/>
      <c r="N3214" s="17"/>
      <c r="O3214" s="17"/>
      <c r="P3214" s="17"/>
      <c r="Q3214" s="17"/>
      <c r="R3214" s="17"/>
      <c r="S3214" s="17"/>
      <c r="T3214" s="17"/>
      <c r="U3214" s="17"/>
      <c r="V3214" s="17"/>
      <c r="W3214" s="17"/>
      <c r="X3214" s="17"/>
      <c r="Y3214" s="17"/>
      <c r="Z3214" s="31"/>
      <c r="AA3214" s="32"/>
    </row>
    <row r="3215" spans="1:27" ht="12.75">
      <c r="A3215" s="17"/>
      <c r="B3215" s="17"/>
      <c r="C3215" s="17"/>
      <c r="D3215" s="17"/>
      <c r="E3215" s="17"/>
      <c r="F3215" s="17"/>
      <c r="G3215" s="17"/>
      <c r="H3215" s="17"/>
      <c r="I3215" s="31"/>
      <c r="J3215" s="17"/>
      <c r="K3215" s="17"/>
      <c r="L3215" s="17"/>
      <c r="M3215" s="17"/>
      <c r="N3215" s="17"/>
      <c r="O3215" s="17"/>
      <c r="P3215" s="17"/>
      <c r="Q3215" s="17"/>
      <c r="R3215" s="17"/>
      <c r="S3215" s="17"/>
      <c r="T3215" s="17"/>
      <c r="U3215" s="17"/>
      <c r="V3215" s="17"/>
      <c r="W3215" s="17"/>
      <c r="X3215" s="17"/>
      <c r="Y3215" s="17"/>
      <c r="Z3215" s="31"/>
      <c r="AA3215" s="32"/>
    </row>
    <row r="3216" spans="1:27" ht="12.75">
      <c r="A3216" s="17"/>
      <c r="B3216" s="17"/>
      <c r="C3216" s="17"/>
      <c r="D3216" s="17"/>
      <c r="E3216" s="17"/>
      <c r="F3216" s="17"/>
      <c r="G3216" s="17"/>
      <c r="H3216" s="17"/>
      <c r="I3216" s="31"/>
      <c r="J3216" s="17"/>
      <c r="K3216" s="17"/>
      <c r="L3216" s="17"/>
      <c r="M3216" s="17"/>
      <c r="N3216" s="17"/>
      <c r="O3216" s="17"/>
      <c r="P3216" s="17"/>
      <c r="Q3216" s="17"/>
      <c r="R3216" s="17"/>
      <c r="S3216" s="17"/>
      <c r="T3216" s="17"/>
      <c r="U3216" s="17"/>
      <c r="V3216" s="17"/>
      <c r="W3216" s="17"/>
      <c r="X3216" s="17"/>
      <c r="Y3216" s="17"/>
      <c r="Z3216" s="31"/>
      <c r="AA3216" s="32"/>
    </row>
    <row r="3217" spans="1:27" ht="12.75">
      <c r="A3217" s="17"/>
      <c r="B3217" s="17"/>
      <c r="C3217" s="17"/>
      <c r="D3217" s="17"/>
      <c r="E3217" s="17"/>
      <c r="F3217" s="17"/>
      <c r="G3217" s="17"/>
      <c r="H3217" s="17"/>
      <c r="I3217" s="31"/>
      <c r="J3217" s="17"/>
      <c r="K3217" s="17"/>
      <c r="L3217" s="17"/>
      <c r="M3217" s="17"/>
      <c r="N3217" s="17"/>
      <c r="O3217" s="17"/>
      <c r="P3217" s="17"/>
      <c r="Q3217" s="17"/>
      <c r="R3217" s="17"/>
      <c r="S3217" s="17"/>
      <c r="T3217" s="17"/>
      <c r="U3217" s="17"/>
      <c r="V3217" s="17"/>
      <c r="W3217" s="17"/>
      <c r="X3217" s="17"/>
      <c r="Y3217" s="17"/>
      <c r="Z3217" s="31"/>
      <c r="AA3217" s="32"/>
    </row>
    <row r="3218" spans="1:27" ht="12.75">
      <c r="A3218" s="17"/>
      <c r="B3218" s="17"/>
      <c r="C3218" s="17"/>
      <c r="D3218" s="17"/>
      <c r="E3218" s="17"/>
      <c r="F3218" s="17"/>
      <c r="G3218" s="17"/>
      <c r="H3218" s="17"/>
      <c r="I3218" s="31"/>
      <c r="J3218" s="17"/>
      <c r="K3218" s="17"/>
      <c r="L3218" s="17"/>
      <c r="M3218" s="17"/>
      <c r="N3218" s="17"/>
      <c r="O3218" s="17"/>
      <c r="P3218" s="17"/>
      <c r="Q3218" s="17"/>
      <c r="R3218" s="17"/>
      <c r="S3218" s="17"/>
      <c r="T3218" s="17"/>
      <c r="U3218" s="17"/>
      <c r="V3218" s="17"/>
      <c r="W3218" s="17"/>
      <c r="X3218" s="17"/>
      <c r="Y3218" s="17"/>
      <c r="Z3218" s="31"/>
      <c r="AA3218" s="32"/>
    </row>
    <row r="3219" spans="1:27" ht="12.75">
      <c r="A3219" s="17"/>
      <c r="B3219" s="17"/>
      <c r="C3219" s="17"/>
      <c r="D3219" s="17"/>
      <c r="E3219" s="17"/>
      <c r="F3219" s="17"/>
      <c r="G3219" s="17"/>
      <c r="H3219" s="17"/>
      <c r="I3219" s="31"/>
      <c r="J3219" s="17"/>
      <c r="K3219" s="17"/>
      <c r="L3219" s="17"/>
      <c r="M3219" s="17"/>
      <c r="N3219" s="17"/>
      <c r="O3219" s="17"/>
      <c r="P3219" s="17"/>
      <c r="Q3219" s="17"/>
      <c r="R3219" s="17"/>
      <c r="S3219" s="17"/>
      <c r="T3219" s="17"/>
      <c r="U3219" s="17"/>
      <c r="V3219" s="17"/>
      <c r="W3219" s="17"/>
      <c r="X3219" s="17"/>
      <c r="Y3219" s="17"/>
      <c r="Z3219" s="31"/>
      <c r="AA3219" s="32"/>
    </row>
    <row r="3220" spans="1:27" ht="12.75">
      <c r="A3220" s="17"/>
      <c r="B3220" s="17"/>
      <c r="C3220" s="17"/>
      <c r="D3220" s="17"/>
      <c r="E3220" s="17"/>
      <c r="F3220" s="17"/>
      <c r="G3220" s="17"/>
      <c r="H3220" s="17"/>
      <c r="I3220" s="31"/>
      <c r="J3220" s="17"/>
      <c r="K3220" s="17"/>
      <c r="L3220" s="17"/>
      <c r="M3220" s="17"/>
      <c r="N3220" s="17"/>
      <c r="O3220" s="17"/>
      <c r="P3220" s="17"/>
      <c r="Q3220" s="17"/>
      <c r="R3220" s="17"/>
      <c r="S3220" s="17"/>
      <c r="T3220" s="17"/>
      <c r="U3220" s="17"/>
      <c r="V3220" s="17"/>
      <c r="W3220" s="17"/>
      <c r="X3220" s="17"/>
      <c r="Y3220" s="17"/>
      <c r="Z3220" s="31"/>
      <c r="AA3220" s="32"/>
    </row>
    <row r="3221" spans="1:27" ht="12.75">
      <c r="A3221" s="17"/>
      <c r="B3221" s="17"/>
      <c r="C3221" s="17"/>
      <c r="D3221" s="17"/>
      <c r="E3221" s="17"/>
      <c r="F3221" s="17"/>
      <c r="G3221" s="17"/>
      <c r="H3221" s="17"/>
      <c r="I3221" s="31"/>
      <c r="J3221" s="17"/>
      <c r="K3221" s="17"/>
      <c r="L3221" s="17"/>
      <c r="M3221" s="17"/>
      <c r="N3221" s="17"/>
      <c r="O3221" s="17"/>
      <c r="P3221" s="17"/>
      <c r="Q3221" s="17"/>
      <c r="R3221" s="17"/>
      <c r="S3221" s="17"/>
      <c r="T3221" s="17"/>
      <c r="U3221" s="17"/>
      <c r="V3221" s="17"/>
      <c r="W3221" s="17"/>
      <c r="X3221" s="17"/>
      <c r="Y3221" s="17"/>
      <c r="Z3221" s="31"/>
      <c r="AA3221" s="32"/>
    </row>
    <row r="3222" spans="1:27" ht="12.75">
      <c r="A3222" s="17"/>
      <c r="B3222" s="17"/>
      <c r="C3222" s="17"/>
      <c r="D3222" s="17"/>
      <c r="E3222" s="17"/>
      <c r="F3222" s="17"/>
      <c r="G3222" s="17"/>
      <c r="H3222" s="17"/>
      <c r="I3222" s="31"/>
      <c r="J3222" s="17"/>
      <c r="K3222" s="17"/>
      <c r="L3222" s="17"/>
      <c r="M3222" s="17"/>
      <c r="N3222" s="17"/>
      <c r="O3222" s="17"/>
      <c r="P3222" s="17"/>
      <c r="Q3222" s="17"/>
      <c r="R3222" s="17"/>
      <c r="S3222" s="17"/>
      <c r="T3222" s="17"/>
      <c r="U3222" s="17"/>
      <c r="V3222" s="17"/>
      <c r="W3222" s="17"/>
      <c r="X3222" s="17"/>
      <c r="Y3222" s="17"/>
      <c r="Z3222" s="31"/>
      <c r="AA3222" s="32"/>
    </row>
    <row r="3223" spans="1:27" ht="12.75">
      <c r="A3223" s="17"/>
      <c r="B3223" s="17"/>
      <c r="C3223" s="17"/>
      <c r="D3223" s="17"/>
      <c r="E3223" s="17"/>
      <c r="F3223" s="17"/>
      <c r="G3223" s="17"/>
      <c r="H3223" s="17"/>
      <c r="I3223" s="31"/>
      <c r="J3223" s="17"/>
      <c r="K3223" s="17"/>
      <c r="L3223" s="17"/>
      <c r="M3223" s="17"/>
      <c r="N3223" s="17"/>
      <c r="O3223" s="17"/>
      <c r="P3223" s="17"/>
      <c r="Q3223" s="17"/>
      <c r="R3223" s="17"/>
      <c r="S3223" s="17"/>
      <c r="T3223" s="17"/>
      <c r="U3223" s="17"/>
      <c r="V3223" s="17"/>
      <c r="W3223" s="17"/>
      <c r="X3223" s="17"/>
      <c r="Y3223" s="17"/>
      <c r="Z3223" s="31"/>
      <c r="AA3223" s="32"/>
    </row>
    <row r="3224" spans="1:27" ht="12.75">
      <c r="A3224" s="17"/>
      <c r="B3224" s="17"/>
      <c r="C3224" s="17"/>
      <c r="D3224" s="17"/>
      <c r="E3224" s="17"/>
      <c r="F3224" s="17"/>
      <c r="G3224" s="17"/>
      <c r="H3224" s="17"/>
      <c r="I3224" s="31"/>
      <c r="J3224" s="17"/>
      <c r="K3224" s="17"/>
      <c r="L3224" s="17"/>
      <c r="M3224" s="17"/>
      <c r="N3224" s="17"/>
      <c r="O3224" s="17"/>
      <c r="P3224" s="17"/>
      <c r="Q3224" s="17"/>
      <c r="R3224" s="17"/>
      <c r="S3224" s="17"/>
      <c r="T3224" s="17"/>
      <c r="U3224" s="17"/>
      <c r="V3224" s="17"/>
      <c r="W3224" s="17"/>
      <c r="X3224" s="17"/>
      <c r="Y3224" s="17"/>
      <c r="Z3224" s="31"/>
      <c r="AA3224" s="32"/>
    </row>
    <row r="3225" spans="1:27" ht="12.75">
      <c r="A3225" s="17"/>
      <c r="B3225" s="17"/>
      <c r="C3225" s="17"/>
      <c r="D3225" s="17"/>
      <c r="E3225" s="17"/>
      <c r="F3225" s="17"/>
      <c r="G3225" s="17"/>
      <c r="H3225" s="17"/>
      <c r="I3225" s="31"/>
      <c r="J3225" s="17"/>
      <c r="K3225" s="17"/>
      <c r="L3225" s="17"/>
      <c r="M3225" s="17"/>
      <c r="N3225" s="17"/>
      <c r="O3225" s="17"/>
      <c r="P3225" s="17"/>
      <c r="Q3225" s="17"/>
      <c r="R3225" s="17"/>
      <c r="S3225" s="17"/>
      <c r="T3225" s="17"/>
      <c r="U3225" s="17"/>
      <c r="V3225" s="17"/>
      <c r="W3225" s="17"/>
      <c r="X3225" s="17"/>
      <c r="Y3225" s="17"/>
      <c r="Z3225" s="31"/>
      <c r="AA3225" s="32"/>
    </row>
    <row r="3226" spans="1:27" ht="12.75">
      <c r="A3226" s="17"/>
      <c r="B3226" s="17"/>
      <c r="C3226" s="17"/>
      <c r="D3226" s="17"/>
      <c r="E3226" s="17"/>
      <c r="F3226" s="17"/>
      <c r="G3226" s="17"/>
      <c r="H3226" s="17"/>
      <c r="I3226" s="31"/>
      <c r="J3226" s="17"/>
      <c r="K3226" s="17"/>
      <c r="L3226" s="17"/>
      <c r="M3226" s="17"/>
      <c r="N3226" s="17"/>
      <c r="O3226" s="17"/>
      <c r="P3226" s="17"/>
      <c r="Q3226" s="17"/>
      <c r="R3226" s="17"/>
      <c r="S3226" s="17"/>
      <c r="T3226" s="17"/>
      <c r="U3226" s="17"/>
      <c r="V3226" s="17"/>
      <c r="W3226" s="17"/>
      <c r="X3226" s="17"/>
      <c r="Y3226" s="17"/>
      <c r="Z3226" s="31"/>
      <c r="AA3226" s="32"/>
    </row>
    <row r="3227" spans="1:27" ht="12.75">
      <c r="A3227" s="17"/>
      <c r="B3227" s="17"/>
      <c r="C3227" s="17"/>
      <c r="D3227" s="17"/>
      <c r="E3227" s="17"/>
      <c r="F3227" s="17"/>
      <c r="G3227" s="17"/>
      <c r="H3227" s="17"/>
      <c r="I3227" s="31"/>
      <c r="J3227" s="17"/>
      <c r="K3227" s="17"/>
      <c r="L3227" s="17"/>
      <c r="M3227" s="17"/>
      <c r="N3227" s="17"/>
      <c r="O3227" s="17"/>
      <c r="P3227" s="17"/>
      <c r="Q3227" s="17"/>
      <c r="R3227" s="17"/>
      <c r="S3227" s="17"/>
      <c r="T3227" s="17"/>
      <c r="U3227" s="17"/>
      <c r="V3227" s="17"/>
      <c r="W3227" s="17"/>
      <c r="X3227" s="17"/>
      <c r="Y3227" s="17"/>
      <c r="Z3227" s="31"/>
      <c r="AA3227" s="32"/>
    </row>
    <row r="3228" spans="1:27" ht="12.75">
      <c r="A3228" s="17"/>
      <c r="B3228" s="17"/>
      <c r="C3228" s="17"/>
      <c r="D3228" s="17"/>
      <c r="E3228" s="17"/>
      <c r="F3228" s="17"/>
      <c r="G3228" s="17"/>
      <c r="H3228" s="17"/>
      <c r="I3228" s="31"/>
      <c r="J3228" s="17"/>
      <c r="K3228" s="17"/>
      <c r="L3228" s="17"/>
      <c r="M3228" s="17"/>
      <c r="N3228" s="17"/>
      <c r="O3228" s="17"/>
      <c r="P3228" s="17"/>
      <c r="Q3228" s="17"/>
      <c r="R3228" s="17"/>
      <c r="S3228" s="17"/>
      <c r="T3228" s="17"/>
      <c r="U3228" s="17"/>
      <c r="V3228" s="17"/>
      <c r="W3228" s="17"/>
      <c r="X3228" s="17"/>
      <c r="Y3228" s="17"/>
      <c r="Z3228" s="31"/>
      <c r="AA3228" s="32"/>
    </row>
    <row r="3229" spans="1:27" ht="12.75">
      <c r="A3229" s="17"/>
      <c r="B3229" s="17"/>
      <c r="C3229" s="17"/>
      <c r="D3229" s="17"/>
      <c r="E3229" s="17"/>
      <c r="F3229" s="17"/>
      <c r="G3229" s="17"/>
      <c r="H3229" s="17"/>
      <c r="I3229" s="31"/>
      <c r="J3229" s="17"/>
      <c r="K3229" s="17"/>
      <c r="L3229" s="17"/>
      <c r="M3229" s="17"/>
      <c r="N3229" s="17"/>
      <c r="O3229" s="17"/>
      <c r="P3229" s="17"/>
      <c r="Q3229" s="17"/>
      <c r="R3229" s="17"/>
      <c r="S3229" s="17"/>
      <c r="T3229" s="17"/>
      <c r="U3229" s="17"/>
      <c r="V3229" s="17"/>
      <c r="W3229" s="17"/>
      <c r="X3229" s="17"/>
      <c r="Y3229" s="17"/>
      <c r="Z3229" s="31"/>
      <c r="AA3229" s="32"/>
    </row>
    <row r="3230" spans="1:27" ht="12.75">
      <c r="A3230" s="17"/>
      <c r="B3230" s="17"/>
      <c r="C3230" s="17"/>
      <c r="D3230" s="17"/>
      <c r="E3230" s="17"/>
      <c r="F3230" s="17"/>
      <c r="G3230" s="17"/>
      <c r="H3230" s="17"/>
      <c r="I3230" s="31"/>
      <c r="J3230" s="17"/>
      <c r="K3230" s="17"/>
      <c r="L3230" s="17"/>
      <c r="M3230" s="17"/>
      <c r="N3230" s="17"/>
      <c r="O3230" s="17"/>
      <c r="P3230" s="17"/>
      <c r="Q3230" s="17"/>
      <c r="R3230" s="17"/>
      <c r="S3230" s="17"/>
      <c r="T3230" s="17"/>
      <c r="U3230" s="17"/>
      <c r="V3230" s="17"/>
      <c r="W3230" s="17"/>
      <c r="X3230" s="17"/>
      <c r="Y3230" s="17"/>
      <c r="Z3230" s="31"/>
      <c r="AA3230" s="32"/>
    </row>
    <row r="3231" spans="1:27" ht="12.75">
      <c r="A3231" s="17"/>
      <c r="B3231" s="17"/>
      <c r="C3231" s="17"/>
      <c r="D3231" s="17"/>
      <c r="E3231" s="17"/>
      <c r="F3231" s="17"/>
      <c r="G3231" s="17"/>
      <c r="H3231" s="17"/>
      <c r="I3231" s="31"/>
      <c r="J3231" s="17"/>
      <c r="K3231" s="17"/>
      <c r="L3231" s="17"/>
      <c r="M3231" s="17"/>
      <c r="N3231" s="17"/>
      <c r="O3231" s="17"/>
      <c r="P3231" s="17"/>
      <c r="Q3231" s="17"/>
      <c r="R3231" s="17"/>
      <c r="S3231" s="17"/>
      <c r="T3231" s="17"/>
      <c r="U3231" s="17"/>
      <c r="V3231" s="17"/>
      <c r="W3231" s="17"/>
      <c r="X3231" s="17"/>
      <c r="Y3231" s="17"/>
      <c r="Z3231" s="31"/>
      <c r="AA3231" s="32"/>
    </row>
    <row r="3232" spans="1:27" ht="12.75">
      <c r="A3232" s="17"/>
      <c r="B3232" s="17"/>
      <c r="C3232" s="17"/>
      <c r="D3232" s="17"/>
      <c r="E3232" s="17"/>
      <c r="F3232" s="17"/>
      <c r="G3232" s="17"/>
      <c r="H3232" s="17"/>
      <c r="I3232" s="31"/>
      <c r="J3232" s="17"/>
      <c r="K3232" s="17"/>
      <c r="L3232" s="17"/>
      <c r="M3232" s="17"/>
      <c r="N3232" s="17"/>
      <c r="O3232" s="17"/>
      <c r="P3232" s="17"/>
      <c r="Q3232" s="17"/>
      <c r="R3232" s="17"/>
      <c r="S3232" s="17"/>
      <c r="T3232" s="17"/>
      <c r="U3232" s="17"/>
      <c r="V3232" s="17"/>
      <c r="W3232" s="17"/>
      <c r="X3232" s="17"/>
      <c r="Y3232" s="17"/>
      <c r="Z3232" s="31"/>
      <c r="AA3232" s="32"/>
    </row>
    <row r="3233" spans="1:27" ht="12.75">
      <c r="A3233" s="17"/>
      <c r="B3233" s="17"/>
      <c r="C3233" s="17"/>
      <c r="D3233" s="17"/>
      <c r="E3233" s="17"/>
      <c r="F3233" s="17"/>
      <c r="G3233" s="17"/>
      <c r="H3233" s="17"/>
      <c r="I3233" s="31"/>
      <c r="J3233" s="17"/>
      <c r="K3233" s="17"/>
      <c r="L3233" s="17"/>
      <c r="M3233" s="17"/>
      <c r="N3233" s="17"/>
      <c r="O3233" s="17"/>
      <c r="P3233" s="17"/>
      <c r="Q3233" s="17"/>
      <c r="R3233" s="17"/>
      <c r="S3233" s="17"/>
      <c r="T3233" s="17"/>
      <c r="U3233" s="17"/>
      <c r="V3233" s="17"/>
      <c r="W3233" s="17"/>
      <c r="X3233" s="17"/>
      <c r="Y3233" s="17"/>
      <c r="Z3233" s="31"/>
      <c r="AA3233" s="32"/>
    </row>
    <row r="3234" spans="1:27" ht="12.75">
      <c r="A3234" s="17"/>
      <c r="B3234" s="17"/>
      <c r="C3234" s="17"/>
      <c r="D3234" s="17"/>
      <c r="E3234" s="17"/>
      <c r="F3234" s="17"/>
      <c r="G3234" s="17"/>
      <c r="H3234" s="17"/>
      <c r="I3234" s="31"/>
      <c r="J3234" s="17"/>
      <c r="K3234" s="17"/>
      <c r="L3234" s="17"/>
      <c r="M3234" s="17"/>
      <c r="N3234" s="17"/>
      <c r="O3234" s="17"/>
      <c r="P3234" s="17"/>
      <c r="Q3234" s="17"/>
      <c r="R3234" s="17"/>
      <c r="S3234" s="17"/>
      <c r="T3234" s="17"/>
      <c r="U3234" s="17"/>
      <c r="V3234" s="17"/>
      <c r="W3234" s="17"/>
      <c r="X3234" s="17"/>
      <c r="Y3234" s="17"/>
      <c r="Z3234" s="31"/>
      <c r="AA3234" s="32"/>
    </row>
    <row r="3235" spans="1:27" ht="12.75">
      <c r="A3235" s="17"/>
      <c r="B3235" s="17"/>
      <c r="C3235" s="17"/>
      <c r="D3235" s="17"/>
      <c r="E3235" s="17"/>
      <c r="F3235" s="17"/>
      <c r="G3235" s="17"/>
      <c r="H3235" s="17"/>
      <c r="I3235" s="31"/>
      <c r="J3235" s="17"/>
      <c r="K3235" s="17"/>
      <c r="L3235" s="17"/>
      <c r="M3235" s="17"/>
      <c r="N3235" s="17"/>
      <c r="O3235" s="17"/>
      <c r="P3235" s="17"/>
      <c r="Q3235" s="17"/>
      <c r="R3235" s="17"/>
      <c r="S3235" s="17"/>
      <c r="T3235" s="17"/>
      <c r="U3235" s="17"/>
      <c r="V3235" s="17"/>
      <c r="W3235" s="17"/>
      <c r="X3235" s="17"/>
      <c r="Y3235" s="17"/>
      <c r="Z3235" s="31"/>
      <c r="AA3235" s="32"/>
    </row>
    <row r="3236" spans="1:27" ht="12.75">
      <c r="A3236" s="17"/>
      <c r="B3236" s="17"/>
      <c r="C3236" s="17"/>
      <c r="D3236" s="17"/>
      <c r="E3236" s="17"/>
      <c r="F3236" s="17"/>
      <c r="G3236" s="17"/>
      <c r="H3236" s="17"/>
      <c r="I3236" s="31"/>
      <c r="J3236" s="17"/>
      <c r="K3236" s="17"/>
      <c r="L3236" s="17"/>
      <c r="M3236" s="17"/>
      <c r="N3236" s="17"/>
      <c r="O3236" s="17"/>
      <c r="P3236" s="17"/>
      <c r="Q3236" s="17"/>
      <c r="R3236" s="17"/>
      <c r="S3236" s="17"/>
      <c r="T3236" s="17"/>
      <c r="U3236" s="17"/>
      <c r="V3236" s="17"/>
      <c r="W3236" s="17"/>
      <c r="X3236" s="17"/>
      <c r="Y3236" s="17"/>
      <c r="Z3236" s="31"/>
      <c r="AA3236" s="32"/>
    </row>
    <row r="3237" spans="1:27" ht="12.75">
      <c r="A3237" s="17"/>
      <c r="B3237" s="17"/>
      <c r="C3237" s="17"/>
      <c r="D3237" s="17"/>
      <c r="E3237" s="17"/>
      <c r="F3237" s="17"/>
      <c r="G3237" s="17"/>
      <c r="H3237" s="17"/>
      <c r="I3237" s="31"/>
      <c r="J3237" s="17"/>
      <c r="K3237" s="17"/>
      <c r="L3237" s="17"/>
      <c r="M3237" s="17"/>
      <c r="N3237" s="17"/>
      <c r="O3237" s="17"/>
      <c r="P3237" s="17"/>
      <c r="Q3237" s="17"/>
      <c r="R3237" s="17"/>
      <c r="S3237" s="17"/>
      <c r="T3237" s="17"/>
      <c r="U3237" s="17"/>
      <c r="V3237" s="17"/>
      <c r="W3237" s="17"/>
      <c r="X3237" s="17"/>
      <c r="Y3237" s="17"/>
      <c r="Z3237" s="31"/>
      <c r="AA3237" s="32"/>
    </row>
    <row r="3238" spans="1:27" ht="12.75">
      <c r="A3238" s="17"/>
      <c r="B3238" s="17"/>
      <c r="C3238" s="17"/>
      <c r="D3238" s="17"/>
      <c r="E3238" s="17"/>
      <c r="F3238" s="17"/>
      <c r="G3238" s="17"/>
      <c r="H3238" s="17"/>
      <c r="I3238" s="31"/>
      <c r="J3238" s="17"/>
      <c r="K3238" s="17"/>
      <c r="L3238" s="17"/>
      <c r="M3238" s="17"/>
      <c r="N3238" s="17"/>
      <c r="O3238" s="17"/>
      <c r="P3238" s="17"/>
      <c r="Q3238" s="17"/>
      <c r="R3238" s="17"/>
      <c r="S3238" s="17"/>
      <c r="T3238" s="17"/>
      <c r="U3238" s="17"/>
      <c r="V3238" s="17"/>
      <c r="W3238" s="17"/>
      <c r="X3238" s="17"/>
      <c r="Y3238" s="17"/>
      <c r="Z3238" s="31"/>
      <c r="AA3238" s="32"/>
    </row>
    <row r="3239" spans="1:27" ht="12.75">
      <c r="A3239" s="17"/>
      <c r="B3239" s="17"/>
      <c r="C3239" s="17"/>
      <c r="D3239" s="17"/>
      <c r="E3239" s="17"/>
      <c r="F3239" s="17"/>
      <c r="G3239" s="17"/>
      <c r="H3239" s="17"/>
      <c r="I3239" s="31"/>
      <c r="J3239" s="17"/>
      <c r="K3239" s="17"/>
      <c r="L3239" s="17"/>
      <c r="M3239" s="17"/>
      <c r="N3239" s="17"/>
      <c r="O3239" s="17"/>
      <c r="P3239" s="17"/>
      <c r="Q3239" s="17"/>
      <c r="R3239" s="17"/>
      <c r="S3239" s="17"/>
      <c r="T3239" s="17"/>
      <c r="U3239" s="17"/>
      <c r="V3239" s="17"/>
      <c r="W3239" s="17"/>
      <c r="X3239" s="17"/>
      <c r="Y3239" s="17"/>
      <c r="Z3239" s="31"/>
      <c r="AA3239" s="32"/>
    </row>
    <row r="3240" spans="1:27" ht="12.75">
      <c r="A3240" s="17"/>
      <c r="B3240" s="17"/>
      <c r="C3240" s="17"/>
      <c r="D3240" s="17"/>
      <c r="E3240" s="17"/>
      <c r="F3240" s="17"/>
      <c r="G3240" s="17"/>
      <c r="H3240" s="17"/>
      <c r="I3240" s="31"/>
      <c r="J3240" s="17"/>
      <c r="K3240" s="17"/>
      <c r="L3240" s="17"/>
      <c r="M3240" s="17"/>
      <c r="N3240" s="17"/>
      <c r="O3240" s="17"/>
      <c r="P3240" s="17"/>
      <c r="Q3240" s="17"/>
      <c r="R3240" s="17"/>
      <c r="S3240" s="17"/>
      <c r="T3240" s="17"/>
      <c r="U3240" s="17"/>
      <c r="V3240" s="17"/>
      <c r="W3240" s="17"/>
      <c r="X3240" s="17"/>
      <c r="Y3240" s="17"/>
      <c r="Z3240" s="31"/>
      <c r="AA3240" s="32"/>
    </row>
    <row r="3241" spans="1:27" ht="12.75">
      <c r="A3241" s="17"/>
      <c r="B3241" s="17"/>
      <c r="C3241" s="17"/>
      <c r="D3241" s="17"/>
      <c r="E3241" s="17"/>
      <c r="F3241" s="17"/>
      <c r="G3241" s="17"/>
      <c r="H3241" s="17"/>
      <c r="I3241" s="31"/>
      <c r="J3241" s="17"/>
      <c r="K3241" s="17"/>
      <c r="L3241" s="17"/>
      <c r="M3241" s="17"/>
      <c r="N3241" s="17"/>
      <c r="O3241" s="17"/>
      <c r="P3241" s="17"/>
      <c r="Q3241" s="17"/>
      <c r="R3241" s="17"/>
      <c r="S3241" s="17"/>
      <c r="T3241" s="17"/>
      <c r="U3241" s="17"/>
      <c r="V3241" s="17"/>
      <c r="W3241" s="17"/>
      <c r="X3241" s="17"/>
      <c r="Y3241" s="17"/>
      <c r="Z3241" s="31"/>
      <c r="AA3241" s="32"/>
    </row>
    <row r="3242" spans="1:27" ht="12.75">
      <c r="A3242" s="17"/>
      <c r="B3242" s="17"/>
      <c r="C3242" s="17"/>
      <c r="D3242" s="17"/>
      <c r="E3242" s="17"/>
      <c r="F3242" s="17"/>
      <c r="G3242" s="17"/>
      <c r="H3242" s="17"/>
      <c r="I3242" s="31"/>
      <c r="J3242" s="17"/>
      <c r="K3242" s="17"/>
      <c r="L3242" s="17"/>
      <c r="M3242" s="17"/>
      <c r="N3242" s="17"/>
      <c r="O3242" s="17"/>
      <c r="P3242" s="17"/>
      <c r="Q3242" s="17"/>
      <c r="R3242" s="17"/>
      <c r="S3242" s="17"/>
      <c r="T3242" s="17"/>
      <c r="U3242" s="17"/>
      <c r="V3242" s="17"/>
      <c r="W3242" s="17"/>
      <c r="X3242" s="17"/>
      <c r="Y3242" s="17"/>
      <c r="Z3242" s="31"/>
      <c r="AA3242" s="32"/>
    </row>
    <row r="3243" spans="1:27" ht="12.75">
      <c r="A3243" s="17"/>
      <c r="B3243" s="17"/>
      <c r="C3243" s="17"/>
      <c r="D3243" s="17"/>
      <c r="E3243" s="17"/>
      <c r="F3243" s="17"/>
      <c r="G3243" s="17"/>
      <c r="H3243" s="17"/>
      <c r="I3243" s="31"/>
      <c r="J3243" s="17"/>
      <c r="K3243" s="17"/>
      <c r="L3243" s="17"/>
      <c r="M3243" s="17"/>
      <c r="N3243" s="17"/>
      <c r="O3243" s="17"/>
      <c r="P3243" s="17"/>
      <c r="Q3243" s="17"/>
      <c r="R3243" s="17"/>
      <c r="S3243" s="17"/>
      <c r="T3243" s="17"/>
      <c r="U3243" s="17"/>
      <c r="V3243" s="17"/>
      <c r="W3243" s="17"/>
      <c r="X3243" s="17"/>
      <c r="Y3243" s="17"/>
      <c r="Z3243" s="31"/>
      <c r="AA3243" s="32"/>
    </row>
    <row r="3244" spans="1:27" ht="12.75">
      <c r="A3244" s="17"/>
      <c r="B3244" s="17"/>
      <c r="C3244" s="17"/>
      <c r="D3244" s="17"/>
      <c r="E3244" s="17"/>
      <c r="F3244" s="17"/>
      <c r="G3244" s="17"/>
      <c r="H3244" s="17"/>
      <c r="I3244" s="31"/>
      <c r="J3244" s="17"/>
      <c r="K3244" s="17"/>
      <c r="L3244" s="17"/>
      <c r="M3244" s="17"/>
      <c r="N3244" s="17"/>
      <c r="O3244" s="17"/>
      <c r="P3244" s="17"/>
      <c r="Q3244" s="17"/>
      <c r="R3244" s="17"/>
      <c r="S3244" s="17"/>
      <c r="T3244" s="17"/>
      <c r="U3244" s="17"/>
      <c r="V3244" s="17"/>
      <c r="W3244" s="17"/>
      <c r="X3244" s="17"/>
      <c r="Y3244" s="17"/>
      <c r="Z3244" s="31"/>
      <c r="AA3244" s="32"/>
    </row>
    <row r="3245" spans="1:27" ht="12.75">
      <c r="A3245" s="17"/>
      <c r="B3245" s="17"/>
      <c r="C3245" s="17"/>
      <c r="D3245" s="17"/>
      <c r="E3245" s="17"/>
      <c r="F3245" s="17"/>
      <c r="G3245" s="17"/>
      <c r="H3245" s="17"/>
      <c r="I3245" s="31"/>
      <c r="J3245" s="17"/>
      <c r="K3245" s="17"/>
      <c r="L3245" s="17"/>
      <c r="M3245" s="17"/>
      <c r="N3245" s="17"/>
      <c r="O3245" s="17"/>
      <c r="P3245" s="17"/>
      <c r="Q3245" s="17"/>
      <c r="R3245" s="17"/>
      <c r="S3245" s="17"/>
      <c r="T3245" s="17"/>
      <c r="U3245" s="17"/>
      <c r="V3245" s="17"/>
      <c r="W3245" s="17"/>
      <c r="X3245" s="17"/>
      <c r="Y3245" s="17"/>
      <c r="Z3245" s="31"/>
      <c r="AA3245" s="32"/>
    </row>
    <row r="3246" spans="1:27" ht="12.75">
      <c r="A3246" s="17"/>
      <c r="B3246" s="17"/>
      <c r="C3246" s="17"/>
      <c r="D3246" s="17"/>
      <c r="E3246" s="17"/>
      <c r="F3246" s="17"/>
      <c r="G3246" s="17"/>
      <c r="H3246" s="17"/>
      <c r="I3246" s="31"/>
      <c r="J3246" s="17"/>
      <c r="K3246" s="17"/>
      <c r="L3246" s="17"/>
      <c r="M3246" s="17"/>
      <c r="N3246" s="17"/>
      <c r="O3246" s="17"/>
      <c r="P3246" s="17"/>
      <c r="Q3246" s="17"/>
      <c r="R3246" s="17"/>
      <c r="S3246" s="17"/>
      <c r="T3246" s="17"/>
      <c r="U3246" s="17"/>
      <c r="V3246" s="17"/>
      <c r="W3246" s="17"/>
      <c r="X3246" s="17"/>
      <c r="Y3246" s="17"/>
      <c r="Z3246" s="31"/>
      <c r="AA3246" s="32"/>
    </row>
    <row r="3247" spans="1:27" ht="12.75">
      <c r="A3247" s="17"/>
      <c r="B3247" s="17"/>
      <c r="C3247" s="17"/>
      <c r="D3247" s="17"/>
      <c r="E3247" s="17"/>
      <c r="F3247" s="17"/>
      <c r="G3247" s="17"/>
      <c r="H3247" s="17"/>
      <c r="I3247" s="31"/>
      <c r="J3247" s="17"/>
      <c r="K3247" s="17"/>
      <c r="L3247" s="17"/>
      <c r="M3247" s="17"/>
      <c r="N3247" s="17"/>
      <c r="O3247" s="17"/>
      <c r="P3247" s="17"/>
      <c r="Q3247" s="17"/>
      <c r="R3247" s="17"/>
      <c r="S3247" s="17"/>
      <c r="T3247" s="17"/>
      <c r="U3247" s="17"/>
      <c r="V3247" s="17"/>
      <c r="W3247" s="17"/>
      <c r="X3247" s="17"/>
      <c r="Y3247" s="17"/>
      <c r="Z3247" s="31"/>
      <c r="AA3247" s="32"/>
    </row>
    <row r="3248" spans="1:27" ht="12.75">
      <c r="A3248" s="17"/>
      <c r="B3248" s="17"/>
      <c r="C3248" s="17"/>
      <c r="D3248" s="17"/>
      <c r="E3248" s="17"/>
      <c r="F3248" s="17"/>
      <c r="G3248" s="17"/>
      <c r="H3248" s="17"/>
      <c r="I3248" s="31"/>
      <c r="J3248" s="17"/>
      <c r="K3248" s="17"/>
      <c r="L3248" s="17"/>
      <c r="M3248" s="17"/>
      <c r="N3248" s="17"/>
      <c r="O3248" s="17"/>
      <c r="P3248" s="17"/>
      <c r="Q3248" s="17"/>
      <c r="R3248" s="17"/>
      <c r="S3248" s="17"/>
      <c r="T3248" s="17"/>
      <c r="U3248" s="17"/>
      <c r="V3248" s="17"/>
      <c r="W3248" s="17"/>
      <c r="X3248" s="17"/>
      <c r="Y3248" s="17"/>
      <c r="Z3248" s="31"/>
      <c r="AA3248" s="32"/>
    </row>
    <row r="3249" spans="1:27" ht="12.75">
      <c r="A3249" s="17"/>
      <c r="B3249" s="17"/>
      <c r="C3249" s="17"/>
      <c r="D3249" s="17"/>
      <c r="E3249" s="17"/>
      <c r="F3249" s="17"/>
      <c r="G3249" s="17"/>
      <c r="H3249" s="17"/>
      <c r="I3249" s="31"/>
      <c r="J3249" s="17"/>
      <c r="K3249" s="17"/>
      <c r="L3249" s="17"/>
      <c r="M3249" s="17"/>
      <c r="N3249" s="17"/>
      <c r="O3249" s="17"/>
      <c r="P3249" s="17"/>
      <c r="Q3249" s="17"/>
      <c r="R3249" s="17"/>
      <c r="S3249" s="17"/>
      <c r="T3249" s="17"/>
      <c r="U3249" s="17"/>
      <c r="V3249" s="17"/>
      <c r="W3249" s="17"/>
      <c r="X3249" s="17"/>
      <c r="Y3249" s="17"/>
      <c r="Z3249" s="31"/>
      <c r="AA3249" s="32"/>
    </row>
    <row r="3250" spans="1:27" ht="12.75">
      <c r="A3250" s="17"/>
      <c r="B3250" s="17"/>
      <c r="C3250" s="17"/>
      <c r="D3250" s="17"/>
      <c r="E3250" s="17"/>
      <c r="F3250" s="17"/>
      <c r="G3250" s="17"/>
      <c r="H3250" s="17"/>
      <c r="I3250" s="31"/>
      <c r="J3250" s="17"/>
      <c r="K3250" s="17"/>
      <c r="L3250" s="17"/>
      <c r="M3250" s="17"/>
      <c r="N3250" s="17"/>
      <c r="O3250" s="17"/>
      <c r="P3250" s="17"/>
      <c r="Q3250" s="17"/>
      <c r="R3250" s="17"/>
      <c r="S3250" s="17"/>
      <c r="T3250" s="17"/>
      <c r="U3250" s="17"/>
      <c r="V3250" s="17"/>
      <c r="W3250" s="17"/>
      <c r="X3250" s="17"/>
      <c r="Y3250" s="17"/>
      <c r="Z3250" s="31"/>
      <c r="AA3250" s="32"/>
    </row>
    <row r="3251" spans="1:27" ht="12.75">
      <c r="A3251" s="17"/>
      <c r="B3251" s="17"/>
      <c r="C3251" s="17"/>
      <c r="D3251" s="17"/>
      <c r="E3251" s="17"/>
      <c r="F3251" s="17"/>
      <c r="G3251" s="17"/>
      <c r="H3251" s="17"/>
      <c r="I3251" s="31"/>
      <c r="J3251" s="17"/>
      <c r="K3251" s="17"/>
      <c r="L3251" s="17"/>
      <c r="M3251" s="17"/>
      <c r="N3251" s="17"/>
      <c r="O3251" s="17"/>
      <c r="P3251" s="17"/>
      <c r="Q3251" s="17"/>
      <c r="R3251" s="17"/>
      <c r="S3251" s="17"/>
      <c r="T3251" s="17"/>
      <c r="U3251" s="17"/>
      <c r="V3251" s="17"/>
      <c r="W3251" s="17"/>
      <c r="X3251" s="17"/>
      <c r="Y3251" s="17"/>
      <c r="Z3251" s="31"/>
      <c r="AA3251" s="32"/>
    </row>
    <row r="3252" spans="1:27" ht="12.75">
      <c r="A3252" s="17"/>
      <c r="B3252" s="17"/>
      <c r="C3252" s="17"/>
      <c r="D3252" s="17"/>
      <c r="E3252" s="17"/>
      <c r="F3252" s="17"/>
      <c r="G3252" s="17"/>
      <c r="H3252" s="17"/>
      <c r="I3252" s="31"/>
      <c r="J3252" s="17"/>
      <c r="K3252" s="17"/>
      <c r="L3252" s="17"/>
      <c r="M3252" s="17"/>
      <c r="N3252" s="17"/>
      <c r="O3252" s="17"/>
      <c r="P3252" s="17"/>
      <c r="Q3252" s="17"/>
      <c r="R3252" s="17"/>
      <c r="S3252" s="17"/>
      <c r="T3252" s="17"/>
      <c r="U3252" s="17"/>
      <c r="V3252" s="17"/>
      <c r="W3252" s="17"/>
      <c r="X3252" s="17"/>
      <c r="Y3252" s="17"/>
      <c r="Z3252" s="31"/>
      <c r="AA3252" s="32"/>
    </row>
    <row r="3253" spans="1:27" ht="12.75">
      <c r="A3253" s="17"/>
      <c r="B3253" s="17"/>
      <c r="C3253" s="17"/>
      <c r="D3253" s="17"/>
      <c r="E3253" s="17"/>
      <c r="F3253" s="17"/>
      <c r="G3253" s="17"/>
      <c r="H3253" s="17"/>
      <c r="I3253" s="31"/>
      <c r="J3253" s="17"/>
      <c r="K3253" s="17"/>
      <c r="L3253" s="17"/>
      <c r="M3253" s="17"/>
      <c r="N3253" s="17"/>
      <c r="O3253" s="17"/>
      <c r="P3253" s="17"/>
      <c r="Q3253" s="17"/>
      <c r="R3253" s="17"/>
      <c r="S3253" s="17"/>
      <c r="T3253" s="17"/>
      <c r="U3253" s="17"/>
      <c r="V3253" s="17"/>
      <c r="W3253" s="17"/>
      <c r="X3253" s="17"/>
      <c r="Y3253" s="17"/>
      <c r="Z3253" s="31"/>
      <c r="AA3253" s="32"/>
    </row>
    <row r="3254" spans="1:27" ht="12.75">
      <c r="A3254" s="17"/>
      <c r="B3254" s="17"/>
      <c r="C3254" s="17"/>
      <c r="D3254" s="17"/>
      <c r="E3254" s="17"/>
      <c r="F3254" s="17"/>
      <c r="G3254" s="17"/>
      <c r="H3254" s="17"/>
      <c r="I3254" s="31"/>
      <c r="J3254" s="17"/>
      <c r="K3254" s="17"/>
      <c r="L3254" s="17"/>
      <c r="M3254" s="17"/>
      <c r="N3254" s="17"/>
      <c r="O3254" s="17"/>
      <c r="P3254" s="17"/>
      <c r="Q3254" s="17"/>
      <c r="R3254" s="17"/>
      <c r="S3254" s="17"/>
      <c r="T3254" s="17"/>
      <c r="U3254" s="17"/>
      <c r="V3254" s="17"/>
      <c r="W3254" s="17"/>
      <c r="X3254" s="17"/>
      <c r="Y3254" s="17"/>
      <c r="Z3254" s="31"/>
      <c r="AA3254" s="32"/>
    </row>
    <row r="3255" spans="1:27" ht="12.75">
      <c r="A3255" s="17"/>
      <c r="B3255" s="17"/>
      <c r="C3255" s="17"/>
      <c r="D3255" s="17"/>
      <c r="E3255" s="17"/>
      <c r="F3255" s="17"/>
      <c r="G3255" s="17"/>
      <c r="H3255" s="17"/>
      <c r="I3255" s="31"/>
      <c r="J3255" s="17"/>
      <c r="K3255" s="17"/>
      <c r="L3255" s="17"/>
      <c r="M3255" s="17"/>
      <c r="N3255" s="17"/>
      <c r="O3255" s="17"/>
      <c r="P3255" s="17"/>
      <c r="Q3255" s="17"/>
      <c r="R3255" s="17"/>
      <c r="S3255" s="17"/>
      <c r="T3255" s="17"/>
      <c r="U3255" s="17"/>
      <c r="V3255" s="17"/>
      <c r="W3255" s="17"/>
      <c r="X3255" s="17"/>
      <c r="Y3255" s="17"/>
      <c r="Z3255" s="31"/>
      <c r="AA3255" s="32"/>
    </row>
    <row r="3256" spans="1:27" ht="12.75">
      <c r="A3256" s="17"/>
      <c r="B3256" s="17"/>
      <c r="C3256" s="17"/>
      <c r="D3256" s="17"/>
      <c r="E3256" s="17"/>
      <c r="F3256" s="17"/>
      <c r="G3256" s="17"/>
      <c r="H3256" s="17"/>
      <c r="I3256" s="31"/>
      <c r="J3256" s="17"/>
      <c r="K3256" s="17"/>
      <c r="L3256" s="17"/>
      <c r="M3256" s="17"/>
      <c r="N3256" s="17"/>
      <c r="O3256" s="17"/>
      <c r="P3256" s="17"/>
      <c r="Q3256" s="17"/>
      <c r="R3256" s="17"/>
      <c r="S3256" s="17"/>
      <c r="T3256" s="17"/>
      <c r="U3256" s="17"/>
      <c r="V3256" s="17"/>
      <c r="W3256" s="17"/>
      <c r="X3256" s="17"/>
      <c r="Y3256" s="17"/>
      <c r="Z3256" s="31"/>
      <c r="AA3256" s="32"/>
    </row>
    <row r="3257" spans="1:27" ht="12.75">
      <c r="A3257" s="17"/>
      <c r="B3257" s="17"/>
      <c r="C3257" s="17"/>
      <c r="D3257" s="17"/>
      <c r="E3257" s="17"/>
      <c r="F3257" s="17"/>
      <c r="G3257" s="17"/>
      <c r="H3257" s="17"/>
      <c r="I3257" s="31"/>
      <c r="J3257" s="17"/>
      <c r="K3257" s="17"/>
      <c r="L3257" s="17"/>
      <c r="M3257" s="17"/>
      <c r="N3257" s="17"/>
      <c r="O3257" s="17"/>
      <c r="P3257" s="17"/>
      <c r="Q3257" s="17"/>
      <c r="R3257" s="17"/>
      <c r="S3257" s="17"/>
      <c r="T3257" s="17"/>
      <c r="U3257" s="17"/>
      <c r="V3257" s="17"/>
      <c r="W3257" s="17"/>
      <c r="X3257" s="17"/>
      <c r="Y3257" s="17"/>
      <c r="Z3257" s="31"/>
      <c r="AA3257" s="32"/>
    </row>
    <row r="3258" spans="1:27" ht="12.75">
      <c r="A3258" s="17"/>
      <c r="B3258" s="17"/>
      <c r="C3258" s="17"/>
      <c r="D3258" s="17"/>
      <c r="E3258" s="17"/>
      <c r="F3258" s="17"/>
      <c r="G3258" s="17"/>
      <c r="H3258" s="17"/>
      <c r="I3258" s="31"/>
      <c r="J3258" s="17"/>
      <c r="K3258" s="17"/>
      <c r="L3258" s="17"/>
      <c r="M3258" s="17"/>
      <c r="N3258" s="17"/>
      <c r="O3258" s="17"/>
      <c r="P3258" s="17"/>
      <c r="Q3258" s="17"/>
      <c r="R3258" s="17"/>
      <c r="S3258" s="17"/>
      <c r="T3258" s="17"/>
      <c r="U3258" s="17"/>
      <c r="V3258" s="17"/>
      <c r="W3258" s="17"/>
      <c r="X3258" s="17"/>
      <c r="Y3258" s="17"/>
      <c r="Z3258" s="31"/>
      <c r="AA3258" s="32"/>
    </row>
    <row r="3259" spans="1:27" ht="12.75">
      <c r="A3259" s="17"/>
      <c r="B3259" s="17"/>
      <c r="C3259" s="17"/>
      <c r="D3259" s="17"/>
      <c r="E3259" s="17"/>
      <c r="F3259" s="17"/>
      <c r="G3259" s="17"/>
      <c r="H3259" s="17"/>
      <c r="I3259" s="31"/>
      <c r="J3259" s="17"/>
      <c r="K3259" s="17"/>
      <c r="L3259" s="17"/>
      <c r="M3259" s="17"/>
      <c r="N3259" s="17"/>
      <c r="O3259" s="17"/>
      <c r="P3259" s="17"/>
      <c r="Q3259" s="17"/>
      <c r="R3259" s="17"/>
      <c r="S3259" s="17"/>
      <c r="T3259" s="17"/>
      <c r="U3259" s="17"/>
      <c r="V3259" s="17"/>
      <c r="W3259" s="17"/>
      <c r="X3259" s="17"/>
      <c r="Y3259" s="17"/>
      <c r="Z3259" s="31"/>
      <c r="AA3259" s="32"/>
    </row>
    <row r="3260" spans="1:27" ht="12.75">
      <c r="A3260" s="17"/>
      <c r="B3260" s="17"/>
      <c r="C3260" s="17"/>
      <c r="D3260" s="17"/>
      <c r="E3260" s="17"/>
      <c r="F3260" s="17"/>
      <c r="G3260" s="17"/>
      <c r="H3260" s="17"/>
      <c r="I3260" s="31"/>
      <c r="J3260" s="17"/>
      <c r="K3260" s="17"/>
      <c r="L3260" s="17"/>
      <c r="M3260" s="17"/>
      <c r="N3260" s="17"/>
      <c r="O3260" s="17"/>
      <c r="P3260" s="17"/>
      <c r="Q3260" s="17"/>
      <c r="R3260" s="17"/>
      <c r="S3260" s="17"/>
      <c r="T3260" s="17"/>
      <c r="U3260" s="17"/>
      <c r="V3260" s="17"/>
      <c r="W3260" s="17"/>
      <c r="X3260" s="17"/>
      <c r="Y3260" s="17"/>
      <c r="Z3260" s="31"/>
      <c r="AA3260" s="32"/>
    </row>
    <row r="3261" spans="1:27" ht="12.75">
      <c r="A3261" s="17"/>
      <c r="B3261" s="17"/>
      <c r="C3261" s="17"/>
      <c r="D3261" s="17"/>
      <c r="E3261" s="17"/>
      <c r="F3261" s="17"/>
      <c r="G3261" s="17"/>
      <c r="H3261" s="17"/>
      <c r="I3261" s="31"/>
      <c r="J3261" s="17"/>
      <c r="K3261" s="17"/>
      <c r="L3261" s="17"/>
      <c r="M3261" s="17"/>
      <c r="N3261" s="17"/>
      <c r="O3261" s="17"/>
      <c r="P3261" s="17"/>
      <c r="Q3261" s="17"/>
      <c r="R3261" s="17"/>
      <c r="S3261" s="17"/>
      <c r="T3261" s="17"/>
      <c r="U3261" s="17"/>
      <c r="V3261" s="17"/>
      <c r="W3261" s="17"/>
      <c r="X3261" s="17"/>
      <c r="Y3261" s="17"/>
      <c r="Z3261" s="31"/>
      <c r="AA3261" s="32"/>
    </row>
    <row r="3262" spans="1:27" ht="12.75">
      <c r="A3262" s="17"/>
      <c r="B3262" s="17"/>
      <c r="C3262" s="17"/>
      <c r="D3262" s="17"/>
      <c r="E3262" s="17"/>
      <c r="F3262" s="17"/>
      <c r="G3262" s="17"/>
      <c r="H3262" s="17"/>
      <c r="I3262" s="31"/>
      <c r="J3262" s="17"/>
      <c r="K3262" s="17"/>
      <c r="L3262" s="17"/>
      <c r="M3262" s="17"/>
      <c r="N3262" s="17"/>
      <c r="O3262" s="17"/>
      <c r="P3262" s="17"/>
      <c r="Q3262" s="17"/>
      <c r="R3262" s="17"/>
      <c r="S3262" s="17"/>
      <c r="T3262" s="17"/>
      <c r="U3262" s="17"/>
      <c r="V3262" s="17"/>
      <c r="W3262" s="17"/>
      <c r="X3262" s="17"/>
      <c r="Y3262" s="17"/>
      <c r="Z3262" s="31"/>
      <c r="AA3262" s="32"/>
    </row>
    <row r="3263" spans="1:27" ht="12.75">
      <c r="A3263" s="17"/>
      <c r="B3263" s="17"/>
      <c r="C3263" s="17"/>
      <c r="D3263" s="17"/>
      <c r="E3263" s="17"/>
      <c r="F3263" s="17"/>
      <c r="G3263" s="17"/>
      <c r="H3263" s="17"/>
      <c r="I3263" s="31"/>
      <c r="J3263" s="17"/>
      <c r="K3263" s="17"/>
      <c r="L3263" s="17"/>
      <c r="M3263" s="17"/>
      <c r="N3263" s="17"/>
      <c r="O3263" s="17"/>
      <c r="P3263" s="17"/>
      <c r="Q3263" s="17"/>
      <c r="R3263" s="17"/>
      <c r="S3263" s="17"/>
      <c r="T3263" s="17"/>
      <c r="U3263" s="17"/>
      <c r="V3263" s="17"/>
      <c r="W3263" s="17"/>
      <c r="X3263" s="17"/>
      <c r="Y3263" s="17"/>
      <c r="Z3263" s="31"/>
      <c r="AA3263" s="32"/>
    </row>
    <row r="3264" spans="1:27" ht="12.75">
      <c r="A3264" s="17"/>
      <c r="B3264" s="17"/>
      <c r="C3264" s="17"/>
      <c r="D3264" s="17"/>
      <c r="E3264" s="17"/>
      <c r="F3264" s="17"/>
      <c r="G3264" s="17"/>
      <c r="H3264" s="17"/>
      <c r="I3264" s="31"/>
      <c r="J3264" s="17"/>
      <c r="K3264" s="17"/>
      <c r="L3264" s="17"/>
      <c r="M3264" s="17"/>
      <c r="N3264" s="17"/>
      <c r="O3264" s="17"/>
      <c r="P3264" s="17"/>
      <c r="Q3264" s="17"/>
      <c r="R3264" s="17"/>
      <c r="S3264" s="17"/>
      <c r="T3264" s="17"/>
      <c r="U3264" s="17"/>
      <c r="V3264" s="17"/>
      <c r="W3264" s="17"/>
      <c r="X3264" s="17"/>
      <c r="Y3264" s="17"/>
      <c r="Z3264" s="31"/>
      <c r="AA3264" s="32"/>
    </row>
    <row r="3265" spans="1:27" ht="12.75">
      <c r="A3265" s="17"/>
      <c r="B3265" s="17"/>
      <c r="C3265" s="17"/>
      <c r="D3265" s="17"/>
      <c r="E3265" s="17"/>
      <c r="F3265" s="17"/>
      <c r="G3265" s="17"/>
      <c r="H3265" s="17"/>
      <c r="I3265" s="31"/>
      <c r="J3265" s="17"/>
      <c r="K3265" s="17"/>
      <c r="L3265" s="17"/>
      <c r="M3265" s="17"/>
      <c r="N3265" s="17"/>
      <c r="O3265" s="17"/>
      <c r="P3265" s="17"/>
      <c r="Q3265" s="17"/>
      <c r="R3265" s="17"/>
      <c r="S3265" s="17"/>
      <c r="T3265" s="17"/>
      <c r="U3265" s="17"/>
      <c r="V3265" s="17"/>
      <c r="W3265" s="17"/>
      <c r="X3265" s="17"/>
      <c r="Y3265" s="17"/>
      <c r="Z3265" s="31"/>
      <c r="AA3265" s="32"/>
    </row>
    <row r="3266" spans="1:27" ht="12.75">
      <c r="A3266" s="17"/>
      <c r="B3266" s="17"/>
      <c r="C3266" s="17"/>
      <c r="D3266" s="17"/>
      <c r="E3266" s="17"/>
      <c r="F3266" s="17"/>
      <c r="G3266" s="17"/>
      <c r="H3266" s="17"/>
      <c r="I3266" s="31"/>
      <c r="J3266" s="17"/>
      <c r="K3266" s="17"/>
      <c r="L3266" s="17"/>
      <c r="M3266" s="17"/>
      <c r="N3266" s="17"/>
      <c r="O3266" s="17"/>
      <c r="P3266" s="17"/>
      <c r="Q3266" s="17"/>
      <c r="R3266" s="17"/>
      <c r="S3266" s="17"/>
      <c r="T3266" s="17"/>
      <c r="U3266" s="17"/>
      <c r="V3266" s="17"/>
      <c r="W3266" s="17"/>
      <c r="X3266" s="17"/>
      <c r="Y3266" s="17"/>
      <c r="Z3266" s="31"/>
      <c r="AA3266" s="32"/>
    </row>
    <row r="3267" spans="1:27" ht="12.75">
      <c r="A3267" s="17"/>
      <c r="B3267" s="17"/>
      <c r="C3267" s="17"/>
      <c r="D3267" s="17"/>
      <c r="E3267" s="17"/>
      <c r="F3267" s="17"/>
      <c r="G3267" s="17"/>
      <c r="H3267" s="17"/>
      <c r="I3267" s="31"/>
      <c r="J3267" s="17"/>
      <c r="K3267" s="17"/>
      <c r="L3267" s="17"/>
      <c r="M3267" s="17"/>
      <c r="N3267" s="17"/>
      <c r="O3267" s="17"/>
      <c r="P3267" s="17"/>
      <c r="Q3267" s="17"/>
      <c r="R3267" s="17"/>
      <c r="S3267" s="17"/>
      <c r="T3267" s="17"/>
      <c r="U3267" s="17"/>
      <c r="V3267" s="17"/>
      <c r="W3267" s="17"/>
      <c r="X3267" s="17"/>
      <c r="Y3267" s="17"/>
      <c r="Z3267" s="31"/>
      <c r="AA3267" s="32"/>
    </row>
    <row r="3268" spans="1:27" ht="12.75">
      <c r="A3268" s="17"/>
      <c r="B3268" s="17"/>
      <c r="C3268" s="17"/>
      <c r="D3268" s="17"/>
      <c r="E3268" s="17"/>
      <c r="F3268" s="17"/>
      <c r="G3268" s="17"/>
      <c r="H3268" s="17"/>
      <c r="I3268" s="31"/>
      <c r="J3268" s="17"/>
      <c r="K3268" s="17"/>
      <c r="L3268" s="17"/>
      <c r="M3268" s="17"/>
      <c r="N3268" s="17"/>
      <c r="O3268" s="17"/>
      <c r="P3268" s="17"/>
      <c r="Q3268" s="17"/>
      <c r="R3268" s="17"/>
      <c r="S3268" s="17"/>
      <c r="T3268" s="17"/>
      <c r="U3268" s="17"/>
      <c r="V3268" s="17"/>
      <c r="W3268" s="17"/>
      <c r="X3268" s="17"/>
      <c r="Y3268" s="17"/>
      <c r="Z3268" s="31"/>
      <c r="AA3268" s="32"/>
    </row>
    <row r="3269" spans="1:27" ht="12.75">
      <c r="A3269" s="17"/>
      <c r="B3269" s="17"/>
      <c r="C3269" s="17"/>
      <c r="D3269" s="17"/>
      <c r="E3269" s="17"/>
      <c r="F3269" s="17"/>
      <c r="G3269" s="17"/>
      <c r="H3269" s="17"/>
      <c r="I3269" s="31"/>
      <c r="J3269" s="17"/>
      <c r="K3269" s="17"/>
      <c r="L3269" s="17"/>
      <c r="M3269" s="17"/>
      <c r="N3269" s="17"/>
      <c r="O3269" s="17"/>
      <c r="P3269" s="17"/>
      <c r="Q3269" s="17"/>
      <c r="R3269" s="17"/>
      <c r="S3269" s="17"/>
      <c r="T3269" s="17"/>
      <c r="U3269" s="17"/>
      <c r="V3269" s="17"/>
      <c r="W3269" s="17"/>
      <c r="X3269" s="17"/>
      <c r="Y3269" s="17"/>
      <c r="Z3269" s="31"/>
      <c r="AA3269" s="32"/>
    </row>
    <row r="3270" spans="1:27" ht="12.75">
      <c r="A3270" s="17"/>
      <c r="B3270" s="17"/>
      <c r="C3270" s="17"/>
      <c r="D3270" s="17"/>
      <c r="E3270" s="17"/>
      <c r="F3270" s="17"/>
      <c r="G3270" s="17"/>
      <c r="H3270" s="17"/>
      <c r="I3270" s="31"/>
      <c r="J3270" s="17"/>
      <c r="K3270" s="17"/>
      <c r="L3270" s="17"/>
      <c r="M3270" s="17"/>
      <c r="N3270" s="17"/>
      <c r="O3270" s="17"/>
      <c r="P3270" s="17"/>
      <c r="Q3270" s="17"/>
      <c r="R3270" s="17"/>
      <c r="S3270" s="17"/>
      <c r="T3270" s="17"/>
      <c r="U3270" s="17"/>
      <c r="V3270" s="17"/>
      <c r="W3270" s="17"/>
      <c r="X3270" s="17"/>
      <c r="Y3270" s="17"/>
      <c r="Z3270" s="31"/>
      <c r="AA3270" s="32"/>
    </row>
    <row r="3271" spans="1:27" ht="12.75">
      <c r="A3271" s="17"/>
      <c r="B3271" s="17"/>
      <c r="C3271" s="17"/>
      <c r="D3271" s="17"/>
      <c r="E3271" s="17"/>
      <c r="F3271" s="17"/>
      <c r="G3271" s="17"/>
      <c r="H3271" s="17"/>
      <c r="I3271" s="31"/>
      <c r="J3271" s="17"/>
      <c r="K3271" s="17"/>
      <c r="L3271" s="17"/>
      <c r="M3271" s="17"/>
      <c r="N3271" s="17"/>
      <c r="O3271" s="17"/>
      <c r="P3271" s="17"/>
      <c r="Q3271" s="17"/>
      <c r="R3271" s="17"/>
      <c r="S3271" s="17"/>
      <c r="T3271" s="17"/>
      <c r="U3271" s="17"/>
      <c r="V3271" s="17"/>
      <c r="W3271" s="17"/>
      <c r="X3271" s="17"/>
      <c r="Y3271" s="17"/>
      <c r="Z3271" s="31"/>
      <c r="AA3271" s="32"/>
    </row>
    <row r="3272" spans="1:27" ht="12.75">
      <c r="A3272" s="17"/>
      <c r="B3272" s="17"/>
      <c r="C3272" s="17"/>
      <c r="D3272" s="17"/>
      <c r="E3272" s="17"/>
      <c r="F3272" s="17"/>
      <c r="G3272" s="17"/>
      <c r="H3272" s="17"/>
      <c r="I3272" s="31"/>
      <c r="J3272" s="17"/>
      <c r="K3272" s="17"/>
      <c r="L3272" s="17"/>
      <c r="M3272" s="17"/>
      <c r="N3272" s="17"/>
      <c r="O3272" s="17"/>
      <c r="P3272" s="17"/>
      <c r="Q3272" s="17"/>
      <c r="R3272" s="17"/>
      <c r="S3272" s="17"/>
      <c r="T3272" s="17"/>
      <c r="U3272" s="17"/>
      <c r="V3272" s="17"/>
      <c r="W3272" s="17"/>
      <c r="X3272" s="17"/>
      <c r="Y3272" s="17"/>
      <c r="Z3272" s="31"/>
      <c r="AA3272" s="32"/>
    </row>
    <row r="3273" spans="1:27" ht="12.75">
      <c r="A3273" s="17"/>
      <c r="B3273" s="17"/>
      <c r="C3273" s="17"/>
      <c r="D3273" s="17"/>
      <c r="E3273" s="17"/>
      <c r="F3273" s="17"/>
      <c r="G3273" s="17"/>
      <c r="H3273" s="17"/>
      <c r="I3273" s="31"/>
      <c r="J3273" s="17"/>
      <c r="K3273" s="17"/>
      <c r="L3273" s="17"/>
      <c r="M3273" s="17"/>
      <c r="N3273" s="17"/>
      <c r="O3273" s="17"/>
      <c r="P3273" s="17"/>
      <c r="Q3273" s="17"/>
      <c r="R3273" s="17"/>
      <c r="S3273" s="17"/>
      <c r="T3273" s="17"/>
      <c r="U3273" s="17"/>
      <c r="V3273" s="17"/>
      <c r="W3273" s="17"/>
      <c r="X3273" s="17"/>
      <c r="Y3273" s="17"/>
      <c r="Z3273" s="31"/>
      <c r="AA3273" s="32"/>
    </row>
    <row r="3274" spans="1:27" ht="12.75">
      <c r="A3274" s="17"/>
      <c r="B3274" s="17"/>
      <c r="C3274" s="17"/>
      <c r="D3274" s="17"/>
      <c r="E3274" s="17"/>
      <c r="F3274" s="17"/>
      <c r="G3274" s="17"/>
      <c r="H3274" s="17"/>
      <c r="I3274" s="31"/>
      <c r="J3274" s="17"/>
      <c r="K3274" s="17"/>
      <c r="L3274" s="17"/>
      <c r="M3274" s="17"/>
      <c r="N3274" s="17"/>
      <c r="O3274" s="17"/>
      <c r="P3274" s="17"/>
      <c r="Q3274" s="17"/>
      <c r="R3274" s="17"/>
      <c r="S3274" s="17"/>
      <c r="T3274" s="17"/>
      <c r="U3274" s="17"/>
      <c r="V3274" s="17"/>
      <c r="W3274" s="17"/>
      <c r="X3274" s="17"/>
      <c r="Y3274" s="17"/>
      <c r="Z3274" s="31"/>
      <c r="AA3274" s="32"/>
    </row>
    <row r="3275" spans="1:27" ht="12.75">
      <c r="A3275" s="17"/>
      <c r="B3275" s="17"/>
      <c r="C3275" s="17"/>
      <c r="D3275" s="17"/>
      <c r="E3275" s="17"/>
      <c r="F3275" s="17"/>
      <c r="G3275" s="17"/>
      <c r="H3275" s="17"/>
      <c r="I3275" s="31"/>
      <c r="J3275" s="17"/>
      <c r="K3275" s="17"/>
      <c r="L3275" s="17"/>
      <c r="M3275" s="17"/>
      <c r="N3275" s="17"/>
      <c r="O3275" s="17"/>
      <c r="P3275" s="17"/>
      <c r="Q3275" s="17"/>
      <c r="R3275" s="17"/>
      <c r="S3275" s="17"/>
      <c r="T3275" s="17"/>
      <c r="U3275" s="17"/>
      <c r="V3275" s="17"/>
      <c r="W3275" s="17"/>
      <c r="X3275" s="17"/>
      <c r="Y3275" s="17"/>
      <c r="Z3275" s="31"/>
      <c r="AA3275" s="32"/>
    </row>
    <row r="3276" spans="1:27" ht="12.75">
      <c r="A3276" s="17"/>
      <c r="B3276" s="17"/>
      <c r="C3276" s="17"/>
      <c r="D3276" s="17"/>
      <c r="E3276" s="17"/>
      <c r="F3276" s="17"/>
      <c r="G3276" s="17"/>
      <c r="H3276" s="17"/>
      <c r="I3276" s="31"/>
      <c r="J3276" s="17"/>
      <c r="K3276" s="17"/>
      <c r="L3276" s="17"/>
      <c r="M3276" s="17"/>
      <c r="N3276" s="17"/>
      <c r="O3276" s="17"/>
      <c r="P3276" s="17"/>
      <c r="Q3276" s="17"/>
      <c r="R3276" s="17"/>
      <c r="S3276" s="17"/>
      <c r="T3276" s="17"/>
      <c r="U3276" s="17"/>
      <c r="V3276" s="17"/>
      <c r="W3276" s="17"/>
      <c r="X3276" s="17"/>
      <c r="Y3276" s="17"/>
      <c r="Z3276" s="31"/>
      <c r="AA3276" s="32"/>
    </row>
    <row r="3277" spans="1:27" ht="12.75">
      <c r="A3277" s="17"/>
      <c r="B3277" s="17"/>
      <c r="C3277" s="17"/>
      <c r="D3277" s="17"/>
      <c r="E3277" s="17"/>
      <c r="F3277" s="17"/>
      <c r="G3277" s="17"/>
      <c r="H3277" s="17"/>
      <c r="I3277" s="31"/>
      <c r="J3277" s="17"/>
      <c r="K3277" s="17"/>
      <c r="L3277" s="17"/>
      <c r="M3277" s="17"/>
      <c r="N3277" s="17"/>
      <c r="O3277" s="17"/>
      <c r="P3277" s="17"/>
      <c r="Q3277" s="17"/>
      <c r="R3277" s="17"/>
      <c r="S3277" s="17"/>
      <c r="T3277" s="17"/>
      <c r="U3277" s="17"/>
      <c r="V3277" s="17"/>
      <c r="W3277" s="17"/>
      <c r="X3277" s="17"/>
      <c r="Y3277" s="17"/>
      <c r="Z3277" s="31"/>
      <c r="AA3277" s="32"/>
    </row>
    <row r="3278" spans="1:27" ht="12.75">
      <c r="A3278" s="17"/>
      <c r="B3278" s="17"/>
      <c r="C3278" s="17"/>
      <c r="D3278" s="17"/>
      <c r="E3278" s="17"/>
      <c r="F3278" s="17"/>
      <c r="G3278" s="17"/>
      <c r="H3278" s="17"/>
      <c r="I3278" s="31"/>
      <c r="J3278" s="17"/>
      <c r="K3278" s="17"/>
      <c r="L3278" s="17"/>
      <c r="M3278" s="17"/>
      <c r="N3278" s="17"/>
      <c r="O3278" s="17"/>
      <c r="P3278" s="17"/>
      <c r="Q3278" s="17"/>
      <c r="R3278" s="17"/>
      <c r="S3278" s="17"/>
      <c r="T3278" s="17"/>
      <c r="U3278" s="17"/>
      <c r="V3278" s="17"/>
      <c r="W3278" s="17"/>
      <c r="X3278" s="17"/>
      <c r="Y3278" s="17"/>
      <c r="Z3278" s="31"/>
      <c r="AA3278" s="32"/>
    </row>
    <row r="3279" spans="1:27" ht="12.75">
      <c r="A3279" s="17"/>
      <c r="B3279" s="17"/>
      <c r="C3279" s="17"/>
      <c r="D3279" s="17"/>
      <c r="E3279" s="17"/>
      <c r="F3279" s="17"/>
      <c r="G3279" s="17"/>
      <c r="H3279" s="17"/>
      <c r="I3279" s="31"/>
      <c r="J3279" s="17"/>
      <c r="K3279" s="17"/>
      <c r="L3279" s="17"/>
      <c r="M3279" s="17"/>
      <c r="N3279" s="17"/>
      <c r="O3279" s="17"/>
      <c r="P3279" s="17"/>
      <c r="Q3279" s="17"/>
      <c r="R3279" s="17"/>
      <c r="S3279" s="17"/>
      <c r="T3279" s="17"/>
      <c r="U3279" s="17"/>
      <c r="V3279" s="17"/>
      <c r="W3279" s="17"/>
      <c r="X3279" s="17"/>
      <c r="Y3279" s="17"/>
      <c r="Z3279" s="31"/>
      <c r="AA3279" s="32"/>
    </row>
    <row r="3280" spans="1:27" ht="12.75">
      <c r="A3280" s="17"/>
      <c r="B3280" s="17"/>
      <c r="C3280" s="17"/>
      <c r="D3280" s="17"/>
      <c r="E3280" s="17"/>
      <c r="F3280" s="17"/>
      <c r="G3280" s="17"/>
      <c r="H3280" s="17"/>
      <c r="I3280" s="31"/>
      <c r="J3280" s="17"/>
      <c r="K3280" s="17"/>
      <c r="L3280" s="17"/>
      <c r="M3280" s="17"/>
      <c r="N3280" s="17"/>
      <c r="O3280" s="17"/>
      <c r="P3280" s="17"/>
      <c r="Q3280" s="17"/>
      <c r="R3280" s="17"/>
      <c r="S3280" s="17"/>
      <c r="T3280" s="17"/>
      <c r="U3280" s="17"/>
      <c r="V3280" s="17"/>
      <c r="W3280" s="17"/>
      <c r="X3280" s="17"/>
      <c r="Y3280" s="17"/>
      <c r="Z3280" s="31"/>
      <c r="AA3280" s="32"/>
    </row>
    <row r="3281" spans="1:27" ht="12.75">
      <c r="A3281" s="17"/>
      <c r="B3281" s="17"/>
      <c r="C3281" s="17"/>
      <c r="D3281" s="17"/>
      <c r="E3281" s="17"/>
      <c r="F3281" s="17"/>
      <c r="G3281" s="17"/>
      <c r="H3281" s="17"/>
      <c r="I3281" s="31"/>
      <c r="J3281" s="17"/>
      <c r="K3281" s="17"/>
      <c r="L3281" s="17"/>
      <c r="M3281" s="17"/>
      <c r="N3281" s="17"/>
      <c r="O3281" s="17"/>
      <c r="P3281" s="17"/>
      <c r="Q3281" s="17"/>
      <c r="R3281" s="17"/>
      <c r="S3281" s="17"/>
      <c r="T3281" s="17"/>
      <c r="U3281" s="17"/>
      <c r="V3281" s="17"/>
      <c r="W3281" s="17"/>
      <c r="X3281" s="17"/>
      <c r="Y3281" s="17"/>
      <c r="Z3281" s="31"/>
      <c r="AA3281" s="32"/>
    </row>
    <row r="3282" spans="1:27" ht="12.75">
      <c r="A3282" s="17"/>
      <c r="B3282" s="17"/>
      <c r="C3282" s="17"/>
      <c r="D3282" s="17"/>
      <c r="E3282" s="17"/>
      <c r="F3282" s="17"/>
      <c r="G3282" s="17"/>
      <c r="H3282" s="17"/>
      <c r="I3282" s="31"/>
      <c r="J3282" s="17"/>
      <c r="K3282" s="17"/>
      <c r="L3282" s="17"/>
      <c r="M3282" s="17"/>
      <c r="N3282" s="17"/>
      <c r="O3282" s="17"/>
      <c r="P3282" s="17"/>
      <c r="Q3282" s="17"/>
      <c r="R3282" s="17"/>
      <c r="S3282" s="17"/>
      <c r="T3282" s="17"/>
      <c r="U3282" s="17"/>
      <c r="V3282" s="17"/>
      <c r="W3282" s="17"/>
      <c r="X3282" s="17"/>
      <c r="Y3282" s="17"/>
      <c r="Z3282" s="31"/>
      <c r="AA3282" s="32"/>
    </row>
    <row r="3283" spans="1:27" ht="12.75">
      <c r="A3283" s="17"/>
      <c r="B3283" s="17"/>
      <c r="C3283" s="17"/>
      <c r="D3283" s="17"/>
      <c r="E3283" s="17"/>
      <c r="F3283" s="17"/>
      <c r="G3283" s="17"/>
      <c r="H3283" s="17"/>
      <c r="I3283" s="31"/>
      <c r="J3283" s="17"/>
      <c r="K3283" s="17"/>
      <c r="L3283" s="17"/>
      <c r="M3283" s="17"/>
      <c r="N3283" s="17"/>
      <c r="O3283" s="17"/>
      <c r="P3283" s="17"/>
      <c r="Q3283" s="17"/>
      <c r="R3283" s="17"/>
      <c r="S3283" s="17"/>
      <c r="T3283" s="17"/>
      <c r="U3283" s="17"/>
      <c r="V3283" s="17"/>
      <c r="W3283" s="17"/>
      <c r="X3283" s="17"/>
      <c r="Y3283" s="17"/>
      <c r="Z3283" s="31"/>
      <c r="AA3283" s="32"/>
    </row>
    <row r="3284" spans="1:27" ht="12.75">
      <c r="A3284" s="17"/>
      <c r="B3284" s="17"/>
      <c r="C3284" s="17"/>
      <c r="D3284" s="17"/>
      <c r="E3284" s="17"/>
      <c r="F3284" s="17"/>
      <c r="G3284" s="17"/>
      <c r="H3284" s="17"/>
      <c r="I3284" s="31"/>
      <c r="J3284" s="17"/>
      <c r="K3284" s="17"/>
      <c r="L3284" s="17"/>
      <c r="M3284" s="17"/>
      <c r="N3284" s="17"/>
      <c r="O3284" s="17"/>
      <c r="P3284" s="17"/>
      <c r="Q3284" s="17"/>
      <c r="R3284" s="17"/>
      <c r="S3284" s="17"/>
      <c r="T3284" s="17"/>
      <c r="U3284" s="17"/>
      <c r="V3284" s="17"/>
      <c r="W3284" s="17"/>
      <c r="X3284" s="17"/>
      <c r="Y3284" s="17"/>
      <c r="Z3284" s="31"/>
      <c r="AA3284" s="32"/>
    </row>
    <row r="3285" spans="1:27" ht="12.75">
      <c r="A3285" s="17"/>
      <c r="B3285" s="17"/>
      <c r="C3285" s="17"/>
      <c r="D3285" s="17"/>
      <c r="E3285" s="17"/>
      <c r="F3285" s="17"/>
      <c r="G3285" s="17"/>
      <c r="H3285" s="17"/>
      <c r="I3285" s="31"/>
      <c r="J3285" s="17"/>
      <c r="K3285" s="17"/>
      <c r="L3285" s="17"/>
      <c r="M3285" s="17"/>
      <c r="N3285" s="17"/>
      <c r="O3285" s="17"/>
      <c r="P3285" s="17"/>
      <c r="Q3285" s="17"/>
      <c r="R3285" s="17"/>
      <c r="S3285" s="17"/>
      <c r="T3285" s="17"/>
      <c r="U3285" s="17"/>
      <c r="V3285" s="17"/>
      <c r="W3285" s="17"/>
      <c r="X3285" s="17"/>
      <c r="Y3285" s="17"/>
      <c r="Z3285" s="31"/>
      <c r="AA3285" s="32"/>
    </row>
    <row r="3286" spans="1:27" ht="12.75">
      <c r="A3286" s="17"/>
      <c r="B3286" s="17"/>
      <c r="C3286" s="17"/>
      <c r="D3286" s="17"/>
      <c r="E3286" s="17"/>
      <c r="F3286" s="17"/>
      <c r="G3286" s="17"/>
      <c r="H3286" s="17"/>
      <c r="I3286" s="31"/>
      <c r="J3286" s="17"/>
      <c r="K3286" s="17"/>
      <c r="L3286" s="17"/>
      <c r="M3286" s="17"/>
      <c r="N3286" s="17"/>
      <c r="O3286" s="17"/>
      <c r="P3286" s="17"/>
      <c r="Q3286" s="17"/>
      <c r="R3286" s="17"/>
      <c r="S3286" s="17"/>
      <c r="T3286" s="17"/>
      <c r="U3286" s="17"/>
      <c r="V3286" s="17"/>
      <c r="W3286" s="17"/>
      <c r="X3286" s="17"/>
      <c r="Y3286" s="17"/>
      <c r="Z3286" s="31"/>
      <c r="AA3286" s="32"/>
    </row>
    <row r="3287" spans="1:27" ht="12.75">
      <c r="A3287" s="17"/>
      <c r="B3287" s="17"/>
      <c r="C3287" s="17"/>
      <c r="D3287" s="17"/>
      <c r="E3287" s="17"/>
      <c r="F3287" s="17"/>
      <c r="G3287" s="17"/>
      <c r="H3287" s="17"/>
      <c r="I3287" s="31"/>
      <c r="J3287" s="17"/>
      <c r="K3287" s="17"/>
      <c r="L3287" s="17"/>
      <c r="M3287" s="17"/>
      <c r="N3287" s="17"/>
      <c r="O3287" s="17"/>
      <c r="P3287" s="17"/>
      <c r="Q3287" s="17"/>
      <c r="R3287" s="17"/>
      <c r="S3287" s="17"/>
      <c r="T3287" s="17"/>
      <c r="U3287" s="17"/>
      <c r="V3287" s="17"/>
      <c r="W3287" s="17"/>
      <c r="X3287" s="17"/>
      <c r="Y3287" s="17"/>
      <c r="Z3287" s="31"/>
      <c r="AA3287" s="32"/>
    </row>
    <row r="3288" spans="1:27" ht="12.75">
      <c r="A3288" s="17"/>
      <c r="B3288" s="17"/>
      <c r="C3288" s="17"/>
      <c r="D3288" s="17"/>
      <c r="E3288" s="17"/>
      <c r="F3288" s="17"/>
      <c r="G3288" s="17"/>
      <c r="H3288" s="17"/>
      <c r="I3288" s="31"/>
      <c r="J3288" s="17"/>
      <c r="K3288" s="17"/>
      <c r="L3288" s="17"/>
      <c r="M3288" s="17"/>
      <c r="N3288" s="17"/>
      <c r="O3288" s="17"/>
      <c r="P3288" s="17"/>
      <c r="Q3288" s="17"/>
      <c r="R3288" s="17"/>
      <c r="S3288" s="17"/>
      <c r="T3288" s="17"/>
      <c r="U3288" s="17"/>
      <c r="V3288" s="17"/>
      <c r="W3288" s="17"/>
      <c r="X3288" s="17"/>
      <c r="Y3288" s="17"/>
      <c r="Z3288" s="31"/>
      <c r="AA3288" s="32"/>
    </row>
    <row r="3289" spans="1:27" ht="12.75">
      <c r="A3289" s="17"/>
      <c r="B3289" s="17"/>
      <c r="C3289" s="17"/>
      <c r="D3289" s="17"/>
      <c r="E3289" s="17"/>
      <c r="F3289" s="17"/>
      <c r="G3289" s="17"/>
      <c r="H3289" s="17"/>
      <c r="I3289" s="31"/>
      <c r="J3289" s="17"/>
      <c r="K3289" s="17"/>
      <c r="L3289" s="17"/>
      <c r="M3289" s="17"/>
      <c r="N3289" s="17"/>
      <c r="O3289" s="17"/>
      <c r="P3289" s="17"/>
      <c r="Q3289" s="17"/>
      <c r="R3289" s="17"/>
      <c r="S3289" s="17"/>
      <c r="T3289" s="17"/>
      <c r="U3289" s="17"/>
      <c r="V3289" s="17"/>
      <c r="W3289" s="17"/>
      <c r="X3289" s="17"/>
      <c r="Y3289" s="17"/>
      <c r="Z3289" s="31"/>
      <c r="AA3289" s="32"/>
    </row>
    <row r="3290" spans="1:27" ht="12.75">
      <c r="A3290" s="17"/>
      <c r="B3290" s="17"/>
      <c r="C3290" s="17"/>
      <c r="D3290" s="17"/>
      <c r="E3290" s="17"/>
      <c r="F3290" s="17"/>
      <c r="G3290" s="17"/>
      <c r="H3290" s="17"/>
      <c r="I3290" s="31"/>
      <c r="J3290" s="17"/>
      <c r="K3290" s="17"/>
      <c r="L3290" s="17"/>
      <c r="M3290" s="17"/>
      <c r="N3290" s="17"/>
      <c r="O3290" s="17"/>
      <c r="P3290" s="17"/>
      <c r="Q3290" s="17"/>
      <c r="R3290" s="17"/>
      <c r="S3290" s="17"/>
      <c r="T3290" s="17"/>
      <c r="U3290" s="17"/>
      <c r="V3290" s="17"/>
      <c r="W3290" s="17"/>
      <c r="X3290" s="17"/>
      <c r="Y3290" s="17"/>
      <c r="Z3290" s="31"/>
      <c r="AA3290" s="32"/>
    </row>
    <row r="3291" spans="1:27" ht="12.75">
      <c r="A3291" s="17"/>
      <c r="B3291" s="17"/>
      <c r="C3291" s="17"/>
      <c r="D3291" s="17"/>
      <c r="E3291" s="17"/>
      <c r="F3291" s="17"/>
      <c r="G3291" s="17"/>
      <c r="H3291" s="17"/>
      <c r="I3291" s="31"/>
      <c r="J3291" s="17"/>
      <c r="K3291" s="17"/>
      <c r="L3291" s="17"/>
      <c r="M3291" s="17"/>
      <c r="N3291" s="17"/>
      <c r="O3291" s="17"/>
      <c r="P3291" s="17"/>
      <c r="Q3291" s="17"/>
      <c r="R3291" s="17"/>
      <c r="S3291" s="17"/>
      <c r="T3291" s="17"/>
      <c r="U3291" s="17"/>
      <c r="V3291" s="17"/>
      <c r="W3291" s="17"/>
      <c r="X3291" s="17"/>
      <c r="Y3291" s="17"/>
      <c r="Z3291" s="31"/>
      <c r="AA3291" s="32"/>
    </row>
    <row r="3292" spans="1:27" ht="12.75">
      <c r="A3292" s="17"/>
      <c r="B3292" s="17"/>
      <c r="C3292" s="17"/>
      <c r="D3292" s="17"/>
      <c r="E3292" s="17"/>
      <c r="F3292" s="17"/>
      <c r="G3292" s="17"/>
      <c r="H3292" s="17"/>
      <c r="I3292" s="31"/>
      <c r="J3292" s="17"/>
      <c r="K3292" s="17"/>
      <c r="L3292" s="17"/>
      <c r="M3292" s="17"/>
      <c r="N3292" s="17"/>
      <c r="O3292" s="17"/>
      <c r="P3292" s="17"/>
      <c r="Q3292" s="17"/>
      <c r="R3292" s="17"/>
      <c r="S3292" s="17"/>
      <c r="T3292" s="17"/>
      <c r="U3292" s="17"/>
      <c r="V3292" s="17"/>
      <c r="W3292" s="17"/>
      <c r="X3292" s="17"/>
      <c r="Y3292" s="17"/>
      <c r="Z3292" s="31"/>
      <c r="AA3292" s="32"/>
    </row>
    <row r="3293" spans="1:27" ht="12.75">
      <c r="A3293" s="17"/>
      <c r="B3293" s="17"/>
      <c r="C3293" s="17"/>
      <c r="D3293" s="17"/>
      <c r="E3293" s="17"/>
      <c r="F3293" s="17"/>
      <c r="G3293" s="17"/>
      <c r="H3293" s="17"/>
      <c r="I3293" s="31"/>
      <c r="J3293" s="17"/>
      <c r="K3293" s="17"/>
      <c r="L3293" s="17"/>
      <c r="M3293" s="17"/>
      <c r="N3293" s="17"/>
      <c r="O3293" s="17"/>
      <c r="P3293" s="17"/>
      <c r="Q3293" s="17"/>
      <c r="R3293" s="17"/>
      <c r="S3293" s="17"/>
      <c r="T3293" s="17"/>
      <c r="U3293" s="17"/>
      <c r="V3293" s="17"/>
      <c r="W3293" s="17"/>
      <c r="X3293" s="17"/>
      <c r="Y3293" s="17"/>
      <c r="Z3293" s="31"/>
      <c r="AA3293" s="32"/>
    </row>
    <row r="3294" spans="1:27" ht="12.75">
      <c r="A3294" s="17"/>
      <c r="B3294" s="17"/>
      <c r="C3294" s="17"/>
      <c r="D3294" s="17"/>
      <c r="E3294" s="17"/>
      <c r="F3294" s="17"/>
      <c r="G3294" s="17"/>
      <c r="H3294" s="17"/>
      <c r="I3294" s="31"/>
      <c r="J3294" s="17"/>
      <c r="K3294" s="17"/>
      <c r="L3294" s="17"/>
      <c r="M3294" s="17"/>
      <c r="N3294" s="17"/>
      <c r="O3294" s="17"/>
      <c r="P3294" s="17"/>
      <c r="Q3294" s="17"/>
      <c r="R3294" s="17"/>
      <c r="S3294" s="17"/>
      <c r="T3294" s="17"/>
      <c r="U3294" s="17"/>
      <c r="V3294" s="17"/>
      <c r="W3294" s="17"/>
      <c r="X3294" s="17"/>
      <c r="Y3294" s="17"/>
      <c r="Z3294" s="31"/>
      <c r="AA3294" s="32"/>
    </row>
    <row r="3295" spans="1:27" ht="12.75">
      <c r="A3295" s="17"/>
      <c r="B3295" s="17"/>
      <c r="C3295" s="17"/>
      <c r="D3295" s="17"/>
      <c r="E3295" s="17"/>
      <c r="F3295" s="17"/>
      <c r="G3295" s="17"/>
      <c r="H3295" s="17"/>
      <c r="I3295" s="31"/>
      <c r="J3295" s="17"/>
      <c r="K3295" s="17"/>
      <c r="L3295" s="17"/>
      <c r="M3295" s="17"/>
      <c r="N3295" s="17"/>
      <c r="O3295" s="17"/>
      <c r="P3295" s="17"/>
      <c r="Q3295" s="17"/>
      <c r="R3295" s="17"/>
      <c r="S3295" s="17"/>
      <c r="T3295" s="17"/>
      <c r="U3295" s="17"/>
      <c r="V3295" s="17"/>
      <c r="W3295" s="17"/>
      <c r="X3295" s="17"/>
      <c r="Y3295" s="17"/>
      <c r="Z3295" s="31"/>
      <c r="AA3295" s="32"/>
    </row>
    <row r="3296" spans="1:27" ht="12.75">
      <c r="A3296" s="17"/>
      <c r="B3296" s="17"/>
      <c r="C3296" s="17"/>
      <c r="D3296" s="17"/>
      <c r="E3296" s="17"/>
      <c r="F3296" s="17"/>
      <c r="G3296" s="17"/>
      <c r="H3296" s="17"/>
      <c r="I3296" s="31"/>
      <c r="J3296" s="17"/>
      <c r="K3296" s="17"/>
      <c r="L3296" s="17"/>
      <c r="M3296" s="17"/>
      <c r="N3296" s="17"/>
      <c r="O3296" s="17"/>
      <c r="P3296" s="17"/>
      <c r="Q3296" s="17"/>
      <c r="R3296" s="17"/>
      <c r="S3296" s="17"/>
      <c r="T3296" s="17"/>
      <c r="U3296" s="17"/>
      <c r="V3296" s="17"/>
      <c r="W3296" s="17"/>
      <c r="X3296" s="17"/>
      <c r="Y3296" s="17"/>
      <c r="Z3296" s="31"/>
      <c r="AA3296" s="32"/>
    </row>
    <row r="3297" spans="1:27" ht="12.75">
      <c r="A3297" s="17"/>
      <c r="B3297" s="17"/>
      <c r="C3297" s="17"/>
      <c r="D3297" s="17"/>
      <c r="E3297" s="17"/>
      <c r="F3297" s="17"/>
      <c r="G3297" s="17"/>
      <c r="H3297" s="17"/>
      <c r="I3297" s="31"/>
      <c r="J3297" s="17"/>
      <c r="K3297" s="17"/>
      <c r="L3297" s="17"/>
      <c r="M3297" s="17"/>
      <c r="N3297" s="17"/>
      <c r="O3297" s="17"/>
      <c r="P3297" s="17"/>
      <c r="Q3297" s="17"/>
      <c r="R3297" s="17"/>
      <c r="S3297" s="17"/>
      <c r="T3297" s="17"/>
      <c r="U3297" s="17"/>
      <c r="V3297" s="17"/>
      <c r="W3297" s="17"/>
      <c r="X3297" s="17"/>
      <c r="Y3297" s="17"/>
      <c r="Z3297" s="31"/>
      <c r="AA3297" s="32"/>
    </row>
    <row r="3298" spans="1:27" ht="12.75">
      <c r="A3298" s="17"/>
      <c r="B3298" s="17"/>
      <c r="C3298" s="17"/>
      <c r="D3298" s="17"/>
      <c r="E3298" s="17"/>
      <c r="F3298" s="17"/>
      <c r="G3298" s="17"/>
      <c r="H3298" s="17"/>
      <c r="I3298" s="31"/>
      <c r="J3298" s="17"/>
      <c r="K3298" s="17"/>
      <c r="L3298" s="17"/>
      <c r="M3298" s="17"/>
      <c r="N3298" s="17"/>
      <c r="O3298" s="17"/>
      <c r="P3298" s="17"/>
      <c r="Q3298" s="17"/>
      <c r="R3298" s="17"/>
      <c r="S3298" s="17"/>
      <c r="T3298" s="17"/>
      <c r="U3298" s="17"/>
      <c r="V3298" s="17"/>
      <c r="W3298" s="17"/>
      <c r="X3298" s="17"/>
      <c r="Y3298" s="17"/>
      <c r="Z3298" s="31"/>
      <c r="AA3298" s="32"/>
    </row>
    <row r="3299" spans="1:27" ht="12.75">
      <c r="A3299" s="17"/>
      <c r="B3299" s="17"/>
      <c r="C3299" s="17"/>
      <c r="D3299" s="17"/>
      <c r="E3299" s="17"/>
      <c r="F3299" s="17"/>
      <c r="G3299" s="17"/>
      <c r="H3299" s="17"/>
      <c r="I3299" s="31"/>
      <c r="J3299" s="17"/>
      <c r="K3299" s="17"/>
      <c r="L3299" s="17"/>
      <c r="M3299" s="17"/>
      <c r="N3299" s="17"/>
      <c r="O3299" s="17"/>
      <c r="P3299" s="17"/>
      <c r="Q3299" s="17"/>
      <c r="R3299" s="17"/>
      <c r="S3299" s="17"/>
      <c r="T3299" s="17"/>
      <c r="U3299" s="17"/>
      <c r="V3299" s="17"/>
      <c r="W3299" s="17"/>
      <c r="X3299" s="17"/>
      <c r="Y3299" s="17"/>
      <c r="Z3299" s="31"/>
      <c r="AA3299" s="32"/>
    </row>
    <row r="3300" spans="1:27" ht="12.75">
      <c r="A3300" s="17"/>
      <c r="B3300" s="17"/>
      <c r="C3300" s="17"/>
      <c r="D3300" s="17"/>
      <c r="E3300" s="17"/>
      <c r="F3300" s="17"/>
      <c r="G3300" s="17"/>
      <c r="H3300" s="17"/>
      <c r="I3300" s="31"/>
      <c r="J3300" s="17"/>
      <c r="K3300" s="17"/>
      <c r="L3300" s="17"/>
      <c r="M3300" s="17"/>
      <c r="N3300" s="17"/>
      <c r="O3300" s="17"/>
      <c r="P3300" s="17"/>
      <c r="Q3300" s="17"/>
      <c r="R3300" s="17"/>
      <c r="S3300" s="17"/>
      <c r="T3300" s="17"/>
      <c r="U3300" s="17"/>
      <c r="V3300" s="17"/>
      <c r="W3300" s="17"/>
      <c r="X3300" s="17"/>
      <c r="Y3300" s="17"/>
      <c r="Z3300" s="31"/>
      <c r="AA3300" s="32"/>
    </row>
    <row r="3301" spans="1:27" ht="12.75">
      <c r="A3301" s="17"/>
      <c r="B3301" s="17"/>
      <c r="C3301" s="17"/>
      <c r="D3301" s="17"/>
      <c r="E3301" s="17"/>
      <c r="F3301" s="17"/>
      <c r="G3301" s="17"/>
      <c r="H3301" s="17"/>
      <c r="I3301" s="31"/>
      <c r="J3301" s="17"/>
      <c r="K3301" s="17"/>
      <c r="L3301" s="17"/>
      <c r="M3301" s="17"/>
      <c r="N3301" s="17"/>
      <c r="O3301" s="17"/>
      <c r="P3301" s="17"/>
      <c r="Q3301" s="17"/>
      <c r="R3301" s="17"/>
      <c r="S3301" s="17"/>
      <c r="T3301" s="17"/>
      <c r="U3301" s="17"/>
      <c r="V3301" s="17"/>
      <c r="W3301" s="17"/>
      <c r="X3301" s="17"/>
      <c r="Y3301" s="17"/>
      <c r="Z3301" s="31"/>
      <c r="AA3301" s="32"/>
    </row>
    <row r="3302" spans="1:27" ht="12.75">
      <c r="A3302" s="17"/>
      <c r="B3302" s="17"/>
      <c r="C3302" s="17"/>
      <c r="D3302" s="17"/>
      <c r="E3302" s="17"/>
      <c r="F3302" s="17"/>
      <c r="G3302" s="17"/>
      <c r="H3302" s="17"/>
      <c r="I3302" s="31"/>
      <c r="J3302" s="17"/>
      <c r="K3302" s="17"/>
      <c r="L3302" s="17"/>
      <c r="M3302" s="17"/>
      <c r="N3302" s="17"/>
      <c r="O3302" s="17"/>
      <c r="P3302" s="17"/>
      <c r="Q3302" s="17"/>
      <c r="R3302" s="17"/>
      <c r="S3302" s="17"/>
      <c r="T3302" s="17"/>
      <c r="U3302" s="17"/>
      <c r="V3302" s="17"/>
      <c r="W3302" s="17"/>
      <c r="X3302" s="17"/>
      <c r="Y3302" s="17"/>
      <c r="Z3302" s="31"/>
      <c r="AA3302" s="32"/>
    </row>
    <row r="3303" spans="1:27" ht="12.75">
      <c r="A3303" s="17"/>
      <c r="B3303" s="17"/>
      <c r="C3303" s="17"/>
      <c r="D3303" s="17"/>
      <c r="E3303" s="17"/>
      <c r="F3303" s="17"/>
      <c r="G3303" s="17"/>
      <c r="H3303" s="17"/>
      <c r="I3303" s="31"/>
      <c r="J3303" s="17"/>
      <c r="K3303" s="17"/>
      <c r="L3303" s="17"/>
      <c r="M3303" s="17"/>
      <c r="N3303" s="17"/>
      <c r="O3303" s="17"/>
      <c r="P3303" s="17"/>
      <c r="Q3303" s="17"/>
      <c r="R3303" s="17"/>
      <c r="S3303" s="17"/>
      <c r="T3303" s="17"/>
      <c r="U3303" s="17"/>
      <c r="V3303" s="17"/>
      <c r="W3303" s="17"/>
      <c r="X3303" s="17"/>
      <c r="Y3303" s="17"/>
      <c r="Z3303" s="31"/>
      <c r="AA3303" s="32"/>
    </row>
    <row r="3304" spans="1:27" ht="12.75">
      <c r="A3304" s="17"/>
      <c r="B3304" s="17"/>
      <c r="C3304" s="17"/>
      <c r="D3304" s="17"/>
      <c r="E3304" s="17"/>
      <c r="F3304" s="17"/>
      <c r="G3304" s="17"/>
      <c r="H3304" s="17"/>
      <c r="I3304" s="31"/>
      <c r="J3304" s="17"/>
      <c r="K3304" s="17"/>
      <c r="L3304" s="17"/>
      <c r="M3304" s="17"/>
      <c r="N3304" s="17"/>
      <c r="O3304" s="17"/>
      <c r="P3304" s="17"/>
      <c r="Q3304" s="17"/>
      <c r="R3304" s="17"/>
      <c r="S3304" s="17"/>
      <c r="T3304" s="17"/>
      <c r="U3304" s="17"/>
      <c r="V3304" s="17"/>
      <c r="W3304" s="17"/>
      <c r="X3304" s="17"/>
      <c r="Y3304" s="17"/>
      <c r="Z3304" s="31"/>
      <c r="AA3304" s="32"/>
    </row>
    <row r="3305" spans="1:27" ht="12.75">
      <c r="A3305" s="17"/>
      <c r="B3305" s="17"/>
      <c r="C3305" s="17"/>
      <c r="D3305" s="17"/>
      <c r="E3305" s="17"/>
      <c r="F3305" s="17"/>
      <c r="G3305" s="17"/>
      <c r="H3305" s="17"/>
      <c r="I3305" s="31"/>
      <c r="J3305" s="17"/>
      <c r="K3305" s="17"/>
      <c r="L3305" s="17"/>
      <c r="M3305" s="17"/>
      <c r="N3305" s="17"/>
      <c r="O3305" s="17"/>
      <c r="P3305" s="17"/>
      <c r="Q3305" s="17"/>
      <c r="R3305" s="17"/>
      <c r="S3305" s="17"/>
      <c r="T3305" s="17"/>
      <c r="U3305" s="17"/>
      <c r="V3305" s="17"/>
      <c r="W3305" s="17"/>
      <c r="X3305" s="17"/>
      <c r="Y3305" s="17"/>
      <c r="Z3305" s="31"/>
      <c r="AA3305" s="32"/>
    </row>
    <row r="3306" spans="1:27" ht="12.75">
      <c r="A3306" s="17"/>
      <c r="B3306" s="17"/>
      <c r="C3306" s="17"/>
      <c r="D3306" s="17"/>
      <c r="E3306" s="17"/>
      <c r="F3306" s="17"/>
      <c r="G3306" s="17"/>
      <c r="H3306" s="17"/>
      <c r="I3306" s="31"/>
      <c r="J3306" s="17"/>
      <c r="K3306" s="17"/>
      <c r="L3306" s="17"/>
      <c r="M3306" s="17"/>
      <c r="N3306" s="17"/>
      <c r="O3306" s="17"/>
      <c r="P3306" s="17"/>
      <c r="Q3306" s="17"/>
      <c r="R3306" s="17"/>
      <c r="S3306" s="17"/>
      <c r="T3306" s="17"/>
      <c r="U3306" s="17"/>
      <c r="V3306" s="17"/>
      <c r="W3306" s="17"/>
      <c r="X3306" s="17"/>
      <c r="Y3306" s="17"/>
      <c r="Z3306" s="31"/>
      <c r="AA3306" s="32"/>
    </row>
    <row r="3307" spans="1:27" ht="12.75">
      <c r="A3307" s="17"/>
      <c r="B3307" s="17"/>
      <c r="C3307" s="17"/>
      <c r="D3307" s="17"/>
      <c r="E3307" s="17"/>
      <c r="F3307" s="17"/>
      <c r="G3307" s="17"/>
      <c r="H3307" s="17"/>
      <c r="I3307" s="31"/>
      <c r="J3307" s="17"/>
      <c r="K3307" s="17"/>
      <c r="L3307" s="17"/>
      <c r="M3307" s="17"/>
      <c r="N3307" s="17"/>
      <c r="O3307" s="17"/>
      <c r="P3307" s="17"/>
      <c r="Q3307" s="17"/>
      <c r="R3307" s="17"/>
      <c r="S3307" s="17"/>
      <c r="T3307" s="17"/>
      <c r="U3307" s="17"/>
      <c r="V3307" s="17"/>
      <c r="W3307" s="17"/>
      <c r="X3307" s="17"/>
      <c r="Y3307" s="17"/>
      <c r="Z3307" s="31"/>
      <c r="AA3307" s="32"/>
    </row>
    <row r="3308" spans="1:27" ht="12.75">
      <c r="A3308" s="17"/>
      <c r="B3308" s="17"/>
      <c r="C3308" s="17"/>
      <c r="D3308" s="17"/>
      <c r="E3308" s="17"/>
      <c r="F3308" s="17"/>
      <c r="G3308" s="17"/>
      <c r="H3308" s="17"/>
      <c r="I3308" s="31"/>
      <c r="J3308" s="17"/>
      <c r="K3308" s="17"/>
      <c r="L3308" s="17"/>
      <c r="M3308" s="17"/>
      <c r="N3308" s="17"/>
      <c r="O3308" s="17"/>
      <c r="P3308" s="17"/>
      <c r="Q3308" s="17"/>
      <c r="R3308" s="17"/>
      <c r="S3308" s="17"/>
      <c r="T3308" s="17"/>
      <c r="U3308" s="17"/>
      <c r="V3308" s="17"/>
      <c r="W3308" s="17"/>
      <c r="X3308" s="17"/>
      <c r="Y3308" s="17"/>
      <c r="Z3308" s="31"/>
      <c r="AA3308" s="32"/>
    </row>
    <row r="3309" spans="1:27" ht="12.75">
      <c r="A3309" s="17"/>
      <c r="B3309" s="17"/>
      <c r="C3309" s="17"/>
      <c r="D3309" s="17"/>
      <c r="E3309" s="17"/>
      <c r="F3309" s="17"/>
      <c r="G3309" s="17"/>
      <c r="H3309" s="17"/>
      <c r="I3309" s="31"/>
      <c r="J3309" s="17"/>
      <c r="K3309" s="17"/>
      <c r="L3309" s="17"/>
      <c r="M3309" s="17"/>
      <c r="N3309" s="17"/>
      <c r="O3309" s="17"/>
      <c r="P3309" s="17"/>
      <c r="Q3309" s="17"/>
      <c r="R3309" s="17"/>
      <c r="S3309" s="17"/>
      <c r="T3309" s="17"/>
      <c r="U3309" s="17"/>
      <c r="V3309" s="17"/>
      <c r="W3309" s="17"/>
      <c r="X3309" s="17"/>
      <c r="Y3309" s="17"/>
      <c r="Z3309" s="31"/>
      <c r="AA3309" s="32"/>
    </row>
    <row r="3310" spans="1:27" ht="12.75">
      <c r="A3310" s="17"/>
      <c r="B3310" s="17"/>
      <c r="C3310" s="17"/>
      <c r="D3310" s="17"/>
      <c r="E3310" s="17"/>
      <c r="F3310" s="17"/>
      <c r="G3310" s="17"/>
      <c r="H3310" s="17"/>
      <c r="I3310" s="31"/>
      <c r="J3310" s="17"/>
      <c r="K3310" s="17"/>
      <c r="L3310" s="17"/>
      <c r="M3310" s="17"/>
      <c r="N3310" s="17"/>
      <c r="O3310" s="17"/>
      <c r="P3310" s="17"/>
      <c r="Q3310" s="17"/>
      <c r="R3310" s="17"/>
      <c r="S3310" s="17"/>
      <c r="T3310" s="17"/>
      <c r="U3310" s="17"/>
      <c r="V3310" s="17"/>
      <c r="W3310" s="17"/>
      <c r="X3310" s="17"/>
      <c r="Y3310" s="17"/>
      <c r="Z3310" s="31"/>
      <c r="AA3310" s="32"/>
    </row>
    <row r="3311" spans="1:27" ht="12.75">
      <c r="A3311" s="17"/>
      <c r="B3311" s="17"/>
      <c r="C3311" s="17"/>
      <c r="D3311" s="17"/>
      <c r="E3311" s="17"/>
      <c r="F3311" s="17"/>
      <c r="G3311" s="17"/>
      <c r="H3311" s="17"/>
      <c r="I3311" s="31"/>
      <c r="J3311" s="17"/>
      <c r="K3311" s="17"/>
      <c r="L3311" s="17"/>
      <c r="M3311" s="17"/>
      <c r="N3311" s="17"/>
      <c r="O3311" s="17"/>
      <c r="P3311" s="17"/>
      <c r="Q3311" s="17"/>
      <c r="R3311" s="17"/>
      <c r="S3311" s="17"/>
      <c r="T3311" s="17"/>
      <c r="U3311" s="17"/>
      <c r="V3311" s="17"/>
      <c r="W3311" s="17"/>
      <c r="X3311" s="17"/>
      <c r="Y3311" s="17"/>
      <c r="Z3311" s="31"/>
      <c r="AA3311" s="32"/>
    </row>
    <row r="3312" spans="1:27" ht="12.75">
      <c r="A3312" s="17"/>
      <c r="B3312" s="17"/>
      <c r="C3312" s="17"/>
      <c r="D3312" s="17"/>
      <c r="E3312" s="17"/>
      <c r="F3312" s="17"/>
      <c r="G3312" s="17"/>
      <c r="H3312" s="17"/>
      <c r="I3312" s="31"/>
      <c r="J3312" s="17"/>
      <c r="K3312" s="17"/>
      <c r="L3312" s="17"/>
      <c r="M3312" s="17"/>
      <c r="N3312" s="17"/>
      <c r="O3312" s="17"/>
      <c r="P3312" s="17"/>
      <c r="Q3312" s="17"/>
      <c r="R3312" s="17"/>
      <c r="S3312" s="17"/>
      <c r="T3312" s="17"/>
      <c r="U3312" s="17"/>
      <c r="V3312" s="17"/>
      <c r="W3312" s="17"/>
      <c r="X3312" s="17"/>
      <c r="Y3312" s="17"/>
      <c r="Z3312" s="31"/>
      <c r="AA3312" s="32"/>
    </row>
    <row r="3313" spans="1:27" ht="12.75">
      <c r="A3313" s="17"/>
      <c r="B3313" s="17"/>
      <c r="C3313" s="17"/>
      <c r="D3313" s="17"/>
      <c r="E3313" s="17"/>
      <c r="F3313" s="17"/>
      <c r="G3313" s="17"/>
      <c r="H3313" s="17"/>
      <c r="I3313" s="31"/>
      <c r="J3313" s="17"/>
      <c r="K3313" s="17"/>
      <c r="L3313" s="17"/>
      <c r="M3313" s="17"/>
      <c r="N3313" s="17"/>
      <c r="O3313" s="17"/>
      <c r="P3313" s="17"/>
      <c r="Q3313" s="17"/>
      <c r="R3313" s="17"/>
      <c r="S3313" s="17"/>
      <c r="T3313" s="17"/>
      <c r="U3313" s="17"/>
      <c r="V3313" s="17"/>
      <c r="W3313" s="17"/>
      <c r="X3313" s="17"/>
      <c r="Y3313" s="17"/>
      <c r="Z3313" s="31"/>
      <c r="AA3313" s="32"/>
    </row>
    <row r="3314" spans="1:27" ht="12.75">
      <c r="A3314" s="17"/>
      <c r="B3314" s="17"/>
      <c r="C3314" s="17"/>
      <c r="D3314" s="17"/>
      <c r="E3314" s="17"/>
      <c r="F3314" s="17"/>
      <c r="G3314" s="17"/>
      <c r="H3314" s="17"/>
      <c r="I3314" s="31"/>
      <c r="J3314" s="17"/>
      <c r="K3314" s="17"/>
      <c r="L3314" s="17"/>
      <c r="M3314" s="17"/>
      <c r="N3314" s="17"/>
      <c r="O3314" s="17"/>
      <c r="P3314" s="17"/>
      <c r="Q3314" s="17"/>
      <c r="R3314" s="17"/>
      <c r="S3314" s="17"/>
      <c r="T3314" s="17"/>
      <c r="U3314" s="17"/>
      <c r="V3314" s="17"/>
      <c r="W3314" s="17"/>
      <c r="X3314" s="17"/>
      <c r="Y3314" s="17"/>
      <c r="Z3314" s="31"/>
      <c r="AA3314" s="32"/>
    </row>
    <row r="3315" spans="1:27" ht="12.75">
      <c r="A3315" s="17"/>
      <c r="B3315" s="17"/>
      <c r="C3315" s="17"/>
      <c r="D3315" s="17"/>
      <c r="E3315" s="17"/>
      <c r="F3315" s="17"/>
      <c r="G3315" s="17"/>
      <c r="H3315" s="17"/>
      <c r="I3315" s="31"/>
      <c r="J3315" s="17"/>
      <c r="K3315" s="17"/>
      <c r="L3315" s="17"/>
      <c r="M3315" s="17"/>
      <c r="N3315" s="17"/>
      <c r="O3315" s="17"/>
      <c r="P3315" s="17"/>
      <c r="Q3315" s="17"/>
      <c r="R3315" s="17"/>
      <c r="S3315" s="17"/>
      <c r="T3315" s="17"/>
      <c r="U3315" s="17"/>
      <c r="V3315" s="17"/>
      <c r="W3315" s="17"/>
      <c r="X3315" s="17"/>
      <c r="Y3315" s="17"/>
      <c r="Z3315" s="31"/>
      <c r="AA3315" s="32"/>
    </row>
    <row r="3316" spans="1:27" ht="12.75">
      <c r="A3316" s="17"/>
      <c r="B3316" s="17"/>
      <c r="C3316" s="17"/>
      <c r="D3316" s="17"/>
      <c r="E3316" s="17"/>
      <c r="F3316" s="17"/>
      <c r="G3316" s="17"/>
      <c r="H3316" s="17"/>
      <c r="I3316" s="31"/>
      <c r="J3316" s="17"/>
      <c r="K3316" s="17"/>
      <c r="L3316" s="17"/>
      <c r="M3316" s="17"/>
      <c r="N3316" s="17"/>
      <c r="O3316" s="17"/>
      <c r="P3316" s="17"/>
      <c r="Q3316" s="17"/>
      <c r="R3316" s="17"/>
      <c r="S3316" s="17"/>
      <c r="T3316" s="17"/>
      <c r="U3316" s="17"/>
      <c r="V3316" s="17"/>
      <c r="W3316" s="17"/>
      <c r="X3316" s="17"/>
      <c r="Y3316" s="17"/>
      <c r="Z3316" s="31"/>
      <c r="AA3316" s="32"/>
    </row>
    <row r="3317" spans="1:27" ht="12.75">
      <c r="A3317" s="17"/>
      <c r="B3317" s="17"/>
      <c r="C3317" s="17"/>
      <c r="D3317" s="17"/>
      <c r="E3317" s="17"/>
      <c r="F3317" s="17"/>
      <c r="G3317" s="17"/>
      <c r="H3317" s="17"/>
      <c r="I3317" s="31"/>
      <c r="J3317" s="17"/>
      <c r="K3317" s="17"/>
      <c r="L3317" s="17"/>
      <c r="M3317" s="17"/>
      <c r="N3317" s="17"/>
      <c r="O3317" s="17"/>
      <c r="P3317" s="17"/>
      <c r="Q3317" s="17"/>
      <c r="R3317" s="17"/>
      <c r="S3317" s="17"/>
      <c r="T3317" s="17"/>
      <c r="U3317" s="17"/>
      <c r="V3317" s="17"/>
      <c r="W3317" s="17"/>
      <c r="X3317" s="17"/>
      <c r="Y3317" s="17"/>
      <c r="Z3317" s="31"/>
      <c r="AA3317" s="32"/>
    </row>
    <row r="3318" spans="1:27" ht="12.75">
      <c r="A3318" s="17"/>
      <c r="B3318" s="17"/>
      <c r="C3318" s="17"/>
      <c r="D3318" s="17"/>
      <c r="E3318" s="17"/>
      <c r="F3318" s="17"/>
      <c r="G3318" s="17"/>
      <c r="H3318" s="17"/>
      <c r="I3318" s="31"/>
      <c r="J3318" s="17"/>
      <c r="K3318" s="17"/>
      <c r="L3318" s="17"/>
      <c r="M3318" s="17"/>
      <c r="N3318" s="17"/>
      <c r="O3318" s="17"/>
      <c r="P3318" s="17"/>
      <c r="Q3318" s="17"/>
      <c r="R3318" s="17"/>
      <c r="S3318" s="17"/>
      <c r="T3318" s="17"/>
      <c r="U3318" s="17"/>
      <c r="V3318" s="17"/>
      <c r="W3318" s="17"/>
      <c r="X3318" s="17"/>
      <c r="Y3318" s="17"/>
      <c r="Z3318" s="31"/>
      <c r="AA3318" s="32"/>
    </row>
    <row r="3319" spans="1:27" ht="12.75">
      <c r="A3319" s="17"/>
      <c r="B3319" s="17"/>
      <c r="C3319" s="17"/>
      <c r="D3319" s="17"/>
      <c r="E3319" s="17"/>
      <c r="F3319" s="17"/>
      <c r="G3319" s="17"/>
      <c r="H3319" s="17"/>
      <c r="I3319" s="31"/>
      <c r="J3319" s="17"/>
      <c r="K3319" s="17"/>
      <c r="L3319" s="17"/>
      <c r="M3319" s="17"/>
      <c r="N3319" s="17"/>
      <c r="O3319" s="17"/>
      <c r="P3319" s="17"/>
      <c r="Q3319" s="17"/>
      <c r="R3319" s="17"/>
      <c r="S3319" s="17"/>
      <c r="T3319" s="17"/>
      <c r="U3319" s="17"/>
      <c r="V3319" s="17"/>
      <c r="W3319" s="17"/>
      <c r="X3319" s="17"/>
      <c r="Y3319" s="17"/>
      <c r="Z3319" s="31"/>
      <c r="AA3319" s="32"/>
    </row>
    <row r="3320" spans="1:27" ht="12.75">
      <c r="A3320" s="17"/>
      <c r="B3320" s="17"/>
      <c r="C3320" s="17"/>
      <c r="D3320" s="17"/>
      <c r="E3320" s="17"/>
      <c r="F3320" s="17"/>
      <c r="G3320" s="17"/>
      <c r="H3320" s="17"/>
      <c r="I3320" s="31"/>
      <c r="J3320" s="17"/>
      <c r="K3320" s="17"/>
      <c r="L3320" s="17"/>
      <c r="M3320" s="17"/>
      <c r="N3320" s="17"/>
      <c r="O3320" s="17"/>
      <c r="P3320" s="17"/>
      <c r="Q3320" s="17"/>
      <c r="R3320" s="17"/>
      <c r="S3320" s="17"/>
      <c r="T3320" s="17"/>
      <c r="U3320" s="17"/>
      <c r="V3320" s="17"/>
      <c r="W3320" s="17"/>
      <c r="X3320" s="17"/>
      <c r="Y3320" s="17"/>
      <c r="Z3320" s="31"/>
      <c r="AA3320" s="32"/>
    </row>
    <row r="3321" spans="1:27" ht="12.75">
      <c r="A3321" s="17"/>
      <c r="B3321" s="17"/>
      <c r="C3321" s="17"/>
      <c r="D3321" s="17"/>
      <c r="E3321" s="17"/>
      <c r="F3321" s="17"/>
      <c r="G3321" s="17"/>
      <c r="H3321" s="17"/>
      <c r="I3321" s="31"/>
      <c r="J3321" s="17"/>
      <c r="K3321" s="17"/>
      <c r="L3321" s="17"/>
      <c r="M3321" s="17"/>
      <c r="N3321" s="17"/>
      <c r="O3321" s="17"/>
      <c r="P3321" s="17"/>
      <c r="Q3321" s="17"/>
      <c r="R3321" s="17"/>
      <c r="S3321" s="17"/>
      <c r="T3321" s="17"/>
      <c r="U3321" s="17"/>
      <c r="V3321" s="17"/>
      <c r="W3321" s="17"/>
      <c r="X3321" s="17"/>
      <c r="Y3321" s="17"/>
      <c r="Z3321" s="31"/>
      <c r="AA3321" s="32"/>
    </row>
    <row r="3322" spans="1:27" ht="12.75">
      <c r="A3322" s="17"/>
      <c r="B3322" s="17"/>
      <c r="C3322" s="17"/>
      <c r="D3322" s="17"/>
      <c r="E3322" s="17"/>
      <c r="F3322" s="17"/>
      <c r="G3322" s="17"/>
      <c r="H3322" s="17"/>
      <c r="I3322" s="31"/>
      <c r="J3322" s="17"/>
      <c r="K3322" s="17"/>
      <c r="L3322" s="17"/>
      <c r="M3322" s="17"/>
      <c r="N3322" s="17"/>
      <c r="O3322" s="17"/>
      <c r="P3322" s="17"/>
      <c r="Q3322" s="17"/>
      <c r="R3322" s="17"/>
      <c r="S3322" s="17"/>
      <c r="T3322" s="17"/>
      <c r="U3322" s="17"/>
      <c r="V3322" s="17"/>
      <c r="W3322" s="17"/>
      <c r="X3322" s="17"/>
      <c r="Y3322" s="17"/>
      <c r="Z3322" s="31"/>
      <c r="AA3322" s="32"/>
    </row>
    <row r="3323" spans="1:27" ht="12.75">
      <c r="A3323" s="17"/>
      <c r="B3323" s="17"/>
      <c r="C3323" s="17"/>
      <c r="D3323" s="17"/>
      <c r="E3323" s="17"/>
      <c r="F3323" s="17"/>
      <c r="G3323" s="17"/>
      <c r="H3323" s="17"/>
      <c r="I3323" s="31"/>
      <c r="J3323" s="17"/>
      <c r="K3323" s="17"/>
      <c r="L3323" s="17"/>
      <c r="M3323" s="17"/>
      <c r="N3323" s="17"/>
      <c r="O3323" s="17"/>
      <c r="P3323" s="17"/>
      <c r="Q3323" s="17"/>
      <c r="R3323" s="17"/>
      <c r="S3323" s="17"/>
      <c r="T3323" s="17"/>
      <c r="U3323" s="17"/>
      <c r="V3323" s="17"/>
      <c r="W3323" s="17"/>
      <c r="X3323" s="17"/>
      <c r="Y3323" s="17"/>
      <c r="Z3323" s="31"/>
      <c r="AA3323" s="32"/>
    </row>
    <row r="3324" spans="1:27" ht="12.75">
      <c r="A3324" s="17"/>
      <c r="B3324" s="17"/>
      <c r="C3324" s="17"/>
      <c r="D3324" s="17"/>
      <c r="E3324" s="17"/>
      <c r="F3324" s="17"/>
      <c r="G3324" s="17"/>
      <c r="H3324" s="17"/>
      <c r="I3324" s="31"/>
      <c r="J3324" s="17"/>
      <c r="K3324" s="17"/>
      <c r="L3324" s="17"/>
      <c r="M3324" s="17"/>
      <c r="N3324" s="17"/>
      <c r="O3324" s="17"/>
      <c r="P3324" s="17"/>
      <c r="Q3324" s="17"/>
      <c r="R3324" s="17"/>
      <c r="S3324" s="17"/>
      <c r="T3324" s="17"/>
      <c r="U3324" s="17"/>
      <c r="V3324" s="17"/>
      <c r="W3324" s="17"/>
      <c r="X3324" s="17"/>
      <c r="Y3324" s="17"/>
      <c r="Z3324" s="31"/>
      <c r="AA3324" s="32"/>
    </row>
    <row r="3325" spans="1:27" ht="12.75">
      <c r="A3325" s="17"/>
      <c r="B3325" s="17"/>
      <c r="C3325" s="17"/>
      <c r="D3325" s="17"/>
      <c r="E3325" s="17"/>
      <c r="F3325" s="17"/>
      <c r="G3325" s="17"/>
      <c r="H3325" s="17"/>
      <c r="I3325" s="31"/>
      <c r="J3325" s="17"/>
      <c r="K3325" s="17"/>
      <c r="L3325" s="17"/>
      <c r="M3325" s="17"/>
      <c r="N3325" s="17"/>
      <c r="O3325" s="17"/>
      <c r="P3325" s="17"/>
      <c r="Q3325" s="17"/>
      <c r="R3325" s="17"/>
      <c r="S3325" s="17"/>
      <c r="T3325" s="17"/>
      <c r="U3325" s="17"/>
      <c r="V3325" s="17"/>
      <c r="W3325" s="17"/>
      <c r="X3325" s="17"/>
      <c r="Y3325" s="17"/>
      <c r="Z3325" s="31"/>
      <c r="AA3325" s="32"/>
    </row>
    <row r="3326" spans="1:27" ht="12.75">
      <c r="A3326" s="17"/>
      <c r="B3326" s="17"/>
      <c r="C3326" s="17"/>
      <c r="D3326" s="17"/>
      <c r="E3326" s="17"/>
      <c r="F3326" s="17"/>
      <c r="G3326" s="17"/>
      <c r="H3326" s="17"/>
      <c r="I3326" s="31"/>
      <c r="J3326" s="17"/>
      <c r="K3326" s="17"/>
      <c r="L3326" s="17"/>
      <c r="M3326" s="17"/>
      <c r="N3326" s="17"/>
      <c r="O3326" s="17"/>
      <c r="P3326" s="17"/>
      <c r="Q3326" s="17"/>
      <c r="R3326" s="17"/>
      <c r="S3326" s="17"/>
      <c r="T3326" s="17"/>
      <c r="U3326" s="17"/>
      <c r="V3326" s="17"/>
      <c r="W3326" s="17"/>
      <c r="X3326" s="17"/>
      <c r="Y3326" s="17"/>
      <c r="Z3326" s="31"/>
      <c r="AA3326" s="32"/>
    </row>
    <row r="3327" spans="1:27" ht="12.75">
      <c r="A3327" s="17"/>
      <c r="B3327" s="17"/>
      <c r="C3327" s="17"/>
      <c r="D3327" s="17"/>
      <c r="E3327" s="17"/>
      <c r="F3327" s="17"/>
      <c r="G3327" s="17"/>
      <c r="H3327" s="17"/>
      <c r="I3327" s="31"/>
      <c r="J3327" s="17"/>
      <c r="K3327" s="17"/>
      <c r="L3327" s="17"/>
      <c r="M3327" s="17"/>
      <c r="N3327" s="17"/>
      <c r="O3327" s="17"/>
      <c r="P3327" s="17"/>
      <c r="Q3327" s="17"/>
      <c r="R3327" s="17"/>
      <c r="S3327" s="17"/>
      <c r="T3327" s="17"/>
      <c r="U3327" s="17"/>
      <c r="V3327" s="17"/>
      <c r="W3327" s="17"/>
      <c r="X3327" s="17"/>
      <c r="Y3327" s="17"/>
      <c r="Z3327" s="31"/>
      <c r="AA3327" s="32"/>
    </row>
    <row r="3328" spans="1:27" ht="12.75">
      <c r="A3328" s="17"/>
      <c r="B3328" s="17"/>
      <c r="C3328" s="17"/>
      <c r="D3328" s="17"/>
      <c r="E3328" s="17"/>
      <c r="F3328" s="17"/>
      <c r="G3328" s="17"/>
      <c r="H3328" s="17"/>
      <c r="I3328" s="31"/>
      <c r="J3328" s="17"/>
      <c r="K3328" s="17"/>
      <c r="L3328" s="17"/>
      <c r="M3328" s="17"/>
      <c r="N3328" s="17"/>
      <c r="O3328" s="17"/>
      <c r="P3328" s="17"/>
      <c r="Q3328" s="17"/>
      <c r="R3328" s="17"/>
      <c r="S3328" s="17"/>
      <c r="T3328" s="17"/>
      <c r="U3328" s="17"/>
      <c r="V3328" s="17"/>
      <c r="W3328" s="17"/>
      <c r="X3328" s="17"/>
      <c r="Y3328" s="17"/>
      <c r="Z3328" s="31"/>
      <c r="AA3328" s="32"/>
    </row>
    <row r="3329" spans="1:27" ht="12.75">
      <c r="A3329" s="17"/>
      <c r="B3329" s="17"/>
      <c r="C3329" s="17"/>
      <c r="D3329" s="17"/>
      <c r="E3329" s="17"/>
      <c r="F3329" s="17"/>
      <c r="G3329" s="17"/>
      <c r="H3329" s="17"/>
      <c r="I3329" s="31"/>
      <c r="J3329" s="17"/>
      <c r="K3329" s="17"/>
      <c r="L3329" s="17"/>
      <c r="M3329" s="17"/>
      <c r="N3329" s="17"/>
      <c r="O3329" s="17"/>
      <c r="P3329" s="17"/>
      <c r="Q3329" s="17"/>
      <c r="R3329" s="17"/>
      <c r="S3329" s="17"/>
      <c r="T3329" s="17"/>
      <c r="U3329" s="17"/>
      <c r="V3329" s="17"/>
      <c r="W3329" s="17"/>
      <c r="X3329" s="17"/>
      <c r="Y3329" s="17"/>
      <c r="Z3329" s="31"/>
      <c r="AA3329" s="32"/>
    </row>
    <row r="3330" spans="1:27" ht="12.75">
      <c r="A3330" s="17"/>
      <c r="B3330" s="17"/>
      <c r="C3330" s="17"/>
      <c r="D3330" s="17"/>
      <c r="E3330" s="17"/>
      <c r="F3330" s="17"/>
      <c r="G3330" s="17"/>
      <c r="H3330" s="17"/>
      <c r="I3330" s="31"/>
      <c r="J3330" s="17"/>
      <c r="K3330" s="17"/>
      <c r="L3330" s="17"/>
      <c r="M3330" s="17"/>
      <c r="N3330" s="17"/>
      <c r="O3330" s="17"/>
      <c r="P3330" s="17"/>
      <c r="Q3330" s="17"/>
      <c r="R3330" s="17"/>
      <c r="S3330" s="17"/>
      <c r="T3330" s="17"/>
      <c r="U3330" s="17"/>
      <c r="V3330" s="17"/>
      <c r="W3330" s="17"/>
      <c r="X3330" s="17"/>
      <c r="Y3330" s="17"/>
      <c r="Z3330" s="31"/>
      <c r="AA3330" s="32"/>
    </row>
    <row r="3331" spans="1:27" ht="12.75">
      <c r="A3331" s="17"/>
      <c r="B3331" s="17"/>
      <c r="C3331" s="17"/>
      <c r="D3331" s="17"/>
      <c r="E3331" s="17"/>
      <c r="F3331" s="17"/>
      <c r="G3331" s="17"/>
      <c r="H3331" s="17"/>
      <c r="I3331" s="31"/>
      <c r="J3331" s="17"/>
      <c r="K3331" s="17"/>
      <c r="L3331" s="17"/>
      <c r="M3331" s="17"/>
      <c r="N3331" s="17"/>
      <c r="O3331" s="17"/>
      <c r="P3331" s="17"/>
      <c r="Q3331" s="17"/>
      <c r="R3331" s="17"/>
      <c r="S3331" s="17"/>
      <c r="T3331" s="17"/>
      <c r="U3331" s="17"/>
      <c r="V3331" s="17"/>
      <c r="W3331" s="17"/>
      <c r="X3331" s="17"/>
      <c r="Y3331" s="17"/>
      <c r="Z3331" s="31"/>
      <c r="AA3331" s="32"/>
    </row>
    <row r="3332" spans="1:27" ht="12.75">
      <c r="A3332" s="17"/>
      <c r="B3332" s="17"/>
      <c r="C3332" s="17"/>
      <c r="D3332" s="17"/>
      <c r="E3332" s="17"/>
      <c r="F3332" s="17"/>
      <c r="G3332" s="17"/>
      <c r="H3332" s="17"/>
      <c r="I3332" s="31"/>
      <c r="J3332" s="17"/>
      <c r="K3332" s="17"/>
      <c r="L3332" s="17"/>
      <c r="M3332" s="17"/>
      <c r="N3332" s="17"/>
      <c r="O3332" s="17"/>
      <c r="P3332" s="17"/>
      <c r="Q3332" s="17"/>
      <c r="R3332" s="17"/>
      <c r="S3332" s="17"/>
      <c r="T3332" s="17"/>
      <c r="U3332" s="17"/>
      <c r="V3332" s="17"/>
      <c r="W3332" s="17"/>
      <c r="X3332" s="17"/>
      <c r="Y3332" s="17"/>
      <c r="Z3332" s="31"/>
      <c r="AA3332" s="32"/>
    </row>
    <row r="3333" spans="1:27" ht="12.75">
      <c r="A3333" s="17"/>
      <c r="B3333" s="17"/>
      <c r="C3333" s="17"/>
      <c r="D3333" s="17"/>
      <c r="E3333" s="17"/>
      <c r="F3333" s="17"/>
      <c r="G3333" s="17"/>
      <c r="H3333" s="17"/>
      <c r="I3333" s="31"/>
      <c r="J3333" s="17"/>
      <c r="K3333" s="17"/>
      <c r="L3333" s="17"/>
      <c r="M3333" s="17"/>
      <c r="N3333" s="17"/>
      <c r="O3333" s="17"/>
      <c r="P3333" s="17"/>
      <c r="Q3333" s="17"/>
      <c r="R3333" s="17"/>
      <c r="S3333" s="17"/>
      <c r="T3333" s="17"/>
      <c r="U3333" s="17"/>
      <c r="V3333" s="17"/>
      <c r="W3333" s="17"/>
      <c r="X3333" s="17"/>
      <c r="Y3333" s="17"/>
      <c r="Z3333" s="31"/>
      <c r="AA3333" s="32"/>
    </row>
    <row r="3334" spans="1:27" ht="12.75">
      <c r="A3334" s="17"/>
      <c r="B3334" s="17"/>
      <c r="C3334" s="17"/>
      <c r="D3334" s="17"/>
      <c r="E3334" s="17"/>
      <c r="F3334" s="17"/>
      <c r="G3334" s="17"/>
      <c r="H3334" s="17"/>
      <c r="I3334" s="31"/>
      <c r="J3334" s="17"/>
      <c r="K3334" s="17"/>
      <c r="L3334" s="17"/>
      <c r="M3334" s="17"/>
      <c r="N3334" s="17"/>
      <c r="O3334" s="17"/>
      <c r="P3334" s="17"/>
      <c r="Q3334" s="17"/>
      <c r="R3334" s="17"/>
      <c r="S3334" s="17"/>
      <c r="T3334" s="17"/>
      <c r="U3334" s="17"/>
      <c r="V3334" s="17"/>
      <c r="W3334" s="17"/>
      <c r="X3334" s="17"/>
      <c r="Y3334" s="17"/>
      <c r="Z3334" s="31"/>
      <c r="AA3334" s="32"/>
    </row>
    <row r="3335" spans="1:27" ht="12.75">
      <c r="A3335" s="17"/>
      <c r="B3335" s="17"/>
      <c r="C3335" s="17"/>
      <c r="D3335" s="17"/>
      <c r="E3335" s="17"/>
      <c r="F3335" s="17"/>
      <c r="G3335" s="17"/>
      <c r="H3335" s="17"/>
      <c r="I3335" s="31"/>
      <c r="J3335" s="17"/>
      <c r="K3335" s="17"/>
      <c r="L3335" s="17"/>
      <c r="M3335" s="17"/>
      <c r="N3335" s="17"/>
      <c r="O3335" s="17"/>
      <c r="P3335" s="17"/>
      <c r="Q3335" s="17"/>
      <c r="R3335" s="17"/>
      <c r="S3335" s="17"/>
      <c r="T3335" s="17"/>
      <c r="U3335" s="17"/>
      <c r="V3335" s="17"/>
      <c r="W3335" s="17"/>
      <c r="X3335" s="17"/>
      <c r="Y3335" s="17"/>
      <c r="Z3335" s="31"/>
      <c r="AA3335" s="32"/>
    </row>
    <row r="3336" spans="1:27" ht="12.75">
      <c r="A3336" s="17"/>
      <c r="B3336" s="17"/>
      <c r="C3336" s="17"/>
      <c r="D3336" s="17"/>
      <c r="E3336" s="17"/>
      <c r="F3336" s="17"/>
      <c r="G3336" s="17"/>
      <c r="H3336" s="17"/>
      <c r="I3336" s="31"/>
      <c r="J3336" s="17"/>
      <c r="K3336" s="17"/>
      <c r="L3336" s="17"/>
      <c r="M3336" s="17"/>
      <c r="N3336" s="17"/>
      <c r="O3336" s="17"/>
      <c r="P3336" s="17"/>
      <c r="Q3336" s="17"/>
      <c r="R3336" s="17"/>
      <c r="S3336" s="17"/>
      <c r="T3336" s="17"/>
      <c r="U3336" s="17"/>
      <c r="V3336" s="17"/>
      <c r="W3336" s="17"/>
      <c r="X3336" s="17"/>
      <c r="Y3336" s="17"/>
      <c r="Z3336" s="31"/>
      <c r="AA3336" s="32"/>
    </row>
    <row r="3337" spans="1:27" ht="12.75">
      <c r="A3337" s="17"/>
      <c r="B3337" s="17"/>
      <c r="C3337" s="17"/>
      <c r="D3337" s="17"/>
      <c r="E3337" s="17"/>
      <c r="F3337" s="17"/>
      <c r="G3337" s="17"/>
      <c r="H3337" s="17"/>
      <c r="I3337" s="31"/>
      <c r="J3337" s="17"/>
      <c r="K3337" s="17"/>
      <c r="L3337" s="17"/>
      <c r="M3337" s="17"/>
      <c r="N3337" s="17"/>
      <c r="O3337" s="17"/>
      <c r="P3337" s="17"/>
      <c r="Q3337" s="17"/>
      <c r="R3337" s="17"/>
      <c r="S3337" s="17"/>
      <c r="T3337" s="17"/>
      <c r="U3337" s="17"/>
      <c r="V3337" s="17"/>
      <c r="W3337" s="17"/>
      <c r="X3337" s="17"/>
      <c r="Y3337" s="17"/>
      <c r="Z3337" s="31"/>
      <c r="AA3337" s="32"/>
    </row>
    <row r="3338" spans="1:27" ht="12.75">
      <c r="A3338" s="17"/>
      <c r="B3338" s="17"/>
      <c r="C3338" s="17"/>
      <c r="D3338" s="17"/>
      <c r="E3338" s="17"/>
      <c r="F3338" s="17"/>
      <c r="G3338" s="17"/>
      <c r="H3338" s="17"/>
      <c r="I3338" s="31"/>
      <c r="J3338" s="17"/>
      <c r="K3338" s="17"/>
      <c r="L3338" s="17"/>
      <c r="M3338" s="17"/>
      <c r="N3338" s="17"/>
      <c r="O3338" s="17"/>
      <c r="P3338" s="17"/>
      <c r="Q3338" s="17"/>
      <c r="R3338" s="17"/>
      <c r="S3338" s="17"/>
      <c r="T3338" s="17"/>
      <c r="U3338" s="17"/>
      <c r="V3338" s="17"/>
      <c r="W3338" s="17"/>
      <c r="X3338" s="17"/>
      <c r="Y3338" s="17"/>
      <c r="Z3338" s="31"/>
      <c r="AA3338" s="32"/>
    </row>
    <row r="3339" spans="1:27" ht="12.75">
      <c r="A3339" s="17"/>
      <c r="B3339" s="17"/>
      <c r="C3339" s="17"/>
      <c r="D3339" s="17"/>
      <c r="E3339" s="17"/>
      <c r="F3339" s="17"/>
      <c r="G3339" s="17"/>
      <c r="H3339" s="17"/>
      <c r="I3339" s="31"/>
      <c r="J3339" s="17"/>
      <c r="K3339" s="17"/>
      <c r="L3339" s="17"/>
      <c r="M3339" s="17"/>
      <c r="N3339" s="17"/>
      <c r="O3339" s="17"/>
      <c r="P3339" s="17"/>
      <c r="Q3339" s="17"/>
      <c r="R3339" s="17"/>
      <c r="S3339" s="17"/>
      <c r="T3339" s="17"/>
      <c r="U3339" s="17"/>
      <c r="V3339" s="17"/>
      <c r="W3339" s="17"/>
      <c r="X3339" s="17"/>
      <c r="Y3339" s="17"/>
      <c r="Z3339" s="31"/>
      <c r="AA3339" s="32"/>
    </row>
    <row r="3340" spans="1:27" ht="12.75">
      <c r="A3340" s="17"/>
      <c r="B3340" s="17"/>
      <c r="C3340" s="17"/>
      <c r="D3340" s="17"/>
      <c r="E3340" s="17"/>
      <c r="F3340" s="17"/>
      <c r="G3340" s="17"/>
      <c r="H3340" s="17"/>
      <c r="I3340" s="31"/>
      <c r="J3340" s="17"/>
      <c r="K3340" s="17"/>
      <c r="L3340" s="17"/>
      <c r="M3340" s="17"/>
      <c r="N3340" s="17"/>
      <c r="O3340" s="17"/>
      <c r="P3340" s="17"/>
      <c r="Q3340" s="17"/>
      <c r="R3340" s="17"/>
      <c r="S3340" s="17"/>
      <c r="T3340" s="17"/>
      <c r="U3340" s="17"/>
      <c r="V3340" s="17"/>
      <c r="W3340" s="17"/>
      <c r="X3340" s="17"/>
      <c r="Y3340" s="17"/>
      <c r="Z3340" s="31"/>
      <c r="AA3340" s="32"/>
    </row>
    <row r="3341" spans="1:27" ht="12.75">
      <c r="A3341" s="17"/>
      <c r="B3341" s="17"/>
      <c r="C3341" s="17"/>
      <c r="D3341" s="17"/>
      <c r="E3341" s="17"/>
      <c r="F3341" s="17"/>
      <c r="G3341" s="17"/>
      <c r="H3341" s="17"/>
      <c r="I3341" s="31"/>
      <c r="J3341" s="17"/>
      <c r="K3341" s="17"/>
      <c r="L3341" s="17"/>
      <c r="M3341" s="17"/>
      <c r="N3341" s="17"/>
      <c r="O3341" s="17"/>
      <c r="P3341" s="17"/>
      <c r="Q3341" s="17"/>
      <c r="R3341" s="17"/>
      <c r="S3341" s="17"/>
      <c r="T3341" s="17"/>
      <c r="U3341" s="17"/>
      <c r="V3341" s="17"/>
      <c r="W3341" s="17"/>
      <c r="X3341" s="17"/>
      <c r="Y3341" s="17"/>
      <c r="Z3341" s="31"/>
      <c r="AA3341" s="32"/>
    </row>
    <row r="3342" spans="1:27" ht="12.75">
      <c r="A3342" s="17"/>
      <c r="B3342" s="17"/>
      <c r="C3342" s="17"/>
      <c r="D3342" s="17"/>
      <c r="E3342" s="17"/>
      <c r="F3342" s="17"/>
      <c r="G3342" s="17"/>
      <c r="H3342" s="17"/>
      <c r="I3342" s="31"/>
      <c r="J3342" s="17"/>
      <c r="K3342" s="17"/>
      <c r="L3342" s="17"/>
      <c r="M3342" s="17"/>
      <c r="N3342" s="17"/>
      <c r="O3342" s="17"/>
      <c r="P3342" s="17"/>
      <c r="Q3342" s="17"/>
      <c r="R3342" s="17"/>
      <c r="S3342" s="17"/>
      <c r="T3342" s="17"/>
      <c r="U3342" s="17"/>
      <c r="V3342" s="17"/>
      <c r="W3342" s="17"/>
      <c r="X3342" s="17"/>
      <c r="Y3342" s="17"/>
      <c r="Z3342" s="31"/>
      <c r="AA3342" s="32"/>
    </row>
    <row r="3343" spans="1:27" ht="12.75">
      <c r="A3343" s="17"/>
      <c r="B3343" s="17"/>
      <c r="C3343" s="17"/>
      <c r="D3343" s="17"/>
      <c r="E3343" s="17"/>
      <c r="F3343" s="17"/>
      <c r="G3343" s="17"/>
      <c r="H3343" s="17"/>
      <c r="I3343" s="31"/>
      <c r="J3343" s="17"/>
      <c r="K3343" s="17"/>
      <c r="L3343" s="17"/>
      <c r="M3343" s="17"/>
      <c r="N3343" s="17"/>
      <c r="O3343" s="17"/>
      <c r="P3343" s="17"/>
      <c r="Q3343" s="17"/>
      <c r="R3343" s="17"/>
      <c r="S3343" s="17"/>
      <c r="T3343" s="17"/>
      <c r="U3343" s="17"/>
      <c r="V3343" s="17"/>
      <c r="W3343" s="17"/>
      <c r="X3343" s="17"/>
      <c r="Y3343" s="17"/>
      <c r="Z3343" s="31"/>
      <c r="AA3343" s="32"/>
    </row>
    <row r="3344" spans="1:27" ht="12.75">
      <c r="A3344" s="17"/>
      <c r="B3344" s="17"/>
      <c r="C3344" s="17"/>
      <c r="D3344" s="17"/>
      <c r="E3344" s="17"/>
      <c r="F3344" s="17"/>
      <c r="G3344" s="17"/>
      <c r="H3344" s="17"/>
      <c r="I3344" s="31"/>
      <c r="J3344" s="17"/>
      <c r="K3344" s="17"/>
      <c r="L3344" s="17"/>
      <c r="M3344" s="17"/>
      <c r="N3344" s="17"/>
      <c r="O3344" s="17"/>
      <c r="P3344" s="17"/>
      <c r="Q3344" s="17"/>
      <c r="R3344" s="17"/>
      <c r="S3344" s="17"/>
      <c r="T3344" s="17"/>
      <c r="U3344" s="17"/>
      <c r="V3344" s="17"/>
      <c r="W3344" s="17"/>
      <c r="X3344" s="17"/>
      <c r="Y3344" s="17"/>
      <c r="Z3344" s="31"/>
      <c r="AA3344" s="32"/>
    </row>
    <row r="3345" spans="1:27" ht="12.75">
      <c r="A3345" s="17"/>
      <c r="B3345" s="17"/>
      <c r="C3345" s="17"/>
      <c r="D3345" s="17"/>
      <c r="E3345" s="17"/>
      <c r="F3345" s="17"/>
      <c r="G3345" s="17"/>
      <c r="H3345" s="17"/>
      <c r="I3345" s="31"/>
      <c r="J3345" s="17"/>
      <c r="K3345" s="17"/>
      <c r="L3345" s="17"/>
      <c r="M3345" s="17"/>
      <c r="N3345" s="17"/>
      <c r="O3345" s="17"/>
      <c r="P3345" s="17"/>
      <c r="Q3345" s="17"/>
      <c r="R3345" s="17"/>
      <c r="S3345" s="17"/>
      <c r="T3345" s="17"/>
      <c r="U3345" s="17"/>
      <c r="V3345" s="17"/>
      <c r="W3345" s="17"/>
      <c r="X3345" s="17"/>
      <c r="Y3345" s="17"/>
      <c r="Z3345" s="31"/>
      <c r="AA3345" s="32"/>
    </row>
    <row r="3346" spans="1:27" ht="12.75">
      <c r="A3346" s="17"/>
      <c r="B3346" s="17"/>
      <c r="C3346" s="17"/>
      <c r="D3346" s="17"/>
      <c r="E3346" s="17"/>
      <c r="F3346" s="17"/>
      <c r="G3346" s="17"/>
      <c r="H3346" s="17"/>
      <c r="I3346" s="31"/>
      <c r="J3346" s="17"/>
      <c r="K3346" s="17"/>
      <c r="L3346" s="17"/>
      <c r="M3346" s="17"/>
      <c r="N3346" s="17"/>
      <c r="O3346" s="17"/>
      <c r="P3346" s="17"/>
      <c r="Q3346" s="17"/>
      <c r="R3346" s="17"/>
      <c r="S3346" s="17"/>
      <c r="T3346" s="17"/>
      <c r="U3346" s="17"/>
      <c r="V3346" s="17"/>
      <c r="W3346" s="17"/>
      <c r="X3346" s="17"/>
      <c r="Y3346" s="17"/>
      <c r="Z3346" s="31"/>
      <c r="AA3346" s="32"/>
    </row>
    <row r="3347" spans="1:27" ht="12.75">
      <c r="A3347" s="17"/>
      <c r="B3347" s="17"/>
      <c r="C3347" s="17"/>
      <c r="D3347" s="17"/>
      <c r="E3347" s="17"/>
      <c r="F3347" s="17"/>
      <c r="G3347" s="17"/>
      <c r="H3347" s="17"/>
      <c r="I3347" s="31"/>
      <c r="J3347" s="17"/>
      <c r="K3347" s="17"/>
      <c r="L3347" s="17"/>
      <c r="M3347" s="17"/>
      <c r="N3347" s="17"/>
      <c r="O3347" s="17"/>
      <c r="P3347" s="17"/>
      <c r="Q3347" s="17"/>
      <c r="R3347" s="17"/>
      <c r="S3347" s="17"/>
      <c r="T3347" s="17"/>
      <c r="U3347" s="17"/>
      <c r="V3347" s="17"/>
      <c r="W3347" s="17"/>
      <c r="X3347" s="17"/>
      <c r="Y3347" s="17"/>
      <c r="Z3347" s="31"/>
      <c r="AA3347" s="32"/>
    </row>
    <row r="3348" spans="1:27" ht="12.75">
      <c r="A3348" s="17"/>
      <c r="B3348" s="17"/>
      <c r="C3348" s="17"/>
      <c r="D3348" s="17"/>
      <c r="E3348" s="17"/>
      <c r="F3348" s="17"/>
      <c r="G3348" s="17"/>
      <c r="H3348" s="17"/>
      <c r="I3348" s="31"/>
      <c r="J3348" s="17"/>
      <c r="K3348" s="17"/>
      <c r="L3348" s="17"/>
      <c r="M3348" s="17"/>
      <c r="N3348" s="17"/>
      <c r="O3348" s="17"/>
      <c r="P3348" s="17"/>
      <c r="Q3348" s="17"/>
      <c r="R3348" s="17"/>
      <c r="S3348" s="17"/>
      <c r="T3348" s="17"/>
      <c r="U3348" s="17"/>
      <c r="V3348" s="17"/>
      <c r="W3348" s="17"/>
      <c r="X3348" s="17"/>
      <c r="Y3348" s="17"/>
      <c r="Z3348" s="31"/>
      <c r="AA3348" s="32"/>
    </row>
    <row r="3349" spans="1:27" ht="12.75">
      <c r="A3349" s="17"/>
      <c r="B3349" s="17"/>
      <c r="C3349" s="17"/>
      <c r="D3349" s="17"/>
      <c r="E3349" s="17"/>
      <c r="F3349" s="17"/>
      <c r="G3349" s="17"/>
      <c r="H3349" s="17"/>
      <c r="I3349" s="31"/>
      <c r="J3349" s="17"/>
      <c r="K3349" s="17"/>
      <c r="L3349" s="17"/>
      <c r="M3349" s="17"/>
      <c r="N3349" s="17"/>
      <c r="O3349" s="17"/>
      <c r="P3349" s="17"/>
      <c r="Q3349" s="17"/>
      <c r="R3349" s="17"/>
      <c r="S3349" s="17"/>
      <c r="T3349" s="17"/>
      <c r="U3349" s="17"/>
      <c r="V3349" s="17"/>
      <c r="W3349" s="17"/>
      <c r="X3349" s="17"/>
      <c r="Y3349" s="17"/>
      <c r="Z3349" s="31"/>
      <c r="AA3349" s="32"/>
    </row>
    <row r="3350" spans="1:27" ht="12.75">
      <c r="A3350" s="17"/>
      <c r="B3350" s="17"/>
      <c r="C3350" s="17"/>
      <c r="D3350" s="17"/>
      <c r="E3350" s="17"/>
      <c r="F3350" s="17"/>
      <c r="G3350" s="17"/>
      <c r="H3350" s="17"/>
      <c r="I3350" s="31"/>
      <c r="J3350" s="17"/>
      <c r="K3350" s="17"/>
      <c r="L3350" s="17"/>
      <c r="M3350" s="17"/>
      <c r="N3350" s="17"/>
      <c r="O3350" s="17"/>
      <c r="P3350" s="17"/>
      <c r="Q3350" s="17"/>
      <c r="R3350" s="17"/>
      <c r="S3350" s="17"/>
      <c r="T3350" s="17"/>
      <c r="U3350" s="17"/>
      <c r="V3350" s="17"/>
      <c r="W3350" s="17"/>
      <c r="X3350" s="17"/>
      <c r="Y3350" s="17"/>
      <c r="Z3350" s="31"/>
      <c r="AA3350" s="32"/>
    </row>
    <row r="3351" spans="1:27" ht="12.75">
      <c r="A3351" s="17"/>
      <c r="B3351" s="17"/>
      <c r="C3351" s="17"/>
      <c r="D3351" s="17"/>
      <c r="E3351" s="17"/>
      <c r="F3351" s="17"/>
      <c r="G3351" s="17"/>
      <c r="H3351" s="17"/>
      <c r="I3351" s="31"/>
      <c r="J3351" s="17"/>
      <c r="K3351" s="17"/>
      <c r="L3351" s="17"/>
      <c r="M3351" s="17"/>
      <c r="N3351" s="17"/>
      <c r="O3351" s="17"/>
      <c r="P3351" s="17"/>
      <c r="Q3351" s="17"/>
      <c r="R3351" s="17"/>
      <c r="S3351" s="17"/>
      <c r="T3351" s="17"/>
      <c r="U3351" s="17"/>
      <c r="V3351" s="17"/>
      <c r="W3351" s="17"/>
      <c r="X3351" s="17"/>
      <c r="Y3351" s="17"/>
      <c r="Z3351" s="31"/>
      <c r="AA3351" s="32"/>
    </row>
    <row r="3352" spans="1:27" ht="12.75">
      <c r="A3352" s="17"/>
      <c r="B3352" s="17"/>
      <c r="C3352" s="17"/>
      <c r="D3352" s="17"/>
      <c r="E3352" s="17"/>
      <c r="F3352" s="17"/>
      <c r="G3352" s="17"/>
      <c r="H3352" s="17"/>
      <c r="I3352" s="31"/>
      <c r="J3352" s="17"/>
      <c r="K3352" s="17"/>
      <c r="L3352" s="17"/>
      <c r="M3352" s="17"/>
      <c r="N3352" s="17"/>
      <c r="O3352" s="17"/>
      <c r="P3352" s="17"/>
      <c r="Q3352" s="17"/>
      <c r="R3352" s="17"/>
      <c r="S3352" s="17"/>
      <c r="T3352" s="17"/>
      <c r="U3352" s="17"/>
      <c r="V3352" s="17"/>
      <c r="W3352" s="17"/>
      <c r="X3352" s="17"/>
      <c r="Y3352" s="17"/>
      <c r="Z3352" s="31"/>
      <c r="AA3352" s="32"/>
    </row>
    <row r="3353" spans="1:27" ht="12.75">
      <c r="A3353" s="17"/>
      <c r="B3353" s="17"/>
      <c r="C3353" s="17"/>
      <c r="D3353" s="17"/>
      <c r="E3353" s="17"/>
      <c r="F3353" s="17"/>
      <c r="G3353" s="17"/>
      <c r="H3353" s="17"/>
      <c r="I3353" s="31"/>
      <c r="J3353" s="17"/>
      <c r="K3353" s="17"/>
      <c r="L3353" s="17"/>
      <c r="M3353" s="17"/>
      <c r="N3353" s="17"/>
      <c r="O3353" s="17"/>
      <c r="P3353" s="17"/>
      <c r="Q3353" s="17"/>
      <c r="R3353" s="17"/>
      <c r="S3353" s="17"/>
      <c r="T3353" s="17"/>
      <c r="U3353" s="17"/>
      <c r="V3353" s="17"/>
      <c r="W3353" s="17"/>
      <c r="X3353" s="17"/>
      <c r="Y3353" s="17"/>
      <c r="Z3353" s="31"/>
      <c r="AA3353" s="32"/>
    </row>
    <row r="3354" spans="1:27" ht="12.75">
      <c r="A3354" s="17"/>
      <c r="B3354" s="17"/>
      <c r="C3354" s="17"/>
      <c r="D3354" s="17"/>
      <c r="E3354" s="17"/>
      <c r="F3354" s="17"/>
      <c r="G3354" s="17"/>
      <c r="H3354" s="17"/>
      <c r="I3354" s="31"/>
      <c r="J3354" s="17"/>
      <c r="K3354" s="17"/>
      <c r="L3354" s="17"/>
      <c r="M3354" s="17"/>
      <c r="N3354" s="17"/>
      <c r="O3354" s="17"/>
      <c r="P3354" s="17"/>
      <c r="Q3354" s="17"/>
      <c r="R3354" s="17"/>
      <c r="S3354" s="17"/>
      <c r="T3354" s="17"/>
      <c r="U3354" s="17"/>
      <c r="V3354" s="17"/>
      <c r="W3354" s="17"/>
      <c r="X3354" s="17"/>
      <c r="Y3354" s="17"/>
      <c r="Z3354" s="31"/>
      <c r="AA3354" s="32"/>
    </row>
    <row r="3355" spans="1:27" ht="12.75">
      <c r="A3355" s="17"/>
      <c r="B3355" s="17"/>
      <c r="C3355" s="17"/>
      <c r="D3355" s="17"/>
      <c r="E3355" s="17"/>
      <c r="F3355" s="17"/>
      <c r="G3355" s="17"/>
      <c r="H3355" s="17"/>
      <c r="I3355" s="31"/>
      <c r="J3355" s="17"/>
      <c r="K3355" s="17"/>
      <c r="L3355" s="17"/>
      <c r="M3355" s="17"/>
      <c r="N3355" s="17"/>
      <c r="O3355" s="17"/>
      <c r="P3355" s="17"/>
      <c r="Q3355" s="17"/>
      <c r="R3355" s="17"/>
      <c r="S3355" s="17"/>
      <c r="T3355" s="17"/>
      <c r="U3355" s="17"/>
      <c r="V3355" s="17"/>
      <c r="W3355" s="17"/>
      <c r="X3355" s="17"/>
      <c r="Y3355" s="17"/>
      <c r="Z3355" s="31"/>
      <c r="AA3355" s="32"/>
    </row>
    <row r="3356" spans="1:27" ht="12.75">
      <c r="A3356" s="17"/>
      <c r="B3356" s="17"/>
      <c r="C3356" s="17"/>
      <c r="D3356" s="17"/>
      <c r="E3356" s="17"/>
      <c r="F3356" s="17"/>
      <c r="G3356" s="17"/>
      <c r="H3356" s="17"/>
      <c r="I3356" s="31"/>
      <c r="J3356" s="17"/>
      <c r="K3356" s="17"/>
      <c r="L3356" s="17"/>
      <c r="M3356" s="17"/>
      <c r="N3356" s="17"/>
      <c r="O3356" s="17"/>
      <c r="P3356" s="17"/>
      <c r="Q3356" s="17"/>
      <c r="R3356" s="17"/>
      <c r="S3356" s="17"/>
      <c r="T3356" s="17"/>
      <c r="U3356" s="17"/>
      <c r="V3356" s="17"/>
      <c r="W3356" s="17"/>
      <c r="X3356" s="17"/>
      <c r="Y3356" s="17"/>
      <c r="Z3356" s="31"/>
      <c r="AA3356" s="32"/>
    </row>
    <row r="3357" spans="1:27" ht="12.75">
      <c r="A3357" s="17"/>
      <c r="B3357" s="17"/>
      <c r="C3357" s="17"/>
      <c r="D3357" s="17"/>
      <c r="E3357" s="17"/>
      <c r="F3357" s="17"/>
      <c r="G3357" s="17"/>
      <c r="H3357" s="17"/>
      <c r="I3357" s="31"/>
      <c r="J3357" s="17"/>
      <c r="K3357" s="17"/>
      <c r="L3357" s="17"/>
      <c r="M3357" s="17"/>
      <c r="N3357" s="17"/>
      <c r="O3357" s="17"/>
      <c r="P3357" s="17"/>
      <c r="Q3357" s="17"/>
      <c r="R3357" s="17"/>
      <c r="S3357" s="17"/>
      <c r="T3357" s="17"/>
      <c r="U3357" s="17"/>
      <c r="V3357" s="17"/>
      <c r="W3357" s="17"/>
      <c r="X3357" s="17"/>
      <c r="Y3357" s="17"/>
      <c r="Z3357" s="31"/>
      <c r="AA3357" s="32"/>
    </row>
    <row r="3358" spans="1:27" ht="12.75">
      <c r="A3358" s="17"/>
      <c r="B3358" s="17"/>
      <c r="C3358" s="17"/>
      <c r="D3358" s="17"/>
      <c r="E3358" s="17"/>
      <c r="F3358" s="17"/>
      <c r="G3358" s="17"/>
      <c r="H3358" s="17"/>
      <c r="I3358" s="31"/>
      <c r="J3358" s="17"/>
      <c r="K3358" s="17"/>
      <c r="L3358" s="17"/>
      <c r="M3358" s="17"/>
      <c r="N3358" s="17"/>
      <c r="O3358" s="17"/>
      <c r="P3358" s="17"/>
      <c r="Q3358" s="17"/>
      <c r="R3358" s="17"/>
      <c r="S3358" s="17"/>
      <c r="T3358" s="17"/>
      <c r="U3358" s="17"/>
      <c r="V3358" s="17"/>
      <c r="W3358" s="17"/>
      <c r="X3358" s="17"/>
      <c r="Y3358" s="17"/>
      <c r="Z3358" s="31"/>
      <c r="AA3358" s="32"/>
    </row>
    <row r="3359" spans="1:27" ht="12.75">
      <c r="A3359" s="17"/>
      <c r="B3359" s="17"/>
      <c r="C3359" s="17"/>
      <c r="D3359" s="17"/>
      <c r="E3359" s="17"/>
      <c r="F3359" s="17"/>
      <c r="G3359" s="17"/>
      <c r="H3359" s="17"/>
      <c r="I3359" s="31"/>
      <c r="J3359" s="17"/>
      <c r="K3359" s="17"/>
      <c r="L3359" s="17"/>
      <c r="M3359" s="17"/>
      <c r="N3359" s="17"/>
      <c r="O3359" s="17"/>
      <c r="P3359" s="17"/>
      <c r="Q3359" s="17"/>
      <c r="R3359" s="17"/>
      <c r="S3359" s="17"/>
      <c r="T3359" s="17"/>
      <c r="U3359" s="17"/>
      <c r="V3359" s="17"/>
      <c r="W3359" s="17"/>
      <c r="X3359" s="17"/>
      <c r="Y3359" s="17"/>
      <c r="Z3359" s="31"/>
      <c r="AA3359" s="32"/>
    </row>
    <row r="3360" spans="1:27" ht="12.75">
      <c r="A3360" s="17"/>
      <c r="B3360" s="17"/>
      <c r="C3360" s="17"/>
      <c r="D3360" s="17"/>
      <c r="E3360" s="17"/>
      <c r="F3360" s="17"/>
      <c r="G3360" s="17"/>
      <c r="H3360" s="17"/>
      <c r="I3360" s="31"/>
      <c r="J3360" s="17"/>
      <c r="K3360" s="17"/>
      <c r="L3360" s="17"/>
      <c r="M3360" s="17"/>
      <c r="N3360" s="17"/>
      <c r="O3360" s="17"/>
      <c r="P3360" s="17"/>
      <c r="Q3360" s="17"/>
      <c r="R3360" s="17"/>
      <c r="S3360" s="17"/>
      <c r="T3360" s="17"/>
      <c r="U3360" s="17"/>
      <c r="V3360" s="17"/>
      <c r="W3360" s="17"/>
      <c r="X3360" s="17"/>
      <c r="Y3360" s="17"/>
      <c r="Z3360" s="31"/>
      <c r="AA3360" s="32"/>
    </row>
    <row r="3361" spans="1:27" ht="12.75">
      <c r="A3361" s="17"/>
      <c r="B3361" s="17"/>
      <c r="C3361" s="17"/>
      <c r="D3361" s="17"/>
      <c r="E3361" s="17"/>
      <c r="F3361" s="17"/>
      <c r="G3361" s="17"/>
      <c r="H3361" s="17"/>
      <c r="I3361" s="31"/>
      <c r="J3361" s="17"/>
      <c r="K3361" s="17"/>
      <c r="L3361" s="17"/>
      <c r="M3361" s="17"/>
      <c r="N3361" s="17"/>
      <c r="O3361" s="17"/>
      <c r="P3361" s="17"/>
      <c r="Q3361" s="17"/>
      <c r="R3361" s="17"/>
      <c r="S3361" s="17"/>
      <c r="T3361" s="17"/>
      <c r="U3361" s="17"/>
      <c r="V3361" s="17"/>
      <c r="W3361" s="17"/>
      <c r="X3361" s="17"/>
      <c r="Y3361" s="17"/>
      <c r="Z3361" s="31"/>
      <c r="AA3361" s="32"/>
    </row>
    <row r="3362" spans="1:27" ht="12.75">
      <c r="A3362" s="17"/>
      <c r="B3362" s="17"/>
      <c r="C3362" s="17"/>
      <c r="D3362" s="17"/>
      <c r="E3362" s="17"/>
      <c r="F3362" s="17"/>
      <c r="G3362" s="17"/>
      <c r="H3362" s="17"/>
      <c r="I3362" s="31"/>
      <c r="J3362" s="17"/>
      <c r="K3362" s="17"/>
      <c r="L3362" s="17"/>
      <c r="M3362" s="17"/>
      <c r="N3362" s="17"/>
      <c r="O3362" s="17"/>
      <c r="P3362" s="17"/>
      <c r="Q3362" s="17"/>
      <c r="R3362" s="17"/>
      <c r="S3362" s="17"/>
      <c r="T3362" s="17"/>
      <c r="U3362" s="17"/>
      <c r="V3362" s="17"/>
      <c r="W3362" s="17"/>
      <c r="X3362" s="17"/>
      <c r="Y3362" s="17"/>
      <c r="Z3362" s="31"/>
      <c r="AA3362" s="32"/>
    </row>
    <row r="3363" spans="1:27" ht="12.75">
      <c r="A3363" s="17"/>
      <c r="B3363" s="17"/>
      <c r="C3363" s="17"/>
      <c r="D3363" s="17"/>
      <c r="E3363" s="17"/>
      <c r="F3363" s="17"/>
      <c r="G3363" s="17"/>
      <c r="H3363" s="17"/>
      <c r="I3363" s="31"/>
      <c r="J3363" s="17"/>
      <c r="K3363" s="17"/>
      <c r="L3363" s="17"/>
      <c r="M3363" s="17"/>
      <c r="N3363" s="17"/>
      <c r="O3363" s="17"/>
      <c r="P3363" s="17"/>
      <c r="Q3363" s="17"/>
      <c r="R3363" s="17"/>
      <c r="S3363" s="17"/>
      <c r="T3363" s="17"/>
      <c r="U3363" s="17"/>
      <c r="V3363" s="17"/>
      <c r="W3363" s="17"/>
      <c r="X3363" s="17"/>
      <c r="Y3363" s="17"/>
      <c r="Z3363" s="31"/>
      <c r="AA3363" s="32"/>
    </row>
    <row r="3364" spans="1:27" ht="12.75">
      <c r="A3364" s="17"/>
      <c r="B3364" s="17"/>
      <c r="C3364" s="17"/>
      <c r="D3364" s="17"/>
      <c r="E3364" s="17"/>
      <c r="F3364" s="17"/>
      <c r="G3364" s="17"/>
      <c r="H3364" s="17"/>
      <c r="I3364" s="31"/>
      <c r="J3364" s="17"/>
      <c r="K3364" s="17"/>
      <c r="L3364" s="17"/>
      <c r="M3364" s="17"/>
      <c r="N3364" s="17"/>
      <c r="O3364" s="17"/>
      <c r="P3364" s="17"/>
      <c r="Q3364" s="17"/>
      <c r="R3364" s="17"/>
      <c r="S3364" s="17"/>
      <c r="T3364" s="17"/>
      <c r="U3364" s="17"/>
      <c r="V3364" s="17"/>
      <c r="W3364" s="17"/>
      <c r="X3364" s="17"/>
      <c r="Y3364" s="17"/>
      <c r="Z3364" s="31"/>
      <c r="AA3364" s="32"/>
    </row>
    <row r="3365" spans="1:27" ht="12.75">
      <c r="A3365" s="17"/>
      <c r="B3365" s="17"/>
      <c r="C3365" s="17"/>
      <c r="D3365" s="17"/>
      <c r="E3365" s="17"/>
      <c r="F3365" s="17"/>
      <c r="G3365" s="17"/>
      <c r="H3365" s="17"/>
      <c r="I3365" s="31"/>
      <c r="J3365" s="17"/>
      <c r="K3365" s="17"/>
      <c r="L3365" s="17"/>
      <c r="M3365" s="17"/>
      <c r="N3365" s="17"/>
      <c r="O3365" s="17"/>
      <c r="P3365" s="17"/>
      <c r="Q3365" s="17"/>
      <c r="R3365" s="17"/>
      <c r="S3365" s="17"/>
      <c r="T3365" s="17"/>
      <c r="U3365" s="17"/>
      <c r="V3365" s="17"/>
      <c r="W3365" s="17"/>
      <c r="X3365" s="17"/>
      <c r="Y3365" s="17"/>
      <c r="Z3365" s="31"/>
      <c r="AA3365" s="32"/>
    </row>
    <row r="3366" spans="1:27" ht="12.75">
      <c r="A3366" s="17"/>
      <c r="B3366" s="17"/>
      <c r="C3366" s="17"/>
      <c r="D3366" s="17"/>
      <c r="E3366" s="17"/>
      <c r="F3366" s="17"/>
      <c r="G3366" s="17"/>
      <c r="H3366" s="17"/>
      <c r="I3366" s="31"/>
      <c r="J3366" s="17"/>
      <c r="K3366" s="17"/>
      <c r="L3366" s="17"/>
      <c r="M3366" s="17"/>
      <c r="N3366" s="17"/>
      <c r="O3366" s="17"/>
      <c r="P3366" s="17"/>
      <c r="Q3366" s="17"/>
      <c r="R3366" s="17"/>
      <c r="S3366" s="17"/>
      <c r="T3366" s="17"/>
      <c r="U3366" s="17"/>
      <c r="V3366" s="17"/>
      <c r="W3366" s="17"/>
      <c r="X3366" s="17"/>
      <c r="Y3366" s="17"/>
      <c r="Z3366" s="31"/>
      <c r="AA3366" s="32"/>
    </row>
    <row r="3367" spans="1:27" ht="12.75">
      <c r="A3367" s="17"/>
      <c r="B3367" s="17"/>
      <c r="C3367" s="17"/>
      <c r="D3367" s="17"/>
      <c r="E3367" s="17"/>
      <c r="F3367" s="17"/>
      <c r="G3367" s="17"/>
      <c r="H3367" s="17"/>
      <c r="I3367" s="31"/>
      <c r="J3367" s="17"/>
      <c r="K3367" s="17"/>
      <c r="L3367" s="17"/>
      <c r="M3367" s="17"/>
      <c r="N3367" s="17"/>
      <c r="O3367" s="17"/>
      <c r="P3367" s="17"/>
      <c r="Q3367" s="17"/>
      <c r="R3367" s="17"/>
      <c r="S3367" s="17"/>
      <c r="T3367" s="17"/>
      <c r="U3367" s="17"/>
      <c r="V3367" s="17"/>
      <c r="W3367" s="17"/>
      <c r="X3367" s="17"/>
      <c r="Y3367" s="17"/>
      <c r="Z3367" s="31"/>
      <c r="AA3367" s="32"/>
    </row>
    <row r="3368" spans="1:27" ht="12.75">
      <c r="A3368" s="17"/>
      <c r="B3368" s="17"/>
      <c r="C3368" s="17"/>
      <c r="D3368" s="17"/>
      <c r="E3368" s="17"/>
      <c r="F3368" s="17"/>
      <c r="G3368" s="17"/>
      <c r="H3368" s="17"/>
      <c r="I3368" s="31"/>
      <c r="J3368" s="17"/>
      <c r="K3368" s="17"/>
      <c r="L3368" s="17"/>
      <c r="M3368" s="17"/>
      <c r="N3368" s="17"/>
      <c r="O3368" s="17"/>
      <c r="P3368" s="17"/>
      <c r="Q3368" s="17"/>
      <c r="R3368" s="17"/>
      <c r="S3368" s="17"/>
      <c r="T3368" s="17"/>
      <c r="U3368" s="17"/>
      <c r="V3368" s="17"/>
      <c r="W3368" s="17"/>
      <c r="X3368" s="17"/>
      <c r="Y3368" s="17"/>
      <c r="Z3368" s="31"/>
      <c r="AA3368" s="32"/>
    </row>
    <row r="3369" spans="1:27" ht="12.75">
      <c r="A3369" s="17"/>
      <c r="B3369" s="17"/>
      <c r="C3369" s="17"/>
      <c r="D3369" s="17"/>
      <c r="E3369" s="17"/>
      <c r="F3369" s="17"/>
      <c r="G3369" s="17"/>
      <c r="H3369" s="17"/>
      <c r="I3369" s="31"/>
      <c r="J3369" s="17"/>
      <c r="K3369" s="17"/>
      <c r="L3369" s="17"/>
      <c r="M3369" s="17"/>
      <c r="N3369" s="17"/>
      <c r="O3369" s="17"/>
      <c r="P3369" s="17"/>
      <c r="Q3369" s="17"/>
      <c r="R3369" s="17"/>
      <c r="S3369" s="17"/>
      <c r="T3369" s="17"/>
      <c r="U3369" s="17"/>
      <c r="V3369" s="17"/>
      <c r="W3369" s="17"/>
      <c r="X3369" s="17"/>
      <c r="Y3369" s="17"/>
      <c r="Z3369" s="31"/>
      <c r="AA3369" s="32"/>
    </row>
    <row r="3370" spans="1:27" ht="12.75">
      <c r="A3370" s="17"/>
      <c r="B3370" s="17"/>
      <c r="C3370" s="17"/>
      <c r="D3370" s="17"/>
      <c r="E3370" s="17"/>
      <c r="F3370" s="17"/>
      <c r="G3370" s="17"/>
      <c r="H3370" s="17"/>
      <c r="I3370" s="31"/>
      <c r="J3370" s="17"/>
      <c r="K3370" s="17"/>
      <c r="L3370" s="17"/>
      <c r="M3370" s="17"/>
      <c r="N3370" s="17"/>
      <c r="O3370" s="17"/>
      <c r="P3370" s="17"/>
      <c r="Q3370" s="17"/>
      <c r="R3370" s="17"/>
      <c r="S3370" s="17"/>
      <c r="T3370" s="17"/>
      <c r="U3370" s="17"/>
      <c r="V3370" s="17"/>
      <c r="W3370" s="17"/>
      <c r="X3370" s="17"/>
      <c r="Y3370" s="17"/>
      <c r="Z3370" s="31"/>
      <c r="AA3370" s="32"/>
    </row>
    <row r="3371" spans="1:27" ht="12.75">
      <c r="A3371" s="17"/>
      <c r="B3371" s="17"/>
      <c r="C3371" s="17"/>
      <c r="D3371" s="17"/>
      <c r="E3371" s="17"/>
      <c r="F3371" s="17"/>
      <c r="G3371" s="17"/>
      <c r="H3371" s="17"/>
      <c r="I3371" s="31"/>
      <c r="J3371" s="17"/>
      <c r="K3371" s="17"/>
      <c r="L3371" s="17"/>
      <c r="M3371" s="17"/>
      <c r="N3371" s="17"/>
      <c r="O3371" s="17"/>
      <c r="P3371" s="17"/>
      <c r="Q3371" s="17"/>
      <c r="R3371" s="17"/>
      <c r="S3371" s="17"/>
      <c r="T3371" s="17"/>
      <c r="U3371" s="17"/>
      <c r="V3371" s="17"/>
      <c r="W3371" s="17"/>
      <c r="X3371" s="17"/>
      <c r="Y3371" s="17"/>
      <c r="Z3371" s="31"/>
      <c r="AA3371" s="32"/>
    </row>
    <row r="3372" spans="1:27" ht="12.75">
      <c r="A3372" s="17"/>
      <c r="B3372" s="17"/>
      <c r="C3372" s="17"/>
      <c r="D3372" s="17"/>
      <c r="E3372" s="17"/>
      <c r="F3372" s="17"/>
      <c r="G3372" s="17"/>
      <c r="H3372" s="17"/>
      <c r="I3372" s="31"/>
      <c r="J3372" s="17"/>
      <c r="K3372" s="17"/>
      <c r="L3372" s="17"/>
      <c r="M3372" s="17"/>
      <c r="N3372" s="17"/>
      <c r="O3372" s="17"/>
      <c r="P3372" s="17"/>
      <c r="Q3372" s="17"/>
      <c r="R3372" s="17"/>
      <c r="S3372" s="17"/>
      <c r="T3372" s="17"/>
      <c r="U3372" s="17"/>
      <c r="V3372" s="17"/>
      <c r="W3372" s="17"/>
      <c r="X3372" s="17"/>
      <c r="Y3372" s="17"/>
      <c r="Z3372" s="31"/>
      <c r="AA3372" s="32"/>
    </row>
    <row r="3373" spans="1:27" ht="12.75">
      <c r="A3373" s="17"/>
      <c r="B3373" s="17"/>
      <c r="C3373" s="17"/>
      <c r="D3373" s="17"/>
      <c r="E3373" s="17"/>
      <c r="F3373" s="17"/>
      <c r="G3373" s="17"/>
      <c r="H3373" s="17"/>
      <c r="I3373" s="31"/>
      <c r="J3373" s="17"/>
      <c r="K3373" s="17"/>
      <c r="L3373" s="17"/>
      <c r="M3373" s="17"/>
      <c r="N3373" s="17"/>
      <c r="O3373" s="17"/>
      <c r="P3373" s="17"/>
      <c r="Q3373" s="17"/>
      <c r="R3373" s="17"/>
      <c r="S3373" s="17"/>
      <c r="T3373" s="17"/>
      <c r="U3373" s="17"/>
      <c r="V3373" s="17"/>
      <c r="W3373" s="17"/>
      <c r="X3373" s="17"/>
      <c r="Y3373" s="17"/>
      <c r="Z3373" s="31"/>
      <c r="AA3373" s="32"/>
    </row>
    <row r="3374" spans="1:27" ht="12.75">
      <c r="A3374" s="17"/>
      <c r="B3374" s="17"/>
      <c r="C3374" s="17"/>
      <c r="D3374" s="17"/>
      <c r="E3374" s="17"/>
      <c r="F3374" s="17"/>
      <c r="G3374" s="17"/>
      <c r="H3374" s="17"/>
      <c r="I3374" s="31"/>
      <c r="J3374" s="17"/>
      <c r="K3374" s="17"/>
      <c r="L3374" s="17"/>
      <c r="M3374" s="17"/>
      <c r="N3374" s="17"/>
      <c r="O3374" s="17"/>
      <c r="P3374" s="17"/>
      <c r="Q3374" s="17"/>
      <c r="R3374" s="17"/>
      <c r="S3374" s="17"/>
      <c r="T3374" s="17"/>
      <c r="U3374" s="17"/>
      <c r="V3374" s="17"/>
      <c r="W3374" s="17"/>
      <c r="X3374" s="17"/>
      <c r="Y3374" s="17"/>
      <c r="Z3374" s="31"/>
      <c r="AA3374" s="32"/>
    </row>
    <row r="3375" spans="1:27" ht="12.75">
      <c r="A3375" s="17"/>
      <c r="B3375" s="17"/>
      <c r="C3375" s="17"/>
      <c r="D3375" s="17"/>
      <c r="E3375" s="17"/>
      <c r="F3375" s="17"/>
      <c r="G3375" s="17"/>
      <c r="H3375" s="17"/>
      <c r="I3375" s="31"/>
      <c r="J3375" s="17"/>
      <c r="K3375" s="17"/>
      <c r="L3375" s="17"/>
      <c r="M3375" s="17"/>
      <c r="N3375" s="17"/>
      <c r="O3375" s="17"/>
      <c r="P3375" s="17"/>
      <c r="Q3375" s="17"/>
      <c r="R3375" s="17"/>
      <c r="S3375" s="17"/>
      <c r="T3375" s="17"/>
      <c r="U3375" s="17"/>
      <c r="V3375" s="17"/>
      <c r="W3375" s="17"/>
      <c r="X3375" s="17"/>
      <c r="Y3375" s="17"/>
      <c r="Z3375" s="31"/>
      <c r="AA3375" s="32"/>
    </row>
    <row r="3376" spans="1:27" ht="12.75">
      <c r="A3376" s="17"/>
      <c r="B3376" s="17"/>
      <c r="C3376" s="17"/>
      <c r="D3376" s="17"/>
      <c r="E3376" s="17"/>
      <c r="F3376" s="17"/>
      <c r="G3376" s="17"/>
      <c r="H3376" s="17"/>
      <c r="I3376" s="31"/>
      <c r="J3376" s="17"/>
      <c r="K3376" s="17"/>
      <c r="L3376" s="17"/>
      <c r="M3376" s="17"/>
      <c r="N3376" s="17"/>
      <c r="O3376" s="17"/>
      <c r="P3376" s="17"/>
      <c r="Q3376" s="17"/>
      <c r="R3376" s="17"/>
      <c r="S3376" s="17"/>
      <c r="T3376" s="17"/>
      <c r="U3376" s="17"/>
      <c r="V3376" s="17"/>
      <c r="W3376" s="17"/>
      <c r="X3376" s="17"/>
      <c r="Y3376" s="17"/>
      <c r="Z3376" s="31"/>
      <c r="AA3376" s="32"/>
    </row>
    <row r="3377" spans="1:27" ht="12.75">
      <c r="A3377" s="17"/>
      <c r="B3377" s="17"/>
      <c r="C3377" s="17"/>
      <c r="D3377" s="17"/>
      <c r="E3377" s="17"/>
      <c r="F3377" s="17"/>
      <c r="G3377" s="17"/>
      <c r="H3377" s="17"/>
      <c r="I3377" s="31"/>
      <c r="J3377" s="17"/>
      <c r="K3377" s="17"/>
      <c r="L3377" s="17"/>
      <c r="M3377" s="17"/>
      <c r="N3377" s="17"/>
      <c r="O3377" s="17"/>
      <c r="P3377" s="17"/>
      <c r="Q3377" s="17"/>
      <c r="R3377" s="17"/>
      <c r="S3377" s="17"/>
      <c r="T3377" s="17"/>
      <c r="U3377" s="17"/>
      <c r="V3377" s="17"/>
      <c r="W3377" s="17"/>
      <c r="X3377" s="17"/>
      <c r="Y3377" s="17"/>
      <c r="Z3377" s="31"/>
      <c r="AA3377" s="32"/>
    </row>
    <row r="3378" spans="1:27" ht="12.75">
      <c r="A3378" s="17"/>
      <c r="B3378" s="17"/>
      <c r="C3378" s="17"/>
      <c r="D3378" s="17"/>
      <c r="E3378" s="17"/>
      <c r="F3378" s="17"/>
      <c r="G3378" s="17"/>
      <c r="H3378" s="17"/>
      <c r="I3378" s="31"/>
      <c r="J3378" s="17"/>
      <c r="K3378" s="17"/>
      <c r="L3378" s="17"/>
      <c r="M3378" s="17"/>
      <c r="N3378" s="17"/>
      <c r="O3378" s="17"/>
      <c r="P3378" s="17"/>
      <c r="Q3378" s="17"/>
      <c r="R3378" s="17"/>
      <c r="S3378" s="17"/>
      <c r="T3378" s="17"/>
      <c r="U3378" s="17"/>
      <c r="V3378" s="17"/>
      <c r="W3378" s="17"/>
      <c r="X3378" s="17"/>
      <c r="Y3378" s="17"/>
      <c r="Z3378" s="31"/>
      <c r="AA3378" s="32"/>
    </row>
    <row r="3379" spans="1:27" ht="12.75">
      <c r="A3379" s="17"/>
      <c r="B3379" s="17"/>
      <c r="C3379" s="17"/>
      <c r="D3379" s="17"/>
      <c r="E3379" s="17"/>
      <c r="F3379" s="17"/>
      <c r="G3379" s="17"/>
      <c r="H3379" s="17"/>
      <c r="I3379" s="31"/>
      <c r="J3379" s="17"/>
      <c r="K3379" s="17"/>
      <c r="L3379" s="17"/>
      <c r="M3379" s="17"/>
      <c r="N3379" s="17"/>
      <c r="O3379" s="17"/>
      <c r="P3379" s="17"/>
      <c r="Q3379" s="17"/>
      <c r="R3379" s="17"/>
      <c r="S3379" s="17"/>
      <c r="T3379" s="17"/>
      <c r="U3379" s="17"/>
      <c r="V3379" s="17"/>
      <c r="W3379" s="17"/>
      <c r="X3379" s="17"/>
      <c r="Y3379" s="17"/>
      <c r="Z3379" s="31"/>
      <c r="AA3379" s="32"/>
    </row>
    <row r="3380" spans="1:27" ht="12.75">
      <c r="A3380" s="17"/>
      <c r="B3380" s="17"/>
      <c r="C3380" s="17"/>
      <c r="D3380" s="17"/>
      <c r="E3380" s="17"/>
      <c r="F3380" s="17"/>
      <c r="G3380" s="17"/>
      <c r="H3380" s="17"/>
      <c r="I3380" s="31"/>
      <c r="J3380" s="17"/>
      <c r="K3380" s="17"/>
      <c r="L3380" s="17"/>
      <c r="M3380" s="17"/>
      <c r="N3380" s="17"/>
      <c r="O3380" s="17"/>
      <c r="P3380" s="17"/>
      <c r="Q3380" s="17"/>
      <c r="R3380" s="17"/>
      <c r="S3380" s="17"/>
      <c r="T3380" s="17"/>
      <c r="U3380" s="17"/>
      <c r="V3380" s="17"/>
      <c r="W3380" s="17"/>
      <c r="X3380" s="17"/>
      <c r="Y3380" s="17"/>
      <c r="Z3380" s="31"/>
      <c r="AA3380" s="32"/>
    </row>
    <row r="3381" spans="1:27" ht="12.75">
      <c r="A3381" s="17"/>
      <c r="B3381" s="17"/>
      <c r="C3381" s="17"/>
      <c r="D3381" s="17"/>
      <c r="E3381" s="17"/>
      <c r="F3381" s="17"/>
      <c r="G3381" s="17"/>
      <c r="H3381" s="17"/>
      <c r="I3381" s="31"/>
      <c r="J3381" s="17"/>
      <c r="K3381" s="17"/>
      <c r="L3381" s="17"/>
      <c r="M3381" s="17"/>
      <c r="N3381" s="17"/>
      <c r="O3381" s="17"/>
      <c r="P3381" s="17"/>
      <c r="Q3381" s="17"/>
      <c r="R3381" s="17"/>
      <c r="S3381" s="17"/>
      <c r="T3381" s="17"/>
      <c r="U3381" s="17"/>
      <c r="V3381" s="17"/>
      <c r="W3381" s="17"/>
      <c r="X3381" s="17"/>
      <c r="Y3381" s="17"/>
      <c r="Z3381" s="31"/>
      <c r="AA3381" s="32"/>
    </row>
    <row r="3382" spans="1:27" ht="12.75">
      <c r="A3382" s="17"/>
      <c r="B3382" s="17"/>
      <c r="C3382" s="17"/>
      <c r="D3382" s="17"/>
      <c r="E3382" s="17"/>
      <c r="F3382" s="17"/>
      <c r="G3382" s="17"/>
      <c r="H3382" s="17"/>
      <c r="I3382" s="31"/>
      <c r="J3382" s="17"/>
      <c r="K3382" s="17"/>
      <c r="L3382" s="17"/>
      <c r="M3382" s="17"/>
      <c r="N3382" s="17"/>
      <c r="O3382" s="17"/>
      <c r="P3382" s="17"/>
      <c r="Q3382" s="17"/>
      <c r="R3382" s="17"/>
      <c r="S3382" s="17"/>
      <c r="T3382" s="17"/>
      <c r="U3382" s="17"/>
      <c r="V3382" s="17"/>
      <c r="W3382" s="17"/>
      <c r="X3382" s="17"/>
      <c r="Y3382" s="17"/>
      <c r="Z3382" s="31"/>
      <c r="AA3382" s="32"/>
    </row>
    <row r="3383" spans="1:27" ht="12.75">
      <c r="A3383" s="17"/>
      <c r="B3383" s="17"/>
      <c r="C3383" s="17"/>
      <c r="D3383" s="17"/>
      <c r="E3383" s="17"/>
      <c r="F3383" s="17"/>
      <c r="G3383" s="17"/>
      <c r="H3383" s="17"/>
      <c r="I3383" s="31"/>
      <c r="J3383" s="17"/>
      <c r="K3383" s="17"/>
      <c r="L3383" s="17"/>
      <c r="M3383" s="17"/>
      <c r="N3383" s="17"/>
      <c r="O3383" s="17"/>
      <c r="P3383" s="17"/>
      <c r="Q3383" s="17"/>
      <c r="R3383" s="17"/>
      <c r="S3383" s="17"/>
      <c r="T3383" s="17"/>
      <c r="U3383" s="17"/>
      <c r="V3383" s="17"/>
      <c r="W3383" s="17"/>
      <c r="X3383" s="17"/>
      <c r="Y3383" s="17"/>
      <c r="Z3383" s="31"/>
      <c r="AA3383" s="32"/>
    </row>
    <row r="3384" spans="1:27" ht="12.75">
      <c r="A3384" s="17"/>
      <c r="B3384" s="17"/>
      <c r="C3384" s="17"/>
      <c r="D3384" s="17"/>
      <c r="E3384" s="17"/>
      <c r="F3384" s="17"/>
      <c r="G3384" s="17"/>
      <c r="H3384" s="17"/>
      <c r="I3384" s="31"/>
      <c r="J3384" s="17"/>
      <c r="K3384" s="17"/>
      <c r="L3384" s="17"/>
      <c r="M3384" s="17"/>
      <c r="N3384" s="17"/>
      <c r="O3384" s="17"/>
      <c r="P3384" s="17"/>
      <c r="Q3384" s="17"/>
      <c r="R3384" s="17"/>
      <c r="S3384" s="17"/>
      <c r="T3384" s="17"/>
      <c r="U3384" s="17"/>
      <c r="V3384" s="17"/>
      <c r="W3384" s="17"/>
      <c r="X3384" s="17"/>
      <c r="Y3384" s="17"/>
      <c r="Z3384" s="31"/>
      <c r="AA3384" s="32"/>
    </row>
    <row r="3385" spans="1:27" ht="12.75">
      <c r="A3385" s="17"/>
      <c r="B3385" s="17"/>
      <c r="C3385" s="17"/>
      <c r="D3385" s="17"/>
      <c r="E3385" s="17"/>
      <c r="F3385" s="17"/>
      <c r="G3385" s="17"/>
      <c r="H3385" s="17"/>
      <c r="I3385" s="31"/>
      <c r="J3385" s="17"/>
      <c r="K3385" s="17"/>
      <c r="L3385" s="17"/>
      <c r="M3385" s="17"/>
      <c r="N3385" s="17"/>
      <c r="O3385" s="17"/>
      <c r="P3385" s="17"/>
      <c r="Q3385" s="17"/>
      <c r="R3385" s="17"/>
      <c r="S3385" s="17"/>
      <c r="T3385" s="17"/>
      <c r="U3385" s="17"/>
      <c r="V3385" s="17"/>
      <c r="W3385" s="17"/>
      <c r="X3385" s="17"/>
      <c r="Y3385" s="17"/>
      <c r="Z3385" s="31"/>
      <c r="AA3385" s="32"/>
    </row>
    <row r="3386" spans="1:27" ht="12.75">
      <c r="A3386" s="17"/>
      <c r="B3386" s="17"/>
      <c r="C3386" s="17"/>
      <c r="D3386" s="17"/>
      <c r="E3386" s="17"/>
      <c r="F3386" s="17"/>
      <c r="G3386" s="17"/>
      <c r="H3386" s="17"/>
      <c r="I3386" s="31"/>
      <c r="J3386" s="17"/>
      <c r="K3386" s="17"/>
      <c r="L3386" s="17"/>
      <c r="M3386" s="17"/>
      <c r="N3386" s="17"/>
      <c r="O3386" s="17"/>
      <c r="P3386" s="17"/>
      <c r="Q3386" s="17"/>
      <c r="R3386" s="17"/>
      <c r="S3386" s="17"/>
      <c r="T3386" s="17"/>
      <c r="U3386" s="17"/>
      <c r="V3386" s="17"/>
      <c r="W3386" s="17"/>
      <c r="X3386" s="17"/>
      <c r="Y3386" s="17"/>
      <c r="Z3386" s="31"/>
      <c r="AA3386" s="32"/>
    </row>
    <row r="3387" spans="1:27" ht="12.75">
      <c r="A3387" s="17"/>
      <c r="B3387" s="17"/>
      <c r="C3387" s="17"/>
      <c r="D3387" s="17"/>
      <c r="E3387" s="17"/>
      <c r="F3387" s="17"/>
      <c r="G3387" s="17"/>
      <c r="H3387" s="17"/>
      <c r="I3387" s="31"/>
      <c r="J3387" s="17"/>
      <c r="K3387" s="17"/>
      <c r="L3387" s="17"/>
      <c r="M3387" s="17"/>
      <c r="N3387" s="17"/>
      <c r="O3387" s="17"/>
      <c r="P3387" s="17"/>
      <c r="Q3387" s="17"/>
      <c r="R3387" s="17"/>
      <c r="S3387" s="17"/>
      <c r="T3387" s="17"/>
      <c r="U3387" s="17"/>
      <c r="V3387" s="17"/>
      <c r="W3387" s="17"/>
      <c r="X3387" s="17"/>
      <c r="Y3387" s="17"/>
      <c r="Z3387" s="31"/>
      <c r="AA3387" s="32"/>
    </row>
    <row r="3388" spans="1:27" ht="12.75">
      <c r="A3388" s="17"/>
      <c r="B3388" s="17"/>
      <c r="C3388" s="17"/>
      <c r="D3388" s="17"/>
      <c r="E3388" s="17"/>
      <c r="F3388" s="17"/>
      <c r="G3388" s="17"/>
      <c r="H3388" s="17"/>
      <c r="I3388" s="31"/>
      <c r="J3388" s="17"/>
      <c r="K3388" s="17"/>
      <c r="L3388" s="17"/>
      <c r="M3388" s="17"/>
      <c r="N3388" s="17"/>
      <c r="O3388" s="17"/>
      <c r="P3388" s="17"/>
      <c r="Q3388" s="17"/>
      <c r="R3388" s="17"/>
      <c r="S3388" s="17"/>
      <c r="T3388" s="17"/>
      <c r="U3388" s="17"/>
      <c r="V3388" s="17"/>
      <c r="W3388" s="17"/>
      <c r="X3388" s="17"/>
      <c r="Y3388" s="17"/>
      <c r="Z3388" s="31"/>
      <c r="AA3388" s="32"/>
    </row>
    <row r="3389" spans="1:27" ht="12.75">
      <c r="A3389" s="17"/>
      <c r="B3389" s="17"/>
      <c r="C3389" s="17"/>
      <c r="D3389" s="17"/>
      <c r="E3389" s="17"/>
      <c r="F3389" s="17"/>
      <c r="G3389" s="17"/>
      <c r="H3389" s="17"/>
      <c r="I3389" s="31"/>
      <c r="J3389" s="17"/>
      <c r="K3389" s="17"/>
      <c r="L3389" s="17"/>
      <c r="M3389" s="17"/>
      <c r="N3389" s="17"/>
      <c r="O3389" s="17"/>
      <c r="P3389" s="17"/>
      <c r="Q3389" s="17"/>
      <c r="R3389" s="17"/>
      <c r="S3389" s="17"/>
      <c r="T3389" s="17"/>
      <c r="U3389" s="17"/>
      <c r="V3389" s="17"/>
      <c r="W3389" s="17"/>
      <c r="X3389" s="17"/>
      <c r="Y3389" s="17"/>
      <c r="Z3389" s="31"/>
      <c r="AA3389" s="32"/>
    </row>
    <row r="3390" spans="1:27" ht="12.75">
      <c r="A3390" s="17"/>
      <c r="B3390" s="17"/>
      <c r="C3390" s="17"/>
      <c r="D3390" s="17"/>
      <c r="E3390" s="17"/>
      <c r="F3390" s="17"/>
      <c r="G3390" s="17"/>
      <c r="H3390" s="17"/>
      <c r="I3390" s="31"/>
      <c r="J3390" s="17"/>
      <c r="K3390" s="17"/>
      <c r="L3390" s="17"/>
      <c r="M3390" s="17"/>
      <c r="N3390" s="17"/>
      <c r="O3390" s="17"/>
      <c r="P3390" s="17"/>
      <c r="Q3390" s="17"/>
      <c r="R3390" s="17"/>
      <c r="S3390" s="17"/>
      <c r="T3390" s="17"/>
      <c r="U3390" s="17"/>
      <c r="V3390" s="17"/>
      <c r="W3390" s="17"/>
      <c r="X3390" s="17"/>
      <c r="Y3390" s="17"/>
      <c r="Z3390" s="31"/>
      <c r="AA3390" s="32"/>
    </row>
    <row r="3391" spans="1:27" ht="12.75">
      <c r="A3391" s="17"/>
      <c r="B3391" s="17"/>
      <c r="C3391" s="17"/>
      <c r="D3391" s="17"/>
      <c r="E3391" s="17"/>
      <c r="F3391" s="17"/>
      <c r="G3391" s="17"/>
      <c r="H3391" s="17"/>
      <c r="I3391" s="31"/>
      <c r="J3391" s="17"/>
      <c r="K3391" s="17"/>
      <c r="L3391" s="17"/>
      <c r="M3391" s="17"/>
      <c r="N3391" s="17"/>
      <c r="O3391" s="17"/>
      <c r="P3391" s="17"/>
      <c r="Q3391" s="17"/>
      <c r="R3391" s="17"/>
      <c r="S3391" s="17"/>
      <c r="T3391" s="17"/>
      <c r="U3391" s="17"/>
      <c r="V3391" s="17"/>
      <c r="W3391" s="17"/>
      <c r="X3391" s="17"/>
      <c r="Y3391" s="17"/>
      <c r="Z3391" s="31"/>
      <c r="AA3391" s="32"/>
    </row>
    <row r="3392" spans="1:27" ht="12.75">
      <c r="A3392" s="17"/>
      <c r="B3392" s="17"/>
      <c r="C3392" s="17"/>
      <c r="D3392" s="17"/>
      <c r="E3392" s="17"/>
      <c r="F3392" s="17"/>
      <c r="G3392" s="17"/>
      <c r="H3392" s="17"/>
      <c r="I3392" s="31"/>
      <c r="J3392" s="17"/>
      <c r="K3392" s="17"/>
      <c r="L3392" s="17"/>
      <c r="M3392" s="17"/>
      <c r="N3392" s="17"/>
      <c r="O3392" s="17"/>
      <c r="P3392" s="17"/>
      <c r="Q3392" s="17"/>
      <c r="R3392" s="17"/>
      <c r="S3392" s="17"/>
      <c r="T3392" s="17"/>
      <c r="U3392" s="17"/>
      <c r="V3392" s="17"/>
      <c r="W3392" s="17"/>
      <c r="X3392" s="17"/>
      <c r="Y3392" s="17"/>
      <c r="Z3392" s="31"/>
      <c r="AA3392" s="32"/>
    </row>
    <row r="3393" spans="1:27" ht="12.75">
      <c r="A3393" s="17"/>
      <c r="B3393" s="17"/>
      <c r="C3393" s="17"/>
      <c r="D3393" s="17"/>
      <c r="E3393" s="17"/>
      <c r="F3393" s="17"/>
      <c r="G3393" s="17"/>
      <c r="H3393" s="17"/>
      <c r="I3393" s="31"/>
      <c r="J3393" s="17"/>
      <c r="K3393" s="17"/>
      <c r="L3393" s="17"/>
      <c r="M3393" s="17"/>
      <c r="N3393" s="17"/>
      <c r="O3393" s="17"/>
      <c r="P3393" s="17"/>
      <c r="Q3393" s="17"/>
      <c r="R3393" s="17"/>
      <c r="S3393" s="17"/>
      <c r="T3393" s="17"/>
      <c r="U3393" s="17"/>
      <c r="V3393" s="17"/>
      <c r="W3393" s="17"/>
      <c r="X3393" s="17"/>
      <c r="Y3393" s="17"/>
      <c r="Z3393" s="31"/>
      <c r="AA3393" s="32"/>
    </row>
    <row r="3394" spans="1:27" ht="12.75">
      <c r="A3394" s="17"/>
      <c r="B3394" s="17"/>
      <c r="C3394" s="17"/>
      <c r="D3394" s="17"/>
      <c r="E3394" s="17"/>
      <c r="F3394" s="17"/>
      <c r="G3394" s="17"/>
      <c r="H3394" s="17"/>
      <c r="I3394" s="31"/>
      <c r="J3394" s="17"/>
      <c r="K3394" s="17"/>
      <c r="L3394" s="17"/>
      <c r="M3394" s="17"/>
      <c r="N3394" s="17"/>
      <c r="O3394" s="17"/>
      <c r="P3394" s="17"/>
      <c r="Q3394" s="17"/>
      <c r="R3394" s="17"/>
      <c r="S3394" s="17"/>
      <c r="T3394" s="17"/>
      <c r="U3394" s="17"/>
      <c r="V3394" s="17"/>
      <c r="W3394" s="17"/>
      <c r="X3394" s="17"/>
      <c r="Y3394" s="17"/>
      <c r="Z3394" s="31"/>
      <c r="AA3394" s="32"/>
    </row>
    <row r="3395" spans="1:27" ht="12.75">
      <c r="A3395" s="17"/>
      <c r="B3395" s="17"/>
      <c r="C3395" s="17"/>
      <c r="D3395" s="17"/>
      <c r="E3395" s="17"/>
      <c r="F3395" s="17"/>
      <c r="G3395" s="17"/>
      <c r="H3395" s="17"/>
      <c r="I3395" s="31"/>
      <c r="J3395" s="17"/>
      <c r="K3395" s="17"/>
      <c r="L3395" s="17"/>
      <c r="M3395" s="17"/>
      <c r="N3395" s="17"/>
      <c r="O3395" s="17"/>
      <c r="P3395" s="17"/>
      <c r="Q3395" s="17"/>
      <c r="R3395" s="17"/>
      <c r="S3395" s="17"/>
      <c r="T3395" s="17"/>
      <c r="U3395" s="17"/>
      <c r="V3395" s="17"/>
      <c r="W3395" s="17"/>
      <c r="X3395" s="17"/>
      <c r="Y3395" s="17"/>
      <c r="Z3395" s="31"/>
      <c r="AA3395" s="32"/>
    </row>
    <row r="3396" spans="1:27" ht="12.75">
      <c r="A3396" s="17"/>
      <c r="B3396" s="17"/>
      <c r="C3396" s="17"/>
      <c r="D3396" s="17"/>
      <c r="E3396" s="17"/>
      <c r="F3396" s="17"/>
      <c r="G3396" s="17"/>
      <c r="H3396" s="17"/>
      <c r="I3396" s="31"/>
      <c r="J3396" s="17"/>
      <c r="K3396" s="17"/>
      <c r="L3396" s="17"/>
      <c r="M3396" s="17"/>
      <c r="N3396" s="17"/>
      <c r="O3396" s="17"/>
      <c r="P3396" s="17"/>
      <c r="Q3396" s="17"/>
      <c r="R3396" s="17"/>
      <c r="S3396" s="17"/>
      <c r="T3396" s="17"/>
      <c r="U3396" s="17"/>
      <c r="V3396" s="17"/>
      <c r="W3396" s="17"/>
      <c r="X3396" s="17"/>
      <c r="Y3396" s="17"/>
      <c r="Z3396" s="31"/>
      <c r="AA3396" s="32"/>
    </row>
    <row r="3397" spans="1:27" ht="12.75">
      <c r="A3397" s="17"/>
      <c r="B3397" s="17"/>
      <c r="C3397" s="17"/>
      <c r="D3397" s="17"/>
      <c r="E3397" s="17"/>
      <c r="F3397" s="17"/>
      <c r="G3397" s="17"/>
      <c r="H3397" s="17"/>
      <c r="I3397" s="31"/>
      <c r="J3397" s="17"/>
      <c r="K3397" s="17"/>
      <c r="L3397" s="17"/>
      <c r="M3397" s="17"/>
      <c r="N3397" s="17"/>
      <c r="O3397" s="17"/>
      <c r="P3397" s="17"/>
      <c r="Q3397" s="17"/>
      <c r="R3397" s="17"/>
      <c r="S3397" s="17"/>
      <c r="T3397" s="17"/>
      <c r="U3397" s="17"/>
      <c r="V3397" s="17"/>
      <c r="W3397" s="17"/>
      <c r="X3397" s="17"/>
      <c r="Y3397" s="17"/>
      <c r="Z3397" s="31"/>
      <c r="AA3397" s="32"/>
    </row>
    <row r="3398" spans="1:27" ht="12.75">
      <c r="A3398" s="17"/>
      <c r="B3398" s="17"/>
      <c r="C3398" s="17"/>
      <c r="D3398" s="17"/>
      <c r="E3398" s="17"/>
      <c r="F3398" s="17"/>
      <c r="G3398" s="17"/>
      <c r="H3398" s="17"/>
      <c r="I3398" s="31"/>
      <c r="J3398" s="17"/>
      <c r="K3398" s="17"/>
      <c r="L3398" s="17"/>
      <c r="M3398" s="17"/>
      <c r="N3398" s="17"/>
      <c r="O3398" s="17"/>
      <c r="P3398" s="17"/>
      <c r="Q3398" s="17"/>
      <c r="R3398" s="17"/>
      <c r="S3398" s="17"/>
      <c r="T3398" s="17"/>
      <c r="U3398" s="17"/>
      <c r="V3398" s="17"/>
      <c r="W3398" s="17"/>
      <c r="X3398" s="17"/>
      <c r="Y3398" s="17"/>
      <c r="Z3398" s="31"/>
      <c r="AA3398" s="32"/>
    </row>
    <row r="3399" spans="1:27" ht="12.75">
      <c r="A3399" s="17"/>
      <c r="B3399" s="17"/>
      <c r="C3399" s="17"/>
      <c r="D3399" s="17"/>
      <c r="E3399" s="17"/>
      <c r="F3399" s="17"/>
      <c r="G3399" s="17"/>
      <c r="H3399" s="17"/>
      <c r="I3399" s="31"/>
      <c r="J3399" s="17"/>
      <c r="K3399" s="17"/>
      <c r="L3399" s="17"/>
      <c r="M3399" s="17"/>
      <c r="N3399" s="17"/>
      <c r="O3399" s="17"/>
      <c r="P3399" s="17"/>
      <c r="Q3399" s="17"/>
      <c r="R3399" s="17"/>
      <c r="S3399" s="17"/>
      <c r="T3399" s="17"/>
      <c r="U3399" s="17"/>
      <c r="V3399" s="17"/>
      <c r="W3399" s="17"/>
      <c r="X3399" s="17"/>
      <c r="Y3399" s="17"/>
      <c r="Z3399" s="31"/>
      <c r="AA3399" s="32"/>
    </row>
    <row r="3400" spans="1:27" ht="12.75">
      <c r="A3400" s="17"/>
      <c r="B3400" s="17"/>
      <c r="C3400" s="17"/>
      <c r="D3400" s="17"/>
      <c r="E3400" s="17"/>
      <c r="F3400" s="17"/>
      <c r="G3400" s="17"/>
      <c r="H3400" s="17"/>
      <c r="I3400" s="31"/>
      <c r="J3400" s="17"/>
      <c r="K3400" s="17"/>
      <c r="L3400" s="17"/>
      <c r="M3400" s="17"/>
      <c r="N3400" s="17"/>
      <c r="O3400" s="17"/>
      <c r="P3400" s="17"/>
      <c r="Q3400" s="17"/>
      <c r="R3400" s="17"/>
      <c r="S3400" s="17"/>
      <c r="T3400" s="17"/>
      <c r="U3400" s="17"/>
      <c r="V3400" s="17"/>
      <c r="W3400" s="17"/>
      <c r="X3400" s="17"/>
      <c r="Y3400" s="17"/>
      <c r="Z3400" s="31"/>
      <c r="AA3400" s="32"/>
    </row>
    <row r="3401" spans="1:27" ht="12.75">
      <c r="A3401" s="17"/>
      <c r="B3401" s="17"/>
      <c r="C3401" s="17"/>
      <c r="D3401" s="17"/>
      <c r="E3401" s="17"/>
      <c r="F3401" s="17"/>
      <c r="G3401" s="17"/>
      <c r="H3401" s="17"/>
      <c r="I3401" s="31"/>
      <c r="J3401" s="17"/>
      <c r="K3401" s="17"/>
      <c r="L3401" s="17"/>
      <c r="M3401" s="17"/>
      <c r="N3401" s="17"/>
      <c r="O3401" s="17"/>
      <c r="P3401" s="17"/>
      <c r="Q3401" s="17"/>
      <c r="R3401" s="17"/>
      <c r="S3401" s="17"/>
      <c r="T3401" s="17"/>
      <c r="U3401" s="17"/>
      <c r="V3401" s="17"/>
      <c r="W3401" s="17"/>
      <c r="X3401" s="17"/>
      <c r="Y3401" s="17"/>
      <c r="Z3401" s="31"/>
      <c r="AA3401" s="32"/>
    </row>
    <row r="3402" spans="1:27" ht="12.75">
      <c r="A3402" s="17"/>
      <c r="B3402" s="17"/>
      <c r="C3402" s="17"/>
      <c r="D3402" s="17"/>
      <c r="E3402" s="17"/>
      <c r="F3402" s="17"/>
      <c r="G3402" s="17"/>
      <c r="H3402" s="17"/>
      <c r="I3402" s="31"/>
      <c r="J3402" s="17"/>
      <c r="K3402" s="17"/>
      <c r="L3402" s="17"/>
      <c r="M3402" s="17"/>
      <c r="N3402" s="17"/>
      <c r="O3402" s="17"/>
      <c r="P3402" s="17"/>
      <c r="Q3402" s="17"/>
      <c r="R3402" s="17"/>
      <c r="S3402" s="17"/>
      <c r="T3402" s="17"/>
      <c r="U3402" s="17"/>
      <c r="V3402" s="17"/>
      <c r="W3402" s="17"/>
      <c r="X3402" s="17"/>
      <c r="Y3402" s="17"/>
      <c r="Z3402" s="31"/>
      <c r="AA3402" s="32"/>
    </row>
    <row r="3403" spans="1:27" ht="12.75">
      <c r="A3403" s="17"/>
      <c r="B3403" s="17"/>
      <c r="C3403" s="17"/>
      <c r="D3403" s="17"/>
      <c r="E3403" s="17"/>
      <c r="F3403" s="17"/>
      <c r="G3403" s="17"/>
      <c r="H3403" s="17"/>
      <c r="I3403" s="31"/>
      <c r="J3403" s="17"/>
      <c r="K3403" s="17"/>
      <c r="L3403" s="17"/>
      <c r="M3403" s="17"/>
      <c r="N3403" s="17"/>
      <c r="O3403" s="17"/>
      <c r="P3403" s="17"/>
      <c r="Q3403" s="17"/>
      <c r="R3403" s="17"/>
      <c r="S3403" s="17"/>
      <c r="T3403" s="17"/>
      <c r="U3403" s="17"/>
      <c r="V3403" s="17"/>
      <c r="W3403" s="17"/>
      <c r="X3403" s="17"/>
      <c r="Y3403" s="17"/>
      <c r="Z3403" s="31"/>
      <c r="AA3403" s="32"/>
    </row>
    <row r="3404" spans="1:27" ht="12.75">
      <c r="A3404" s="17"/>
      <c r="B3404" s="17"/>
      <c r="C3404" s="17"/>
      <c r="D3404" s="17"/>
      <c r="E3404" s="17"/>
      <c r="F3404" s="17"/>
      <c r="G3404" s="17"/>
      <c r="H3404" s="17"/>
      <c r="I3404" s="31"/>
      <c r="J3404" s="17"/>
      <c r="K3404" s="17"/>
      <c r="L3404" s="17"/>
      <c r="M3404" s="17"/>
      <c r="N3404" s="17"/>
      <c r="O3404" s="17"/>
      <c r="P3404" s="17"/>
      <c r="Q3404" s="17"/>
      <c r="R3404" s="17"/>
      <c r="S3404" s="17"/>
      <c r="T3404" s="17"/>
      <c r="U3404" s="17"/>
      <c r="V3404" s="17"/>
      <c r="W3404" s="17"/>
      <c r="X3404" s="17"/>
      <c r="Y3404" s="17"/>
      <c r="Z3404" s="31"/>
      <c r="AA3404" s="32"/>
    </row>
    <row r="3405" spans="1:27" ht="12.75">
      <c r="A3405" s="17"/>
      <c r="B3405" s="17"/>
      <c r="C3405" s="17"/>
      <c r="D3405" s="17"/>
      <c r="E3405" s="17"/>
      <c r="F3405" s="17"/>
      <c r="G3405" s="17"/>
      <c r="H3405" s="17"/>
      <c r="I3405" s="31"/>
      <c r="J3405" s="17"/>
      <c r="K3405" s="17"/>
      <c r="L3405" s="17"/>
      <c r="M3405" s="17"/>
      <c r="N3405" s="17"/>
      <c r="O3405" s="17"/>
      <c r="P3405" s="17"/>
      <c r="Q3405" s="17"/>
      <c r="R3405" s="17"/>
      <c r="S3405" s="17"/>
      <c r="T3405" s="17"/>
      <c r="U3405" s="17"/>
      <c r="V3405" s="17"/>
      <c r="W3405" s="17"/>
      <c r="X3405" s="17"/>
      <c r="Y3405" s="17"/>
      <c r="Z3405" s="31"/>
      <c r="AA3405" s="32"/>
    </row>
    <row r="3406" spans="1:27" ht="12.75">
      <c r="A3406" s="17"/>
      <c r="B3406" s="17"/>
      <c r="C3406" s="17"/>
      <c r="D3406" s="17"/>
      <c r="E3406" s="17"/>
      <c r="F3406" s="17"/>
      <c r="G3406" s="17"/>
      <c r="H3406" s="17"/>
      <c r="I3406" s="31"/>
      <c r="J3406" s="17"/>
      <c r="K3406" s="17"/>
      <c r="L3406" s="17"/>
      <c r="M3406" s="17"/>
      <c r="N3406" s="17"/>
      <c r="O3406" s="17"/>
      <c r="P3406" s="17"/>
      <c r="Q3406" s="17"/>
      <c r="R3406" s="17"/>
      <c r="S3406" s="17"/>
      <c r="T3406" s="17"/>
      <c r="U3406" s="17"/>
      <c r="V3406" s="17"/>
      <c r="W3406" s="17"/>
      <c r="X3406" s="17"/>
      <c r="Y3406" s="17"/>
      <c r="Z3406" s="31"/>
      <c r="AA3406" s="32"/>
    </row>
    <row r="3407" spans="1:27" ht="12.75">
      <c r="A3407" s="17"/>
      <c r="B3407" s="17"/>
      <c r="C3407" s="17"/>
      <c r="D3407" s="17"/>
      <c r="E3407" s="17"/>
      <c r="F3407" s="17"/>
      <c r="G3407" s="17"/>
      <c r="H3407" s="17"/>
      <c r="I3407" s="31"/>
      <c r="J3407" s="17"/>
      <c r="K3407" s="17"/>
      <c r="L3407" s="17"/>
      <c r="M3407" s="17"/>
      <c r="N3407" s="17"/>
      <c r="O3407" s="17"/>
      <c r="P3407" s="17"/>
      <c r="Q3407" s="17"/>
      <c r="R3407" s="17"/>
      <c r="S3407" s="17"/>
      <c r="T3407" s="17"/>
      <c r="U3407" s="17"/>
      <c r="V3407" s="17"/>
      <c r="W3407" s="17"/>
      <c r="X3407" s="17"/>
      <c r="Y3407" s="17"/>
      <c r="Z3407" s="31"/>
      <c r="AA3407" s="32"/>
    </row>
    <row r="3408" spans="1:27" ht="12.75">
      <c r="A3408" s="17"/>
      <c r="B3408" s="17"/>
      <c r="C3408" s="17"/>
      <c r="D3408" s="17"/>
      <c r="E3408" s="17"/>
      <c r="F3408" s="17"/>
      <c r="G3408" s="17"/>
      <c r="H3408" s="17"/>
      <c r="I3408" s="31"/>
      <c r="J3408" s="17"/>
      <c r="K3408" s="17"/>
      <c r="L3408" s="17"/>
      <c r="M3408" s="17"/>
      <c r="N3408" s="17"/>
      <c r="O3408" s="17"/>
      <c r="P3408" s="17"/>
      <c r="Q3408" s="17"/>
      <c r="R3408" s="17"/>
      <c r="S3408" s="17"/>
      <c r="T3408" s="17"/>
      <c r="U3408" s="17"/>
      <c r="V3408" s="17"/>
      <c r="W3408" s="17"/>
      <c r="X3408" s="17"/>
      <c r="Y3408" s="17"/>
      <c r="Z3408" s="31"/>
      <c r="AA3408" s="32"/>
    </row>
    <row r="3409" spans="1:27" ht="12.75">
      <c r="A3409" s="17"/>
      <c r="B3409" s="17"/>
      <c r="C3409" s="17"/>
      <c r="D3409" s="17"/>
      <c r="E3409" s="17"/>
      <c r="F3409" s="17"/>
      <c r="G3409" s="17"/>
      <c r="H3409" s="17"/>
      <c r="I3409" s="31"/>
      <c r="J3409" s="17"/>
      <c r="K3409" s="17"/>
      <c r="L3409" s="17"/>
      <c r="M3409" s="17"/>
      <c r="N3409" s="17"/>
      <c r="O3409" s="17"/>
      <c r="P3409" s="17"/>
      <c r="Q3409" s="17"/>
      <c r="R3409" s="17"/>
      <c r="S3409" s="17"/>
      <c r="T3409" s="17"/>
      <c r="U3409" s="17"/>
      <c r="V3409" s="17"/>
      <c r="W3409" s="17"/>
      <c r="X3409" s="17"/>
      <c r="Y3409" s="17"/>
      <c r="Z3409" s="31"/>
      <c r="AA3409" s="32"/>
    </row>
    <row r="3410" spans="1:27" ht="12.75">
      <c r="A3410" s="17"/>
      <c r="B3410" s="17"/>
      <c r="C3410" s="17"/>
      <c r="D3410" s="17"/>
      <c r="E3410" s="17"/>
      <c r="F3410" s="17"/>
      <c r="G3410" s="17"/>
      <c r="H3410" s="17"/>
      <c r="I3410" s="31"/>
      <c r="J3410" s="17"/>
      <c r="K3410" s="17"/>
      <c r="L3410" s="17"/>
      <c r="M3410" s="17"/>
      <c r="N3410" s="17"/>
      <c r="O3410" s="17"/>
      <c r="P3410" s="17"/>
      <c r="Q3410" s="17"/>
      <c r="R3410" s="17"/>
      <c r="S3410" s="17"/>
      <c r="T3410" s="17"/>
      <c r="U3410" s="17"/>
      <c r="V3410" s="17"/>
      <c r="W3410" s="17"/>
      <c r="X3410" s="17"/>
      <c r="Y3410" s="17"/>
      <c r="Z3410" s="31"/>
      <c r="AA3410" s="32"/>
    </row>
    <row r="3411" spans="1:27" ht="12.75">
      <c r="A3411" s="17"/>
      <c r="B3411" s="17"/>
      <c r="C3411" s="17"/>
      <c r="D3411" s="17"/>
      <c r="E3411" s="17"/>
      <c r="F3411" s="17"/>
      <c r="G3411" s="17"/>
      <c r="H3411" s="17"/>
      <c r="I3411" s="31"/>
      <c r="J3411" s="17"/>
      <c r="K3411" s="17"/>
      <c r="L3411" s="17"/>
      <c r="M3411" s="17"/>
      <c r="N3411" s="17"/>
      <c r="O3411" s="17"/>
      <c r="P3411" s="17"/>
      <c r="Q3411" s="17"/>
      <c r="R3411" s="17"/>
      <c r="S3411" s="17"/>
      <c r="T3411" s="17"/>
      <c r="U3411" s="17"/>
      <c r="V3411" s="17"/>
      <c r="W3411" s="17"/>
      <c r="X3411" s="17"/>
      <c r="Y3411" s="17"/>
      <c r="Z3411" s="31"/>
      <c r="AA3411" s="32"/>
    </row>
    <row r="3412" spans="1:27" ht="12.75">
      <c r="A3412" s="17"/>
      <c r="B3412" s="17"/>
      <c r="C3412" s="17"/>
      <c r="D3412" s="17"/>
      <c r="E3412" s="17"/>
      <c r="F3412" s="17"/>
      <c r="G3412" s="17"/>
      <c r="H3412" s="17"/>
      <c r="I3412" s="31"/>
      <c r="J3412" s="17"/>
      <c r="K3412" s="17"/>
      <c r="L3412" s="17"/>
      <c r="M3412" s="17"/>
      <c r="N3412" s="17"/>
      <c r="O3412" s="17"/>
      <c r="P3412" s="17"/>
      <c r="Q3412" s="17"/>
      <c r="R3412" s="17"/>
      <c r="S3412" s="17"/>
      <c r="T3412" s="17"/>
      <c r="U3412" s="17"/>
      <c r="V3412" s="17"/>
      <c r="W3412" s="17"/>
      <c r="X3412" s="17"/>
      <c r="Y3412" s="17"/>
      <c r="Z3412" s="31"/>
      <c r="AA3412" s="32"/>
    </row>
    <row r="3413" spans="1:27" ht="12.75">
      <c r="A3413" s="17"/>
      <c r="B3413" s="17"/>
      <c r="C3413" s="17"/>
      <c r="D3413" s="17"/>
      <c r="E3413" s="17"/>
      <c r="F3413" s="17"/>
      <c r="G3413" s="17"/>
      <c r="H3413" s="17"/>
      <c r="I3413" s="31"/>
      <c r="J3413" s="17"/>
      <c r="K3413" s="17"/>
      <c r="L3413" s="17"/>
      <c r="M3413" s="17"/>
      <c r="N3413" s="17"/>
      <c r="O3413" s="17"/>
      <c r="P3413" s="17"/>
      <c r="Q3413" s="17"/>
      <c r="R3413" s="17"/>
      <c r="S3413" s="17"/>
      <c r="T3413" s="17"/>
      <c r="U3413" s="17"/>
      <c r="V3413" s="17"/>
      <c r="W3413" s="17"/>
      <c r="X3413" s="17"/>
      <c r="Y3413" s="17"/>
      <c r="Z3413" s="31"/>
      <c r="AA3413" s="32"/>
    </row>
    <row r="3414" spans="1:27" ht="12.75">
      <c r="A3414" s="17"/>
      <c r="B3414" s="17"/>
      <c r="C3414" s="17"/>
      <c r="D3414" s="17"/>
      <c r="E3414" s="17"/>
      <c r="F3414" s="17"/>
      <c r="G3414" s="17"/>
      <c r="H3414" s="17"/>
      <c r="I3414" s="31"/>
      <c r="J3414" s="17"/>
      <c r="K3414" s="17"/>
      <c r="L3414" s="17"/>
      <c r="M3414" s="17"/>
      <c r="N3414" s="17"/>
      <c r="O3414" s="17"/>
      <c r="P3414" s="17"/>
      <c r="Q3414" s="17"/>
      <c r="R3414" s="17"/>
      <c r="S3414" s="17"/>
      <c r="T3414" s="17"/>
      <c r="U3414" s="17"/>
      <c r="V3414" s="17"/>
      <c r="W3414" s="17"/>
      <c r="X3414" s="17"/>
      <c r="Y3414" s="17"/>
      <c r="Z3414" s="31"/>
      <c r="AA3414" s="32"/>
    </row>
    <row r="3415" spans="1:27" ht="12.75">
      <c r="A3415" s="17"/>
      <c r="B3415" s="17"/>
      <c r="C3415" s="17"/>
      <c r="D3415" s="17"/>
      <c r="E3415" s="17"/>
      <c r="F3415" s="17"/>
      <c r="G3415" s="17"/>
      <c r="H3415" s="17"/>
      <c r="I3415" s="31"/>
      <c r="J3415" s="17"/>
      <c r="K3415" s="17"/>
      <c r="L3415" s="17"/>
      <c r="M3415" s="17"/>
      <c r="N3415" s="17"/>
      <c r="O3415" s="17"/>
      <c r="P3415" s="17"/>
      <c r="Q3415" s="17"/>
      <c r="R3415" s="17"/>
      <c r="S3415" s="17"/>
      <c r="T3415" s="17"/>
      <c r="U3415" s="17"/>
      <c r="V3415" s="17"/>
      <c r="W3415" s="17"/>
      <c r="X3415" s="17"/>
      <c r="Y3415" s="17"/>
      <c r="Z3415" s="31"/>
      <c r="AA3415" s="32"/>
    </row>
    <row r="3416" spans="1:27" ht="12.75">
      <c r="A3416" s="17"/>
      <c r="B3416" s="17"/>
      <c r="C3416" s="17"/>
      <c r="D3416" s="17"/>
      <c r="E3416" s="17"/>
      <c r="F3416" s="17"/>
      <c r="G3416" s="17"/>
      <c r="H3416" s="17"/>
      <c r="I3416" s="31"/>
      <c r="J3416" s="17"/>
      <c r="K3416" s="17"/>
      <c r="L3416" s="17"/>
      <c r="M3416" s="17"/>
      <c r="N3416" s="17"/>
      <c r="O3416" s="17"/>
      <c r="P3416" s="17"/>
      <c r="Q3416" s="17"/>
      <c r="R3416" s="17"/>
      <c r="S3416" s="17"/>
      <c r="T3416" s="17"/>
      <c r="U3416" s="17"/>
      <c r="V3416" s="17"/>
      <c r="W3416" s="17"/>
      <c r="X3416" s="17"/>
      <c r="Y3416" s="17"/>
      <c r="Z3416" s="31"/>
      <c r="AA3416" s="32"/>
    </row>
    <row r="3417" spans="1:27" ht="12.75">
      <c r="A3417" s="17"/>
      <c r="B3417" s="17"/>
      <c r="C3417" s="17"/>
      <c r="D3417" s="17"/>
      <c r="E3417" s="17"/>
      <c r="F3417" s="17"/>
      <c r="G3417" s="17"/>
      <c r="H3417" s="17"/>
      <c r="I3417" s="31"/>
      <c r="J3417" s="17"/>
      <c r="K3417" s="17"/>
      <c r="L3417" s="17"/>
      <c r="M3417" s="17"/>
      <c r="N3417" s="17"/>
      <c r="O3417" s="17"/>
      <c r="P3417" s="17"/>
      <c r="Q3417" s="17"/>
      <c r="R3417" s="17"/>
      <c r="S3417" s="17"/>
      <c r="T3417" s="17"/>
      <c r="U3417" s="17"/>
      <c r="V3417" s="17"/>
      <c r="W3417" s="17"/>
      <c r="X3417" s="17"/>
      <c r="Y3417" s="17"/>
      <c r="Z3417" s="31"/>
      <c r="AA3417" s="32"/>
    </row>
    <row r="3418" spans="1:27" ht="12.75">
      <c r="A3418" s="17"/>
      <c r="B3418" s="17"/>
      <c r="C3418" s="17"/>
      <c r="D3418" s="17"/>
      <c r="E3418" s="17"/>
      <c r="F3418" s="17"/>
      <c r="G3418" s="17"/>
      <c r="H3418" s="17"/>
      <c r="I3418" s="31"/>
      <c r="J3418" s="17"/>
      <c r="K3418" s="17"/>
      <c r="L3418" s="17"/>
      <c r="M3418" s="17"/>
      <c r="N3418" s="17"/>
      <c r="O3418" s="17"/>
      <c r="P3418" s="17"/>
      <c r="Q3418" s="17"/>
      <c r="R3418" s="17"/>
      <c r="S3418" s="17"/>
      <c r="T3418" s="17"/>
      <c r="U3418" s="17"/>
      <c r="V3418" s="17"/>
      <c r="W3418" s="17"/>
      <c r="X3418" s="17"/>
      <c r="Y3418" s="17"/>
      <c r="Z3418" s="31"/>
      <c r="AA3418" s="32"/>
    </row>
    <row r="3419" spans="1:27" ht="12.75">
      <c r="A3419" s="17"/>
      <c r="B3419" s="17"/>
      <c r="C3419" s="17"/>
      <c r="D3419" s="17"/>
      <c r="E3419" s="17"/>
      <c r="F3419" s="17"/>
      <c r="G3419" s="17"/>
      <c r="H3419" s="17"/>
      <c r="I3419" s="31"/>
      <c r="J3419" s="17"/>
      <c r="K3419" s="17"/>
      <c r="L3419" s="17"/>
      <c r="M3419" s="17"/>
      <c r="N3419" s="17"/>
      <c r="O3419" s="17"/>
      <c r="P3419" s="17"/>
      <c r="Q3419" s="17"/>
      <c r="R3419" s="17"/>
      <c r="S3419" s="17"/>
      <c r="T3419" s="17"/>
      <c r="U3419" s="17"/>
      <c r="V3419" s="17"/>
      <c r="W3419" s="17"/>
      <c r="X3419" s="17"/>
      <c r="Y3419" s="17"/>
      <c r="Z3419" s="31"/>
      <c r="AA3419" s="32"/>
    </row>
    <row r="3420" spans="1:27" ht="12.75">
      <c r="A3420" s="17"/>
      <c r="B3420" s="17"/>
      <c r="C3420" s="17"/>
      <c r="D3420" s="17"/>
      <c r="E3420" s="17"/>
      <c r="F3420" s="17"/>
      <c r="G3420" s="17"/>
      <c r="H3420" s="17"/>
      <c r="I3420" s="31"/>
      <c r="J3420" s="17"/>
      <c r="K3420" s="17"/>
      <c r="L3420" s="17"/>
      <c r="M3420" s="17"/>
      <c r="N3420" s="17"/>
      <c r="O3420" s="17"/>
      <c r="P3420" s="17"/>
      <c r="Q3420" s="17"/>
      <c r="R3420" s="17"/>
      <c r="S3420" s="17"/>
      <c r="T3420" s="17"/>
      <c r="U3420" s="17"/>
      <c r="V3420" s="17"/>
      <c r="W3420" s="17"/>
      <c r="X3420" s="17"/>
      <c r="Y3420" s="17"/>
      <c r="Z3420" s="31"/>
      <c r="AA3420" s="32"/>
    </row>
    <row r="3421" spans="1:27" ht="12.75">
      <c r="A3421" s="17"/>
      <c r="B3421" s="17"/>
      <c r="C3421" s="17"/>
      <c r="D3421" s="17"/>
      <c r="E3421" s="17"/>
      <c r="F3421" s="17"/>
      <c r="G3421" s="17"/>
      <c r="H3421" s="17"/>
      <c r="I3421" s="31"/>
      <c r="J3421" s="17"/>
      <c r="K3421" s="17"/>
      <c r="L3421" s="17"/>
      <c r="M3421" s="17"/>
      <c r="N3421" s="17"/>
      <c r="O3421" s="17"/>
      <c r="P3421" s="17"/>
      <c r="Q3421" s="17"/>
      <c r="R3421" s="17"/>
      <c r="S3421" s="17"/>
      <c r="T3421" s="17"/>
      <c r="U3421" s="17"/>
      <c r="V3421" s="17"/>
      <c r="W3421" s="17"/>
      <c r="X3421" s="17"/>
      <c r="Y3421" s="17"/>
      <c r="Z3421" s="31"/>
      <c r="AA3421" s="32"/>
    </row>
    <row r="3422" spans="1:27" ht="12.75">
      <c r="A3422" s="17"/>
      <c r="B3422" s="17"/>
      <c r="C3422" s="17"/>
      <c r="D3422" s="17"/>
      <c r="E3422" s="17"/>
      <c r="F3422" s="17"/>
      <c r="G3422" s="17"/>
      <c r="H3422" s="17"/>
      <c r="I3422" s="31"/>
      <c r="J3422" s="17"/>
      <c r="K3422" s="17"/>
      <c r="L3422" s="17"/>
      <c r="M3422" s="17"/>
      <c r="N3422" s="17"/>
      <c r="O3422" s="17"/>
      <c r="P3422" s="17"/>
      <c r="Q3422" s="17"/>
      <c r="R3422" s="17"/>
      <c r="S3422" s="17"/>
      <c r="T3422" s="17"/>
      <c r="U3422" s="17"/>
      <c r="V3422" s="17"/>
      <c r="W3422" s="17"/>
      <c r="X3422" s="17"/>
      <c r="Y3422" s="17"/>
      <c r="Z3422" s="31"/>
      <c r="AA3422" s="32"/>
    </row>
    <row r="3423" spans="1:27" ht="12.75">
      <c r="A3423" s="17"/>
      <c r="B3423" s="17"/>
      <c r="C3423" s="17"/>
      <c r="D3423" s="17"/>
      <c r="E3423" s="17"/>
      <c r="F3423" s="17"/>
      <c r="G3423" s="17"/>
      <c r="H3423" s="17"/>
      <c r="I3423" s="31"/>
      <c r="J3423" s="17"/>
      <c r="K3423" s="17"/>
      <c r="L3423" s="17"/>
      <c r="M3423" s="17"/>
      <c r="N3423" s="17"/>
      <c r="O3423" s="17"/>
      <c r="P3423" s="17"/>
      <c r="Q3423" s="17"/>
      <c r="R3423" s="17"/>
      <c r="S3423" s="17"/>
      <c r="T3423" s="17"/>
      <c r="U3423" s="17"/>
      <c r="V3423" s="17"/>
      <c r="W3423" s="17"/>
      <c r="X3423" s="17"/>
      <c r="Y3423" s="17"/>
      <c r="Z3423" s="31"/>
      <c r="AA3423" s="32"/>
    </row>
    <row r="3424" spans="1:27" ht="12.75">
      <c r="A3424" s="17"/>
      <c r="B3424" s="17"/>
      <c r="C3424" s="17"/>
      <c r="D3424" s="17"/>
      <c r="E3424" s="17"/>
      <c r="F3424" s="17"/>
      <c r="G3424" s="17"/>
      <c r="H3424" s="17"/>
      <c r="I3424" s="31"/>
      <c r="J3424" s="17"/>
      <c r="K3424" s="17"/>
      <c r="L3424" s="17"/>
      <c r="M3424" s="17"/>
      <c r="N3424" s="17"/>
      <c r="O3424" s="17"/>
      <c r="P3424" s="17"/>
      <c r="Q3424" s="17"/>
      <c r="R3424" s="17"/>
      <c r="S3424" s="17"/>
      <c r="T3424" s="17"/>
      <c r="U3424" s="17"/>
      <c r="V3424" s="17"/>
      <c r="W3424" s="17"/>
      <c r="X3424" s="17"/>
      <c r="Y3424" s="17"/>
      <c r="Z3424" s="31"/>
      <c r="AA3424" s="32"/>
    </row>
    <row r="3425" spans="1:27" ht="12.75">
      <c r="A3425" s="17"/>
      <c r="B3425" s="17"/>
      <c r="C3425" s="17"/>
      <c r="D3425" s="17"/>
      <c r="E3425" s="17"/>
      <c r="F3425" s="17"/>
      <c r="G3425" s="17"/>
      <c r="H3425" s="17"/>
      <c r="I3425" s="31"/>
      <c r="J3425" s="17"/>
      <c r="K3425" s="17"/>
      <c r="L3425" s="17"/>
      <c r="M3425" s="17"/>
      <c r="N3425" s="17"/>
      <c r="O3425" s="17"/>
      <c r="P3425" s="17"/>
      <c r="Q3425" s="17"/>
      <c r="R3425" s="17"/>
      <c r="S3425" s="17"/>
      <c r="T3425" s="17"/>
      <c r="U3425" s="17"/>
      <c r="V3425" s="17"/>
      <c r="W3425" s="17"/>
      <c r="X3425" s="17"/>
      <c r="Y3425" s="17"/>
      <c r="Z3425" s="31"/>
      <c r="AA3425" s="32"/>
    </row>
    <row r="3426" spans="1:27" ht="12.75">
      <c r="A3426" s="17"/>
      <c r="B3426" s="17"/>
      <c r="C3426" s="17"/>
      <c r="D3426" s="17"/>
      <c r="E3426" s="17"/>
      <c r="F3426" s="17"/>
      <c r="G3426" s="17"/>
      <c r="H3426" s="17"/>
      <c r="I3426" s="31"/>
      <c r="J3426" s="17"/>
      <c r="K3426" s="17"/>
      <c r="L3426" s="17"/>
      <c r="M3426" s="17"/>
      <c r="N3426" s="17"/>
      <c r="O3426" s="17"/>
      <c r="P3426" s="17"/>
      <c r="Q3426" s="17"/>
      <c r="R3426" s="17"/>
      <c r="S3426" s="17"/>
      <c r="T3426" s="17"/>
      <c r="U3426" s="17"/>
      <c r="V3426" s="17"/>
      <c r="W3426" s="17"/>
      <c r="X3426" s="17"/>
      <c r="Y3426" s="17"/>
      <c r="Z3426" s="31"/>
      <c r="AA3426" s="32"/>
    </row>
    <row r="3427" spans="1:27" ht="12.75">
      <c r="A3427" s="17"/>
      <c r="B3427" s="17"/>
      <c r="C3427" s="17"/>
      <c r="D3427" s="17"/>
      <c r="E3427" s="17"/>
      <c r="F3427" s="17"/>
      <c r="G3427" s="17"/>
      <c r="H3427" s="17"/>
      <c r="I3427" s="31"/>
      <c r="J3427" s="17"/>
      <c r="K3427" s="17"/>
      <c r="L3427" s="17"/>
      <c r="M3427" s="17"/>
      <c r="N3427" s="17"/>
      <c r="O3427" s="17"/>
      <c r="P3427" s="17"/>
      <c r="Q3427" s="17"/>
      <c r="R3427" s="17"/>
      <c r="S3427" s="17"/>
      <c r="T3427" s="17"/>
      <c r="U3427" s="17"/>
      <c r="V3427" s="17"/>
      <c r="W3427" s="17"/>
      <c r="X3427" s="17"/>
      <c r="Y3427" s="17"/>
      <c r="Z3427" s="31"/>
      <c r="AA3427" s="32"/>
    </row>
    <row r="3428" spans="1:27" ht="12.75">
      <c r="A3428" s="17"/>
      <c r="B3428" s="17"/>
      <c r="C3428" s="17"/>
      <c r="D3428" s="17"/>
      <c r="E3428" s="17"/>
      <c r="F3428" s="17"/>
      <c r="G3428" s="17"/>
      <c r="H3428" s="17"/>
      <c r="I3428" s="31"/>
      <c r="J3428" s="17"/>
      <c r="K3428" s="17"/>
      <c r="L3428" s="17"/>
      <c r="M3428" s="17"/>
      <c r="N3428" s="17"/>
      <c r="O3428" s="17"/>
      <c r="P3428" s="17"/>
      <c r="Q3428" s="17"/>
      <c r="R3428" s="17"/>
      <c r="S3428" s="17"/>
      <c r="T3428" s="17"/>
      <c r="U3428" s="17"/>
      <c r="V3428" s="17"/>
      <c r="W3428" s="17"/>
      <c r="X3428" s="17"/>
      <c r="Y3428" s="17"/>
      <c r="Z3428" s="31"/>
      <c r="AA3428" s="32"/>
    </row>
    <row r="3429" spans="1:27" ht="12.75">
      <c r="A3429" s="17"/>
      <c r="B3429" s="17"/>
      <c r="C3429" s="17"/>
      <c r="D3429" s="17"/>
      <c r="E3429" s="17"/>
      <c r="F3429" s="17"/>
      <c r="G3429" s="17"/>
      <c r="H3429" s="17"/>
      <c r="I3429" s="31"/>
      <c r="J3429" s="17"/>
      <c r="K3429" s="17"/>
      <c r="L3429" s="17"/>
      <c r="M3429" s="17"/>
      <c r="N3429" s="17"/>
      <c r="O3429" s="17"/>
      <c r="P3429" s="17"/>
      <c r="Q3429" s="17"/>
      <c r="R3429" s="17"/>
      <c r="S3429" s="17"/>
      <c r="T3429" s="17"/>
      <c r="U3429" s="17"/>
      <c r="V3429" s="17"/>
      <c r="W3429" s="17"/>
      <c r="X3429" s="17"/>
      <c r="Y3429" s="17"/>
      <c r="Z3429" s="31"/>
      <c r="AA3429" s="32"/>
    </row>
    <row r="3430" spans="1:27" ht="12.75">
      <c r="A3430" s="17"/>
      <c r="B3430" s="17"/>
      <c r="C3430" s="17"/>
      <c r="D3430" s="17"/>
      <c r="E3430" s="17"/>
      <c r="F3430" s="17"/>
      <c r="G3430" s="17"/>
      <c r="H3430" s="17"/>
      <c r="I3430" s="31"/>
      <c r="J3430" s="17"/>
      <c r="K3430" s="17"/>
      <c r="L3430" s="17"/>
      <c r="M3430" s="17"/>
      <c r="N3430" s="17"/>
      <c r="O3430" s="17"/>
      <c r="P3430" s="17"/>
      <c r="Q3430" s="17"/>
      <c r="R3430" s="17"/>
      <c r="S3430" s="17"/>
      <c r="T3430" s="17"/>
      <c r="U3430" s="17"/>
      <c r="V3430" s="17"/>
      <c r="W3430" s="17"/>
      <c r="X3430" s="17"/>
      <c r="Y3430" s="17"/>
      <c r="Z3430" s="31"/>
      <c r="AA3430" s="32"/>
    </row>
    <row r="3431" spans="1:27" ht="12.75">
      <c r="A3431" s="17"/>
      <c r="B3431" s="17"/>
      <c r="C3431" s="17"/>
      <c r="D3431" s="17"/>
      <c r="E3431" s="17"/>
      <c r="F3431" s="17"/>
      <c r="G3431" s="17"/>
      <c r="H3431" s="17"/>
      <c r="I3431" s="31"/>
      <c r="J3431" s="17"/>
      <c r="K3431" s="17"/>
      <c r="L3431" s="17"/>
      <c r="M3431" s="17"/>
      <c r="N3431" s="17"/>
      <c r="O3431" s="17"/>
      <c r="P3431" s="17"/>
      <c r="Q3431" s="17"/>
      <c r="R3431" s="17"/>
      <c r="S3431" s="17"/>
      <c r="T3431" s="17"/>
      <c r="U3431" s="17"/>
      <c r="V3431" s="17"/>
      <c r="W3431" s="17"/>
      <c r="X3431" s="17"/>
      <c r="Y3431" s="17"/>
      <c r="Z3431" s="31"/>
      <c r="AA3431" s="32"/>
    </row>
    <row r="3432" spans="1:27" ht="12.75">
      <c r="A3432" s="17"/>
      <c r="B3432" s="17"/>
      <c r="C3432" s="17"/>
      <c r="D3432" s="17"/>
      <c r="E3432" s="17"/>
      <c r="F3432" s="17"/>
      <c r="G3432" s="17"/>
      <c r="H3432" s="17"/>
      <c r="I3432" s="31"/>
      <c r="J3432" s="17"/>
      <c r="K3432" s="17"/>
      <c r="L3432" s="17"/>
      <c r="M3432" s="17"/>
      <c r="N3432" s="17"/>
      <c r="O3432" s="17"/>
      <c r="P3432" s="17"/>
      <c r="Q3432" s="17"/>
      <c r="R3432" s="17"/>
      <c r="S3432" s="17"/>
      <c r="T3432" s="17"/>
      <c r="U3432" s="17"/>
      <c r="V3432" s="17"/>
      <c r="W3432" s="17"/>
      <c r="X3432" s="17"/>
      <c r="Y3432" s="17"/>
      <c r="Z3432" s="31"/>
      <c r="AA3432" s="32"/>
    </row>
    <row r="3433" spans="1:27" ht="12.75">
      <c r="A3433" s="17"/>
      <c r="B3433" s="17"/>
      <c r="C3433" s="17"/>
      <c r="D3433" s="17"/>
      <c r="E3433" s="17"/>
      <c r="F3433" s="17"/>
      <c r="G3433" s="17"/>
      <c r="H3433" s="17"/>
      <c r="I3433" s="31"/>
      <c r="J3433" s="17"/>
      <c r="K3433" s="17"/>
      <c r="L3433" s="17"/>
      <c r="M3433" s="17"/>
      <c r="N3433" s="17"/>
      <c r="O3433" s="17"/>
      <c r="P3433" s="17"/>
      <c r="Q3433" s="17"/>
      <c r="R3433" s="17"/>
      <c r="S3433" s="17"/>
      <c r="T3433" s="17"/>
      <c r="U3433" s="17"/>
      <c r="V3433" s="17"/>
      <c r="W3433" s="17"/>
      <c r="X3433" s="17"/>
      <c r="Y3433" s="17"/>
      <c r="Z3433" s="31"/>
      <c r="AA3433" s="32"/>
    </row>
    <row r="3434" spans="1:27" ht="12.75">
      <c r="A3434" s="17"/>
      <c r="B3434" s="17"/>
      <c r="C3434" s="17"/>
      <c r="D3434" s="17"/>
      <c r="E3434" s="17"/>
      <c r="F3434" s="17"/>
      <c r="G3434" s="17"/>
      <c r="H3434" s="17"/>
      <c r="I3434" s="31"/>
      <c r="J3434" s="17"/>
      <c r="K3434" s="17"/>
      <c r="L3434" s="17"/>
      <c r="M3434" s="17"/>
      <c r="N3434" s="17"/>
      <c r="O3434" s="17"/>
      <c r="P3434" s="17"/>
      <c r="Q3434" s="17"/>
      <c r="R3434" s="17"/>
      <c r="S3434" s="17"/>
      <c r="T3434" s="17"/>
      <c r="U3434" s="17"/>
      <c r="V3434" s="17"/>
      <c r="W3434" s="17"/>
      <c r="X3434" s="17"/>
      <c r="Y3434" s="17"/>
      <c r="Z3434" s="31"/>
      <c r="AA3434" s="32"/>
    </row>
    <row r="3435" spans="1:27" ht="12.75">
      <c r="A3435" s="17"/>
      <c r="B3435" s="17"/>
      <c r="C3435" s="17"/>
      <c r="D3435" s="17"/>
      <c r="E3435" s="17"/>
      <c r="F3435" s="17"/>
      <c r="G3435" s="17"/>
      <c r="H3435" s="17"/>
      <c r="I3435" s="31"/>
      <c r="J3435" s="17"/>
      <c r="K3435" s="17"/>
      <c r="L3435" s="17"/>
      <c r="M3435" s="17"/>
      <c r="N3435" s="17"/>
      <c r="O3435" s="17"/>
      <c r="P3435" s="17"/>
      <c r="Q3435" s="17"/>
      <c r="R3435" s="17"/>
      <c r="S3435" s="17"/>
      <c r="T3435" s="17"/>
      <c r="U3435" s="17"/>
      <c r="V3435" s="17"/>
      <c r="W3435" s="17"/>
      <c r="X3435" s="17"/>
      <c r="Y3435" s="17"/>
      <c r="Z3435" s="31"/>
      <c r="AA3435" s="32"/>
    </row>
    <row r="3436" spans="1:27" ht="12.75">
      <c r="A3436" s="17"/>
      <c r="B3436" s="17"/>
      <c r="C3436" s="17"/>
      <c r="D3436" s="17"/>
      <c r="E3436" s="17"/>
      <c r="F3436" s="17"/>
      <c r="G3436" s="17"/>
      <c r="H3436" s="17"/>
      <c r="I3436" s="31"/>
      <c r="J3436" s="17"/>
      <c r="K3436" s="17"/>
      <c r="L3436" s="17"/>
      <c r="M3436" s="17"/>
      <c r="N3436" s="17"/>
      <c r="O3436" s="17"/>
      <c r="P3436" s="17"/>
      <c r="Q3436" s="17"/>
      <c r="R3436" s="17"/>
      <c r="S3436" s="17"/>
      <c r="T3436" s="17"/>
      <c r="U3436" s="17"/>
      <c r="V3436" s="17"/>
      <c r="W3436" s="17"/>
      <c r="X3436" s="17"/>
      <c r="Y3436" s="17"/>
      <c r="Z3436" s="31"/>
      <c r="AA3436" s="32"/>
    </row>
    <row r="3437" spans="1:27" ht="12.75">
      <c r="A3437" s="17"/>
      <c r="B3437" s="17"/>
      <c r="C3437" s="17"/>
      <c r="D3437" s="17"/>
      <c r="E3437" s="17"/>
      <c r="F3437" s="17"/>
      <c r="G3437" s="17"/>
      <c r="H3437" s="17"/>
      <c r="I3437" s="31"/>
      <c r="J3437" s="17"/>
      <c r="K3437" s="17"/>
      <c r="L3437" s="17"/>
      <c r="M3437" s="17"/>
      <c r="N3437" s="17"/>
      <c r="O3437" s="17"/>
      <c r="P3437" s="17"/>
      <c r="Q3437" s="17"/>
      <c r="R3437" s="17"/>
      <c r="S3437" s="17"/>
      <c r="T3437" s="17"/>
      <c r="U3437" s="17"/>
      <c r="V3437" s="17"/>
      <c r="W3437" s="17"/>
      <c r="X3437" s="17"/>
      <c r="Y3437" s="17"/>
      <c r="Z3437" s="31"/>
      <c r="AA3437" s="32"/>
    </row>
    <row r="3438" spans="1:27" ht="12.75">
      <c r="A3438" s="17"/>
      <c r="B3438" s="17"/>
      <c r="C3438" s="17"/>
      <c r="D3438" s="17"/>
      <c r="E3438" s="17"/>
      <c r="F3438" s="17"/>
      <c r="G3438" s="17"/>
      <c r="H3438" s="17"/>
      <c r="I3438" s="31"/>
      <c r="J3438" s="17"/>
      <c r="K3438" s="17"/>
      <c r="L3438" s="17"/>
      <c r="M3438" s="17"/>
      <c r="N3438" s="17"/>
      <c r="O3438" s="17"/>
      <c r="P3438" s="17"/>
      <c r="Q3438" s="17"/>
      <c r="R3438" s="17"/>
      <c r="S3438" s="17"/>
      <c r="T3438" s="17"/>
      <c r="U3438" s="17"/>
      <c r="V3438" s="17"/>
      <c r="W3438" s="17"/>
      <c r="X3438" s="17"/>
      <c r="Y3438" s="17"/>
      <c r="Z3438" s="31"/>
      <c r="AA3438" s="32"/>
    </row>
    <row r="3439" spans="1:27" ht="12.75">
      <c r="A3439" s="17"/>
      <c r="B3439" s="17"/>
      <c r="C3439" s="17"/>
      <c r="D3439" s="17"/>
      <c r="E3439" s="17"/>
      <c r="F3439" s="17"/>
      <c r="G3439" s="17"/>
      <c r="H3439" s="17"/>
      <c r="I3439" s="31"/>
      <c r="J3439" s="17"/>
      <c r="K3439" s="17"/>
      <c r="L3439" s="17"/>
      <c r="M3439" s="17"/>
      <c r="N3439" s="17"/>
      <c r="O3439" s="17"/>
      <c r="P3439" s="17"/>
      <c r="Q3439" s="17"/>
      <c r="R3439" s="17"/>
      <c r="S3439" s="17"/>
      <c r="T3439" s="17"/>
      <c r="U3439" s="17"/>
      <c r="V3439" s="17"/>
      <c r="W3439" s="17"/>
      <c r="X3439" s="17"/>
      <c r="Y3439" s="17"/>
      <c r="Z3439" s="31"/>
      <c r="AA3439" s="32"/>
    </row>
    <row r="3440" spans="1:27" ht="12.75">
      <c r="A3440" s="17"/>
      <c r="B3440" s="17"/>
      <c r="C3440" s="17"/>
      <c r="D3440" s="17"/>
      <c r="E3440" s="17"/>
      <c r="F3440" s="17"/>
      <c r="G3440" s="17"/>
      <c r="H3440" s="17"/>
      <c r="I3440" s="31"/>
      <c r="J3440" s="17"/>
      <c r="K3440" s="17"/>
      <c r="L3440" s="17"/>
      <c r="M3440" s="17"/>
      <c r="N3440" s="17"/>
      <c r="O3440" s="17"/>
      <c r="P3440" s="17"/>
      <c r="Q3440" s="17"/>
      <c r="R3440" s="17"/>
      <c r="S3440" s="17"/>
      <c r="T3440" s="17"/>
      <c r="U3440" s="17"/>
      <c r="V3440" s="17"/>
      <c r="W3440" s="17"/>
      <c r="X3440" s="17"/>
      <c r="Y3440" s="17"/>
      <c r="Z3440" s="31"/>
      <c r="AA3440" s="32"/>
    </row>
    <row r="3441" spans="1:27" ht="12.75">
      <c r="A3441" s="17"/>
      <c r="B3441" s="17"/>
      <c r="C3441" s="17"/>
      <c r="D3441" s="17"/>
      <c r="E3441" s="17"/>
      <c r="F3441" s="17"/>
      <c r="G3441" s="17"/>
      <c r="H3441" s="17"/>
      <c r="I3441" s="31"/>
      <c r="J3441" s="17"/>
      <c r="K3441" s="17"/>
      <c r="L3441" s="17"/>
      <c r="M3441" s="17"/>
      <c r="N3441" s="17"/>
      <c r="O3441" s="17"/>
      <c r="P3441" s="17"/>
      <c r="Q3441" s="17"/>
      <c r="R3441" s="17"/>
      <c r="S3441" s="17"/>
      <c r="T3441" s="17"/>
      <c r="U3441" s="17"/>
      <c r="V3441" s="17"/>
      <c r="W3441" s="17"/>
      <c r="X3441" s="17"/>
      <c r="Y3441" s="17"/>
      <c r="Z3441" s="31"/>
      <c r="AA3441" s="32"/>
    </row>
    <row r="3442" spans="1:27" ht="12.75">
      <c r="A3442" s="17"/>
      <c r="B3442" s="17"/>
      <c r="C3442" s="17"/>
      <c r="D3442" s="17"/>
      <c r="E3442" s="17"/>
      <c r="F3442" s="17"/>
      <c r="G3442" s="17"/>
      <c r="H3442" s="17"/>
      <c r="I3442" s="31"/>
      <c r="J3442" s="17"/>
      <c r="K3442" s="17"/>
      <c r="L3442" s="17"/>
      <c r="M3442" s="17"/>
      <c r="N3442" s="17"/>
      <c r="O3442" s="17"/>
      <c r="P3442" s="17"/>
      <c r="Q3442" s="17"/>
      <c r="R3442" s="17"/>
      <c r="S3442" s="17"/>
      <c r="T3442" s="17"/>
      <c r="U3442" s="17"/>
      <c r="V3442" s="17"/>
      <c r="W3442" s="17"/>
      <c r="X3442" s="17"/>
      <c r="Y3442" s="17"/>
      <c r="Z3442" s="31"/>
      <c r="AA3442" s="32"/>
    </row>
    <row r="3443" spans="1:27" ht="12.75">
      <c r="A3443" s="17"/>
      <c r="B3443" s="17"/>
      <c r="C3443" s="17"/>
      <c r="D3443" s="17"/>
      <c r="E3443" s="17"/>
      <c r="F3443" s="17"/>
      <c r="G3443" s="17"/>
      <c r="H3443" s="17"/>
      <c r="I3443" s="31"/>
      <c r="J3443" s="17"/>
      <c r="K3443" s="17"/>
      <c r="L3443" s="17"/>
      <c r="M3443" s="17"/>
      <c r="N3443" s="17"/>
      <c r="O3443" s="17"/>
      <c r="P3443" s="17"/>
      <c r="Q3443" s="17"/>
      <c r="R3443" s="17"/>
      <c r="S3443" s="17"/>
      <c r="T3443" s="17"/>
      <c r="U3443" s="17"/>
      <c r="V3443" s="17"/>
      <c r="W3443" s="17"/>
      <c r="X3443" s="17"/>
      <c r="Y3443" s="17"/>
      <c r="Z3443" s="31"/>
      <c r="AA3443" s="32"/>
    </row>
    <row r="3444" spans="1:27" ht="12.75">
      <c r="A3444" s="17"/>
      <c r="B3444" s="17"/>
      <c r="C3444" s="17"/>
      <c r="D3444" s="17"/>
      <c r="E3444" s="17"/>
      <c r="F3444" s="17"/>
      <c r="G3444" s="17"/>
      <c r="H3444" s="17"/>
      <c r="I3444" s="31"/>
      <c r="J3444" s="17"/>
      <c r="K3444" s="17"/>
      <c r="L3444" s="17"/>
      <c r="M3444" s="17"/>
      <c r="N3444" s="17"/>
      <c r="O3444" s="17"/>
      <c r="P3444" s="17"/>
      <c r="Q3444" s="17"/>
      <c r="R3444" s="17"/>
      <c r="S3444" s="17"/>
      <c r="T3444" s="17"/>
      <c r="U3444" s="17"/>
      <c r="V3444" s="17"/>
      <c r="W3444" s="17"/>
      <c r="X3444" s="17"/>
      <c r="Y3444" s="17"/>
      <c r="Z3444" s="31"/>
      <c r="AA3444" s="32"/>
    </row>
    <row r="3445" spans="1:27" ht="12.75">
      <c r="A3445" s="17"/>
      <c r="B3445" s="17"/>
      <c r="C3445" s="17"/>
      <c r="D3445" s="17"/>
      <c r="E3445" s="17"/>
      <c r="F3445" s="17"/>
      <c r="G3445" s="17"/>
      <c r="H3445" s="17"/>
      <c r="I3445" s="31"/>
      <c r="J3445" s="17"/>
      <c r="K3445" s="17"/>
      <c r="L3445" s="17"/>
      <c r="M3445" s="17"/>
      <c r="N3445" s="17"/>
      <c r="O3445" s="17"/>
      <c r="P3445" s="17"/>
      <c r="Q3445" s="17"/>
      <c r="R3445" s="17"/>
      <c r="S3445" s="17"/>
      <c r="T3445" s="17"/>
      <c r="U3445" s="17"/>
      <c r="V3445" s="17"/>
      <c r="W3445" s="17"/>
      <c r="X3445" s="17"/>
      <c r="Y3445" s="17"/>
      <c r="Z3445" s="31"/>
      <c r="AA3445" s="32"/>
    </row>
    <row r="3446" spans="1:27" ht="12.75">
      <c r="A3446" s="17"/>
      <c r="B3446" s="17"/>
      <c r="C3446" s="17"/>
      <c r="D3446" s="17"/>
      <c r="E3446" s="17"/>
      <c r="F3446" s="17"/>
      <c r="G3446" s="17"/>
      <c r="H3446" s="17"/>
      <c r="I3446" s="31"/>
      <c r="J3446" s="17"/>
      <c r="K3446" s="17"/>
      <c r="L3446" s="17"/>
      <c r="M3446" s="17"/>
      <c r="N3446" s="17"/>
      <c r="O3446" s="17"/>
      <c r="P3446" s="17"/>
      <c r="Q3446" s="17"/>
      <c r="R3446" s="17"/>
      <c r="S3446" s="17"/>
      <c r="T3446" s="17"/>
      <c r="U3446" s="17"/>
      <c r="V3446" s="17"/>
      <c r="W3446" s="17"/>
      <c r="X3446" s="17"/>
      <c r="Y3446" s="17"/>
      <c r="Z3446" s="31"/>
      <c r="AA3446" s="32"/>
    </row>
    <row r="3447" spans="1:27" ht="12.75">
      <c r="A3447" s="17"/>
      <c r="B3447" s="17"/>
      <c r="C3447" s="17"/>
      <c r="D3447" s="17"/>
      <c r="E3447" s="17"/>
      <c r="F3447" s="17"/>
      <c r="G3447" s="17"/>
      <c r="H3447" s="17"/>
      <c r="I3447" s="31"/>
      <c r="J3447" s="17"/>
      <c r="K3447" s="17"/>
      <c r="L3447" s="17"/>
      <c r="M3447" s="17"/>
      <c r="N3447" s="17"/>
      <c r="O3447" s="17"/>
      <c r="P3447" s="17"/>
      <c r="Q3447" s="17"/>
      <c r="R3447" s="17"/>
      <c r="S3447" s="17"/>
      <c r="T3447" s="17"/>
      <c r="U3447" s="17"/>
      <c r="V3447" s="17"/>
      <c r="W3447" s="17"/>
      <c r="X3447" s="17"/>
      <c r="Y3447" s="17"/>
      <c r="Z3447" s="31"/>
      <c r="AA3447" s="32"/>
    </row>
    <row r="3448" spans="1:27" ht="12.75">
      <c r="A3448" s="17"/>
      <c r="B3448" s="17"/>
      <c r="C3448" s="17"/>
      <c r="D3448" s="17"/>
      <c r="E3448" s="17"/>
      <c r="F3448" s="17"/>
      <c r="G3448" s="17"/>
      <c r="H3448" s="17"/>
      <c r="I3448" s="31"/>
      <c r="J3448" s="17"/>
      <c r="K3448" s="17"/>
      <c r="L3448" s="17"/>
      <c r="M3448" s="17"/>
      <c r="N3448" s="17"/>
      <c r="O3448" s="17"/>
      <c r="P3448" s="17"/>
      <c r="Q3448" s="17"/>
      <c r="R3448" s="17"/>
      <c r="S3448" s="17"/>
      <c r="T3448" s="17"/>
      <c r="U3448" s="17"/>
      <c r="V3448" s="17"/>
      <c r="W3448" s="17"/>
      <c r="X3448" s="17"/>
      <c r="Y3448" s="17"/>
      <c r="Z3448" s="31"/>
      <c r="AA3448" s="32"/>
    </row>
    <row r="3449" spans="1:27" ht="12.75">
      <c r="A3449" s="17"/>
      <c r="B3449" s="17"/>
      <c r="C3449" s="17"/>
      <c r="D3449" s="17"/>
      <c r="E3449" s="17"/>
      <c r="F3449" s="17"/>
      <c r="G3449" s="17"/>
      <c r="H3449" s="17"/>
      <c r="I3449" s="31"/>
      <c r="J3449" s="17"/>
      <c r="K3449" s="17"/>
      <c r="L3449" s="17"/>
      <c r="M3449" s="17"/>
      <c r="N3449" s="17"/>
      <c r="O3449" s="17"/>
      <c r="P3449" s="17"/>
      <c r="Q3449" s="17"/>
      <c r="R3449" s="17"/>
      <c r="S3449" s="17"/>
      <c r="T3449" s="17"/>
      <c r="U3449" s="17"/>
      <c r="V3449" s="17"/>
      <c r="W3449" s="17"/>
      <c r="X3449" s="17"/>
      <c r="Y3449" s="17"/>
      <c r="Z3449" s="31"/>
      <c r="AA3449" s="32"/>
    </row>
    <row r="3450" spans="1:27" ht="12.75">
      <c r="A3450" s="17"/>
      <c r="B3450" s="17"/>
      <c r="C3450" s="17"/>
      <c r="D3450" s="17"/>
      <c r="E3450" s="17"/>
      <c r="F3450" s="17"/>
      <c r="G3450" s="17"/>
      <c r="H3450" s="17"/>
      <c r="I3450" s="31"/>
      <c r="J3450" s="17"/>
      <c r="K3450" s="17"/>
      <c r="L3450" s="17"/>
      <c r="M3450" s="17"/>
      <c r="N3450" s="17"/>
      <c r="O3450" s="17"/>
      <c r="P3450" s="17"/>
      <c r="Q3450" s="17"/>
      <c r="R3450" s="17"/>
      <c r="S3450" s="17"/>
      <c r="T3450" s="17"/>
      <c r="U3450" s="17"/>
      <c r="V3450" s="17"/>
      <c r="W3450" s="17"/>
      <c r="X3450" s="17"/>
      <c r="Y3450" s="17"/>
      <c r="Z3450" s="31"/>
      <c r="AA3450" s="32"/>
    </row>
    <row r="3451" spans="1:27" ht="12.75">
      <c r="A3451" s="17"/>
      <c r="B3451" s="17"/>
      <c r="C3451" s="17"/>
      <c r="D3451" s="17"/>
      <c r="E3451" s="17"/>
      <c r="F3451" s="17"/>
      <c r="G3451" s="17"/>
      <c r="H3451" s="17"/>
      <c r="I3451" s="31"/>
      <c r="J3451" s="17"/>
      <c r="K3451" s="17"/>
      <c r="L3451" s="17"/>
      <c r="M3451" s="17"/>
      <c r="N3451" s="17"/>
      <c r="O3451" s="17"/>
      <c r="P3451" s="17"/>
      <c r="Q3451" s="17"/>
      <c r="R3451" s="17"/>
      <c r="S3451" s="17"/>
      <c r="T3451" s="17"/>
      <c r="U3451" s="17"/>
      <c r="V3451" s="17"/>
      <c r="W3451" s="17"/>
      <c r="X3451" s="17"/>
      <c r="Y3451" s="17"/>
      <c r="Z3451" s="31"/>
      <c r="AA3451" s="32"/>
    </row>
    <row r="3452" spans="1:27" ht="12.75">
      <c r="A3452" s="17"/>
      <c r="B3452" s="17"/>
      <c r="C3452" s="17"/>
      <c r="D3452" s="17"/>
      <c r="E3452" s="17"/>
      <c r="F3452" s="17"/>
      <c r="G3452" s="17"/>
      <c r="H3452" s="17"/>
      <c r="I3452" s="31"/>
      <c r="J3452" s="17"/>
      <c r="K3452" s="17"/>
      <c r="L3452" s="17"/>
      <c r="M3452" s="17"/>
      <c r="N3452" s="17"/>
      <c r="O3452" s="17"/>
      <c r="P3452" s="17"/>
      <c r="Q3452" s="17"/>
      <c r="R3452" s="17"/>
      <c r="S3452" s="17"/>
      <c r="T3452" s="17"/>
      <c r="U3452" s="17"/>
      <c r="V3452" s="17"/>
      <c r="W3452" s="17"/>
      <c r="X3452" s="17"/>
      <c r="Y3452" s="17"/>
      <c r="Z3452" s="31"/>
      <c r="AA3452" s="32"/>
    </row>
    <row r="3453" spans="1:27" ht="12.75">
      <c r="A3453" s="17"/>
      <c r="B3453" s="17"/>
      <c r="C3453" s="17"/>
      <c r="D3453" s="17"/>
      <c r="E3453" s="17"/>
      <c r="F3453" s="17"/>
      <c r="G3453" s="17"/>
      <c r="H3453" s="17"/>
      <c r="I3453" s="31"/>
      <c r="J3453" s="17"/>
      <c r="K3453" s="17"/>
      <c r="L3453" s="17"/>
      <c r="M3453" s="17"/>
      <c r="N3453" s="17"/>
      <c r="O3453" s="17"/>
      <c r="P3453" s="17"/>
      <c r="Q3453" s="17"/>
      <c r="R3453" s="17"/>
      <c r="S3453" s="17"/>
      <c r="T3453" s="17"/>
      <c r="U3453" s="17"/>
      <c r="V3453" s="17"/>
      <c r="W3453" s="17"/>
      <c r="X3453" s="17"/>
      <c r="Y3453" s="17"/>
      <c r="Z3453" s="31"/>
      <c r="AA3453" s="32"/>
    </row>
    <row r="3454" spans="1:27" ht="12.75">
      <c r="A3454" s="17"/>
      <c r="B3454" s="17"/>
      <c r="C3454" s="17"/>
      <c r="D3454" s="17"/>
      <c r="E3454" s="17"/>
      <c r="F3454" s="17"/>
      <c r="G3454" s="17"/>
      <c r="H3454" s="17"/>
      <c r="I3454" s="31"/>
      <c r="J3454" s="17"/>
      <c r="K3454" s="17"/>
      <c r="L3454" s="17"/>
      <c r="M3454" s="17"/>
      <c r="N3454" s="17"/>
      <c r="O3454" s="17"/>
      <c r="P3454" s="17"/>
      <c r="Q3454" s="17"/>
      <c r="R3454" s="17"/>
      <c r="S3454" s="17"/>
      <c r="T3454" s="17"/>
      <c r="U3454" s="17"/>
      <c r="V3454" s="17"/>
      <c r="W3454" s="17"/>
      <c r="X3454" s="17"/>
      <c r="Y3454" s="17"/>
      <c r="Z3454" s="31"/>
      <c r="AA3454" s="32"/>
    </row>
    <row r="3455" spans="1:27" ht="12.75">
      <c r="A3455" s="17"/>
      <c r="B3455" s="17"/>
      <c r="C3455" s="17"/>
      <c r="D3455" s="17"/>
      <c r="E3455" s="17"/>
      <c r="F3455" s="17"/>
      <c r="G3455" s="17"/>
      <c r="H3455" s="17"/>
      <c r="I3455" s="31"/>
      <c r="J3455" s="17"/>
      <c r="K3455" s="17"/>
      <c r="L3455" s="17"/>
      <c r="M3455" s="17"/>
      <c r="N3455" s="17"/>
      <c r="O3455" s="17"/>
      <c r="P3455" s="17"/>
      <c r="Q3455" s="17"/>
      <c r="R3455" s="17"/>
      <c r="S3455" s="17"/>
      <c r="T3455" s="17"/>
      <c r="U3455" s="17"/>
      <c r="V3455" s="17"/>
      <c r="W3455" s="17"/>
      <c r="X3455" s="17"/>
      <c r="Y3455" s="17"/>
      <c r="Z3455" s="31"/>
      <c r="AA3455" s="32"/>
    </row>
    <row r="3456" spans="1:27" ht="12.75">
      <c r="A3456" s="17"/>
      <c r="B3456" s="17"/>
      <c r="C3456" s="17"/>
      <c r="D3456" s="17"/>
      <c r="E3456" s="17"/>
      <c r="F3456" s="17"/>
      <c r="G3456" s="17"/>
      <c r="H3456" s="17"/>
      <c r="I3456" s="31"/>
      <c r="J3456" s="17"/>
      <c r="K3456" s="17"/>
      <c r="L3456" s="17"/>
      <c r="M3456" s="17"/>
      <c r="N3456" s="17"/>
      <c r="O3456" s="17"/>
      <c r="P3456" s="17"/>
      <c r="Q3456" s="17"/>
      <c r="R3456" s="17"/>
      <c r="S3456" s="17"/>
      <c r="T3456" s="17"/>
      <c r="U3456" s="17"/>
      <c r="V3456" s="17"/>
      <c r="W3456" s="17"/>
      <c r="X3456" s="17"/>
      <c r="Y3456" s="17"/>
      <c r="Z3456" s="31"/>
      <c r="AA3456" s="32"/>
    </row>
    <row r="3457" spans="1:27" ht="12.75">
      <c r="A3457" s="17"/>
      <c r="B3457" s="17"/>
      <c r="C3457" s="17"/>
      <c r="D3457" s="17"/>
      <c r="E3457" s="17"/>
      <c r="F3457" s="17"/>
      <c r="G3457" s="17"/>
      <c r="H3457" s="17"/>
      <c r="I3457" s="31"/>
      <c r="J3457" s="17"/>
      <c r="K3457" s="17"/>
      <c r="L3457" s="17"/>
      <c r="M3457" s="17"/>
      <c r="N3457" s="17"/>
      <c r="O3457" s="17"/>
      <c r="P3457" s="17"/>
      <c r="Q3457" s="17"/>
      <c r="R3457" s="17"/>
      <c r="S3457" s="17"/>
      <c r="T3457" s="17"/>
      <c r="U3457" s="17"/>
      <c r="V3457" s="17"/>
      <c r="W3457" s="17"/>
      <c r="X3457" s="17"/>
      <c r="Y3457" s="17"/>
      <c r="Z3457" s="31"/>
      <c r="AA3457" s="32"/>
    </row>
    <row r="3458" spans="1:27" ht="12.75">
      <c r="A3458" s="17"/>
      <c r="B3458" s="17"/>
      <c r="C3458" s="17"/>
      <c r="D3458" s="17"/>
      <c r="E3458" s="17"/>
      <c r="F3458" s="17"/>
      <c r="G3458" s="17"/>
      <c r="H3458" s="17"/>
      <c r="I3458" s="31"/>
      <c r="J3458" s="17"/>
      <c r="K3458" s="17"/>
      <c r="L3458" s="17"/>
      <c r="M3458" s="17"/>
      <c r="N3458" s="17"/>
      <c r="O3458" s="17"/>
      <c r="P3458" s="17"/>
      <c r="Q3458" s="17"/>
      <c r="R3458" s="17"/>
      <c r="S3458" s="17"/>
      <c r="T3458" s="17"/>
      <c r="U3458" s="17"/>
      <c r="V3458" s="17"/>
      <c r="W3458" s="17"/>
      <c r="X3458" s="17"/>
      <c r="Y3458" s="17"/>
      <c r="Z3458" s="31"/>
      <c r="AA3458" s="32"/>
    </row>
    <row r="3459" spans="1:27" ht="12.75">
      <c r="A3459" s="17"/>
      <c r="B3459" s="17"/>
      <c r="C3459" s="17"/>
      <c r="D3459" s="17"/>
      <c r="E3459" s="17"/>
      <c r="F3459" s="17"/>
      <c r="G3459" s="17"/>
      <c r="H3459" s="17"/>
      <c r="I3459" s="31"/>
      <c r="J3459" s="17"/>
      <c r="K3459" s="17"/>
      <c r="L3459" s="17"/>
      <c r="M3459" s="17"/>
      <c r="N3459" s="17"/>
      <c r="O3459" s="17"/>
      <c r="P3459" s="17"/>
      <c r="Q3459" s="17"/>
      <c r="R3459" s="17"/>
      <c r="S3459" s="17"/>
      <c r="T3459" s="17"/>
      <c r="U3459" s="17"/>
      <c r="V3459" s="17"/>
      <c r="W3459" s="17"/>
      <c r="X3459" s="17"/>
      <c r="Y3459" s="17"/>
      <c r="Z3459" s="31"/>
      <c r="AA3459" s="32"/>
    </row>
    <row r="3460" spans="1:27" ht="12.75">
      <c r="A3460" s="17"/>
      <c r="B3460" s="17"/>
      <c r="C3460" s="17"/>
      <c r="D3460" s="17"/>
      <c r="E3460" s="17"/>
      <c r="F3460" s="17"/>
      <c r="G3460" s="17"/>
      <c r="H3460" s="17"/>
      <c r="I3460" s="31"/>
      <c r="J3460" s="17"/>
      <c r="K3460" s="17"/>
      <c r="L3460" s="17"/>
      <c r="M3460" s="17"/>
      <c r="N3460" s="17"/>
      <c r="O3460" s="17"/>
      <c r="P3460" s="17"/>
      <c r="Q3460" s="17"/>
      <c r="R3460" s="17"/>
      <c r="S3460" s="17"/>
      <c r="T3460" s="17"/>
      <c r="U3460" s="17"/>
      <c r="V3460" s="17"/>
      <c r="W3460" s="17"/>
      <c r="X3460" s="17"/>
      <c r="Y3460" s="17"/>
      <c r="Z3460" s="31"/>
      <c r="AA3460" s="32"/>
    </row>
    <row r="3461" spans="1:27" ht="12.75">
      <c r="A3461" s="17"/>
      <c r="B3461" s="17"/>
      <c r="C3461" s="17"/>
      <c r="D3461" s="17"/>
      <c r="E3461" s="17"/>
      <c r="F3461" s="17"/>
      <c r="G3461" s="17"/>
      <c r="H3461" s="17"/>
      <c r="I3461" s="31"/>
      <c r="J3461" s="17"/>
      <c r="K3461" s="17"/>
      <c r="L3461" s="17"/>
      <c r="M3461" s="17"/>
      <c r="N3461" s="17"/>
      <c r="O3461" s="17"/>
      <c r="P3461" s="17"/>
      <c r="Q3461" s="17"/>
      <c r="R3461" s="17"/>
      <c r="S3461" s="17"/>
      <c r="T3461" s="17"/>
      <c r="U3461" s="17"/>
      <c r="V3461" s="17"/>
      <c r="W3461" s="17"/>
      <c r="X3461" s="17"/>
      <c r="Y3461" s="17"/>
      <c r="Z3461" s="31"/>
      <c r="AA3461" s="32"/>
    </row>
    <row r="3462" spans="1:27" ht="12.75">
      <c r="A3462" s="17"/>
      <c r="B3462" s="17"/>
      <c r="C3462" s="17"/>
      <c r="D3462" s="17"/>
      <c r="E3462" s="17"/>
      <c r="F3462" s="17"/>
      <c r="G3462" s="17"/>
      <c r="H3462" s="17"/>
      <c r="I3462" s="31"/>
      <c r="J3462" s="17"/>
      <c r="K3462" s="17"/>
      <c r="L3462" s="17"/>
      <c r="M3462" s="17"/>
      <c r="N3462" s="17"/>
      <c r="O3462" s="17"/>
      <c r="P3462" s="17"/>
      <c r="Q3462" s="17"/>
      <c r="R3462" s="17"/>
      <c r="S3462" s="17"/>
      <c r="T3462" s="17"/>
      <c r="U3462" s="17"/>
      <c r="V3462" s="17"/>
      <c r="W3462" s="17"/>
      <c r="X3462" s="17"/>
      <c r="Y3462" s="17"/>
      <c r="Z3462" s="31"/>
      <c r="AA3462" s="32"/>
    </row>
    <row r="3463" spans="1:27" ht="12.75">
      <c r="A3463" s="17"/>
      <c r="B3463" s="17"/>
      <c r="C3463" s="17"/>
      <c r="D3463" s="17"/>
      <c r="E3463" s="17"/>
      <c r="F3463" s="17"/>
      <c r="G3463" s="17"/>
      <c r="H3463" s="17"/>
      <c r="I3463" s="31"/>
      <c r="J3463" s="17"/>
      <c r="K3463" s="17"/>
      <c r="L3463" s="17"/>
      <c r="M3463" s="17"/>
      <c r="N3463" s="17"/>
      <c r="O3463" s="17"/>
      <c r="P3463" s="17"/>
      <c r="Q3463" s="17"/>
      <c r="R3463" s="17"/>
      <c r="S3463" s="17"/>
      <c r="T3463" s="17"/>
      <c r="U3463" s="17"/>
      <c r="V3463" s="17"/>
      <c r="W3463" s="17"/>
      <c r="X3463" s="17"/>
      <c r="Y3463" s="17"/>
      <c r="Z3463" s="31"/>
      <c r="AA3463" s="32"/>
    </row>
    <row r="3464" spans="1:27" ht="12.75">
      <c r="A3464" s="17"/>
      <c r="B3464" s="17"/>
      <c r="C3464" s="17"/>
      <c r="D3464" s="17"/>
      <c r="E3464" s="17"/>
      <c r="F3464" s="17"/>
      <c r="G3464" s="17"/>
      <c r="H3464" s="17"/>
      <c r="I3464" s="31"/>
      <c r="J3464" s="17"/>
      <c r="K3464" s="17"/>
      <c r="L3464" s="17"/>
      <c r="M3464" s="17"/>
      <c r="N3464" s="17"/>
      <c r="O3464" s="17"/>
      <c r="P3464" s="17"/>
      <c r="Q3464" s="17"/>
      <c r="R3464" s="17"/>
      <c r="S3464" s="17"/>
      <c r="T3464" s="17"/>
      <c r="U3464" s="17"/>
      <c r="V3464" s="17"/>
      <c r="W3464" s="17"/>
      <c r="X3464" s="17"/>
      <c r="Y3464" s="17"/>
      <c r="Z3464" s="31"/>
      <c r="AA3464" s="32"/>
    </row>
    <row r="3465" spans="1:27" ht="12.75">
      <c r="A3465" s="17"/>
      <c r="B3465" s="17"/>
      <c r="C3465" s="17"/>
      <c r="D3465" s="17"/>
      <c r="E3465" s="17"/>
      <c r="F3465" s="17"/>
      <c r="G3465" s="17"/>
      <c r="H3465" s="17"/>
      <c r="I3465" s="31"/>
      <c r="J3465" s="17"/>
      <c r="K3465" s="17"/>
      <c r="L3465" s="17"/>
      <c r="M3465" s="17"/>
      <c r="N3465" s="17"/>
      <c r="O3465" s="17"/>
      <c r="P3465" s="17"/>
      <c r="Q3465" s="17"/>
      <c r="R3465" s="17"/>
      <c r="S3465" s="17"/>
      <c r="T3465" s="17"/>
      <c r="U3465" s="17"/>
      <c r="V3465" s="17"/>
      <c r="W3465" s="17"/>
      <c r="X3465" s="17"/>
      <c r="Y3465" s="17"/>
      <c r="Z3465" s="31"/>
      <c r="AA3465" s="32"/>
    </row>
    <row r="3466" spans="1:27" ht="12.75">
      <c r="A3466" s="17"/>
      <c r="B3466" s="17"/>
      <c r="C3466" s="17"/>
      <c r="D3466" s="17"/>
      <c r="E3466" s="17"/>
      <c r="F3466" s="17"/>
      <c r="G3466" s="17"/>
      <c r="H3466" s="17"/>
      <c r="I3466" s="31"/>
      <c r="J3466" s="17"/>
      <c r="K3466" s="17"/>
      <c r="L3466" s="17"/>
      <c r="M3466" s="17"/>
      <c r="N3466" s="17"/>
      <c r="O3466" s="17"/>
      <c r="P3466" s="17"/>
      <c r="Q3466" s="17"/>
      <c r="R3466" s="17"/>
      <c r="S3466" s="17"/>
      <c r="T3466" s="17"/>
      <c r="U3466" s="17"/>
      <c r="V3466" s="17"/>
      <c r="W3466" s="17"/>
      <c r="X3466" s="17"/>
      <c r="Y3466" s="17"/>
      <c r="Z3466" s="31"/>
      <c r="AA3466" s="32"/>
    </row>
    <row r="3467" spans="1:27" ht="12.75">
      <c r="A3467" s="17"/>
      <c r="B3467" s="17"/>
      <c r="C3467" s="17"/>
      <c r="D3467" s="17"/>
      <c r="E3467" s="17"/>
      <c r="F3467" s="17"/>
      <c r="G3467" s="17"/>
      <c r="H3467" s="17"/>
      <c r="I3467" s="31"/>
      <c r="J3467" s="17"/>
      <c r="K3467" s="17"/>
      <c r="L3467" s="17"/>
      <c r="M3467" s="17"/>
      <c r="N3467" s="17"/>
      <c r="O3467" s="17"/>
      <c r="P3467" s="17"/>
      <c r="Q3467" s="17"/>
      <c r="R3467" s="17"/>
      <c r="S3467" s="17"/>
      <c r="T3467" s="17"/>
      <c r="U3467" s="17"/>
      <c r="V3467" s="17"/>
      <c r="W3467" s="17"/>
      <c r="X3467" s="17"/>
      <c r="Y3467" s="17"/>
      <c r="Z3467" s="31"/>
      <c r="AA3467" s="32"/>
    </row>
    <row r="3468" spans="1:27" ht="12.75">
      <c r="A3468" s="17"/>
      <c r="B3468" s="17"/>
      <c r="C3468" s="17"/>
      <c r="D3468" s="17"/>
      <c r="E3468" s="17"/>
      <c r="F3468" s="17"/>
      <c r="G3468" s="17"/>
      <c r="H3468" s="17"/>
      <c r="I3468" s="31"/>
      <c r="J3468" s="17"/>
      <c r="K3468" s="17"/>
      <c r="L3468" s="17"/>
      <c r="M3468" s="17"/>
      <c r="N3468" s="17"/>
      <c r="O3468" s="17"/>
      <c r="P3468" s="17"/>
      <c r="Q3468" s="17"/>
      <c r="R3468" s="17"/>
      <c r="S3468" s="17"/>
      <c r="T3468" s="17"/>
      <c r="U3468" s="17"/>
      <c r="V3468" s="17"/>
      <c r="W3468" s="17"/>
      <c r="X3468" s="17"/>
      <c r="Y3468" s="17"/>
      <c r="Z3468" s="31"/>
      <c r="AA3468" s="32"/>
    </row>
    <row r="3469" spans="1:27" ht="12.75">
      <c r="A3469" s="17"/>
      <c r="B3469" s="17"/>
      <c r="C3469" s="17"/>
      <c r="D3469" s="17"/>
      <c r="E3469" s="17"/>
      <c r="F3469" s="17"/>
      <c r="G3469" s="17"/>
      <c r="H3469" s="17"/>
      <c r="I3469" s="31"/>
      <c r="J3469" s="17"/>
      <c r="K3469" s="17"/>
      <c r="L3469" s="17"/>
      <c r="M3469" s="17"/>
      <c r="N3469" s="17"/>
      <c r="O3469" s="17"/>
      <c r="P3469" s="17"/>
      <c r="Q3469" s="17"/>
      <c r="R3469" s="17"/>
      <c r="S3469" s="17"/>
      <c r="T3469" s="17"/>
      <c r="U3469" s="17"/>
      <c r="V3469" s="17"/>
      <c r="W3469" s="17"/>
      <c r="X3469" s="17"/>
      <c r="Y3469" s="17"/>
      <c r="Z3469" s="31"/>
      <c r="AA3469" s="32"/>
    </row>
    <row r="3470" spans="1:27" ht="12.75">
      <c r="A3470" s="17"/>
      <c r="B3470" s="17"/>
      <c r="C3470" s="17"/>
      <c r="D3470" s="17"/>
      <c r="E3470" s="17"/>
      <c r="F3470" s="17"/>
      <c r="G3470" s="17"/>
      <c r="H3470" s="17"/>
      <c r="I3470" s="31"/>
      <c r="J3470" s="17"/>
      <c r="K3470" s="17"/>
      <c r="L3470" s="17"/>
      <c r="M3470" s="17"/>
      <c r="N3470" s="17"/>
      <c r="O3470" s="17"/>
      <c r="P3470" s="17"/>
      <c r="Q3470" s="17"/>
      <c r="R3470" s="17"/>
      <c r="S3470" s="17"/>
      <c r="T3470" s="17"/>
      <c r="U3470" s="17"/>
      <c r="V3470" s="17"/>
      <c r="W3470" s="17"/>
      <c r="X3470" s="17"/>
      <c r="Y3470" s="17"/>
      <c r="Z3470" s="31"/>
      <c r="AA3470" s="32"/>
    </row>
    <row r="3471" spans="1:27" ht="12.75">
      <c r="A3471" s="17"/>
      <c r="B3471" s="17"/>
      <c r="C3471" s="17"/>
      <c r="D3471" s="17"/>
      <c r="E3471" s="17"/>
      <c r="F3471" s="17"/>
      <c r="G3471" s="17"/>
      <c r="H3471" s="17"/>
      <c r="I3471" s="31"/>
      <c r="J3471" s="17"/>
      <c r="K3471" s="17"/>
      <c r="L3471" s="17"/>
      <c r="M3471" s="17"/>
      <c r="N3471" s="17"/>
      <c r="O3471" s="17"/>
      <c r="P3471" s="17"/>
      <c r="Q3471" s="17"/>
      <c r="R3471" s="17"/>
      <c r="S3471" s="17"/>
      <c r="T3471" s="17"/>
      <c r="U3471" s="17"/>
      <c r="V3471" s="17"/>
      <c r="W3471" s="17"/>
      <c r="X3471" s="17"/>
      <c r="Y3471" s="17"/>
      <c r="Z3471" s="31"/>
      <c r="AA3471" s="32"/>
    </row>
    <row r="3472" spans="1:27" ht="12.75">
      <c r="A3472" s="17"/>
      <c r="B3472" s="17"/>
      <c r="C3472" s="17"/>
      <c r="D3472" s="17"/>
      <c r="E3472" s="17"/>
      <c r="F3472" s="17"/>
      <c r="G3472" s="17"/>
      <c r="H3472" s="17"/>
      <c r="I3472" s="31"/>
      <c r="J3472" s="17"/>
      <c r="K3472" s="17"/>
      <c r="L3472" s="17"/>
      <c r="M3472" s="17"/>
      <c r="N3472" s="17"/>
      <c r="O3472" s="17"/>
      <c r="P3472" s="17"/>
      <c r="Q3472" s="17"/>
      <c r="R3472" s="17"/>
      <c r="S3472" s="17"/>
      <c r="T3472" s="17"/>
      <c r="U3472" s="17"/>
      <c r="V3472" s="17"/>
      <c r="W3472" s="17"/>
      <c r="X3472" s="17"/>
      <c r="Y3472" s="17"/>
      <c r="Z3472" s="31"/>
      <c r="AA3472" s="32"/>
    </row>
    <row r="3473" spans="1:27" ht="12.75">
      <c r="A3473" s="17"/>
      <c r="B3473" s="17"/>
      <c r="C3473" s="17"/>
      <c r="D3473" s="17"/>
      <c r="E3473" s="17"/>
      <c r="F3473" s="17"/>
      <c r="G3473" s="17"/>
      <c r="H3473" s="17"/>
      <c r="I3473" s="31"/>
      <c r="J3473" s="17"/>
      <c r="K3473" s="17"/>
      <c r="L3473" s="17"/>
      <c r="M3473" s="17"/>
      <c r="N3473" s="17"/>
      <c r="O3473" s="17"/>
      <c r="P3473" s="17"/>
      <c r="Q3473" s="17"/>
      <c r="R3473" s="17"/>
      <c r="S3473" s="17"/>
      <c r="T3473" s="17"/>
      <c r="U3473" s="17"/>
      <c r="V3473" s="17"/>
      <c r="W3473" s="17"/>
      <c r="X3473" s="17"/>
      <c r="Y3473" s="17"/>
      <c r="Z3473" s="31"/>
      <c r="AA3473" s="32"/>
    </row>
    <row r="3474" spans="1:27" ht="12.75">
      <c r="A3474" s="17"/>
      <c r="B3474" s="17"/>
      <c r="C3474" s="17"/>
      <c r="D3474" s="17"/>
      <c r="E3474" s="17"/>
      <c r="F3474" s="17"/>
      <c r="G3474" s="17"/>
      <c r="H3474" s="17"/>
      <c r="I3474" s="31"/>
      <c r="J3474" s="17"/>
      <c r="K3474" s="17"/>
      <c r="L3474" s="17"/>
      <c r="M3474" s="17"/>
      <c r="N3474" s="17"/>
      <c r="O3474" s="17"/>
      <c r="P3474" s="17"/>
      <c r="Q3474" s="17"/>
      <c r="R3474" s="17"/>
      <c r="S3474" s="17"/>
      <c r="T3474" s="17"/>
      <c r="U3474" s="17"/>
      <c r="V3474" s="17"/>
      <c r="W3474" s="17"/>
      <c r="X3474" s="17"/>
      <c r="Y3474" s="17"/>
      <c r="Z3474" s="31"/>
      <c r="AA3474" s="32"/>
    </row>
    <row r="3475" spans="1:27" ht="12.75">
      <c r="A3475" s="17"/>
      <c r="B3475" s="17"/>
      <c r="C3475" s="17"/>
      <c r="D3475" s="17"/>
      <c r="E3475" s="17"/>
      <c r="F3475" s="17"/>
      <c r="G3475" s="17"/>
      <c r="H3475" s="17"/>
      <c r="I3475" s="31"/>
      <c r="J3475" s="17"/>
      <c r="K3475" s="17"/>
      <c r="L3475" s="17"/>
      <c r="M3475" s="17"/>
      <c r="N3475" s="17"/>
      <c r="O3475" s="17"/>
      <c r="P3475" s="17"/>
      <c r="Q3475" s="17"/>
      <c r="R3475" s="17"/>
      <c r="S3475" s="17"/>
      <c r="T3475" s="17"/>
      <c r="U3475" s="17"/>
      <c r="V3475" s="17"/>
      <c r="W3475" s="17"/>
      <c r="X3475" s="17"/>
      <c r="Y3475" s="17"/>
      <c r="Z3475" s="31"/>
      <c r="AA3475" s="32"/>
    </row>
    <row r="3476" spans="1:27" ht="12.75">
      <c r="A3476" s="17"/>
      <c r="B3476" s="17"/>
      <c r="C3476" s="17"/>
      <c r="D3476" s="17"/>
      <c r="E3476" s="17"/>
      <c r="F3476" s="17"/>
      <c r="G3476" s="17"/>
      <c r="H3476" s="17"/>
      <c r="I3476" s="31"/>
      <c r="J3476" s="17"/>
      <c r="K3476" s="17"/>
      <c r="L3476" s="17"/>
      <c r="M3476" s="17"/>
      <c r="N3476" s="17"/>
      <c r="O3476" s="17"/>
      <c r="P3476" s="17"/>
      <c r="Q3476" s="17"/>
      <c r="R3476" s="17"/>
      <c r="S3476" s="17"/>
      <c r="T3476" s="17"/>
      <c r="U3476" s="17"/>
      <c r="V3476" s="17"/>
      <c r="W3476" s="17"/>
      <c r="X3476" s="17"/>
      <c r="Y3476" s="17"/>
      <c r="Z3476" s="31"/>
      <c r="AA3476" s="32"/>
    </row>
    <row r="3477" spans="1:27" ht="12.75">
      <c r="A3477" s="17"/>
      <c r="B3477" s="17"/>
      <c r="C3477" s="17"/>
      <c r="D3477" s="17"/>
      <c r="E3477" s="17"/>
      <c r="F3477" s="17"/>
      <c r="G3477" s="17"/>
      <c r="H3477" s="17"/>
      <c r="I3477" s="31"/>
      <c r="J3477" s="17"/>
      <c r="K3477" s="17"/>
      <c r="L3477" s="17"/>
      <c r="M3477" s="17"/>
      <c r="N3477" s="17"/>
      <c r="O3477" s="17"/>
      <c r="P3477" s="17"/>
      <c r="Q3477" s="17"/>
      <c r="R3477" s="17"/>
      <c r="S3477" s="17"/>
      <c r="T3477" s="17"/>
      <c r="U3477" s="17"/>
      <c r="V3477" s="17"/>
      <c r="W3477" s="17"/>
      <c r="X3477" s="17"/>
      <c r="Y3477" s="17"/>
      <c r="Z3477" s="31"/>
      <c r="AA3477" s="32"/>
    </row>
    <row r="3478" spans="1:27" ht="12.75">
      <c r="A3478" s="17"/>
      <c r="B3478" s="17"/>
      <c r="C3478" s="17"/>
      <c r="D3478" s="17"/>
      <c r="E3478" s="17"/>
      <c r="F3478" s="17"/>
      <c r="G3478" s="17"/>
      <c r="H3478" s="17"/>
      <c r="I3478" s="31"/>
      <c r="J3478" s="17"/>
      <c r="K3478" s="17"/>
      <c r="L3478" s="17"/>
      <c r="M3478" s="17"/>
      <c r="N3478" s="17"/>
      <c r="O3478" s="17"/>
      <c r="P3478" s="17"/>
      <c r="Q3478" s="17"/>
      <c r="R3478" s="17"/>
      <c r="S3478" s="17"/>
      <c r="T3478" s="17"/>
      <c r="U3478" s="17"/>
      <c r="V3478" s="17"/>
      <c r="W3478" s="17"/>
      <c r="X3478" s="17"/>
      <c r="Y3478" s="17"/>
      <c r="Z3478" s="31"/>
      <c r="AA3478" s="32"/>
    </row>
    <row r="3479" spans="1:27" ht="12.75">
      <c r="A3479" s="17"/>
      <c r="B3479" s="17"/>
      <c r="C3479" s="17"/>
      <c r="D3479" s="17"/>
      <c r="E3479" s="17"/>
      <c r="F3479" s="17"/>
      <c r="G3479" s="17"/>
      <c r="H3479" s="17"/>
      <c r="I3479" s="31"/>
      <c r="J3479" s="17"/>
      <c r="K3479" s="17"/>
      <c r="L3479" s="17"/>
      <c r="M3479" s="17"/>
      <c r="N3479" s="17"/>
      <c r="O3479" s="17"/>
      <c r="P3479" s="17"/>
      <c r="Q3479" s="17"/>
      <c r="R3479" s="17"/>
      <c r="S3479" s="17"/>
      <c r="T3479" s="17"/>
      <c r="U3479" s="17"/>
      <c r="V3479" s="17"/>
      <c r="W3479" s="17"/>
      <c r="X3479" s="17"/>
      <c r="Y3479" s="17"/>
      <c r="Z3479" s="31"/>
      <c r="AA3479" s="32"/>
    </row>
    <row r="3480" spans="1:27" ht="12.75">
      <c r="A3480" s="17"/>
      <c r="B3480" s="17"/>
      <c r="C3480" s="17"/>
      <c r="D3480" s="17"/>
      <c r="E3480" s="17"/>
      <c r="F3480" s="17"/>
      <c r="G3480" s="17"/>
      <c r="H3480" s="17"/>
      <c r="I3480" s="31"/>
      <c r="J3480" s="17"/>
      <c r="K3480" s="17"/>
      <c r="L3480" s="17"/>
      <c r="M3480" s="17"/>
      <c r="N3480" s="17"/>
      <c r="O3480" s="17"/>
      <c r="P3480" s="17"/>
      <c r="Q3480" s="17"/>
      <c r="R3480" s="17"/>
      <c r="S3480" s="17"/>
      <c r="T3480" s="17"/>
      <c r="U3480" s="17"/>
      <c r="V3480" s="17"/>
      <c r="W3480" s="17"/>
      <c r="X3480" s="17"/>
      <c r="Y3480" s="17"/>
      <c r="Z3480" s="31"/>
      <c r="AA3480" s="32"/>
    </row>
    <row r="3481" spans="1:27" ht="12.75">
      <c r="A3481" s="17"/>
      <c r="B3481" s="17"/>
      <c r="C3481" s="17"/>
      <c r="D3481" s="17"/>
      <c r="E3481" s="17"/>
      <c r="F3481" s="17"/>
      <c r="G3481" s="17"/>
      <c r="H3481" s="17"/>
      <c r="I3481" s="31"/>
      <c r="J3481" s="17"/>
      <c r="K3481" s="17"/>
      <c r="L3481" s="17"/>
      <c r="M3481" s="17"/>
      <c r="N3481" s="17"/>
      <c r="O3481" s="17"/>
      <c r="P3481" s="17"/>
      <c r="Q3481" s="17"/>
      <c r="R3481" s="17"/>
      <c r="S3481" s="17"/>
      <c r="T3481" s="17"/>
      <c r="U3481" s="17"/>
      <c r="V3481" s="17"/>
      <c r="W3481" s="17"/>
      <c r="X3481" s="17"/>
      <c r="Y3481" s="17"/>
      <c r="Z3481" s="31"/>
      <c r="AA3481" s="32"/>
    </row>
    <row r="3482" spans="1:27" ht="12.75">
      <c r="A3482" s="17"/>
      <c r="B3482" s="17"/>
      <c r="C3482" s="17"/>
      <c r="D3482" s="17"/>
      <c r="E3482" s="17"/>
      <c r="F3482" s="17"/>
      <c r="G3482" s="17"/>
      <c r="H3482" s="17"/>
      <c r="I3482" s="31"/>
      <c r="J3482" s="17"/>
      <c r="K3482" s="17"/>
      <c r="L3482" s="17"/>
      <c r="M3482" s="17"/>
      <c r="N3482" s="17"/>
      <c r="O3482" s="17"/>
      <c r="P3482" s="17"/>
      <c r="Q3482" s="17"/>
      <c r="R3482" s="17"/>
      <c r="S3482" s="17"/>
      <c r="T3482" s="17"/>
      <c r="U3482" s="17"/>
      <c r="V3482" s="17"/>
      <c r="W3482" s="17"/>
      <c r="X3482" s="17"/>
      <c r="Y3482" s="17"/>
      <c r="Z3482" s="31"/>
      <c r="AA3482" s="32"/>
    </row>
    <row r="3483" spans="1:27" ht="12.75">
      <c r="A3483" s="17"/>
      <c r="B3483" s="17"/>
      <c r="C3483" s="17"/>
      <c r="D3483" s="17"/>
      <c r="E3483" s="17"/>
      <c r="F3483" s="17"/>
      <c r="G3483" s="17"/>
      <c r="H3483" s="17"/>
      <c r="I3483" s="31"/>
      <c r="J3483" s="17"/>
      <c r="K3483" s="17"/>
      <c r="L3483" s="17"/>
      <c r="M3483" s="17"/>
      <c r="N3483" s="17"/>
      <c r="O3483" s="17"/>
      <c r="P3483" s="17"/>
      <c r="Q3483" s="17"/>
      <c r="R3483" s="17"/>
      <c r="S3483" s="17"/>
      <c r="T3483" s="17"/>
      <c r="U3483" s="17"/>
      <c r="V3483" s="17"/>
      <c r="W3483" s="17"/>
      <c r="X3483" s="17"/>
      <c r="Y3483" s="17"/>
      <c r="Z3483" s="31"/>
      <c r="AA3483" s="32"/>
    </row>
    <row r="3484" spans="1:27" ht="12.75">
      <c r="A3484" s="17"/>
      <c r="B3484" s="17"/>
      <c r="C3484" s="17"/>
      <c r="D3484" s="17"/>
      <c r="E3484" s="17"/>
      <c r="F3484" s="17"/>
      <c r="G3484" s="17"/>
      <c r="H3484" s="17"/>
      <c r="I3484" s="31"/>
      <c r="J3484" s="17"/>
      <c r="K3484" s="17"/>
      <c r="L3484" s="17"/>
      <c r="M3484" s="17"/>
      <c r="N3484" s="17"/>
      <c r="O3484" s="17"/>
      <c r="P3484" s="17"/>
      <c r="Q3484" s="17"/>
      <c r="R3484" s="17"/>
      <c r="S3484" s="17"/>
      <c r="T3484" s="17"/>
      <c r="U3484" s="17"/>
      <c r="V3484" s="17"/>
      <c r="W3484" s="17"/>
      <c r="X3484" s="17"/>
      <c r="Y3484" s="17"/>
      <c r="Z3484" s="31"/>
      <c r="AA3484" s="32"/>
    </row>
    <row r="3485" spans="1:27" ht="12.75">
      <c r="A3485" s="17"/>
      <c r="B3485" s="17"/>
      <c r="C3485" s="17"/>
      <c r="D3485" s="17"/>
      <c r="E3485" s="17"/>
      <c r="F3485" s="17"/>
      <c r="G3485" s="17"/>
      <c r="H3485" s="17"/>
      <c r="I3485" s="31"/>
      <c r="J3485" s="17"/>
      <c r="K3485" s="17"/>
      <c r="L3485" s="17"/>
      <c r="M3485" s="17"/>
      <c r="N3485" s="17"/>
      <c r="O3485" s="17"/>
      <c r="P3485" s="17"/>
      <c r="Q3485" s="17"/>
      <c r="R3485" s="17"/>
      <c r="S3485" s="17"/>
      <c r="T3485" s="17"/>
      <c r="U3485" s="17"/>
      <c r="V3485" s="17"/>
      <c r="W3485" s="17"/>
      <c r="X3485" s="17"/>
      <c r="Y3485" s="17"/>
      <c r="Z3485" s="31"/>
      <c r="AA3485" s="32"/>
    </row>
    <row r="3486" spans="1:27" ht="12.75">
      <c r="A3486" s="17"/>
      <c r="B3486" s="17"/>
      <c r="C3486" s="17"/>
      <c r="D3486" s="17"/>
      <c r="E3486" s="17"/>
      <c r="F3486" s="17"/>
      <c r="G3486" s="17"/>
      <c r="H3486" s="17"/>
      <c r="I3486" s="31"/>
      <c r="J3486" s="17"/>
      <c r="K3486" s="17"/>
      <c r="L3486" s="17"/>
      <c r="M3486" s="17"/>
      <c r="N3486" s="17"/>
      <c r="O3486" s="17"/>
      <c r="P3486" s="17"/>
      <c r="Q3486" s="17"/>
      <c r="R3486" s="17"/>
      <c r="S3486" s="17"/>
      <c r="T3486" s="17"/>
      <c r="U3486" s="17"/>
      <c r="V3486" s="17"/>
      <c r="W3486" s="17"/>
      <c r="X3486" s="17"/>
      <c r="Y3486" s="17"/>
      <c r="Z3486" s="31"/>
      <c r="AA3486" s="32"/>
    </row>
    <row r="3487" spans="1:27" ht="12.75">
      <c r="A3487" s="17"/>
      <c r="B3487" s="17"/>
      <c r="C3487" s="17"/>
      <c r="D3487" s="17"/>
      <c r="E3487" s="17"/>
      <c r="F3487" s="17"/>
      <c r="G3487" s="17"/>
      <c r="H3487" s="17"/>
      <c r="I3487" s="31"/>
      <c r="J3487" s="17"/>
      <c r="K3487" s="17"/>
      <c r="L3487" s="17"/>
      <c r="M3487" s="17"/>
      <c r="N3487" s="17"/>
      <c r="O3487" s="17"/>
      <c r="P3487" s="17"/>
      <c r="Q3487" s="17"/>
      <c r="R3487" s="17"/>
      <c r="S3487" s="17"/>
      <c r="T3487" s="17"/>
      <c r="U3487" s="17"/>
      <c r="V3487" s="17"/>
      <c r="W3487" s="17"/>
      <c r="X3487" s="17"/>
      <c r="Y3487" s="17"/>
      <c r="Z3487" s="31"/>
      <c r="AA3487" s="32"/>
    </row>
    <row r="3488" spans="1:27" ht="12.75">
      <c r="A3488" s="17"/>
      <c r="B3488" s="17"/>
      <c r="C3488" s="17"/>
      <c r="D3488" s="17"/>
      <c r="E3488" s="17"/>
      <c r="F3488" s="17"/>
      <c r="G3488" s="17"/>
      <c r="H3488" s="17"/>
      <c r="I3488" s="31"/>
      <c r="J3488" s="17"/>
      <c r="K3488" s="17"/>
      <c r="L3488" s="17"/>
      <c r="M3488" s="17"/>
      <c r="N3488" s="17"/>
      <c r="O3488" s="17"/>
      <c r="P3488" s="17"/>
      <c r="Q3488" s="17"/>
      <c r="R3488" s="17"/>
      <c r="S3488" s="17"/>
      <c r="T3488" s="17"/>
      <c r="U3488" s="17"/>
      <c r="V3488" s="17"/>
      <c r="W3488" s="17"/>
      <c r="X3488" s="17"/>
      <c r="Y3488" s="17"/>
      <c r="Z3488" s="31"/>
      <c r="AA3488" s="32"/>
    </row>
    <row r="3489" spans="1:27" ht="12.75">
      <c r="A3489" s="17"/>
      <c r="B3489" s="17"/>
      <c r="C3489" s="17"/>
      <c r="D3489" s="17"/>
      <c r="E3489" s="17"/>
      <c r="F3489" s="17"/>
      <c r="G3489" s="17"/>
      <c r="H3489" s="17"/>
      <c r="I3489" s="31"/>
      <c r="J3489" s="17"/>
      <c r="K3489" s="17"/>
      <c r="L3489" s="17"/>
      <c r="M3489" s="17"/>
      <c r="N3489" s="17"/>
      <c r="O3489" s="17"/>
      <c r="P3489" s="17"/>
      <c r="Q3489" s="17"/>
      <c r="R3489" s="17"/>
      <c r="S3489" s="17"/>
      <c r="T3489" s="17"/>
      <c r="U3489" s="17"/>
      <c r="V3489" s="17"/>
      <c r="W3489" s="17"/>
      <c r="X3489" s="17"/>
      <c r="Y3489" s="17"/>
      <c r="Z3489" s="31"/>
      <c r="AA3489" s="32"/>
    </row>
    <row r="3490" spans="1:27" ht="12.75">
      <c r="A3490" s="17"/>
      <c r="B3490" s="17"/>
      <c r="C3490" s="17"/>
      <c r="D3490" s="17"/>
      <c r="E3490" s="17"/>
      <c r="F3490" s="17"/>
      <c r="G3490" s="17"/>
      <c r="H3490" s="17"/>
      <c r="I3490" s="31"/>
      <c r="J3490" s="17"/>
      <c r="K3490" s="17"/>
      <c r="L3490" s="17"/>
      <c r="M3490" s="17"/>
      <c r="N3490" s="17"/>
      <c r="O3490" s="17"/>
      <c r="P3490" s="17"/>
      <c r="Q3490" s="17"/>
      <c r="R3490" s="17"/>
      <c r="S3490" s="17"/>
      <c r="T3490" s="17"/>
      <c r="U3490" s="17"/>
      <c r="V3490" s="17"/>
      <c r="W3490" s="17"/>
      <c r="X3490" s="17"/>
      <c r="Y3490" s="17"/>
      <c r="Z3490" s="31"/>
      <c r="AA3490" s="32"/>
    </row>
    <row r="3491" spans="1:27" ht="12.75">
      <c r="A3491" s="17"/>
      <c r="B3491" s="17"/>
      <c r="C3491" s="17"/>
      <c r="D3491" s="17"/>
      <c r="E3491" s="17"/>
      <c r="F3491" s="17"/>
      <c r="G3491" s="17"/>
      <c r="H3491" s="17"/>
      <c r="I3491" s="31"/>
      <c r="J3491" s="17"/>
      <c r="K3491" s="17"/>
      <c r="L3491" s="17"/>
      <c r="M3491" s="17"/>
      <c r="N3491" s="17"/>
      <c r="O3491" s="17"/>
      <c r="P3491" s="17"/>
      <c r="Q3491" s="17"/>
      <c r="R3491" s="17"/>
      <c r="S3491" s="17"/>
      <c r="T3491" s="17"/>
      <c r="U3491" s="17"/>
      <c r="V3491" s="17"/>
      <c r="W3491" s="17"/>
      <c r="X3491" s="17"/>
      <c r="Y3491" s="17"/>
      <c r="Z3491" s="31"/>
      <c r="AA3491" s="32"/>
    </row>
    <row r="3492" spans="1:27" ht="12.75">
      <c r="A3492" s="17"/>
      <c r="B3492" s="17"/>
      <c r="C3492" s="17"/>
      <c r="D3492" s="17"/>
      <c r="E3492" s="17"/>
      <c r="F3492" s="17"/>
      <c r="G3492" s="17"/>
      <c r="H3492" s="17"/>
      <c r="I3492" s="31"/>
      <c r="J3492" s="17"/>
      <c r="K3492" s="17"/>
      <c r="L3492" s="17"/>
      <c r="M3492" s="17"/>
      <c r="N3492" s="17"/>
      <c r="O3492" s="17"/>
      <c r="P3492" s="17"/>
      <c r="Q3492" s="17"/>
      <c r="R3492" s="17"/>
      <c r="S3492" s="17"/>
      <c r="T3492" s="17"/>
      <c r="U3492" s="17"/>
      <c r="V3492" s="17"/>
      <c r="W3492" s="17"/>
      <c r="X3492" s="17"/>
      <c r="Y3492" s="17"/>
      <c r="Z3492" s="31"/>
      <c r="AA3492" s="32"/>
    </row>
    <row r="3493" spans="1:27" ht="12.75">
      <c r="A3493" s="17"/>
      <c r="B3493" s="17"/>
      <c r="C3493" s="17"/>
      <c r="D3493" s="17"/>
      <c r="E3493" s="17"/>
      <c r="F3493" s="17"/>
      <c r="G3493" s="17"/>
      <c r="H3493" s="17"/>
      <c r="I3493" s="31"/>
      <c r="J3493" s="17"/>
      <c r="K3493" s="17"/>
      <c r="L3493" s="17"/>
      <c r="M3493" s="17"/>
      <c r="N3493" s="17"/>
      <c r="O3493" s="17"/>
      <c r="P3493" s="17"/>
      <c r="Q3493" s="17"/>
      <c r="R3493" s="17"/>
      <c r="S3493" s="17"/>
      <c r="T3493" s="17"/>
      <c r="U3493" s="17"/>
      <c r="V3493" s="17"/>
      <c r="W3493" s="17"/>
      <c r="X3493" s="17"/>
      <c r="Y3493" s="17"/>
      <c r="Z3493" s="31"/>
      <c r="AA3493" s="32"/>
    </row>
    <row r="3494" spans="1:27" ht="12.75">
      <c r="A3494" s="17"/>
      <c r="B3494" s="17"/>
      <c r="C3494" s="17"/>
      <c r="D3494" s="17"/>
      <c r="E3494" s="17"/>
      <c r="F3494" s="17"/>
      <c r="G3494" s="17"/>
      <c r="H3494" s="17"/>
      <c r="I3494" s="31"/>
      <c r="J3494" s="17"/>
      <c r="K3494" s="17"/>
      <c r="L3494" s="17"/>
      <c r="M3494" s="17"/>
      <c r="N3494" s="17"/>
      <c r="O3494" s="17"/>
      <c r="P3494" s="17"/>
      <c r="Q3494" s="17"/>
      <c r="R3494" s="17"/>
      <c r="S3494" s="17"/>
      <c r="T3494" s="17"/>
      <c r="U3494" s="17"/>
      <c r="V3494" s="17"/>
      <c r="W3494" s="17"/>
      <c r="X3494" s="17"/>
      <c r="Y3494" s="17"/>
      <c r="Z3494" s="31"/>
      <c r="AA3494" s="32"/>
    </row>
    <row r="3495" spans="1:27" ht="12.75">
      <c r="A3495" s="17"/>
      <c r="B3495" s="17"/>
      <c r="C3495" s="17"/>
      <c r="D3495" s="17"/>
      <c r="E3495" s="17"/>
      <c r="F3495" s="17"/>
      <c r="G3495" s="17"/>
      <c r="H3495" s="17"/>
      <c r="I3495" s="31"/>
      <c r="J3495" s="17"/>
      <c r="K3495" s="17"/>
      <c r="L3495" s="17"/>
      <c r="M3495" s="17"/>
      <c r="N3495" s="17"/>
      <c r="O3495" s="17"/>
      <c r="P3495" s="17"/>
      <c r="Q3495" s="17"/>
      <c r="R3495" s="17"/>
      <c r="S3495" s="17"/>
      <c r="T3495" s="17"/>
      <c r="U3495" s="17"/>
      <c r="V3495" s="17"/>
      <c r="W3495" s="17"/>
      <c r="X3495" s="17"/>
      <c r="Y3495" s="17"/>
      <c r="Z3495" s="31"/>
      <c r="AA3495" s="32"/>
    </row>
    <row r="3496" spans="1:27" ht="12.75">
      <c r="A3496" s="17"/>
      <c r="B3496" s="17"/>
      <c r="C3496" s="17"/>
      <c r="D3496" s="17"/>
      <c r="E3496" s="17"/>
      <c r="F3496" s="17"/>
      <c r="G3496" s="17"/>
      <c r="H3496" s="17"/>
      <c r="I3496" s="31"/>
      <c r="J3496" s="17"/>
      <c r="K3496" s="17"/>
      <c r="L3496" s="17"/>
      <c r="M3496" s="17"/>
      <c r="N3496" s="17"/>
      <c r="O3496" s="17"/>
      <c r="P3496" s="17"/>
      <c r="Q3496" s="17"/>
      <c r="R3496" s="17"/>
      <c r="S3496" s="17"/>
      <c r="T3496" s="17"/>
      <c r="U3496" s="17"/>
      <c r="V3496" s="17"/>
      <c r="W3496" s="17"/>
      <c r="X3496" s="17"/>
      <c r="Y3496" s="17"/>
      <c r="Z3496" s="31"/>
      <c r="AA3496" s="32"/>
    </row>
    <row r="3497" spans="1:27" ht="12.75">
      <c r="A3497" s="17"/>
      <c r="B3497" s="17"/>
      <c r="C3497" s="17"/>
      <c r="D3497" s="17"/>
      <c r="E3497" s="17"/>
      <c r="F3497" s="17"/>
      <c r="G3497" s="17"/>
      <c r="H3497" s="17"/>
      <c r="I3497" s="31"/>
      <c r="J3497" s="17"/>
      <c r="K3497" s="17"/>
      <c r="L3497" s="17"/>
      <c r="M3497" s="17"/>
      <c r="N3497" s="17"/>
      <c r="O3497" s="17"/>
      <c r="P3497" s="17"/>
      <c r="Q3497" s="17"/>
      <c r="R3497" s="17"/>
      <c r="S3497" s="17"/>
      <c r="T3497" s="17"/>
      <c r="U3497" s="17"/>
      <c r="V3497" s="17"/>
      <c r="W3497" s="17"/>
      <c r="X3497" s="17"/>
      <c r="Y3497" s="17"/>
      <c r="Z3497" s="31"/>
      <c r="AA3497" s="32"/>
    </row>
    <row r="3498" spans="1:27" ht="12.75">
      <c r="A3498" s="17"/>
      <c r="B3498" s="17"/>
      <c r="C3498" s="17"/>
      <c r="D3498" s="17"/>
      <c r="E3498" s="17"/>
      <c r="F3498" s="17"/>
      <c r="G3498" s="17"/>
      <c r="H3498" s="17"/>
      <c r="I3498" s="31"/>
      <c r="J3498" s="17"/>
      <c r="K3498" s="17"/>
      <c r="L3498" s="17"/>
      <c r="M3498" s="17"/>
      <c r="N3498" s="17"/>
      <c r="O3498" s="17"/>
      <c r="P3498" s="17"/>
      <c r="Q3498" s="17"/>
      <c r="R3498" s="17"/>
      <c r="S3498" s="17"/>
      <c r="T3498" s="17"/>
      <c r="U3498" s="17"/>
      <c r="V3498" s="17"/>
      <c r="W3498" s="17"/>
      <c r="X3498" s="17"/>
      <c r="Y3498" s="17"/>
      <c r="Z3498" s="31"/>
      <c r="AA3498" s="32"/>
    </row>
    <row r="3499" spans="1:27" ht="12.75">
      <c r="A3499" s="17"/>
      <c r="B3499" s="17"/>
      <c r="C3499" s="17"/>
      <c r="D3499" s="17"/>
      <c r="E3499" s="17"/>
      <c r="F3499" s="17"/>
      <c r="G3499" s="17"/>
      <c r="H3499" s="17"/>
      <c r="I3499" s="31"/>
      <c r="J3499" s="17"/>
      <c r="K3499" s="17"/>
      <c r="L3499" s="17"/>
      <c r="M3499" s="17"/>
      <c r="N3499" s="17"/>
      <c r="O3499" s="17"/>
      <c r="P3499" s="17"/>
      <c r="Q3499" s="17"/>
      <c r="R3499" s="17"/>
      <c r="S3499" s="17"/>
      <c r="T3499" s="17"/>
      <c r="U3499" s="17"/>
      <c r="V3499" s="17"/>
      <c r="W3499" s="17"/>
      <c r="X3499" s="17"/>
      <c r="Y3499" s="17"/>
      <c r="Z3499" s="31"/>
      <c r="AA3499" s="32"/>
    </row>
    <row r="3500" spans="1:27" ht="12.75">
      <c r="A3500" s="17"/>
      <c r="B3500" s="17"/>
      <c r="C3500" s="17"/>
      <c r="D3500" s="17"/>
      <c r="E3500" s="17"/>
      <c r="F3500" s="17"/>
      <c r="G3500" s="17"/>
      <c r="H3500" s="17"/>
      <c r="I3500" s="31"/>
      <c r="J3500" s="17"/>
      <c r="K3500" s="17"/>
      <c r="L3500" s="17"/>
      <c r="M3500" s="17"/>
      <c r="N3500" s="17"/>
      <c r="O3500" s="17"/>
      <c r="P3500" s="17"/>
      <c r="Q3500" s="17"/>
      <c r="R3500" s="17"/>
      <c r="S3500" s="17"/>
      <c r="T3500" s="17"/>
      <c r="U3500" s="17"/>
      <c r="V3500" s="17"/>
      <c r="W3500" s="17"/>
      <c r="X3500" s="17"/>
      <c r="Y3500" s="17"/>
      <c r="Z3500" s="31"/>
      <c r="AA3500" s="32"/>
    </row>
    <row r="3501" spans="1:27" ht="12.75">
      <c r="A3501" s="17"/>
      <c r="B3501" s="17"/>
      <c r="C3501" s="17"/>
      <c r="D3501" s="17"/>
      <c r="E3501" s="17"/>
      <c r="F3501" s="17"/>
      <c r="G3501" s="17"/>
      <c r="H3501" s="17"/>
      <c r="I3501" s="31"/>
      <c r="J3501" s="17"/>
      <c r="K3501" s="17"/>
      <c r="L3501" s="17"/>
      <c r="M3501" s="17"/>
      <c r="N3501" s="17"/>
      <c r="O3501" s="17"/>
      <c r="P3501" s="17"/>
      <c r="Q3501" s="17"/>
      <c r="R3501" s="17"/>
      <c r="S3501" s="17"/>
      <c r="T3501" s="17"/>
      <c r="U3501" s="17"/>
      <c r="V3501" s="17"/>
      <c r="W3501" s="17"/>
      <c r="X3501" s="17"/>
      <c r="Y3501" s="17"/>
      <c r="Z3501" s="31"/>
      <c r="AA3501" s="32"/>
    </row>
    <row r="3502" spans="1:27" ht="12.75">
      <c r="A3502" s="17"/>
      <c r="B3502" s="17"/>
      <c r="C3502" s="17"/>
      <c r="D3502" s="17"/>
      <c r="E3502" s="17"/>
      <c r="F3502" s="17"/>
      <c r="G3502" s="17"/>
      <c r="H3502" s="17"/>
      <c r="I3502" s="31"/>
      <c r="J3502" s="17"/>
      <c r="K3502" s="17"/>
      <c r="L3502" s="17"/>
      <c r="M3502" s="17"/>
      <c r="N3502" s="17"/>
      <c r="O3502" s="17"/>
      <c r="P3502" s="17"/>
      <c r="Q3502" s="17"/>
      <c r="R3502" s="17"/>
      <c r="S3502" s="17"/>
      <c r="T3502" s="17"/>
      <c r="U3502" s="17"/>
      <c r="V3502" s="17"/>
      <c r="W3502" s="17"/>
      <c r="X3502" s="17"/>
      <c r="Y3502" s="17"/>
      <c r="Z3502" s="31"/>
      <c r="AA3502" s="32"/>
    </row>
    <row r="3503" spans="1:27" ht="12.75">
      <c r="A3503" s="17"/>
      <c r="B3503" s="17"/>
      <c r="C3503" s="17"/>
      <c r="D3503" s="17"/>
      <c r="E3503" s="17"/>
      <c r="F3503" s="17"/>
      <c r="G3503" s="17"/>
      <c r="H3503" s="17"/>
      <c r="I3503" s="31"/>
      <c r="J3503" s="17"/>
      <c r="K3503" s="17"/>
      <c r="L3503" s="17"/>
      <c r="M3503" s="17"/>
      <c r="N3503" s="17"/>
      <c r="O3503" s="17"/>
      <c r="P3503" s="17"/>
      <c r="Q3503" s="17"/>
      <c r="R3503" s="17"/>
      <c r="S3503" s="17"/>
      <c r="T3503" s="17"/>
      <c r="U3503" s="17"/>
      <c r="V3503" s="17"/>
      <c r="W3503" s="17"/>
      <c r="X3503" s="17"/>
      <c r="Y3503" s="17"/>
      <c r="Z3503" s="31"/>
      <c r="AA3503" s="32"/>
    </row>
    <row r="3504" spans="1:27" ht="12.75">
      <c r="A3504" s="17"/>
      <c r="B3504" s="17"/>
      <c r="C3504" s="17"/>
      <c r="D3504" s="17"/>
      <c r="E3504" s="17"/>
      <c r="F3504" s="17"/>
      <c r="G3504" s="17"/>
      <c r="H3504" s="17"/>
      <c r="I3504" s="31"/>
      <c r="J3504" s="17"/>
      <c r="K3504" s="17"/>
      <c r="L3504" s="17"/>
      <c r="M3504" s="17"/>
      <c r="N3504" s="17"/>
      <c r="O3504" s="17"/>
      <c r="P3504" s="17"/>
      <c r="Q3504" s="17"/>
      <c r="R3504" s="17"/>
      <c r="S3504" s="17"/>
      <c r="T3504" s="17"/>
      <c r="U3504" s="17"/>
      <c r="V3504" s="17"/>
      <c r="W3504" s="17"/>
      <c r="X3504" s="17"/>
      <c r="Y3504" s="17"/>
      <c r="Z3504" s="31"/>
      <c r="AA3504" s="32"/>
    </row>
    <row r="3505" spans="1:27" ht="12.75">
      <c r="A3505" s="17"/>
      <c r="B3505" s="17"/>
      <c r="C3505" s="17"/>
      <c r="D3505" s="17"/>
      <c r="E3505" s="17"/>
      <c r="F3505" s="17"/>
      <c r="G3505" s="17"/>
      <c r="H3505" s="17"/>
      <c r="I3505" s="31"/>
      <c r="J3505" s="17"/>
      <c r="K3505" s="17"/>
      <c r="L3505" s="17"/>
      <c r="M3505" s="17"/>
      <c r="N3505" s="17"/>
      <c r="O3505" s="17"/>
      <c r="P3505" s="17"/>
      <c r="Q3505" s="17"/>
      <c r="R3505" s="17"/>
      <c r="S3505" s="17"/>
      <c r="T3505" s="17"/>
      <c r="U3505" s="17"/>
      <c r="V3505" s="17"/>
      <c r="W3505" s="17"/>
      <c r="X3505" s="17"/>
      <c r="Y3505" s="17"/>
      <c r="Z3505" s="31"/>
      <c r="AA3505" s="32"/>
    </row>
    <row r="3506" spans="1:27" ht="12.75">
      <c r="A3506" s="17"/>
      <c r="B3506" s="17"/>
      <c r="C3506" s="17"/>
      <c r="D3506" s="17"/>
      <c r="E3506" s="17"/>
      <c r="F3506" s="17"/>
      <c r="G3506" s="17"/>
      <c r="H3506" s="17"/>
      <c r="I3506" s="31"/>
      <c r="J3506" s="17"/>
      <c r="K3506" s="17"/>
      <c r="L3506" s="17"/>
      <c r="M3506" s="17"/>
      <c r="N3506" s="17"/>
      <c r="O3506" s="17"/>
      <c r="P3506" s="17"/>
      <c r="Q3506" s="17"/>
      <c r="R3506" s="17"/>
      <c r="S3506" s="17"/>
      <c r="T3506" s="17"/>
      <c r="U3506" s="17"/>
      <c r="V3506" s="17"/>
      <c r="W3506" s="17"/>
      <c r="X3506" s="17"/>
      <c r="Y3506" s="17"/>
      <c r="Z3506" s="31"/>
      <c r="AA3506" s="32"/>
    </row>
    <row r="3507" spans="1:27" ht="12.75">
      <c r="A3507" s="17"/>
      <c r="B3507" s="17"/>
      <c r="C3507" s="17"/>
      <c r="D3507" s="17"/>
      <c r="E3507" s="17"/>
      <c r="F3507" s="17"/>
      <c r="G3507" s="17"/>
      <c r="H3507" s="17"/>
      <c r="I3507" s="31"/>
      <c r="J3507" s="17"/>
      <c r="K3507" s="17"/>
      <c r="L3507" s="17"/>
      <c r="M3507" s="17"/>
      <c r="N3507" s="17"/>
      <c r="O3507" s="17"/>
      <c r="P3507" s="17"/>
      <c r="Q3507" s="17"/>
      <c r="R3507" s="17"/>
      <c r="S3507" s="17"/>
      <c r="T3507" s="17"/>
      <c r="U3507" s="17"/>
      <c r="V3507" s="17"/>
      <c r="W3507" s="17"/>
      <c r="X3507" s="17"/>
      <c r="Y3507" s="17"/>
      <c r="Z3507" s="31"/>
      <c r="AA3507" s="32"/>
    </row>
    <row r="3508" spans="1:27" ht="12.75">
      <c r="A3508" s="17"/>
      <c r="B3508" s="17"/>
      <c r="C3508" s="17"/>
      <c r="D3508" s="17"/>
      <c r="E3508" s="17"/>
      <c r="F3508" s="17"/>
      <c r="G3508" s="17"/>
      <c r="H3508" s="17"/>
      <c r="I3508" s="31"/>
      <c r="J3508" s="17"/>
      <c r="K3508" s="17"/>
      <c r="L3508" s="17"/>
      <c r="M3508" s="17"/>
      <c r="N3508" s="17"/>
      <c r="O3508" s="17"/>
      <c r="P3508" s="17"/>
      <c r="Q3508" s="17"/>
      <c r="R3508" s="17"/>
      <c r="S3508" s="17"/>
      <c r="T3508" s="17"/>
      <c r="U3508" s="17"/>
      <c r="V3508" s="17"/>
      <c r="W3508" s="17"/>
      <c r="X3508" s="17"/>
      <c r="Y3508" s="17"/>
      <c r="Z3508" s="31"/>
      <c r="AA3508" s="32"/>
    </row>
    <row r="3509" spans="1:27" ht="12.75">
      <c r="A3509" s="17"/>
      <c r="B3509" s="17"/>
      <c r="C3509" s="17"/>
      <c r="D3509" s="17"/>
      <c r="E3509" s="17"/>
      <c r="F3509" s="17"/>
      <c r="G3509" s="17"/>
      <c r="H3509" s="17"/>
      <c r="I3509" s="31"/>
      <c r="J3509" s="17"/>
      <c r="K3509" s="17"/>
      <c r="L3509" s="17"/>
      <c r="M3509" s="17"/>
      <c r="N3509" s="17"/>
      <c r="O3509" s="17"/>
      <c r="P3509" s="17"/>
      <c r="Q3509" s="17"/>
      <c r="R3509" s="17"/>
      <c r="S3509" s="17"/>
      <c r="T3509" s="17"/>
      <c r="U3509" s="17"/>
      <c r="V3509" s="17"/>
      <c r="W3509" s="17"/>
      <c r="X3509" s="17"/>
      <c r="Y3509" s="17"/>
      <c r="Z3509" s="31"/>
      <c r="AA3509" s="32"/>
    </row>
    <row r="3510" spans="1:27" ht="12.75">
      <c r="A3510" s="17"/>
      <c r="B3510" s="17"/>
      <c r="C3510" s="17"/>
      <c r="D3510" s="17"/>
      <c r="E3510" s="17"/>
      <c r="F3510" s="17"/>
      <c r="G3510" s="17"/>
      <c r="H3510" s="17"/>
      <c r="I3510" s="31"/>
      <c r="J3510" s="17"/>
      <c r="K3510" s="17"/>
      <c r="L3510" s="17"/>
      <c r="M3510" s="17"/>
      <c r="N3510" s="17"/>
      <c r="O3510" s="17"/>
      <c r="P3510" s="17"/>
      <c r="Q3510" s="17"/>
      <c r="R3510" s="17"/>
      <c r="S3510" s="17"/>
      <c r="T3510" s="17"/>
      <c r="U3510" s="17"/>
      <c r="V3510" s="17"/>
      <c r="W3510" s="17"/>
      <c r="X3510" s="17"/>
      <c r="Y3510" s="17"/>
      <c r="Z3510" s="31"/>
      <c r="AA3510" s="32"/>
    </row>
    <row r="3511" spans="1:27" ht="12.75">
      <c r="A3511" s="17"/>
      <c r="B3511" s="17"/>
      <c r="C3511" s="17"/>
      <c r="D3511" s="17"/>
      <c r="E3511" s="17"/>
      <c r="F3511" s="17"/>
      <c r="G3511" s="17"/>
      <c r="H3511" s="17"/>
      <c r="I3511" s="31"/>
      <c r="J3511" s="17"/>
      <c r="K3511" s="17"/>
      <c r="L3511" s="17"/>
      <c r="M3511" s="17"/>
      <c r="N3511" s="17"/>
      <c r="O3511" s="17"/>
      <c r="P3511" s="17"/>
      <c r="Q3511" s="17"/>
      <c r="R3511" s="17"/>
      <c r="S3511" s="17"/>
      <c r="T3511" s="17"/>
      <c r="U3511" s="17"/>
      <c r="V3511" s="17"/>
      <c r="W3511" s="17"/>
      <c r="X3511" s="17"/>
      <c r="Y3511" s="17"/>
      <c r="Z3511" s="31"/>
      <c r="AA3511" s="32"/>
    </row>
    <row r="3512" spans="1:27" ht="12.75">
      <c r="A3512" s="17"/>
      <c r="B3512" s="17"/>
      <c r="C3512" s="17"/>
      <c r="D3512" s="17"/>
      <c r="E3512" s="17"/>
      <c r="F3512" s="17"/>
      <c r="G3512" s="17"/>
      <c r="H3512" s="17"/>
      <c r="I3512" s="31"/>
      <c r="J3512" s="17"/>
      <c r="K3512" s="17"/>
      <c r="L3512" s="17"/>
      <c r="M3512" s="17"/>
      <c r="N3512" s="17"/>
      <c r="O3512" s="17"/>
      <c r="P3512" s="17"/>
      <c r="Q3512" s="17"/>
      <c r="R3512" s="17"/>
      <c r="S3512" s="17"/>
      <c r="T3512" s="17"/>
      <c r="U3512" s="17"/>
      <c r="V3512" s="17"/>
      <c r="W3512" s="17"/>
      <c r="X3512" s="17"/>
      <c r="Y3512" s="17"/>
      <c r="Z3512" s="31"/>
      <c r="AA3512" s="32"/>
    </row>
    <row r="3513" spans="1:27" ht="12.75">
      <c r="A3513" s="17"/>
      <c r="B3513" s="17"/>
      <c r="C3513" s="17"/>
      <c r="D3513" s="17"/>
      <c r="E3513" s="17"/>
      <c r="F3513" s="17"/>
      <c r="G3513" s="17"/>
      <c r="H3513" s="17"/>
      <c r="I3513" s="31"/>
      <c r="J3513" s="17"/>
      <c r="K3513" s="17"/>
      <c r="L3513" s="17"/>
      <c r="M3513" s="17"/>
      <c r="N3513" s="17"/>
      <c r="O3513" s="17"/>
      <c r="P3513" s="17"/>
      <c r="Q3513" s="17"/>
      <c r="R3513" s="17"/>
      <c r="S3513" s="17"/>
      <c r="T3513" s="17"/>
      <c r="U3513" s="17"/>
      <c r="V3513" s="17"/>
      <c r="W3513" s="17"/>
      <c r="X3513" s="17"/>
      <c r="Y3513" s="17"/>
      <c r="Z3513" s="31"/>
      <c r="AA3513" s="32"/>
    </row>
    <row r="3514" spans="1:27" ht="12.75">
      <c r="A3514" s="17"/>
      <c r="B3514" s="17"/>
      <c r="C3514" s="17"/>
      <c r="D3514" s="17"/>
      <c r="E3514" s="17"/>
      <c r="F3514" s="17"/>
      <c r="G3514" s="17"/>
      <c r="H3514" s="17"/>
      <c r="I3514" s="31"/>
      <c r="J3514" s="17"/>
      <c r="K3514" s="17"/>
      <c r="L3514" s="17"/>
      <c r="M3514" s="17"/>
      <c r="N3514" s="17"/>
      <c r="O3514" s="17"/>
      <c r="P3514" s="17"/>
      <c r="Q3514" s="17"/>
      <c r="R3514" s="17"/>
      <c r="S3514" s="17"/>
      <c r="T3514" s="17"/>
      <c r="U3514" s="17"/>
      <c r="V3514" s="17"/>
      <c r="W3514" s="17"/>
      <c r="X3514" s="17"/>
      <c r="Y3514" s="17"/>
      <c r="Z3514" s="31"/>
      <c r="AA3514" s="32"/>
    </row>
    <row r="3515" spans="1:27" ht="12.75">
      <c r="A3515" s="17"/>
      <c r="B3515" s="17"/>
      <c r="C3515" s="17"/>
      <c r="D3515" s="17"/>
      <c r="E3515" s="17"/>
      <c r="F3515" s="17"/>
      <c r="G3515" s="17"/>
      <c r="H3515" s="17"/>
      <c r="I3515" s="31"/>
      <c r="J3515" s="17"/>
      <c r="K3515" s="17"/>
      <c r="L3515" s="17"/>
      <c r="M3515" s="17"/>
      <c r="N3515" s="17"/>
      <c r="O3515" s="17"/>
      <c r="P3515" s="17"/>
      <c r="Q3515" s="17"/>
      <c r="R3515" s="17"/>
      <c r="S3515" s="17"/>
      <c r="T3515" s="17"/>
      <c r="U3515" s="17"/>
      <c r="V3515" s="17"/>
      <c r="W3515" s="17"/>
      <c r="X3515" s="17"/>
      <c r="Y3515" s="17"/>
      <c r="Z3515" s="31"/>
      <c r="AA3515" s="32"/>
    </row>
    <row r="3516" spans="1:27" ht="12.75">
      <c r="A3516" s="17"/>
      <c r="B3516" s="17"/>
      <c r="C3516" s="17"/>
      <c r="D3516" s="17"/>
      <c r="E3516" s="17"/>
      <c r="F3516" s="17"/>
      <c r="G3516" s="17"/>
      <c r="H3516" s="17"/>
      <c r="I3516" s="31"/>
      <c r="J3516" s="17"/>
      <c r="K3516" s="17"/>
      <c r="L3516" s="17"/>
      <c r="M3516" s="17"/>
      <c r="N3516" s="17"/>
      <c r="O3516" s="17"/>
      <c r="P3516" s="17"/>
      <c r="Q3516" s="17"/>
      <c r="R3516" s="17"/>
      <c r="S3516" s="17"/>
      <c r="T3516" s="17"/>
      <c r="U3516" s="17"/>
      <c r="V3516" s="17"/>
      <c r="W3516" s="17"/>
      <c r="X3516" s="17"/>
      <c r="Y3516" s="17"/>
      <c r="Z3516" s="31"/>
      <c r="AA3516" s="32"/>
    </row>
    <row r="3517" spans="1:27" ht="12.75">
      <c r="A3517" s="17"/>
      <c r="B3517" s="17"/>
      <c r="C3517" s="17"/>
      <c r="D3517" s="17"/>
      <c r="E3517" s="17"/>
      <c r="F3517" s="17"/>
      <c r="G3517" s="17"/>
      <c r="H3517" s="17"/>
      <c r="I3517" s="31"/>
      <c r="J3517" s="17"/>
      <c r="K3517" s="17"/>
      <c r="L3517" s="17"/>
      <c r="M3517" s="17"/>
      <c r="N3517" s="17"/>
      <c r="O3517" s="17"/>
      <c r="P3517" s="17"/>
      <c r="Q3517" s="17"/>
      <c r="R3517" s="17"/>
      <c r="S3517" s="17"/>
      <c r="T3517" s="17"/>
      <c r="U3517" s="17"/>
      <c r="V3517" s="17"/>
      <c r="W3517" s="17"/>
      <c r="X3517" s="17"/>
      <c r="Y3517" s="17"/>
      <c r="Z3517" s="31"/>
      <c r="AA3517" s="32"/>
    </row>
    <row r="3518" spans="1:27" ht="12.75">
      <c r="A3518" s="17"/>
      <c r="B3518" s="17"/>
      <c r="C3518" s="17"/>
      <c r="D3518" s="17"/>
      <c r="E3518" s="17"/>
      <c r="F3518" s="17"/>
      <c r="G3518" s="17"/>
      <c r="H3518" s="17"/>
      <c r="I3518" s="31"/>
      <c r="J3518" s="17"/>
      <c r="K3518" s="17"/>
      <c r="L3518" s="17"/>
      <c r="M3518" s="17"/>
      <c r="N3518" s="17"/>
      <c r="O3518" s="17"/>
      <c r="P3518" s="17"/>
      <c r="Q3518" s="17"/>
      <c r="R3518" s="17"/>
      <c r="S3518" s="17"/>
      <c r="T3518" s="17"/>
      <c r="U3518" s="17"/>
      <c r="V3518" s="17"/>
      <c r="W3518" s="17"/>
      <c r="X3518" s="17"/>
      <c r="Y3518" s="17"/>
      <c r="Z3518" s="31"/>
      <c r="AA3518" s="32"/>
    </row>
    <row r="3519" spans="1:27" ht="12.75">
      <c r="A3519" s="17"/>
      <c r="B3519" s="17"/>
      <c r="C3519" s="17"/>
      <c r="D3519" s="17"/>
      <c r="E3519" s="17"/>
      <c r="F3519" s="17"/>
      <c r="G3519" s="17"/>
      <c r="H3519" s="17"/>
      <c r="I3519" s="31"/>
      <c r="J3519" s="17"/>
      <c r="K3519" s="17"/>
      <c r="L3519" s="17"/>
      <c r="M3519" s="17"/>
      <c r="N3519" s="17"/>
      <c r="O3519" s="17"/>
      <c r="P3519" s="17"/>
      <c r="Q3519" s="17"/>
      <c r="R3519" s="17"/>
      <c r="S3519" s="17"/>
      <c r="T3519" s="17"/>
      <c r="U3519" s="17"/>
      <c r="V3519" s="17"/>
      <c r="W3519" s="17"/>
      <c r="X3519" s="17"/>
      <c r="Y3519" s="17"/>
      <c r="Z3519" s="31"/>
      <c r="AA3519" s="32"/>
    </row>
    <row r="3520" spans="1:27" ht="12.75">
      <c r="A3520" s="17"/>
      <c r="B3520" s="17"/>
      <c r="C3520" s="17"/>
      <c r="D3520" s="17"/>
      <c r="E3520" s="17"/>
      <c r="F3520" s="17"/>
      <c r="G3520" s="17"/>
      <c r="H3520" s="17"/>
      <c r="I3520" s="31"/>
      <c r="J3520" s="17"/>
      <c r="K3520" s="17"/>
      <c r="L3520" s="17"/>
      <c r="M3520" s="17"/>
      <c r="N3520" s="17"/>
      <c r="O3520" s="17"/>
      <c r="P3520" s="17"/>
      <c r="Q3520" s="17"/>
      <c r="R3520" s="17"/>
      <c r="S3520" s="17"/>
      <c r="T3520" s="17"/>
      <c r="U3520" s="17"/>
      <c r="V3520" s="17"/>
      <c r="W3520" s="17"/>
      <c r="X3520" s="17"/>
      <c r="Y3520" s="17"/>
      <c r="Z3520" s="31"/>
      <c r="AA3520" s="32"/>
    </row>
    <row r="3521" spans="1:27" ht="12.75">
      <c r="A3521" s="17"/>
      <c r="B3521" s="17"/>
      <c r="C3521" s="17"/>
      <c r="D3521" s="17"/>
      <c r="E3521" s="17"/>
      <c r="F3521" s="17"/>
      <c r="G3521" s="17"/>
      <c r="H3521" s="17"/>
      <c r="I3521" s="31"/>
      <c r="J3521" s="17"/>
      <c r="K3521" s="17"/>
      <c r="L3521" s="17"/>
      <c r="M3521" s="17"/>
      <c r="N3521" s="17"/>
      <c r="O3521" s="17"/>
      <c r="P3521" s="17"/>
      <c r="Q3521" s="17"/>
      <c r="R3521" s="17"/>
      <c r="S3521" s="17"/>
      <c r="T3521" s="17"/>
      <c r="U3521" s="17"/>
      <c r="V3521" s="17"/>
      <c r="W3521" s="17"/>
      <c r="X3521" s="17"/>
      <c r="Y3521" s="17"/>
      <c r="Z3521" s="31"/>
      <c r="AA3521" s="32"/>
    </row>
    <row r="3522" spans="1:27" ht="12.75">
      <c r="A3522" s="17"/>
      <c r="B3522" s="17"/>
      <c r="C3522" s="17"/>
      <c r="D3522" s="17"/>
      <c r="E3522" s="17"/>
      <c r="F3522" s="17"/>
      <c r="G3522" s="17"/>
      <c r="H3522" s="17"/>
      <c r="I3522" s="31"/>
      <c r="J3522" s="17"/>
      <c r="K3522" s="17"/>
      <c r="L3522" s="17"/>
      <c r="M3522" s="17"/>
      <c r="N3522" s="17"/>
      <c r="O3522" s="17"/>
      <c r="P3522" s="17"/>
      <c r="Q3522" s="17"/>
      <c r="R3522" s="17"/>
      <c r="S3522" s="17"/>
      <c r="T3522" s="17"/>
      <c r="U3522" s="17"/>
      <c r="V3522" s="17"/>
      <c r="W3522" s="17"/>
      <c r="X3522" s="17"/>
      <c r="Y3522" s="17"/>
      <c r="Z3522" s="31"/>
      <c r="AA3522" s="32"/>
    </row>
    <row r="3523" spans="1:27" ht="12.75">
      <c r="A3523" s="17"/>
      <c r="B3523" s="17"/>
      <c r="C3523" s="17"/>
      <c r="D3523" s="17"/>
      <c r="E3523" s="17"/>
      <c r="F3523" s="17"/>
      <c r="G3523" s="17"/>
      <c r="H3523" s="17"/>
      <c r="I3523" s="31"/>
      <c r="J3523" s="17"/>
      <c r="K3523" s="17"/>
      <c r="L3523" s="17"/>
      <c r="M3523" s="17"/>
      <c r="N3523" s="17"/>
      <c r="O3523" s="17"/>
      <c r="P3523" s="17"/>
      <c r="Q3523" s="17"/>
      <c r="R3523" s="17"/>
      <c r="S3523" s="17"/>
      <c r="T3523" s="17"/>
      <c r="U3523" s="17"/>
      <c r="V3523" s="17"/>
      <c r="W3523" s="17"/>
      <c r="X3523" s="17"/>
      <c r="Y3523" s="17"/>
      <c r="Z3523" s="31"/>
      <c r="AA3523" s="32"/>
    </row>
    <row r="3524" spans="1:27" ht="12.75">
      <c r="A3524" s="17"/>
      <c r="B3524" s="17"/>
      <c r="C3524" s="17"/>
      <c r="D3524" s="17"/>
      <c r="E3524" s="17"/>
      <c r="F3524" s="17"/>
      <c r="G3524" s="17"/>
      <c r="H3524" s="17"/>
      <c r="I3524" s="31"/>
      <c r="J3524" s="17"/>
      <c r="K3524" s="17"/>
      <c r="L3524" s="17"/>
      <c r="M3524" s="17"/>
      <c r="N3524" s="17"/>
      <c r="O3524" s="17"/>
      <c r="P3524" s="17"/>
      <c r="Q3524" s="17"/>
      <c r="R3524" s="17"/>
      <c r="S3524" s="17"/>
      <c r="T3524" s="17"/>
      <c r="U3524" s="17"/>
      <c r="V3524" s="17"/>
      <c r="W3524" s="17"/>
      <c r="X3524" s="17"/>
      <c r="Y3524" s="17"/>
      <c r="Z3524" s="31"/>
      <c r="AA3524" s="32"/>
    </row>
    <row r="3525" spans="1:27" ht="12.75">
      <c r="A3525" s="17"/>
      <c r="B3525" s="17"/>
      <c r="C3525" s="17"/>
      <c r="D3525" s="17"/>
      <c r="E3525" s="17"/>
      <c r="F3525" s="17"/>
      <c r="G3525" s="17"/>
      <c r="H3525" s="17"/>
      <c r="I3525" s="31"/>
      <c r="J3525" s="17"/>
      <c r="K3525" s="17"/>
      <c r="L3525" s="17"/>
      <c r="M3525" s="17"/>
      <c r="N3525" s="17"/>
      <c r="O3525" s="17"/>
      <c r="P3525" s="17"/>
      <c r="Q3525" s="17"/>
      <c r="R3525" s="17"/>
      <c r="S3525" s="17"/>
      <c r="T3525" s="17"/>
      <c r="U3525" s="17"/>
      <c r="V3525" s="17"/>
      <c r="W3525" s="17"/>
      <c r="X3525" s="17"/>
      <c r="Y3525" s="17"/>
      <c r="Z3525" s="31"/>
      <c r="AA3525" s="32"/>
    </row>
    <row r="3526" spans="1:27" ht="12.75">
      <c r="A3526" s="17"/>
      <c r="B3526" s="17"/>
      <c r="C3526" s="17"/>
      <c r="D3526" s="17"/>
      <c r="E3526" s="17"/>
      <c r="F3526" s="17"/>
      <c r="G3526" s="17"/>
      <c r="H3526" s="17"/>
      <c r="I3526" s="31"/>
      <c r="J3526" s="17"/>
      <c r="K3526" s="17"/>
      <c r="L3526" s="17"/>
      <c r="M3526" s="17"/>
      <c r="N3526" s="17"/>
      <c r="O3526" s="17"/>
      <c r="P3526" s="17"/>
      <c r="Q3526" s="17"/>
      <c r="R3526" s="17"/>
      <c r="S3526" s="17"/>
      <c r="T3526" s="17"/>
      <c r="U3526" s="17"/>
      <c r="V3526" s="17"/>
      <c r="W3526" s="17"/>
      <c r="X3526" s="17"/>
      <c r="Y3526" s="17"/>
      <c r="Z3526" s="31"/>
      <c r="AA3526" s="32"/>
    </row>
    <row r="3527" spans="1:27" ht="12.75">
      <c r="A3527" s="17"/>
      <c r="B3527" s="17"/>
      <c r="C3527" s="17"/>
      <c r="D3527" s="17"/>
      <c r="E3527" s="17"/>
      <c r="F3527" s="17"/>
      <c r="G3527" s="17"/>
      <c r="H3527" s="17"/>
      <c r="I3527" s="31"/>
      <c r="J3527" s="17"/>
      <c r="K3527" s="17"/>
      <c r="L3527" s="17"/>
      <c r="M3527" s="17"/>
      <c r="N3527" s="17"/>
      <c r="O3527" s="17"/>
      <c r="P3527" s="17"/>
      <c r="Q3527" s="17"/>
      <c r="R3527" s="17"/>
      <c r="S3527" s="17"/>
      <c r="T3527" s="17"/>
      <c r="U3527" s="17"/>
      <c r="V3527" s="17"/>
      <c r="W3527" s="17"/>
      <c r="X3527" s="17"/>
      <c r="Y3527" s="17"/>
      <c r="Z3527" s="31"/>
      <c r="AA3527" s="32"/>
    </row>
    <row r="3528" spans="1:27" ht="12.75">
      <c r="A3528" s="17"/>
      <c r="B3528" s="17"/>
      <c r="C3528" s="17"/>
      <c r="D3528" s="17"/>
      <c r="E3528" s="17"/>
      <c r="F3528" s="17"/>
      <c r="G3528" s="17"/>
      <c r="H3528" s="17"/>
      <c r="I3528" s="31"/>
      <c r="J3528" s="17"/>
      <c r="K3528" s="17"/>
      <c r="L3528" s="17"/>
      <c r="M3528" s="17"/>
      <c r="N3528" s="17"/>
      <c r="O3528" s="17"/>
      <c r="P3528" s="17"/>
      <c r="Q3528" s="17"/>
      <c r="R3528" s="17"/>
      <c r="S3528" s="17"/>
      <c r="T3528" s="17"/>
      <c r="U3528" s="17"/>
      <c r="V3528" s="17"/>
      <c r="W3528" s="17"/>
      <c r="X3528" s="17"/>
      <c r="Y3528" s="17"/>
      <c r="Z3528" s="31"/>
      <c r="AA3528" s="32"/>
    </row>
    <row r="3529" spans="1:27" ht="12.75">
      <c r="A3529" s="17"/>
      <c r="B3529" s="17"/>
      <c r="C3529" s="17"/>
      <c r="D3529" s="17"/>
      <c r="E3529" s="17"/>
      <c r="F3529" s="17"/>
      <c r="G3529" s="17"/>
      <c r="H3529" s="17"/>
      <c r="I3529" s="31"/>
      <c r="J3529" s="17"/>
      <c r="K3529" s="17"/>
      <c r="L3529" s="17"/>
      <c r="M3529" s="17"/>
      <c r="N3529" s="17"/>
      <c r="O3529" s="17"/>
      <c r="P3529" s="17"/>
      <c r="Q3529" s="17"/>
      <c r="R3529" s="17"/>
      <c r="S3529" s="17"/>
      <c r="T3529" s="17"/>
      <c r="U3529" s="17"/>
      <c r="V3529" s="17"/>
      <c r="W3529" s="17"/>
      <c r="X3529" s="17"/>
      <c r="Y3529" s="17"/>
      <c r="Z3529" s="31"/>
      <c r="AA3529" s="32"/>
    </row>
    <row r="3530" spans="1:27" ht="12.75">
      <c r="A3530" s="17"/>
      <c r="B3530" s="17"/>
      <c r="C3530" s="17"/>
      <c r="D3530" s="17"/>
      <c r="E3530" s="17"/>
      <c r="F3530" s="17"/>
      <c r="G3530" s="17"/>
      <c r="H3530" s="17"/>
      <c r="I3530" s="31"/>
      <c r="J3530" s="17"/>
      <c r="K3530" s="17"/>
      <c r="L3530" s="17"/>
      <c r="M3530" s="17"/>
      <c r="N3530" s="17"/>
      <c r="O3530" s="17"/>
      <c r="P3530" s="17"/>
      <c r="Q3530" s="17"/>
      <c r="R3530" s="17"/>
      <c r="S3530" s="17"/>
      <c r="T3530" s="17"/>
      <c r="U3530" s="17"/>
      <c r="V3530" s="17"/>
      <c r="W3530" s="17"/>
      <c r="X3530" s="17"/>
      <c r="Y3530" s="17"/>
      <c r="Z3530" s="31"/>
      <c r="AA3530" s="32"/>
    </row>
    <row r="3531" spans="1:27" ht="12.75">
      <c r="A3531" s="17"/>
      <c r="B3531" s="17"/>
      <c r="C3531" s="17"/>
      <c r="D3531" s="17"/>
      <c r="E3531" s="17"/>
      <c r="F3531" s="17"/>
      <c r="G3531" s="17"/>
      <c r="H3531" s="17"/>
      <c r="I3531" s="31"/>
      <c r="J3531" s="17"/>
      <c r="K3531" s="17"/>
      <c r="L3531" s="17"/>
      <c r="M3531" s="17"/>
      <c r="N3531" s="17"/>
      <c r="O3531" s="17"/>
      <c r="P3531" s="17"/>
      <c r="Q3531" s="17"/>
      <c r="R3531" s="17"/>
      <c r="S3531" s="17"/>
      <c r="T3531" s="17"/>
      <c r="U3531" s="17"/>
      <c r="V3531" s="17"/>
      <c r="W3531" s="17"/>
      <c r="X3531" s="17"/>
      <c r="Y3531" s="17"/>
      <c r="Z3531" s="31"/>
      <c r="AA3531" s="32"/>
    </row>
    <row r="3532" spans="1:27" ht="12.75">
      <c r="A3532" s="17"/>
      <c r="B3532" s="17"/>
      <c r="C3532" s="17"/>
      <c r="D3532" s="17"/>
      <c r="E3532" s="17"/>
      <c r="F3532" s="17"/>
      <c r="G3532" s="17"/>
      <c r="H3532" s="17"/>
      <c r="I3532" s="31"/>
      <c r="J3532" s="17"/>
      <c r="K3532" s="17"/>
      <c r="L3532" s="17"/>
      <c r="M3532" s="17"/>
      <c r="N3532" s="17"/>
      <c r="O3532" s="17"/>
      <c r="P3532" s="17"/>
      <c r="Q3532" s="17"/>
      <c r="R3532" s="17"/>
      <c r="S3532" s="17"/>
      <c r="T3532" s="17"/>
      <c r="U3532" s="17"/>
      <c r="V3532" s="17"/>
      <c r="W3532" s="17"/>
      <c r="X3532" s="17"/>
      <c r="Y3532" s="17"/>
      <c r="Z3532" s="31"/>
      <c r="AA3532" s="32"/>
    </row>
    <row r="3533" spans="1:27" ht="12.75">
      <c r="A3533" s="17"/>
      <c r="B3533" s="17"/>
      <c r="C3533" s="17"/>
      <c r="D3533" s="17"/>
      <c r="E3533" s="17"/>
      <c r="F3533" s="17"/>
      <c r="G3533" s="17"/>
      <c r="H3533" s="17"/>
      <c r="I3533" s="31"/>
      <c r="J3533" s="17"/>
      <c r="K3533" s="17"/>
      <c r="L3533" s="17"/>
      <c r="M3533" s="17"/>
      <c r="N3533" s="17"/>
      <c r="O3533" s="17"/>
      <c r="P3533" s="17"/>
      <c r="Q3533" s="17"/>
      <c r="R3533" s="17"/>
      <c r="S3533" s="17"/>
      <c r="T3533" s="17"/>
      <c r="U3533" s="17"/>
      <c r="V3533" s="17"/>
      <c r="W3533" s="17"/>
      <c r="X3533" s="17"/>
      <c r="Y3533" s="17"/>
      <c r="Z3533" s="31"/>
      <c r="AA3533" s="32"/>
    </row>
    <row r="3534" spans="1:27" ht="12.75">
      <c r="A3534" s="17"/>
      <c r="B3534" s="17"/>
      <c r="C3534" s="17"/>
      <c r="D3534" s="17"/>
      <c r="E3534" s="17"/>
      <c r="F3534" s="17"/>
      <c r="G3534" s="17"/>
      <c r="H3534" s="17"/>
      <c r="I3534" s="31"/>
      <c r="J3534" s="17"/>
      <c r="K3534" s="17"/>
      <c r="L3534" s="17"/>
      <c r="M3534" s="17"/>
      <c r="N3534" s="17"/>
      <c r="O3534" s="17"/>
      <c r="P3534" s="17"/>
      <c r="Q3534" s="17"/>
      <c r="R3534" s="17"/>
      <c r="S3534" s="17"/>
      <c r="T3534" s="17"/>
      <c r="U3534" s="17"/>
      <c r="V3534" s="17"/>
      <c r="W3534" s="17"/>
      <c r="X3534" s="17"/>
      <c r="Y3534" s="17"/>
      <c r="Z3534" s="31"/>
      <c r="AA3534" s="32"/>
    </row>
    <row r="3535" spans="1:27" ht="12.75">
      <c r="A3535" s="17"/>
      <c r="B3535" s="17"/>
      <c r="C3535" s="17"/>
      <c r="D3535" s="17"/>
      <c r="E3535" s="17"/>
      <c r="F3535" s="17"/>
      <c r="G3535" s="17"/>
      <c r="H3535" s="17"/>
      <c r="I3535" s="31"/>
      <c r="J3535" s="17"/>
      <c r="K3535" s="17"/>
      <c r="L3535" s="17"/>
      <c r="M3535" s="17"/>
      <c r="N3535" s="17"/>
      <c r="O3535" s="17"/>
      <c r="P3535" s="17"/>
      <c r="Q3535" s="17"/>
      <c r="R3535" s="17"/>
      <c r="S3535" s="17"/>
      <c r="T3535" s="17"/>
      <c r="U3535" s="17"/>
      <c r="V3535" s="17"/>
      <c r="W3535" s="17"/>
      <c r="X3535" s="17"/>
      <c r="Y3535" s="17"/>
      <c r="Z3535" s="31"/>
      <c r="AA3535" s="32"/>
    </row>
    <row r="3536" spans="1:27" ht="12.75">
      <c r="A3536" s="17"/>
      <c r="B3536" s="17"/>
      <c r="C3536" s="17"/>
      <c r="D3536" s="17"/>
      <c r="E3536" s="17"/>
      <c r="F3536" s="17"/>
      <c r="G3536" s="17"/>
      <c r="H3536" s="17"/>
      <c r="I3536" s="31"/>
      <c r="J3536" s="17"/>
      <c r="K3536" s="17"/>
      <c r="L3536" s="17"/>
      <c r="M3536" s="17"/>
      <c r="N3536" s="17"/>
      <c r="O3536" s="17"/>
      <c r="P3536" s="17"/>
      <c r="Q3536" s="17"/>
      <c r="R3536" s="17"/>
      <c r="S3536" s="17"/>
      <c r="T3536" s="17"/>
      <c r="U3536" s="17"/>
      <c r="V3536" s="17"/>
      <c r="W3536" s="17"/>
      <c r="X3536" s="17"/>
      <c r="Y3536" s="17"/>
      <c r="Z3536" s="31"/>
      <c r="AA3536" s="32"/>
    </row>
    <row r="3537" spans="1:27" ht="12.75">
      <c r="A3537" s="17"/>
      <c r="B3537" s="17"/>
      <c r="C3537" s="17"/>
      <c r="D3537" s="17"/>
      <c r="E3537" s="17"/>
      <c r="F3537" s="17"/>
      <c r="G3537" s="17"/>
      <c r="H3537" s="17"/>
      <c r="I3537" s="31"/>
      <c r="J3537" s="17"/>
      <c r="K3537" s="17"/>
      <c r="L3537" s="17"/>
      <c r="M3537" s="17"/>
      <c r="N3537" s="17"/>
      <c r="O3537" s="17"/>
      <c r="P3537" s="17"/>
      <c r="Q3537" s="17"/>
      <c r="R3537" s="17"/>
      <c r="S3537" s="17"/>
      <c r="T3537" s="17"/>
      <c r="U3537" s="17"/>
      <c r="V3537" s="17"/>
      <c r="W3537" s="17"/>
      <c r="X3537" s="17"/>
      <c r="Y3537" s="17"/>
      <c r="Z3537" s="31"/>
      <c r="AA3537" s="32"/>
    </row>
    <row r="3538" spans="1:27" ht="12.75">
      <c r="A3538" s="17"/>
      <c r="B3538" s="17"/>
      <c r="C3538" s="17"/>
      <c r="D3538" s="17"/>
      <c r="E3538" s="17"/>
      <c r="F3538" s="17"/>
      <c r="G3538" s="17"/>
      <c r="H3538" s="17"/>
      <c r="I3538" s="31"/>
      <c r="J3538" s="17"/>
      <c r="K3538" s="17"/>
      <c r="L3538" s="17"/>
      <c r="M3538" s="17"/>
      <c r="N3538" s="17"/>
      <c r="O3538" s="17"/>
      <c r="P3538" s="17"/>
      <c r="Q3538" s="17"/>
      <c r="R3538" s="17"/>
      <c r="S3538" s="17"/>
      <c r="T3538" s="17"/>
      <c r="U3538" s="17"/>
      <c r="V3538" s="17"/>
      <c r="W3538" s="17"/>
      <c r="X3538" s="17"/>
      <c r="Y3538" s="17"/>
      <c r="Z3538" s="31"/>
      <c r="AA3538" s="32"/>
    </row>
    <row r="3539" spans="1:27" ht="12.75">
      <c r="A3539" s="17"/>
      <c r="B3539" s="17"/>
      <c r="C3539" s="17"/>
      <c r="D3539" s="17"/>
      <c r="E3539" s="17"/>
      <c r="F3539" s="17"/>
      <c r="G3539" s="17"/>
      <c r="H3539" s="17"/>
      <c r="I3539" s="31"/>
      <c r="J3539" s="17"/>
      <c r="K3539" s="17"/>
      <c r="L3539" s="17"/>
      <c r="M3539" s="17"/>
      <c r="N3539" s="17"/>
      <c r="O3539" s="17"/>
      <c r="P3539" s="17"/>
      <c r="Q3539" s="17"/>
      <c r="R3539" s="17"/>
      <c r="S3539" s="17"/>
      <c r="T3539" s="17"/>
      <c r="U3539" s="17"/>
      <c r="V3539" s="17"/>
      <c r="W3539" s="17"/>
      <c r="X3539" s="17"/>
      <c r="Y3539" s="17"/>
      <c r="Z3539" s="31"/>
      <c r="AA3539" s="32"/>
    </row>
    <row r="3540" spans="1:27" ht="12.75">
      <c r="A3540" s="17"/>
      <c r="B3540" s="17"/>
      <c r="C3540" s="17"/>
      <c r="D3540" s="17"/>
      <c r="E3540" s="17"/>
      <c r="F3540" s="17"/>
      <c r="G3540" s="17"/>
      <c r="H3540" s="17"/>
      <c r="I3540" s="31"/>
      <c r="J3540" s="17"/>
      <c r="K3540" s="17"/>
      <c r="L3540" s="17"/>
      <c r="M3540" s="17"/>
      <c r="N3540" s="17"/>
      <c r="O3540" s="17"/>
      <c r="P3540" s="17"/>
      <c r="Q3540" s="17"/>
      <c r="R3540" s="17"/>
      <c r="S3540" s="17"/>
      <c r="T3540" s="17"/>
      <c r="U3540" s="17"/>
      <c r="V3540" s="17"/>
      <c r="W3540" s="17"/>
      <c r="X3540" s="17"/>
      <c r="Y3540" s="17"/>
      <c r="Z3540" s="31"/>
      <c r="AA3540" s="32"/>
    </row>
    <row r="3541" spans="1:27" ht="12.75">
      <c r="A3541" s="17"/>
      <c r="B3541" s="17"/>
      <c r="C3541" s="17"/>
      <c r="D3541" s="17"/>
      <c r="E3541" s="17"/>
      <c r="F3541" s="17"/>
      <c r="G3541" s="17"/>
      <c r="H3541" s="17"/>
      <c r="I3541" s="31"/>
      <c r="J3541" s="17"/>
      <c r="K3541" s="17"/>
      <c r="L3541" s="17"/>
      <c r="M3541" s="17"/>
      <c r="N3541" s="17"/>
      <c r="O3541" s="17"/>
      <c r="P3541" s="17"/>
      <c r="Q3541" s="17"/>
      <c r="R3541" s="17"/>
      <c r="S3541" s="17"/>
      <c r="T3541" s="17"/>
      <c r="U3541" s="17"/>
      <c r="V3541" s="17"/>
      <c r="W3541" s="17"/>
      <c r="X3541" s="17"/>
      <c r="Y3541" s="17"/>
      <c r="Z3541" s="31"/>
      <c r="AA3541" s="32"/>
    </row>
    <row r="3542" spans="1:27" ht="12.75">
      <c r="A3542" s="17"/>
      <c r="B3542" s="17"/>
      <c r="C3542" s="17"/>
      <c r="D3542" s="17"/>
      <c r="E3542" s="17"/>
      <c r="F3542" s="17"/>
      <c r="G3542" s="17"/>
      <c r="H3542" s="17"/>
      <c r="I3542" s="31"/>
      <c r="J3542" s="17"/>
      <c r="K3542" s="17"/>
      <c r="L3542" s="17"/>
      <c r="M3542" s="17"/>
      <c r="N3542" s="17"/>
      <c r="O3542" s="17"/>
      <c r="P3542" s="17"/>
      <c r="Q3542" s="17"/>
      <c r="R3542" s="17"/>
      <c r="S3542" s="17"/>
      <c r="T3542" s="17"/>
      <c r="U3542" s="17"/>
      <c r="V3542" s="17"/>
      <c r="W3542" s="17"/>
      <c r="X3542" s="17"/>
      <c r="Y3542" s="17"/>
      <c r="Z3542" s="31"/>
      <c r="AA3542" s="32"/>
    </row>
    <row r="3543" spans="1:27" ht="12.75">
      <c r="A3543" s="17"/>
      <c r="B3543" s="17"/>
      <c r="C3543" s="17"/>
      <c r="D3543" s="17"/>
      <c r="E3543" s="17"/>
      <c r="F3543" s="17"/>
      <c r="G3543" s="17"/>
      <c r="H3543" s="17"/>
      <c r="I3543" s="31"/>
      <c r="J3543" s="17"/>
      <c r="K3543" s="17"/>
      <c r="L3543" s="17"/>
      <c r="M3543" s="17"/>
      <c r="N3543" s="17"/>
      <c r="O3543" s="17"/>
      <c r="P3543" s="17"/>
      <c r="Q3543" s="17"/>
      <c r="R3543" s="17"/>
      <c r="S3543" s="17"/>
      <c r="T3543" s="17"/>
      <c r="U3543" s="17"/>
      <c r="V3543" s="17"/>
      <c r="W3543" s="17"/>
      <c r="X3543" s="17"/>
      <c r="Y3543" s="17"/>
      <c r="Z3543" s="31"/>
      <c r="AA3543" s="32"/>
    </row>
    <row r="3544" spans="1:27" ht="12.75">
      <c r="A3544" s="17"/>
      <c r="B3544" s="17"/>
      <c r="C3544" s="17"/>
      <c r="D3544" s="17"/>
      <c r="E3544" s="17"/>
      <c r="F3544" s="17"/>
      <c r="G3544" s="17"/>
      <c r="H3544" s="17"/>
      <c r="I3544" s="31"/>
      <c r="J3544" s="17"/>
      <c r="K3544" s="17"/>
      <c r="L3544" s="17"/>
      <c r="M3544" s="17"/>
      <c r="N3544" s="17"/>
      <c r="O3544" s="17"/>
      <c r="P3544" s="17"/>
      <c r="Q3544" s="17"/>
      <c r="R3544" s="17"/>
      <c r="S3544" s="17"/>
      <c r="T3544" s="17"/>
      <c r="U3544" s="17"/>
      <c r="V3544" s="17"/>
      <c r="W3544" s="17"/>
      <c r="X3544" s="17"/>
      <c r="Y3544" s="17"/>
      <c r="Z3544" s="31"/>
      <c r="AA3544" s="32"/>
    </row>
    <row r="3545" spans="1:27" ht="12.75">
      <c r="A3545" s="17"/>
      <c r="B3545" s="17"/>
      <c r="C3545" s="17"/>
      <c r="D3545" s="17"/>
      <c r="E3545" s="17"/>
      <c r="F3545" s="17"/>
      <c r="G3545" s="17"/>
      <c r="H3545" s="17"/>
      <c r="I3545" s="31"/>
      <c r="J3545" s="17"/>
      <c r="K3545" s="17"/>
      <c r="L3545" s="17"/>
      <c r="M3545" s="17"/>
      <c r="N3545" s="17"/>
      <c r="O3545" s="17"/>
      <c r="P3545" s="17"/>
      <c r="Q3545" s="17"/>
      <c r="R3545" s="17"/>
      <c r="S3545" s="17"/>
      <c r="T3545" s="17"/>
      <c r="U3545" s="17"/>
      <c r="V3545" s="17"/>
      <c r="W3545" s="17"/>
      <c r="X3545" s="17"/>
      <c r="Y3545" s="17"/>
      <c r="Z3545" s="31"/>
      <c r="AA3545" s="32"/>
    </row>
    <row r="3546" spans="1:27" ht="12.75">
      <c r="A3546" s="17"/>
      <c r="B3546" s="17"/>
      <c r="C3546" s="17"/>
      <c r="D3546" s="17"/>
      <c r="E3546" s="17"/>
      <c r="F3546" s="17"/>
      <c r="G3546" s="17"/>
      <c r="H3546" s="17"/>
      <c r="I3546" s="31"/>
      <c r="J3546" s="17"/>
      <c r="K3546" s="17"/>
      <c r="L3546" s="17"/>
      <c r="M3546" s="17"/>
      <c r="N3546" s="17"/>
      <c r="O3546" s="17"/>
      <c r="P3546" s="17"/>
      <c r="Q3546" s="17"/>
      <c r="R3546" s="17"/>
      <c r="S3546" s="17"/>
      <c r="T3546" s="17"/>
      <c r="U3546" s="17"/>
      <c r="V3546" s="17"/>
      <c r="W3546" s="17"/>
      <c r="X3546" s="17"/>
      <c r="Y3546" s="17"/>
      <c r="Z3546" s="31"/>
      <c r="AA3546" s="32"/>
    </row>
    <row r="3547" spans="1:27" ht="12.75">
      <c r="A3547" s="17"/>
      <c r="B3547" s="17"/>
      <c r="C3547" s="17"/>
      <c r="D3547" s="17"/>
      <c r="E3547" s="17"/>
      <c r="F3547" s="17"/>
      <c r="G3547" s="17"/>
      <c r="H3547" s="17"/>
      <c r="I3547" s="31"/>
      <c r="J3547" s="17"/>
      <c r="K3547" s="17"/>
      <c r="L3547" s="17"/>
      <c r="M3547" s="17"/>
      <c r="N3547" s="17"/>
      <c r="O3547" s="17"/>
      <c r="P3547" s="17"/>
      <c r="Q3547" s="17"/>
      <c r="R3547" s="17"/>
      <c r="S3547" s="17"/>
      <c r="T3547" s="17"/>
      <c r="U3547" s="17"/>
      <c r="V3547" s="17"/>
      <c r="W3547" s="17"/>
      <c r="X3547" s="17"/>
      <c r="Y3547" s="17"/>
      <c r="Z3547" s="31"/>
      <c r="AA3547" s="32"/>
    </row>
    <row r="3548" spans="1:27" ht="12.75">
      <c r="A3548" s="17"/>
      <c r="B3548" s="17"/>
      <c r="C3548" s="17"/>
      <c r="D3548" s="17"/>
      <c r="E3548" s="17"/>
      <c r="F3548" s="17"/>
      <c r="G3548" s="17"/>
      <c r="H3548" s="17"/>
      <c r="I3548" s="31"/>
      <c r="J3548" s="17"/>
      <c r="K3548" s="17"/>
      <c r="L3548" s="17"/>
      <c r="M3548" s="17"/>
      <c r="N3548" s="17"/>
      <c r="O3548" s="17"/>
      <c r="P3548" s="17"/>
      <c r="Q3548" s="17"/>
      <c r="R3548" s="17"/>
      <c r="S3548" s="17"/>
      <c r="T3548" s="17"/>
      <c r="U3548" s="17"/>
      <c r="V3548" s="17"/>
      <c r="W3548" s="17"/>
      <c r="X3548" s="17"/>
      <c r="Y3548" s="17"/>
      <c r="Z3548" s="31"/>
      <c r="AA3548" s="32"/>
    </row>
    <row r="3549" spans="1:27" ht="12.75">
      <c r="A3549" s="17"/>
      <c r="B3549" s="17"/>
      <c r="C3549" s="17"/>
      <c r="D3549" s="17"/>
      <c r="E3549" s="17"/>
      <c r="F3549" s="17"/>
      <c r="G3549" s="17"/>
      <c r="H3549" s="17"/>
      <c r="I3549" s="31"/>
      <c r="J3549" s="17"/>
      <c r="K3549" s="17"/>
      <c r="L3549" s="17"/>
      <c r="M3549" s="17"/>
      <c r="N3549" s="17"/>
      <c r="O3549" s="17"/>
      <c r="P3549" s="17"/>
      <c r="Q3549" s="17"/>
      <c r="R3549" s="17"/>
      <c r="S3549" s="17"/>
      <c r="T3549" s="17"/>
      <c r="U3549" s="17"/>
      <c r="V3549" s="17"/>
      <c r="W3549" s="17"/>
      <c r="X3549" s="17"/>
      <c r="Y3549" s="17"/>
      <c r="Z3549" s="31"/>
      <c r="AA3549" s="32"/>
    </row>
    <row r="3550" spans="1:27" ht="12.75">
      <c r="A3550" s="17"/>
      <c r="B3550" s="17"/>
      <c r="C3550" s="17"/>
      <c r="D3550" s="17"/>
      <c r="E3550" s="17"/>
      <c r="F3550" s="17"/>
      <c r="G3550" s="17"/>
      <c r="H3550" s="17"/>
      <c r="I3550" s="31"/>
      <c r="J3550" s="17"/>
      <c r="K3550" s="17"/>
      <c r="L3550" s="17"/>
      <c r="M3550" s="17"/>
      <c r="N3550" s="17"/>
      <c r="O3550" s="17"/>
      <c r="P3550" s="17"/>
      <c r="Q3550" s="17"/>
      <c r="R3550" s="17"/>
      <c r="S3550" s="17"/>
      <c r="T3550" s="17"/>
      <c r="U3550" s="17"/>
      <c r="V3550" s="17"/>
      <c r="W3550" s="17"/>
      <c r="X3550" s="17"/>
      <c r="Y3550" s="17"/>
      <c r="Z3550" s="31"/>
      <c r="AA3550" s="32"/>
    </row>
    <row r="3551" spans="1:27" ht="12.75">
      <c r="A3551" s="17"/>
      <c r="B3551" s="17"/>
      <c r="C3551" s="17"/>
      <c r="D3551" s="17"/>
      <c r="E3551" s="17"/>
      <c r="F3551" s="17"/>
      <c r="G3551" s="17"/>
      <c r="H3551" s="17"/>
      <c r="I3551" s="31"/>
      <c r="J3551" s="17"/>
      <c r="K3551" s="17"/>
      <c r="L3551" s="17"/>
      <c r="M3551" s="17"/>
      <c r="N3551" s="17"/>
      <c r="O3551" s="17"/>
      <c r="P3551" s="17"/>
      <c r="Q3551" s="17"/>
      <c r="R3551" s="17"/>
      <c r="S3551" s="17"/>
      <c r="T3551" s="17"/>
      <c r="U3551" s="17"/>
      <c r="V3551" s="17"/>
      <c r="W3551" s="17"/>
      <c r="X3551" s="17"/>
      <c r="Y3551" s="17"/>
      <c r="Z3551" s="31"/>
      <c r="AA3551" s="32"/>
    </row>
    <row r="3552" spans="1:27" ht="12.75">
      <c r="A3552" s="17"/>
      <c r="B3552" s="17"/>
      <c r="C3552" s="17"/>
      <c r="D3552" s="17"/>
      <c r="E3552" s="17"/>
      <c r="F3552" s="17"/>
      <c r="G3552" s="17"/>
      <c r="H3552" s="17"/>
      <c r="I3552" s="31"/>
      <c r="J3552" s="17"/>
      <c r="K3552" s="17"/>
      <c r="L3552" s="17"/>
      <c r="M3552" s="17"/>
      <c r="N3552" s="17"/>
      <c r="O3552" s="17"/>
      <c r="P3552" s="17"/>
      <c r="Q3552" s="17"/>
      <c r="R3552" s="17"/>
      <c r="S3552" s="17"/>
      <c r="T3552" s="17"/>
      <c r="U3552" s="17"/>
      <c r="V3552" s="17"/>
      <c r="W3552" s="17"/>
      <c r="X3552" s="17"/>
      <c r="Y3552" s="17"/>
      <c r="Z3552" s="31"/>
      <c r="AA3552" s="32"/>
    </row>
    <row r="3553" spans="1:27" ht="12.75">
      <c r="A3553" s="17"/>
      <c r="B3553" s="17"/>
      <c r="C3553" s="17"/>
      <c r="D3553" s="17"/>
      <c r="E3553" s="17"/>
      <c r="F3553" s="17"/>
      <c r="G3553" s="17"/>
      <c r="H3553" s="17"/>
      <c r="I3553" s="31"/>
      <c r="J3553" s="17"/>
      <c r="K3553" s="17"/>
      <c r="L3553" s="17"/>
      <c r="M3553" s="17"/>
      <c r="N3553" s="17"/>
      <c r="O3553" s="17"/>
      <c r="P3553" s="17"/>
      <c r="Q3553" s="17"/>
      <c r="R3553" s="17"/>
      <c r="S3553" s="17"/>
      <c r="T3553" s="17"/>
      <c r="U3553" s="17"/>
      <c r="V3553" s="17"/>
      <c r="W3553" s="17"/>
      <c r="X3553" s="17"/>
      <c r="Y3553" s="17"/>
      <c r="Z3553" s="31"/>
      <c r="AA3553" s="32"/>
    </row>
    <row r="3554" spans="1:27" ht="12.75">
      <c r="A3554" s="17"/>
      <c r="B3554" s="17"/>
      <c r="C3554" s="17"/>
      <c r="D3554" s="17"/>
      <c r="E3554" s="17"/>
      <c r="F3554" s="17"/>
      <c r="G3554" s="17"/>
      <c r="H3554" s="17"/>
      <c r="I3554" s="31"/>
      <c r="J3554" s="17"/>
      <c r="K3554" s="17"/>
      <c r="L3554" s="17"/>
      <c r="M3554" s="17"/>
      <c r="N3554" s="17"/>
      <c r="O3554" s="17"/>
      <c r="P3554" s="17"/>
      <c r="Q3554" s="17"/>
      <c r="R3554" s="17"/>
      <c r="S3554" s="17"/>
      <c r="T3554" s="17"/>
      <c r="U3554" s="17"/>
      <c r="V3554" s="17"/>
      <c r="W3554" s="17"/>
      <c r="X3554" s="17"/>
      <c r="Y3554" s="17"/>
      <c r="Z3554" s="31"/>
      <c r="AA3554" s="32"/>
    </row>
    <row r="3555" spans="1:27" ht="12.75">
      <c r="A3555" s="17"/>
      <c r="B3555" s="17"/>
      <c r="C3555" s="17"/>
      <c r="D3555" s="17"/>
      <c r="E3555" s="17"/>
      <c r="F3555" s="17"/>
      <c r="G3555" s="17"/>
      <c r="H3555" s="17"/>
      <c r="I3555" s="31"/>
      <c r="J3555" s="17"/>
      <c r="K3555" s="17"/>
      <c r="L3555" s="17"/>
      <c r="M3555" s="17"/>
      <c r="N3555" s="17"/>
      <c r="O3555" s="17"/>
      <c r="P3555" s="17"/>
      <c r="Q3555" s="17"/>
      <c r="R3555" s="17"/>
      <c r="S3555" s="17"/>
      <c r="T3555" s="17"/>
      <c r="U3555" s="17"/>
      <c r="V3555" s="17"/>
      <c r="W3555" s="17"/>
      <c r="X3555" s="17"/>
      <c r="Y3555" s="17"/>
      <c r="Z3555" s="31"/>
      <c r="AA3555" s="32"/>
    </row>
    <row r="3556" spans="1:27" ht="12.75">
      <c r="A3556" s="17"/>
      <c r="B3556" s="17"/>
      <c r="C3556" s="17"/>
      <c r="D3556" s="17"/>
      <c r="E3556" s="17"/>
      <c r="F3556" s="17"/>
      <c r="G3556" s="17"/>
      <c r="H3556" s="17"/>
      <c r="I3556" s="31"/>
      <c r="J3556" s="17"/>
      <c r="K3556" s="17"/>
      <c r="L3556" s="17"/>
      <c r="M3556" s="17"/>
      <c r="N3556" s="17"/>
      <c r="O3556" s="17"/>
      <c r="P3556" s="17"/>
      <c r="Q3556" s="17"/>
      <c r="R3556" s="17"/>
      <c r="S3556" s="17"/>
      <c r="T3556" s="17"/>
      <c r="U3556" s="17"/>
      <c r="V3556" s="17"/>
      <c r="W3556" s="17"/>
      <c r="X3556" s="17"/>
      <c r="Y3556" s="17"/>
      <c r="Z3556" s="31"/>
      <c r="AA3556" s="32"/>
    </row>
    <row r="3557" spans="1:27" ht="12.75">
      <c r="A3557" s="17"/>
      <c r="B3557" s="17"/>
      <c r="C3557" s="17"/>
      <c r="D3557" s="17"/>
      <c r="E3557" s="17"/>
      <c r="F3557" s="17"/>
      <c r="G3557" s="17"/>
      <c r="H3557" s="17"/>
      <c r="I3557" s="31"/>
      <c r="J3557" s="17"/>
      <c r="K3557" s="17"/>
      <c r="L3557" s="17"/>
      <c r="M3557" s="17"/>
      <c r="N3557" s="17"/>
      <c r="O3557" s="17"/>
      <c r="P3557" s="17"/>
      <c r="Q3557" s="17"/>
      <c r="R3557" s="17"/>
      <c r="S3557" s="17"/>
      <c r="T3557" s="17"/>
      <c r="U3557" s="17"/>
      <c r="V3557" s="17"/>
      <c r="W3557" s="17"/>
      <c r="X3557" s="17"/>
      <c r="Y3557" s="17"/>
      <c r="Z3557" s="31"/>
      <c r="AA3557" s="32"/>
    </row>
    <row r="3558" spans="1:27" ht="12.75">
      <c r="A3558" s="17"/>
      <c r="B3558" s="17"/>
      <c r="C3558" s="17"/>
      <c r="D3558" s="17"/>
      <c r="E3558" s="17"/>
      <c r="F3558" s="17"/>
      <c r="G3558" s="17"/>
      <c r="H3558" s="17"/>
      <c r="I3558" s="31"/>
      <c r="J3558" s="17"/>
      <c r="K3558" s="17"/>
      <c r="L3558" s="17"/>
      <c r="M3558" s="17"/>
      <c r="N3558" s="17"/>
      <c r="O3558" s="17"/>
      <c r="P3558" s="17"/>
      <c r="Q3558" s="17"/>
      <c r="R3558" s="17"/>
      <c r="S3558" s="17"/>
      <c r="T3558" s="17"/>
      <c r="U3558" s="17"/>
      <c r="V3558" s="17"/>
      <c r="W3558" s="17"/>
      <c r="X3558" s="17"/>
      <c r="Y3558" s="17"/>
      <c r="Z3558" s="31"/>
      <c r="AA3558" s="32"/>
    </row>
    <row r="3559" spans="1:27" ht="12.75">
      <c r="A3559" s="17"/>
      <c r="B3559" s="17"/>
      <c r="C3559" s="17"/>
      <c r="D3559" s="17"/>
      <c r="E3559" s="17"/>
      <c r="F3559" s="17"/>
      <c r="G3559" s="17"/>
      <c r="H3559" s="17"/>
      <c r="I3559" s="31"/>
      <c r="J3559" s="17"/>
      <c r="K3559" s="17"/>
      <c r="L3559" s="17"/>
      <c r="M3559" s="17"/>
      <c r="N3559" s="17"/>
      <c r="O3559" s="17"/>
      <c r="P3559" s="17"/>
      <c r="Q3559" s="17"/>
      <c r="R3559" s="17"/>
      <c r="S3559" s="17"/>
      <c r="T3559" s="17"/>
      <c r="U3559" s="17"/>
      <c r="V3559" s="17"/>
      <c r="W3559" s="17"/>
      <c r="X3559" s="17"/>
      <c r="Y3559" s="17"/>
      <c r="Z3559" s="31"/>
      <c r="AA3559" s="32"/>
    </row>
    <row r="3560" spans="1:27" ht="12.75">
      <c r="A3560" s="17"/>
      <c r="B3560" s="17"/>
      <c r="C3560" s="17"/>
      <c r="D3560" s="17"/>
      <c r="E3560" s="17"/>
      <c r="F3560" s="17"/>
      <c r="G3560" s="17"/>
      <c r="H3560" s="17"/>
      <c r="I3560" s="31"/>
      <c r="J3560" s="17"/>
      <c r="K3560" s="17"/>
      <c r="L3560" s="17"/>
      <c r="M3560" s="17"/>
      <c r="N3560" s="17"/>
      <c r="O3560" s="17"/>
      <c r="P3560" s="17"/>
      <c r="Q3560" s="17"/>
      <c r="R3560" s="17"/>
      <c r="S3560" s="17"/>
      <c r="T3560" s="17"/>
      <c r="U3560" s="17"/>
      <c r="V3560" s="17"/>
      <c r="W3560" s="17"/>
      <c r="X3560" s="17"/>
      <c r="Y3560" s="17"/>
      <c r="Z3560" s="31"/>
      <c r="AA3560" s="32"/>
    </row>
    <row r="3561" spans="1:27" ht="12.75">
      <c r="A3561" s="17"/>
      <c r="B3561" s="17"/>
      <c r="C3561" s="17"/>
      <c r="D3561" s="17"/>
      <c r="E3561" s="17"/>
      <c r="F3561" s="17"/>
      <c r="G3561" s="17"/>
      <c r="H3561" s="17"/>
      <c r="I3561" s="31"/>
      <c r="J3561" s="17"/>
      <c r="K3561" s="17"/>
      <c r="L3561" s="17"/>
      <c r="M3561" s="17"/>
      <c r="N3561" s="17"/>
      <c r="O3561" s="17"/>
      <c r="P3561" s="17"/>
      <c r="Q3561" s="17"/>
      <c r="R3561" s="17"/>
      <c r="S3561" s="17"/>
      <c r="T3561" s="17"/>
      <c r="U3561" s="17"/>
      <c r="V3561" s="17"/>
      <c r="W3561" s="17"/>
      <c r="X3561" s="17"/>
      <c r="Y3561" s="17"/>
      <c r="Z3561" s="31"/>
      <c r="AA3561" s="32"/>
    </row>
    <row r="3562" spans="1:27" ht="12.75">
      <c r="A3562" s="17"/>
      <c r="B3562" s="17"/>
      <c r="C3562" s="17"/>
      <c r="D3562" s="17"/>
      <c r="E3562" s="17"/>
      <c r="F3562" s="17"/>
      <c r="G3562" s="17"/>
      <c r="H3562" s="17"/>
      <c r="I3562" s="31"/>
      <c r="J3562" s="17"/>
      <c r="K3562" s="17"/>
      <c r="L3562" s="17"/>
      <c r="M3562" s="17"/>
      <c r="N3562" s="17"/>
      <c r="O3562" s="17"/>
      <c r="P3562" s="17"/>
      <c r="Q3562" s="17"/>
      <c r="R3562" s="17"/>
      <c r="S3562" s="17"/>
      <c r="T3562" s="17"/>
      <c r="U3562" s="17"/>
      <c r="V3562" s="17"/>
      <c r="W3562" s="17"/>
      <c r="X3562" s="17"/>
      <c r="Y3562" s="17"/>
      <c r="Z3562" s="31"/>
      <c r="AA3562" s="32"/>
    </row>
    <row r="3563" spans="1:27" ht="12.75">
      <c r="A3563" s="17"/>
      <c r="B3563" s="17"/>
      <c r="C3563" s="17"/>
      <c r="D3563" s="17"/>
      <c r="E3563" s="17"/>
      <c r="F3563" s="17"/>
      <c r="G3563" s="17"/>
      <c r="H3563" s="17"/>
      <c r="I3563" s="31"/>
      <c r="J3563" s="17"/>
      <c r="K3563" s="17"/>
      <c r="L3563" s="17"/>
      <c r="M3563" s="17"/>
      <c r="N3563" s="17"/>
      <c r="O3563" s="17"/>
      <c r="P3563" s="17"/>
      <c r="Q3563" s="17"/>
      <c r="R3563" s="17"/>
      <c r="S3563" s="17"/>
      <c r="T3563" s="17"/>
      <c r="U3563" s="17"/>
      <c r="V3563" s="17"/>
      <c r="W3563" s="17"/>
      <c r="X3563" s="17"/>
      <c r="Y3563" s="17"/>
      <c r="Z3563" s="31"/>
      <c r="AA3563" s="32"/>
    </row>
    <row r="3564" spans="1:27" ht="12.75">
      <c r="A3564" s="17"/>
      <c r="B3564" s="17"/>
      <c r="C3564" s="17"/>
      <c r="D3564" s="17"/>
      <c r="E3564" s="17"/>
      <c r="F3564" s="17"/>
      <c r="G3564" s="17"/>
      <c r="H3564" s="17"/>
      <c r="I3564" s="31"/>
      <c r="J3564" s="17"/>
      <c r="K3564" s="17"/>
      <c r="L3564" s="17"/>
      <c r="M3564" s="17"/>
      <c r="N3564" s="17"/>
      <c r="O3564" s="17"/>
      <c r="P3564" s="17"/>
      <c r="Q3564" s="17"/>
      <c r="R3564" s="17"/>
      <c r="S3564" s="17"/>
      <c r="T3564" s="17"/>
      <c r="U3564" s="17"/>
      <c r="V3564" s="17"/>
      <c r="W3564" s="17"/>
      <c r="X3564" s="17"/>
      <c r="Y3564" s="17"/>
      <c r="Z3564" s="31"/>
      <c r="AA3564" s="32"/>
    </row>
    <row r="3565" spans="1:27" ht="12.75">
      <c r="A3565" s="17"/>
      <c r="B3565" s="17"/>
      <c r="C3565" s="17"/>
      <c r="D3565" s="17"/>
      <c r="E3565" s="17"/>
      <c r="F3565" s="17"/>
      <c r="G3565" s="17"/>
      <c r="H3565" s="17"/>
      <c r="I3565" s="31"/>
      <c r="J3565" s="17"/>
      <c r="K3565" s="17"/>
      <c r="L3565" s="17"/>
      <c r="M3565" s="17"/>
      <c r="N3565" s="17"/>
      <c r="O3565" s="17"/>
      <c r="P3565" s="17"/>
      <c r="Q3565" s="17"/>
      <c r="R3565" s="17"/>
      <c r="S3565" s="17"/>
      <c r="T3565" s="17"/>
      <c r="U3565" s="17"/>
      <c r="V3565" s="17"/>
      <c r="W3565" s="17"/>
      <c r="X3565" s="17"/>
      <c r="Y3565" s="17"/>
      <c r="Z3565" s="31"/>
      <c r="AA3565" s="32"/>
    </row>
    <row r="3566" spans="1:27" ht="12.75">
      <c r="A3566" s="17"/>
      <c r="B3566" s="17"/>
      <c r="C3566" s="17"/>
      <c r="D3566" s="17"/>
      <c r="E3566" s="17"/>
      <c r="F3566" s="17"/>
      <c r="G3566" s="17"/>
      <c r="H3566" s="17"/>
      <c r="I3566" s="31"/>
      <c r="J3566" s="17"/>
      <c r="K3566" s="17"/>
      <c r="L3566" s="17"/>
      <c r="M3566" s="17"/>
      <c r="N3566" s="17"/>
      <c r="O3566" s="17"/>
      <c r="P3566" s="17"/>
      <c r="Q3566" s="17"/>
      <c r="R3566" s="17"/>
      <c r="S3566" s="17"/>
      <c r="T3566" s="17"/>
      <c r="U3566" s="17"/>
      <c r="V3566" s="17"/>
      <c r="W3566" s="17"/>
      <c r="X3566" s="17"/>
      <c r="Y3566" s="17"/>
      <c r="Z3566" s="31"/>
      <c r="AA3566" s="32"/>
    </row>
    <row r="3567" spans="1:27" ht="12.75">
      <c r="A3567" s="17"/>
      <c r="B3567" s="17"/>
      <c r="C3567" s="17"/>
      <c r="D3567" s="17"/>
      <c r="E3567" s="17"/>
      <c r="F3567" s="17"/>
      <c r="G3567" s="17"/>
      <c r="H3567" s="17"/>
      <c r="I3567" s="31"/>
      <c r="J3567" s="17"/>
      <c r="K3567" s="17"/>
      <c r="L3567" s="17"/>
      <c r="M3567" s="17"/>
      <c r="N3567" s="17"/>
      <c r="O3567" s="17"/>
      <c r="P3567" s="17"/>
      <c r="Q3567" s="17"/>
      <c r="R3567" s="17"/>
      <c r="S3567" s="17"/>
      <c r="T3567" s="17"/>
      <c r="U3567" s="17"/>
      <c r="V3567" s="17"/>
      <c r="W3567" s="17"/>
      <c r="X3567" s="17"/>
      <c r="Y3567" s="17"/>
      <c r="Z3567" s="31"/>
      <c r="AA3567" s="32"/>
    </row>
    <row r="3568" spans="1:27" ht="12.75">
      <c r="A3568" s="17"/>
      <c r="B3568" s="17"/>
      <c r="C3568" s="17"/>
      <c r="D3568" s="17"/>
      <c r="E3568" s="17"/>
      <c r="F3568" s="17"/>
      <c r="G3568" s="17"/>
      <c r="H3568" s="17"/>
      <c r="I3568" s="31"/>
      <c r="J3568" s="17"/>
      <c r="K3568" s="17"/>
      <c r="L3568" s="17"/>
      <c r="M3568" s="17"/>
      <c r="N3568" s="17"/>
      <c r="O3568" s="17"/>
      <c r="P3568" s="17"/>
      <c r="Q3568" s="17"/>
      <c r="R3568" s="17"/>
      <c r="S3568" s="17"/>
      <c r="T3568" s="17"/>
      <c r="U3568" s="17"/>
      <c r="V3568" s="17"/>
      <c r="W3568" s="17"/>
      <c r="X3568" s="17"/>
      <c r="Y3568" s="17"/>
      <c r="Z3568" s="31"/>
      <c r="AA3568" s="32"/>
    </row>
    <row r="3569" spans="1:27" ht="12.75">
      <c r="A3569" s="17"/>
      <c r="B3569" s="17"/>
      <c r="C3569" s="17"/>
      <c r="D3569" s="17"/>
      <c r="E3569" s="17"/>
      <c r="F3569" s="17"/>
      <c r="G3569" s="17"/>
      <c r="H3569" s="17"/>
      <c r="I3569" s="31"/>
      <c r="J3569" s="17"/>
      <c r="K3569" s="17"/>
      <c r="L3569" s="17"/>
      <c r="M3569" s="17"/>
      <c r="N3569" s="17"/>
      <c r="O3569" s="17"/>
      <c r="P3569" s="17"/>
      <c r="Q3569" s="17"/>
      <c r="R3569" s="17"/>
      <c r="S3569" s="17"/>
      <c r="T3569" s="17"/>
      <c r="U3569" s="17"/>
      <c r="V3569" s="17"/>
      <c r="W3569" s="17"/>
      <c r="X3569" s="17"/>
      <c r="Y3569" s="17"/>
      <c r="Z3569" s="31"/>
      <c r="AA3569" s="32"/>
    </row>
    <row r="3570" spans="1:27" ht="12.75">
      <c r="A3570" s="17"/>
      <c r="B3570" s="17"/>
      <c r="C3570" s="17"/>
      <c r="D3570" s="17"/>
      <c r="E3570" s="17"/>
      <c r="F3570" s="17"/>
      <c r="G3570" s="17"/>
      <c r="H3570" s="17"/>
      <c r="I3570" s="31"/>
      <c r="J3570" s="17"/>
      <c r="K3570" s="17"/>
      <c r="L3570" s="17"/>
      <c r="M3570" s="17"/>
      <c r="N3570" s="17"/>
      <c r="O3570" s="17"/>
      <c r="P3570" s="17"/>
      <c r="Q3570" s="17"/>
      <c r="R3570" s="17"/>
      <c r="S3570" s="17"/>
      <c r="T3570" s="17"/>
      <c r="U3570" s="17"/>
      <c r="V3570" s="17"/>
      <c r="W3570" s="17"/>
      <c r="X3570" s="17"/>
      <c r="Y3570" s="17"/>
      <c r="Z3570" s="31"/>
      <c r="AA3570" s="32"/>
    </row>
    <row r="3571" spans="1:27" ht="12.75">
      <c r="A3571" s="17"/>
      <c r="B3571" s="17"/>
      <c r="C3571" s="17"/>
      <c r="D3571" s="17"/>
      <c r="E3571" s="17"/>
      <c r="F3571" s="17"/>
      <c r="G3571" s="17"/>
      <c r="H3571" s="17"/>
      <c r="I3571" s="31"/>
      <c r="J3571" s="17"/>
      <c r="K3571" s="17"/>
      <c r="L3571" s="17"/>
      <c r="M3571" s="17"/>
      <c r="N3571" s="17"/>
      <c r="O3571" s="17"/>
      <c r="P3571" s="17"/>
      <c r="Q3571" s="17"/>
      <c r="R3571" s="17"/>
      <c r="S3571" s="17"/>
      <c r="T3571" s="17"/>
      <c r="U3571" s="17"/>
      <c r="V3571" s="17"/>
      <c r="W3571" s="17"/>
      <c r="X3571" s="17"/>
      <c r="Y3571" s="17"/>
      <c r="Z3571" s="31"/>
      <c r="AA3571" s="32"/>
    </row>
    <row r="3572" spans="1:27" ht="12.75">
      <c r="A3572" s="17"/>
      <c r="B3572" s="17"/>
      <c r="C3572" s="17"/>
      <c r="D3572" s="17"/>
      <c r="E3572" s="17"/>
      <c r="F3572" s="17"/>
      <c r="G3572" s="17"/>
      <c r="H3572" s="17"/>
      <c r="I3572" s="31"/>
      <c r="J3572" s="17"/>
      <c r="K3572" s="17"/>
      <c r="L3572" s="17"/>
      <c r="M3572" s="17"/>
      <c r="N3572" s="17"/>
      <c r="O3572" s="17"/>
      <c r="P3572" s="17"/>
      <c r="Q3572" s="17"/>
      <c r="R3572" s="17"/>
      <c r="S3572" s="17"/>
      <c r="T3572" s="17"/>
      <c r="U3572" s="17"/>
      <c r="V3572" s="17"/>
      <c r="W3572" s="17"/>
      <c r="X3572" s="17"/>
      <c r="Y3572" s="17"/>
      <c r="Z3572" s="31"/>
      <c r="AA3572" s="32"/>
    </row>
    <row r="3573" spans="1:27" ht="12.75">
      <c r="A3573" s="17"/>
      <c r="B3573" s="17"/>
      <c r="C3573" s="17"/>
      <c r="D3573" s="17"/>
      <c r="E3573" s="17"/>
      <c r="F3573" s="17"/>
      <c r="G3573" s="17"/>
      <c r="H3573" s="17"/>
      <c r="I3573" s="31"/>
      <c r="J3573" s="17"/>
      <c r="K3573" s="17"/>
      <c r="L3573" s="17"/>
      <c r="M3573" s="17"/>
      <c r="N3573" s="17"/>
      <c r="O3573" s="17"/>
      <c r="P3573" s="17"/>
      <c r="Q3573" s="17"/>
      <c r="R3573" s="17"/>
      <c r="S3573" s="17"/>
      <c r="T3573" s="17"/>
      <c r="U3573" s="17"/>
      <c r="V3573" s="17"/>
      <c r="W3573" s="17"/>
      <c r="X3573" s="17"/>
      <c r="Y3573" s="17"/>
      <c r="Z3573" s="31"/>
      <c r="AA3573" s="32"/>
    </row>
    <row r="3574" spans="1:27" ht="12.75">
      <c r="A3574" s="17"/>
      <c r="B3574" s="17"/>
      <c r="C3574" s="17"/>
      <c r="D3574" s="17"/>
      <c r="E3574" s="17"/>
      <c r="F3574" s="17"/>
      <c r="G3574" s="17"/>
      <c r="H3574" s="17"/>
      <c r="I3574" s="31"/>
      <c r="J3574" s="17"/>
      <c r="K3574" s="17"/>
      <c r="L3574" s="17"/>
      <c r="M3574" s="17"/>
      <c r="N3574" s="17"/>
      <c r="O3574" s="17"/>
      <c r="P3574" s="17"/>
      <c r="Q3574" s="17"/>
      <c r="R3574" s="17"/>
      <c r="S3574" s="17"/>
      <c r="T3574" s="17"/>
      <c r="U3574" s="17"/>
      <c r="V3574" s="17"/>
      <c r="W3574" s="17"/>
      <c r="X3574" s="17"/>
      <c r="Y3574" s="17"/>
      <c r="Z3574" s="31"/>
      <c r="AA3574" s="32"/>
    </row>
    <row r="3575" spans="1:27" ht="12.75">
      <c r="A3575" s="17"/>
      <c r="B3575" s="17"/>
      <c r="C3575" s="17"/>
      <c r="D3575" s="17"/>
      <c r="E3575" s="17"/>
      <c r="F3575" s="17"/>
      <c r="G3575" s="17"/>
      <c r="H3575" s="17"/>
      <c r="I3575" s="31"/>
      <c r="J3575" s="17"/>
      <c r="K3575" s="17"/>
      <c r="L3575" s="17"/>
      <c r="M3575" s="17"/>
      <c r="N3575" s="17"/>
      <c r="O3575" s="17"/>
      <c r="P3575" s="17"/>
      <c r="Q3575" s="17"/>
      <c r="R3575" s="17"/>
      <c r="S3575" s="17"/>
      <c r="T3575" s="17"/>
      <c r="U3575" s="17"/>
      <c r="V3575" s="17"/>
      <c r="W3575" s="17"/>
      <c r="X3575" s="17"/>
      <c r="Y3575" s="17"/>
      <c r="Z3575" s="31"/>
      <c r="AA3575" s="32"/>
    </row>
    <row r="3576" spans="1:27" ht="12.75">
      <c r="A3576" s="17"/>
      <c r="B3576" s="17"/>
      <c r="C3576" s="17"/>
      <c r="D3576" s="17"/>
      <c r="E3576" s="17"/>
      <c r="F3576" s="17"/>
      <c r="G3576" s="17"/>
      <c r="H3576" s="17"/>
      <c r="I3576" s="31"/>
      <c r="J3576" s="17"/>
      <c r="K3576" s="17"/>
      <c r="L3576" s="17"/>
      <c r="M3576" s="17"/>
      <c r="N3576" s="17"/>
      <c r="O3576" s="17"/>
      <c r="P3576" s="17"/>
      <c r="Q3576" s="17"/>
      <c r="R3576" s="17"/>
      <c r="S3576" s="17"/>
      <c r="T3576" s="17"/>
      <c r="U3576" s="17"/>
      <c r="V3576" s="17"/>
      <c r="W3576" s="17"/>
      <c r="X3576" s="17"/>
      <c r="Y3576" s="17"/>
      <c r="Z3576" s="31"/>
      <c r="AA3576" s="32"/>
    </row>
    <row r="3577" spans="1:27" ht="12.75">
      <c r="A3577" s="17"/>
      <c r="B3577" s="17"/>
      <c r="C3577" s="17"/>
      <c r="D3577" s="17"/>
      <c r="E3577" s="17"/>
      <c r="F3577" s="17"/>
      <c r="G3577" s="17"/>
      <c r="H3577" s="17"/>
      <c r="I3577" s="31"/>
      <c r="J3577" s="17"/>
      <c r="K3577" s="17"/>
      <c r="L3577" s="17"/>
      <c r="M3577" s="17"/>
      <c r="N3577" s="17"/>
      <c r="O3577" s="17"/>
      <c r="P3577" s="17"/>
      <c r="Q3577" s="17"/>
      <c r="R3577" s="17"/>
      <c r="S3577" s="17"/>
      <c r="T3577" s="17"/>
      <c r="U3577" s="17"/>
      <c r="V3577" s="17"/>
      <c r="W3577" s="17"/>
      <c r="X3577" s="17"/>
      <c r="Y3577" s="17"/>
      <c r="Z3577" s="31"/>
      <c r="AA3577" s="32"/>
    </row>
    <row r="3578" spans="1:27" ht="12.75">
      <c r="A3578" s="17"/>
      <c r="B3578" s="17"/>
      <c r="C3578" s="17"/>
      <c r="D3578" s="17"/>
      <c r="E3578" s="17"/>
      <c r="F3578" s="17"/>
      <c r="G3578" s="17"/>
      <c r="H3578" s="17"/>
      <c r="I3578" s="31"/>
      <c r="J3578" s="17"/>
      <c r="K3578" s="17"/>
      <c r="L3578" s="17"/>
      <c r="M3578" s="17"/>
      <c r="N3578" s="17"/>
      <c r="O3578" s="17"/>
      <c r="P3578" s="17"/>
      <c r="Q3578" s="17"/>
      <c r="R3578" s="17"/>
      <c r="S3578" s="17"/>
      <c r="T3578" s="17"/>
      <c r="U3578" s="17"/>
      <c r="V3578" s="17"/>
      <c r="W3578" s="17"/>
      <c r="X3578" s="17"/>
      <c r="Y3578" s="17"/>
      <c r="Z3578" s="31"/>
      <c r="AA3578" s="32"/>
    </row>
    <row r="3579" spans="1:27" ht="12.75">
      <c r="A3579" s="17"/>
      <c r="B3579" s="17"/>
      <c r="C3579" s="17"/>
      <c r="D3579" s="17"/>
      <c r="E3579" s="17"/>
      <c r="F3579" s="17"/>
      <c r="G3579" s="17"/>
      <c r="H3579" s="17"/>
      <c r="I3579" s="31"/>
      <c r="J3579" s="17"/>
      <c r="K3579" s="17"/>
      <c r="L3579" s="17"/>
      <c r="M3579" s="17"/>
      <c r="N3579" s="17"/>
      <c r="O3579" s="17"/>
      <c r="P3579" s="17"/>
      <c r="Q3579" s="17"/>
      <c r="R3579" s="17"/>
      <c r="S3579" s="17"/>
      <c r="T3579" s="17"/>
      <c r="U3579" s="17"/>
      <c r="V3579" s="17"/>
      <c r="W3579" s="17"/>
      <c r="X3579" s="17"/>
      <c r="Y3579" s="17"/>
      <c r="Z3579" s="31"/>
      <c r="AA3579" s="32"/>
    </row>
    <row r="3580" spans="1:27" ht="12.75">
      <c r="A3580" s="17"/>
      <c r="B3580" s="17"/>
      <c r="C3580" s="17"/>
      <c r="D3580" s="17"/>
      <c r="E3580" s="17"/>
      <c r="F3580" s="17"/>
      <c r="G3580" s="17"/>
      <c r="H3580" s="17"/>
      <c r="I3580" s="31"/>
      <c r="J3580" s="17"/>
      <c r="K3580" s="17"/>
      <c r="L3580" s="17"/>
      <c r="M3580" s="17"/>
      <c r="N3580" s="17"/>
      <c r="O3580" s="17"/>
      <c r="P3580" s="17"/>
      <c r="Q3580" s="17"/>
      <c r="R3580" s="17"/>
      <c r="S3580" s="17"/>
      <c r="T3580" s="17"/>
      <c r="U3580" s="17"/>
      <c r="V3580" s="17"/>
      <c r="W3580" s="17"/>
      <c r="X3580" s="17"/>
      <c r="Y3580" s="17"/>
      <c r="Z3580" s="31"/>
      <c r="AA3580" s="32"/>
    </row>
    <row r="3581" spans="1:27" ht="12.75">
      <c r="A3581" s="17"/>
      <c r="B3581" s="17"/>
      <c r="C3581" s="17"/>
      <c r="D3581" s="17"/>
      <c r="E3581" s="17"/>
      <c r="F3581" s="17"/>
      <c r="G3581" s="17"/>
      <c r="H3581" s="17"/>
      <c r="I3581" s="31"/>
      <c r="J3581" s="17"/>
      <c r="K3581" s="17"/>
      <c r="L3581" s="17"/>
      <c r="M3581" s="17"/>
      <c r="N3581" s="17"/>
      <c r="O3581" s="17"/>
      <c r="P3581" s="17"/>
      <c r="Q3581" s="17"/>
      <c r="R3581" s="17"/>
      <c r="S3581" s="17"/>
      <c r="T3581" s="17"/>
      <c r="U3581" s="17"/>
      <c r="V3581" s="17"/>
      <c r="W3581" s="17"/>
      <c r="X3581" s="17"/>
      <c r="Y3581" s="17"/>
      <c r="Z3581" s="31"/>
      <c r="AA3581" s="32"/>
    </row>
    <row r="3582" spans="1:27" ht="12.75">
      <c r="A3582" s="17"/>
      <c r="B3582" s="17"/>
      <c r="C3582" s="17"/>
      <c r="D3582" s="17"/>
      <c r="E3582" s="17"/>
      <c r="F3582" s="17"/>
      <c r="G3582" s="17"/>
      <c r="H3582" s="17"/>
      <c r="I3582" s="31"/>
      <c r="J3582" s="17"/>
      <c r="K3582" s="17"/>
      <c r="L3582" s="17"/>
      <c r="M3582" s="17"/>
      <c r="N3582" s="17"/>
      <c r="O3582" s="17"/>
      <c r="P3582" s="17"/>
      <c r="Q3582" s="17"/>
      <c r="R3582" s="17"/>
      <c r="S3582" s="17"/>
      <c r="T3582" s="17"/>
      <c r="U3582" s="17"/>
      <c r="V3582" s="17"/>
      <c r="W3582" s="17"/>
      <c r="X3582" s="17"/>
      <c r="Y3582" s="17"/>
      <c r="Z3582" s="31"/>
      <c r="AA3582" s="32"/>
    </row>
    <row r="3583" spans="1:27" ht="12.75">
      <c r="A3583" s="17"/>
      <c r="B3583" s="17"/>
      <c r="C3583" s="17"/>
      <c r="D3583" s="17"/>
      <c r="E3583" s="17"/>
      <c r="F3583" s="17"/>
      <c r="G3583" s="17"/>
      <c r="H3583" s="17"/>
      <c r="I3583" s="31"/>
      <c r="J3583" s="17"/>
      <c r="K3583" s="17"/>
      <c r="L3583" s="17"/>
      <c r="M3583" s="17"/>
      <c r="N3583" s="17"/>
      <c r="O3583" s="17"/>
      <c r="P3583" s="17"/>
      <c r="Q3583" s="17"/>
      <c r="R3583" s="17"/>
      <c r="S3583" s="17"/>
      <c r="T3583" s="17"/>
      <c r="U3583" s="17"/>
      <c r="V3583" s="17"/>
      <c r="W3583" s="17"/>
      <c r="X3583" s="17"/>
      <c r="Y3583" s="17"/>
      <c r="Z3583" s="31"/>
      <c r="AA3583" s="32"/>
    </row>
    <row r="3584" spans="1:27" ht="12.75">
      <c r="A3584" s="17"/>
      <c r="B3584" s="17"/>
      <c r="C3584" s="17"/>
      <c r="D3584" s="17"/>
      <c r="E3584" s="17"/>
      <c r="F3584" s="17"/>
      <c r="G3584" s="17"/>
      <c r="H3584" s="17"/>
      <c r="I3584" s="31"/>
      <c r="J3584" s="17"/>
      <c r="K3584" s="17"/>
      <c r="L3584" s="17"/>
      <c r="M3584" s="17"/>
      <c r="N3584" s="17"/>
      <c r="O3584" s="17"/>
      <c r="P3584" s="17"/>
      <c r="Q3584" s="17"/>
      <c r="R3584" s="17"/>
      <c r="S3584" s="17"/>
      <c r="T3584" s="17"/>
      <c r="U3584" s="17"/>
      <c r="V3584" s="17"/>
      <c r="W3584" s="17"/>
      <c r="X3584" s="17"/>
      <c r="Y3584" s="17"/>
      <c r="Z3584" s="31"/>
      <c r="AA3584" s="32"/>
    </row>
    <row r="3585" spans="1:27" ht="12.75">
      <c r="A3585" s="17"/>
      <c r="B3585" s="17"/>
      <c r="C3585" s="17"/>
      <c r="D3585" s="17"/>
      <c r="E3585" s="17"/>
      <c r="F3585" s="17"/>
      <c r="G3585" s="17"/>
      <c r="H3585" s="17"/>
      <c r="I3585" s="31"/>
      <c r="J3585" s="17"/>
      <c r="K3585" s="17"/>
      <c r="L3585" s="17"/>
      <c r="M3585" s="17"/>
      <c r="N3585" s="17"/>
      <c r="O3585" s="17"/>
      <c r="P3585" s="17"/>
      <c r="Q3585" s="17"/>
      <c r="R3585" s="17"/>
      <c r="S3585" s="17"/>
      <c r="T3585" s="17"/>
      <c r="U3585" s="17"/>
      <c r="V3585" s="17"/>
      <c r="W3585" s="17"/>
      <c r="X3585" s="17"/>
      <c r="Y3585" s="17"/>
      <c r="Z3585" s="31"/>
      <c r="AA3585" s="32"/>
    </row>
    <row r="3586" spans="1:27" ht="12.75">
      <c r="A3586" s="17"/>
      <c r="B3586" s="17"/>
      <c r="C3586" s="17"/>
      <c r="D3586" s="17"/>
      <c r="E3586" s="17"/>
      <c r="F3586" s="17"/>
      <c r="G3586" s="17"/>
      <c r="H3586" s="17"/>
      <c r="I3586" s="31"/>
      <c r="J3586" s="17"/>
      <c r="K3586" s="17"/>
      <c r="L3586" s="17"/>
      <c r="M3586" s="17"/>
      <c r="N3586" s="17"/>
      <c r="O3586" s="17"/>
      <c r="P3586" s="17"/>
      <c r="Q3586" s="17"/>
      <c r="R3586" s="17"/>
      <c r="S3586" s="17"/>
      <c r="T3586" s="17"/>
      <c r="U3586" s="17"/>
      <c r="V3586" s="17"/>
      <c r="W3586" s="17"/>
      <c r="X3586" s="17"/>
      <c r="Y3586" s="17"/>
      <c r="Z3586" s="31"/>
      <c r="AA3586" s="32"/>
    </row>
    <row r="3587" spans="1:27" ht="12.75">
      <c r="A3587" s="17"/>
      <c r="B3587" s="17"/>
      <c r="C3587" s="17"/>
      <c r="D3587" s="17"/>
      <c r="E3587" s="17"/>
      <c r="F3587" s="17"/>
      <c r="G3587" s="17"/>
      <c r="H3587" s="17"/>
      <c r="I3587" s="31"/>
      <c r="J3587" s="17"/>
      <c r="K3587" s="17"/>
      <c r="L3587" s="17"/>
      <c r="M3587" s="17"/>
      <c r="N3587" s="17"/>
      <c r="O3587" s="17"/>
      <c r="P3587" s="17"/>
      <c r="Q3587" s="17"/>
      <c r="R3587" s="17"/>
      <c r="S3587" s="17"/>
      <c r="T3587" s="17"/>
      <c r="U3587" s="17"/>
      <c r="V3587" s="17"/>
      <c r="W3587" s="17"/>
      <c r="X3587" s="17"/>
      <c r="Y3587" s="17"/>
      <c r="Z3587" s="31"/>
      <c r="AA3587" s="32"/>
    </row>
    <row r="3588" spans="1:27" ht="12.75">
      <c r="A3588" s="17"/>
      <c r="B3588" s="17"/>
      <c r="C3588" s="17"/>
      <c r="D3588" s="17"/>
      <c r="E3588" s="17"/>
      <c r="F3588" s="17"/>
      <c r="G3588" s="17"/>
      <c r="H3588" s="17"/>
      <c r="I3588" s="31"/>
      <c r="J3588" s="17"/>
      <c r="K3588" s="17"/>
      <c r="L3588" s="17"/>
      <c r="M3588" s="17"/>
      <c r="N3588" s="17"/>
      <c r="O3588" s="17"/>
      <c r="P3588" s="17"/>
      <c r="Q3588" s="17"/>
      <c r="R3588" s="17"/>
      <c r="S3588" s="17"/>
      <c r="T3588" s="17"/>
      <c r="U3588" s="17"/>
      <c r="V3588" s="17"/>
      <c r="W3588" s="17"/>
      <c r="X3588" s="17"/>
      <c r="Y3588" s="17"/>
      <c r="Z3588" s="31"/>
      <c r="AA3588" s="32"/>
    </row>
    <row r="3589" spans="1:27" ht="12.75">
      <c r="A3589" s="17"/>
      <c r="B3589" s="17"/>
      <c r="C3589" s="17"/>
      <c r="D3589" s="17"/>
      <c r="E3589" s="17"/>
      <c r="F3589" s="17"/>
      <c r="G3589" s="17"/>
      <c r="H3589" s="17"/>
      <c r="I3589" s="31"/>
      <c r="J3589" s="17"/>
      <c r="K3589" s="17"/>
      <c r="L3589" s="17"/>
      <c r="M3589" s="17"/>
      <c r="N3589" s="17"/>
      <c r="O3589" s="17"/>
      <c r="P3589" s="17"/>
      <c r="Q3589" s="17"/>
      <c r="R3589" s="17"/>
      <c r="S3589" s="17"/>
      <c r="T3589" s="17"/>
      <c r="U3589" s="17"/>
      <c r="V3589" s="17"/>
      <c r="W3589" s="17"/>
      <c r="X3589" s="17"/>
      <c r="Y3589" s="17"/>
      <c r="Z3589" s="31"/>
      <c r="AA3589" s="32"/>
    </row>
    <row r="3590" spans="1:27" ht="12.75">
      <c r="A3590" s="17"/>
      <c r="B3590" s="17"/>
      <c r="C3590" s="17"/>
      <c r="D3590" s="17"/>
      <c r="E3590" s="17"/>
      <c r="F3590" s="17"/>
      <c r="G3590" s="17"/>
      <c r="H3590" s="17"/>
      <c r="I3590" s="31"/>
      <c r="J3590" s="17"/>
      <c r="K3590" s="17"/>
      <c r="L3590" s="17"/>
      <c r="M3590" s="17"/>
      <c r="N3590" s="17"/>
      <c r="O3590" s="17"/>
      <c r="P3590" s="17"/>
      <c r="Q3590" s="17"/>
      <c r="R3590" s="17"/>
      <c r="S3590" s="17"/>
      <c r="T3590" s="17"/>
      <c r="U3590" s="17"/>
      <c r="V3590" s="17"/>
      <c r="W3590" s="17"/>
      <c r="X3590" s="17"/>
      <c r="Y3590" s="17"/>
      <c r="Z3590" s="31"/>
      <c r="AA3590" s="32"/>
    </row>
    <row r="3591" spans="1:27" ht="12.75">
      <c r="A3591" s="17"/>
      <c r="B3591" s="17"/>
      <c r="C3591" s="17"/>
      <c r="D3591" s="17"/>
      <c r="E3591" s="17"/>
      <c r="F3591" s="17"/>
      <c r="G3591" s="17"/>
      <c r="H3591" s="17"/>
      <c r="I3591" s="31"/>
      <c r="J3591" s="17"/>
      <c r="K3591" s="17"/>
      <c r="L3591" s="17"/>
      <c r="M3591" s="17"/>
      <c r="N3591" s="17"/>
      <c r="O3591" s="17"/>
      <c r="P3591" s="17"/>
      <c r="Q3591" s="17"/>
      <c r="R3591" s="17"/>
      <c r="S3591" s="17"/>
      <c r="T3591" s="17"/>
      <c r="U3591" s="17"/>
      <c r="V3591" s="17"/>
      <c r="W3591" s="17"/>
      <c r="X3591" s="17"/>
      <c r="Y3591" s="17"/>
      <c r="Z3591" s="31"/>
      <c r="AA3591" s="32"/>
    </row>
    <row r="3592" spans="1:27" ht="12.75">
      <c r="A3592" s="17"/>
      <c r="B3592" s="17"/>
      <c r="C3592" s="17"/>
      <c r="D3592" s="17"/>
      <c r="E3592" s="17"/>
      <c r="F3592" s="17"/>
      <c r="G3592" s="17"/>
      <c r="H3592" s="17"/>
      <c r="I3592" s="31"/>
      <c r="J3592" s="17"/>
      <c r="K3592" s="17"/>
      <c r="L3592" s="17"/>
      <c r="M3592" s="17"/>
      <c r="N3592" s="17"/>
      <c r="O3592" s="17"/>
      <c r="P3592" s="17"/>
      <c r="Q3592" s="17"/>
      <c r="R3592" s="17"/>
      <c r="S3592" s="17"/>
      <c r="T3592" s="17"/>
      <c r="U3592" s="17"/>
      <c r="V3592" s="17"/>
      <c r="W3592" s="17"/>
      <c r="X3592" s="17"/>
      <c r="Y3592" s="17"/>
      <c r="Z3592" s="31"/>
      <c r="AA3592" s="32"/>
    </row>
    <row r="3593" spans="1:27" ht="12.75">
      <c r="A3593" s="17"/>
      <c r="B3593" s="17"/>
      <c r="C3593" s="17"/>
      <c r="D3593" s="17"/>
      <c r="E3593" s="17"/>
      <c r="F3593" s="17"/>
      <c r="G3593" s="17"/>
      <c r="H3593" s="17"/>
      <c r="I3593" s="31"/>
      <c r="J3593" s="17"/>
      <c r="K3593" s="17"/>
      <c r="L3593" s="17"/>
      <c r="M3593" s="17"/>
      <c r="N3593" s="17"/>
      <c r="O3593" s="17"/>
      <c r="P3593" s="17"/>
      <c r="Q3593" s="17"/>
      <c r="R3593" s="17"/>
      <c r="S3593" s="17"/>
      <c r="T3593" s="17"/>
      <c r="U3593" s="17"/>
      <c r="V3593" s="17"/>
      <c r="W3593" s="17"/>
      <c r="X3593" s="17"/>
      <c r="Y3593" s="17"/>
      <c r="Z3593" s="31"/>
      <c r="AA3593" s="32"/>
    </row>
    <row r="3594" spans="1:27" ht="12.75">
      <c r="A3594" s="17"/>
      <c r="B3594" s="17"/>
      <c r="C3594" s="17"/>
      <c r="D3594" s="17"/>
      <c r="E3594" s="17"/>
      <c r="F3594" s="17"/>
      <c r="G3594" s="17"/>
      <c r="H3594" s="17"/>
      <c r="I3594" s="31"/>
      <c r="J3594" s="17"/>
      <c r="K3594" s="17"/>
      <c r="L3594" s="17"/>
      <c r="M3594" s="17"/>
      <c r="N3594" s="17"/>
      <c r="O3594" s="17"/>
      <c r="P3594" s="17"/>
      <c r="Q3594" s="17"/>
      <c r="R3594" s="17"/>
      <c r="S3594" s="17"/>
      <c r="T3594" s="17"/>
      <c r="U3594" s="17"/>
      <c r="V3594" s="17"/>
      <c r="W3594" s="17"/>
      <c r="X3594" s="17"/>
      <c r="Y3594" s="17"/>
      <c r="Z3594" s="31"/>
      <c r="AA3594" s="32"/>
    </row>
    <row r="3595" spans="1:27" ht="12.75">
      <c r="A3595" s="17"/>
      <c r="B3595" s="17"/>
      <c r="C3595" s="17"/>
      <c r="D3595" s="17"/>
      <c r="E3595" s="17"/>
      <c r="F3595" s="17"/>
      <c r="G3595" s="17"/>
      <c r="H3595" s="17"/>
      <c r="I3595" s="31"/>
      <c r="J3595" s="17"/>
      <c r="K3595" s="17"/>
      <c r="L3595" s="17"/>
      <c r="M3595" s="17"/>
      <c r="N3595" s="17"/>
      <c r="O3595" s="17"/>
      <c r="P3595" s="17"/>
      <c r="Q3595" s="17"/>
      <c r="R3595" s="17"/>
      <c r="S3595" s="17"/>
      <c r="T3595" s="17"/>
      <c r="U3595" s="17"/>
      <c r="V3595" s="17"/>
      <c r="W3595" s="17"/>
      <c r="X3595" s="17"/>
      <c r="Y3595" s="17"/>
      <c r="Z3595" s="31"/>
      <c r="AA3595" s="32"/>
    </row>
    <row r="3596" spans="1:27" ht="12.75">
      <c r="A3596" s="17"/>
      <c r="B3596" s="17"/>
      <c r="C3596" s="17"/>
      <c r="D3596" s="17"/>
      <c r="E3596" s="17"/>
      <c r="F3596" s="17"/>
      <c r="G3596" s="17"/>
      <c r="H3596" s="17"/>
      <c r="I3596" s="31"/>
      <c r="J3596" s="17"/>
      <c r="K3596" s="17"/>
      <c r="L3596" s="17"/>
      <c r="M3596" s="17"/>
      <c r="N3596" s="17"/>
      <c r="O3596" s="17"/>
      <c r="P3596" s="17"/>
      <c r="Q3596" s="17"/>
      <c r="R3596" s="17"/>
      <c r="S3596" s="17"/>
      <c r="T3596" s="17"/>
      <c r="U3596" s="17"/>
      <c r="V3596" s="17"/>
      <c r="W3596" s="17"/>
      <c r="X3596" s="17"/>
      <c r="Y3596" s="17"/>
      <c r="Z3596" s="31"/>
      <c r="AA3596" s="32"/>
    </row>
    <row r="3597" spans="1:27" ht="12.75">
      <c r="A3597" s="17"/>
      <c r="B3597" s="17"/>
      <c r="C3597" s="17"/>
      <c r="D3597" s="17"/>
      <c r="E3597" s="17"/>
      <c r="F3597" s="17"/>
      <c r="G3597" s="17"/>
      <c r="H3597" s="17"/>
      <c r="I3597" s="31"/>
      <c r="J3597" s="17"/>
      <c r="K3597" s="17"/>
      <c r="L3597" s="17"/>
      <c r="M3597" s="17"/>
      <c r="N3597" s="17"/>
      <c r="O3597" s="17"/>
      <c r="P3597" s="17"/>
      <c r="Q3597" s="17"/>
      <c r="R3597" s="17"/>
      <c r="S3597" s="17"/>
      <c r="T3597" s="17"/>
      <c r="U3597" s="17"/>
      <c r="V3597" s="17"/>
      <c r="W3597" s="17"/>
      <c r="X3597" s="17"/>
      <c r="Y3597" s="17"/>
      <c r="Z3597" s="31"/>
      <c r="AA3597" s="32"/>
    </row>
    <row r="3598" spans="1:27" ht="12.75">
      <c r="A3598" s="17"/>
      <c r="B3598" s="17"/>
      <c r="C3598" s="17"/>
      <c r="D3598" s="17"/>
      <c r="E3598" s="17"/>
      <c r="F3598" s="17"/>
      <c r="G3598" s="17"/>
      <c r="H3598" s="17"/>
      <c r="I3598" s="31"/>
      <c r="J3598" s="17"/>
      <c r="K3598" s="17"/>
      <c r="L3598" s="17"/>
      <c r="M3598" s="17"/>
      <c r="N3598" s="17"/>
      <c r="O3598" s="17"/>
      <c r="P3598" s="17"/>
      <c r="Q3598" s="17"/>
      <c r="R3598" s="17"/>
      <c r="S3598" s="17"/>
      <c r="T3598" s="17"/>
      <c r="U3598" s="17"/>
      <c r="V3598" s="17"/>
      <c r="W3598" s="17"/>
      <c r="X3598" s="17"/>
      <c r="Y3598" s="17"/>
      <c r="Z3598" s="31"/>
      <c r="AA3598" s="32"/>
    </row>
    <row r="3599" spans="1:27" ht="12.75">
      <c r="A3599" s="17"/>
      <c r="B3599" s="17"/>
      <c r="C3599" s="17"/>
      <c r="D3599" s="17"/>
      <c r="E3599" s="17"/>
      <c r="F3599" s="17"/>
      <c r="G3599" s="17"/>
      <c r="H3599" s="17"/>
      <c r="I3599" s="31"/>
      <c r="J3599" s="17"/>
      <c r="K3599" s="17"/>
      <c r="L3599" s="17"/>
      <c r="M3599" s="17"/>
      <c r="N3599" s="17"/>
      <c r="O3599" s="17"/>
      <c r="P3599" s="17"/>
      <c r="Q3599" s="17"/>
      <c r="R3599" s="17"/>
      <c r="S3599" s="17"/>
      <c r="T3599" s="17"/>
      <c r="U3599" s="17"/>
      <c r="V3599" s="17"/>
      <c r="W3599" s="17"/>
      <c r="X3599" s="17"/>
      <c r="Y3599" s="17"/>
      <c r="Z3599" s="31"/>
      <c r="AA3599" s="32"/>
    </row>
    <row r="3600" spans="1:27" ht="12.75">
      <c r="A3600" s="17"/>
      <c r="B3600" s="17"/>
      <c r="C3600" s="17"/>
      <c r="D3600" s="17"/>
      <c r="E3600" s="17"/>
      <c r="F3600" s="17"/>
      <c r="G3600" s="17"/>
      <c r="H3600" s="17"/>
      <c r="I3600" s="31"/>
      <c r="J3600" s="17"/>
      <c r="K3600" s="17"/>
      <c r="L3600" s="17"/>
      <c r="M3600" s="17"/>
      <c r="N3600" s="17"/>
      <c r="O3600" s="17"/>
      <c r="P3600" s="17"/>
      <c r="Q3600" s="17"/>
      <c r="R3600" s="17"/>
      <c r="S3600" s="17"/>
      <c r="T3600" s="17"/>
      <c r="U3600" s="17"/>
      <c r="V3600" s="17"/>
      <c r="W3600" s="17"/>
      <c r="X3600" s="17"/>
      <c r="Y3600" s="17"/>
      <c r="Z3600" s="31"/>
      <c r="AA3600" s="32"/>
    </row>
    <row r="3601" spans="1:27" ht="12.75">
      <c r="A3601" s="17"/>
      <c r="B3601" s="17"/>
      <c r="C3601" s="17"/>
      <c r="D3601" s="17"/>
      <c r="E3601" s="17"/>
      <c r="F3601" s="17"/>
      <c r="G3601" s="17"/>
      <c r="H3601" s="17"/>
      <c r="I3601" s="31"/>
      <c r="J3601" s="17"/>
      <c r="K3601" s="17"/>
      <c r="L3601" s="17"/>
      <c r="M3601" s="17"/>
      <c r="N3601" s="17"/>
      <c r="O3601" s="17"/>
      <c r="P3601" s="17"/>
      <c r="Q3601" s="17"/>
      <c r="R3601" s="17"/>
      <c r="S3601" s="17"/>
      <c r="T3601" s="17"/>
      <c r="U3601" s="17"/>
      <c r="V3601" s="17"/>
      <c r="W3601" s="17"/>
      <c r="X3601" s="17"/>
      <c r="Y3601" s="17"/>
      <c r="Z3601" s="31"/>
      <c r="AA3601" s="32"/>
    </row>
    <row r="3602" spans="1:27" ht="12.75">
      <c r="A3602" s="17"/>
      <c r="B3602" s="17"/>
      <c r="C3602" s="17"/>
      <c r="D3602" s="17"/>
      <c r="E3602" s="17"/>
      <c r="F3602" s="17"/>
      <c r="G3602" s="17"/>
      <c r="H3602" s="17"/>
      <c r="I3602" s="31"/>
      <c r="J3602" s="17"/>
      <c r="K3602" s="17"/>
      <c r="L3602" s="17"/>
      <c r="M3602" s="17"/>
      <c r="N3602" s="17"/>
      <c r="O3602" s="17"/>
      <c r="P3602" s="17"/>
      <c r="Q3602" s="17"/>
      <c r="R3602" s="17"/>
      <c r="S3602" s="17"/>
      <c r="T3602" s="17"/>
      <c r="U3602" s="17"/>
      <c r="V3602" s="17"/>
      <c r="W3602" s="17"/>
      <c r="X3602" s="17"/>
      <c r="Y3602" s="17"/>
      <c r="Z3602" s="31"/>
      <c r="AA3602" s="32"/>
    </row>
    <row r="3603" spans="1:27" ht="12.75">
      <c r="A3603" s="17"/>
      <c r="B3603" s="17"/>
      <c r="C3603" s="17"/>
      <c r="D3603" s="17"/>
      <c r="E3603" s="17"/>
      <c r="F3603" s="17"/>
      <c r="G3603" s="17"/>
      <c r="H3603" s="17"/>
      <c r="I3603" s="31"/>
      <c r="J3603" s="17"/>
      <c r="K3603" s="17"/>
      <c r="L3603" s="17"/>
      <c r="M3603" s="17"/>
      <c r="N3603" s="17"/>
      <c r="O3603" s="17"/>
      <c r="P3603" s="17"/>
      <c r="Q3603" s="17"/>
      <c r="R3603" s="17"/>
      <c r="S3603" s="17"/>
      <c r="T3603" s="17"/>
      <c r="U3603" s="17"/>
      <c r="V3603" s="17"/>
      <c r="W3603" s="17"/>
      <c r="X3603" s="17"/>
      <c r="Y3603" s="17"/>
      <c r="Z3603" s="31"/>
      <c r="AA3603" s="32"/>
    </row>
    <row r="3604" spans="1:27" ht="12.75">
      <c r="A3604" s="17"/>
      <c r="B3604" s="17"/>
      <c r="C3604" s="17"/>
      <c r="D3604" s="17"/>
      <c r="E3604" s="17"/>
      <c r="F3604" s="17"/>
      <c r="G3604" s="17"/>
      <c r="H3604" s="17"/>
      <c r="I3604" s="31"/>
      <c r="J3604" s="17"/>
      <c r="K3604" s="17"/>
      <c r="L3604" s="17"/>
      <c r="M3604" s="17"/>
      <c r="N3604" s="17"/>
      <c r="O3604" s="17"/>
      <c r="P3604" s="17"/>
      <c r="Q3604" s="17"/>
      <c r="R3604" s="17"/>
      <c r="S3604" s="17"/>
      <c r="T3604" s="17"/>
      <c r="U3604" s="17"/>
      <c r="V3604" s="17"/>
      <c r="W3604" s="17"/>
      <c r="X3604" s="17"/>
      <c r="Y3604" s="17"/>
      <c r="Z3604" s="31"/>
      <c r="AA3604" s="32"/>
    </row>
    <row r="3605" spans="1:27" ht="12.75">
      <c r="A3605" s="17"/>
      <c r="B3605" s="17"/>
      <c r="C3605" s="17"/>
      <c r="D3605" s="17"/>
      <c r="E3605" s="17"/>
      <c r="F3605" s="17"/>
      <c r="G3605" s="17"/>
      <c r="H3605" s="17"/>
      <c r="I3605" s="31"/>
      <c r="J3605" s="17"/>
      <c r="K3605" s="17"/>
      <c r="L3605" s="17"/>
      <c r="M3605" s="17"/>
      <c r="N3605" s="17"/>
      <c r="O3605" s="17"/>
      <c r="P3605" s="17"/>
      <c r="Q3605" s="17"/>
      <c r="R3605" s="17"/>
      <c r="S3605" s="17"/>
      <c r="T3605" s="17"/>
      <c r="U3605" s="17"/>
      <c r="V3605" s="17"/>
      <c r="W3605" s="17"/>
      <c r="X3605" s="17"/>
      <c r="Y3605" s="17"/>
      <c r="Z3605" s="31"/>
      <c r="AA3605" s="32"/>
    </row>
    <row r="3606" spans="1:27" ht="12.75">
      <c r="A3606" s="17"/>
      <c r="B3606" s="17"/>
      <c r="C3606" s="17"/>
      <c r="D3606" s="17"/>
      <c r="E3606" s="17"/>
      <c r="F3606" s="17"/>
      <c r="G3606" s="17"/>
      <c r="H3606" s="17"/>
      <c r="I3606" s="31"/>
      <c r="J3606" s="17"/>
      <c r="K3606" s="17"/>
      <c r="L3606" s="17"/>
      <c r="M3606" s="17"/>
      <c r="N3606" s="17"/>
      <c r="O3606" s="17"/>
      <c r="P3606" s="17"/>
      <c r="Q3606" s="17"/>
      <c r="R3606" s="17"/>
      <c r="S3606" s="17"/>
      <c r="T3606" s="17"/>
      <c r="U3606" s="17"/>
      <c r="V3606" s="17"/>
      <c r="W3606" s="17"/>
      <c r="X3606" s="17"/>
      <c r="Y3606" s="17"/>
      <c r="Z3606" s="31"/>
      <c r="AA3606" s="32"/>
    </row>
    <row r="3607" spans="1:27" ht="12.75">
      <c r="A3607" s="17"/>
      <c r="B3607" s="17"/>
      <c r="C3607" s="17"/>
      <c r="D3607" s="17"/>
      <c r="E3607" s="17"/>
      <c r="F3607" s="17"/>
      <c r="G3607" s="17"/>
      <c r="H3607" s="17"/>
      <c r="I3607" s="31"/>
      <c r="J3607" s="17"/>
      <c r="K3607" s="17"/>
      <c r="L3607" s="17"/>
      <c r="M3607" s="17"/>
      <c r="N3607" s="17"/>
      <c r="O3607" s="17"/>
      <c r="P3607" s="17"/>
      <c r="Q3607" s="17"/>
      <c r="R3607" s="17"/>
      <c r="S3607" s="17"/>
      <c r="T3607" s="17"/>
      <c r="U3607" s="17"/>
      <c r="V3607" s="17"/>
      <c r="W3607" s="17"/>
      <c r="X3607" s="17"/>
      <c r="Y3607" s="17"/>
      <c r="Z3607" s="31"/>
      <c r="AA3607" s="32"/>
    </row>
    <row r="3608" spans="1:27" ht="12.75">
      <c r="A3608" s="17"/>
      <c r="B3608" s="17"/>
      <c r="C3608" s="17"/>
      <c r="D3608" s="17"/>
      <c r="E3608" s="17"/>
      <c r="F3608" s="17"/>
      <c r="G3608" s="17"/>
      <c r="H3608" s="17"/>
      <c r="I3608" s="31"/>
      <c r="J3608" s="17"/>
      <c r="K3608" s="17"/>
      <c r="L3608" s="17"/>
      <c r="M3608" s="17"/>
      <c r="N3608" s="17"/>
      <c r="O3608" s="17"/>
      <c r="P3608" s="17"/>
      <c r="Q3608" s="17"/>
      <c r="R3608" s="17"/>
      <c r="S3608" s="17"/>
      <c r="T3608" s="17"/>
      <c r="U3608" s="17"/>
      <c r="V3608" s="17"/>
      <c r="W3608" s="17"/>
      <c r="X3608" s="17"/>
      <c r="Y3608" s="17"/>
      <c r="Z3608" s="31"/>
      <c r="AA3608" s="32"/>
    </row>
    <row r="3609" spans="1:27" ht="12.75">
      <c r="A3609" s="17"/>
      <c r="B3609" s="17"/>
      <c r="C3609" s="17"/>
      <c r="D3609" s="17"/>
      <c r="E3609" s="17"/>
      <c r="F3609" s="17"/>
      <c r="G3609" s="17"/>
      <c r="H3609" s="17"/>
      <c r="I3609" s="31"/>
      <c r="J3609" s="17"/>
      <c r="K3609" s="17"/>
      <c r="L3609" s="17"/>
      <c r="M3609" s="17"/>
      <c r="N3609" s="17"/>
      <c r="O3609" s="17"/>
      <c r="P3609" s="17"/>
      <c r="Q3609" s="17"/>
      <c r="R3609" s="17"/>
      <c r="S3609" s="17"/>
      <c r="T3609" s="17"/>
      <c r="U3609" s="17"/>
      <c r="V3609" s="17"/>
      <c r="W3609" s="17"/>
      <c r="X3609" s="17"/>
      <c r="Y3609" s="17"/>
      <c r="Z3609" s="31"/>
      <c r="AA3609" s="32"/>
    </row>
    <row r="3610" spans="1:27" ht="12.75">
      <c r="A3610" s="17"/>
      <c r="B3610" s="17"/>
      <c r="C3610" s="17"/>
      <c r="D3610" s="17"/>
      <c r="E3610" s="17"/>
      <c r="F3610" s="17"/>
      <c r="G3610" s="17"/>
      <c r="H3610" s="17"/>
      <c r="I3610" s="31"/>
      <c r="J3610" s="17"/>
      <c r="K3610" s="17"/>
      <c r="L3610" s="17"/>
      <c r="M3610" s="17"/>
      <c r="N3610" s="17"/>
      <c r="O3610" s="17"/>
      <c r="P3610" s="17"/>
      <c r="Q3610" s="17"/>
      <c r="R3610" s="17"/>
      <c r="S3610" s="17"/>
      <c r="T3610" s="17"/>
      <c r="U3610" s="17"/>
      <c r="V3610" s="17"/>
      <c r="W3610" s="17"/>
      <c r="X3610" s="17"/>
      <c r="Y3610" s="17"/>
      <c r="Z3610" s="31"/>
      <c r="AA3610" s="32"/>
    </row>
    <row r="3611" spans="1:27" ht="12.75">
      <c r="A3611" s="17"/>
      <c r="B3611" s="17"/>
      <c r="C3611" s="17"/>
      <c r="D3611" s="17"/>
      <c r="E3611" s="17"/>
      <c r="F3611" s="17"/>
      <c r="G3611" s="17"/>
      <c r="H3611" s="17"/>
      <c r="I3611" s="31"/>
      <c r="J3611" s="17"/>
      <c r="K3611" s="17"/>
      <c r="L3611" s="17"/>
      <c r="M3611" s="17"/>
      <c r="N3611" s="17"/>
      <c r="O3611" s="17"/>
      <c r="P3611" s="17"/>
      <c r="Q3611" s="17"/>
      <c r="R3611" s="17"/>
      <c r="S3611" s="17"/>
      <c r="T3611" s="17"/>
      <c r="U3611" s="17"/>
      <c r="V3611" s="17"/>
      <c r="W3611" s="17"/>
      <c r="X3611" s="17"/>
      <c r="Y3611" s="17"/>
      <c r="Z3611" s="31"/>
      <c r="AA3611" s="32"/>
    </row>
    <row r="3612" spans="1:27" ht="12.75">
      <c r="A3612" s="17"/>
      <c r="B3612" s="17"/>
      <c r="C3612" s="17"/>
      <c r="D3612" s="17"/>
      <c r="E3612" s="17"/>
      <c r="F3612" s="17"/>
      <c r="G3612" s="17"/>
      <c r="H3612" s="17"/>
      <c r="I3612" s="31"/>
      <c r="J3612" s="17"/>
      <c r="K3612" s="17"/>
      <c r="L3612" s="17"/>
      <c r="M3612" s="17"/>
      <c r="N3612" s="17"/>
      <c r="O3612" s="17"/>
      <c r="P3612" s="17"/>
      <c r="Q3612" s="17"/>
      <c r="R3612" s="17"/>
      <c r="S3612" s="17"/>
      <c r="T3612" s="17"/>
      <c r="U3612" s="17"/>
      <c r="V3612" s="17"/>
      <c r="W3612" s="17"/>
      <c r="X3612" s="17"/>
      <c r="Y3612" s="17"/>
      <c r="Z3612" s="31"/>
      <c r="AA3612" s="32"/>
    </row>
    <row r="3613" spans="1:27" ht="12.75">
      <c r="A3613" s="17"/>
      <c r="B3613" s="17"/>
      <c r="C3613" s="17"/>
      <c r="D3613" s="17"/>
      <c r="E3613" s="17"/>
      <c r="F3613" s="17"/>
      <c r="G3613" s="17"/>
      <c r="H3613" s="17"/>
      <c r="I3613" s="31"/>
      <c r="J3613" s="17"/>
      <c r="K3613" s="17"/>
      <c r="L3613" s="17"/>
      <c r="M3613" s="17"/>
      <c r="N3613" s="17"/>
      <c r="O3613" s="17"/>
      <c r="P3613" s="17"/>
      <c r="Q3613" s="17"/>
      <c r="R3613" s="17"/>
      <c r="S3613" s="17"/>
      <c r="T3613" s="17"/>
      <c r="U3613" s="17"/>
      <c r="V3613" s="17"/>
      <c r="W3613" s="17"/>
      <c r="X3613" s="17"/>
      <c r="Y3613" s="17"/>
      <c r="Z3613" s="31"/>
      <c r="AA3613" s="32"/>
    </row>
    <row r="3614" spans="1:27" ht="12.75">
      <c r="A3614" s="17"/>
      <c r="B3614" s="17"/>
      <c r="C3614" s="17"/>
      <c r="D3614" s="17"/>
      <c r="E3614" s="17"/>
      <c r="F3614" s="17"/>
      <c r="G3614" s="17"/>
      <c r="H3614" s="17"/>
      <c r="I3614" s="31"/>
      <c r="J3614" s="17"/>
      <c r="K3614" s="17"/>
      <c r="L3614" s="17"/>
      <c r="M3614" s="17"/>
      <c r="N3614" s="17"/>
      <c r="O3614" s="17"/>
      <c r="P3614" s="17"/>
      <c r="Q3614" s="17"/>
      <c r="R3614" s="17"/>
      <c r="S3614" s="17"/>
      <c r="T3614" s="17"/>
      <c r="U3614" s="17"/>
      <c r="V3614" s="17"/>
      <c r="W3614" s="17"/>
      <c r="X3614" s="17"/>
      <c r="Y3614" s="17"/>
      <c r="Z3614" s="31"/>
      <c r="AA3614" s="32"/>
    </row>
    <row r="3615" spans="1:27" ht="12.75">
      <c r="A3615" s="17"/>
      <c r="B3615" s="17"/>
      <c r="C3615" s="17"/>
      <c r="D3615" s="17"/>
      <c r="E3615" s="17"/>
      <c r="F3615" s="17"/>
      <c r="G3615" s="17"/>
      <c r="H3615" s="17"/>
      <c r="I3615" s="31"/>
      <c r="J3615" s="17"/>
      <c r="K3615" s="17"/>
      <c r="L3615" s="17"/>
      <c r="M3615" s="17"/>
      <c r="N3615" s="17"/>
      <c r="O3615" s="17"/>
      <c r="P3615" s="17"/>
      <c r="Q3615" s="17"/>
      <c r="R3615" s="17"/>
      <c r="S3615" s="17"/>
      <c r="T3615" s="17"/>
      <c r="U3615" s="17"/>
      <c r="V3615" s="17"/>
      <c r="W3615" s="17"/>
      <c r="X3615" s="17"/>
      <c r="Y3615" s="17"/>
      <c r="Z3615" s="31"/>
      <c r="AA3615" s="32"/>
    </row>
    <row r="3616" spans="1:27" ht="12.75">
      <c r="A3616" s="17"/>
      <c r="B3616" s="17"/>
      <c r="C3616" s="17"/>
      <c r="D3616" s="17"/>
      <c r="E3616" s="17"/>
      <c r="F3616" s="17"/>
      <c r="G3616" s="17"/>
      <c r="H3616" s="17"/>
      <c r="I3616" s="31"/>
      <c r="J3616" s="17"/>
      <c r="K3616" s="17"/>
      <c r="L3616" s="17"/>
      <c r="M3616" s="17"/>
      <c r="N3616" s="17"/>
      <c r="O3616" s="17"/>
      <c r="P3616" s="17"/>
      <c r="Q3616" s="17"/>
      <c r="R3616" s="17"/>
      <c r="S3616" s="17"/>
      <c r="T3616" s="17"/>
      <c r="U3616" s="17"/>
      <c r="V3616" s="17"/>
      <c r="W3616" s="17"/>
      <c r="X3616" s="17"/>
      <c r="Y3616" s="17"/>
      <c r="Z3616" s="31"/>
      <c r="AA3616" s="32"/>
    </row>
    <row r="3617" spans="1:27" ht="12.75">
      <c r="A3617" s="17"/>
      <c r="B3617" s="17"/>
      <c r="C3617" s="17"/>
      <c r="D3617" s="17"/>
      <c r="E3617" s="17"/>
      <c r="F3617" s="17"/>
      <c r="G3617" s="17"/>
      <c r="H3617" s="17"/>
      <c r="I3617" s="31"/>
      <c r="J3617" s="17"/>
      <c r="K3617" s="17"/>
      <c r="L3617" s="17"/>
      <c r="M3617" s="17"/>
      <c r="N3617" s="17"/>
      <c r="O3617" s="17"/>
      <c r="P3617" s="17"/>
      <c r="Q3617" s="17"/>
      <c r="R3617" s="17"/>
      <c r="S3617" s="17"/>
      <c r="T3617" s="17"/>
      <c r="U3617" s="17"/>
      <c r="V3617" s="17"/>
      <c r="W3617" s="17"/>
      <c r="X3617" s="17"/>
      <c r="Y3617" s="17"/>
      <c r="Z3617" s="31"/>
      <c r="AA3617" s="32"/>
    </row>
    <row r="3618" spans="1:27" ht="12.75">
      <c r="A3618" s="17"/>
      <c r="B3618" s="17"/>
      <c r="C3618" s="17"/>
      <c r="D3618" s="17"/>
      <c r="E3618" s="17"/>
      <c r="F3618" s="17"/>
      <c r="G3618" s="17"/>
      <c r="H3618" s="17"/>
      <c r="I3618" s="31"/>
      <c r="J3618" s="17"/>
      <c r="K3618" s="17"/>
      <c r="L3618" s="17"/>
      <c r="M3618" s="17"/>
      <c r="N3618" s="17"/>
      <c r="O3618" s="17"/>
      <c r="P3618" s="17"/>
      <c r="Q3618" s="17"/>
      <c r="R3618" s="17"/>
      <c r="S3618" s="17"/>
      <c r="T3618" s="17"/>
      <c r="U3618" s="17"/>
      <c r="V3618" s="17"/>
      <c r="W3618" s="17"/>
      <c r="X3618" s="17"/>
      <c r="Y3618" s="17"/>
      <c r="Z3618" s="31"/>
      <c r="AA3618" s="32"/>
    </row>
    <row r="3619" spans="1:27" ht="12.75">
      <c r="A3619" s="17"/>
      <c r="B3619" s="17"/>
      <c r="C3619" s="17"/>
      <c r="D3619" s="17"/>
      <c r="E3619" s="17"/>
      <c r="F3619" s="17"/>
      <c r="G3619" s="17"/>
      <c r="H3619" s="17"/>
      <c r="I3619" s="31"/>
      <c r="J3619" s="17"/>
      <c r="K3619" s="17"/>
      <c r="L3619" s="17"/>
      <c r="M3619" s="17"/>
      <c r="N3619" s="17"/>
      <c r="O3619" s="17"/>
      <c r="P3619" s="17"/>
      <c r="Q3619" s="17"/>
      <c r="R3619" s="17"/>
      <c r="S3619" s="17"/>
      <c r="T3619" s="17"/>
      <c r="U3619" s="17"/>
      <c r="V3619" s="17"/>
      <c r="W3619" s="17"/>
      <c r="X3619" s="17"/>
      <c r="Y3619" s="17"/>
      <c r="Z3619" s="31"/>
      <c r="AA3619" s="32"/>
    </row>
    <row r="3620" spans="1:27" ht="12.75">
      <c r="A3620" s="17"/>
      <c r="B3620" s="17"/>
      <c r="C3620" s="17"/>
      <c r="D3620" s="17"/>
      <c r="E3620" s="17"/>
      <c r="F3620" s="17"/>
      <c r="G3620" s="17"/>
      <c r="H3620" s="17"/>
      <c r="I3620" s="31"/>
      <c r="J3620" s="17"/>
      <c r="K3620" s="17"/>
      <c r="L3620" s="17"/>
      <c r="M3620" s="17"/>
      <c r="N3620" s="17"/>
      <c r="O3620" s="17"/>
      <c r="P3620" s="17"/>
      <c r="Q3620" s="17"/>
      <c r="R3620" s="17"/>
      <c r="S3620" s="17"/>
      <c r="T3620" s="17"/>
      <c r="U3620" s="17"/>
      <c r="V3620" s="17"/>
      <c r="W3620" s="17"/>
      <c r="X3620" s="17"/>
      <c r="Y3620" s="17"/>
      <c r="Z3620" s="31"/>
      <c r="AA3620" s="32"/>
    </row>
    <row r="3621" spans="1:27" ht="12.75">
      <c r="A3621" s="17"/>
      <c r="B3621" s="17"/>
      <c r="C3621" s="17"/>
      <c r="D3621" s="17"/>
      <c r="E3621" s="17"/>
      <c r="F3621" s="17"/>
      <c r="G3621" s="17"/>
      <c r="H3621" s="17"/>
      <c r="I3621" s="31"/>
      <c r="J3621" s="17"/>
      <c r="K3621" s="17"/>
      <c r="L3621" s="17"/>
      <c r="M3621" s="17"/>
      <c r="N3621" s="17"/>
      <c r="O3621" s="17"/>
      <c r="P3621" s="17"/>
      <c r="Q3621" s="17"/>
      <c r="R3621" s="17"/>
      <c r="S3621" s="17"/>
      <c r="T3621" s="17"/>
      <c r="U3621" s="17"/>
      <c r="V3621" s="17"/>
      <c r="W3621" s="17"/>
      <c r="X3621" s="17"/>
      <c r="Y3621" s="17"/>
      <c r="Z3621" s="31"/>
      <c r="AA3621" s="32"/>
    </row>
    <row r="3622" spans="1:27" ht="12.75">
      <c r="A3622" s="17"/>
      <c r="B3622" s="17"/>
      <c r="C3622" s="17"/>
      <c r="D3622" s="17"/>
      <c r="E3622" s="17"/>
      <c r="F3622" s="17"/>
      <c r="G3622" s="17"/>
      <c r="H3622" s="17"/>
      <c r="I3622" s="31"/>
      <c r="J3622" s="17"/>
      <c r="K3622" s="17"/>
      <c r="L3622" s="17"/>
      <c r="M3622" s="17"/>
      <c r="N3622" s="17"/>
      <c r="O3622" s="17"/>
      <c r="P3622" s="17"/>
      <c r="Q3622" s="17"/>
      <c r="R3622" s="17"/>
      <c r="S3622" s="17"/>
      <c r="T3622" s="17"/>
      <c r="U3622" s="17"/>
      <c r="V3622" s="17"/>
      <c r="W3622" s="17"/>
      <c r="X3622" s="17"/>
      <c r="Y3622" s="17"/>
      <c r="Z3622" s="31"/>
      <c r="AA3622" s="32"/>
    </row>
    <row r="3623" spans="1:27" ht="12.75">
      <c r="A3623" s="17"/>
      <c r="B3623" s="17"/>
      <c r="C3623" s="17"/>
      <c r="D3623" s="17"/>
      <c r="E3623" s="17"/>
      <c r="F3623" s="17"/>
      <c r="G3623" s="17"/>
      <c r="H3623" s="17"/>
      <c r="I3623" s="31"/>
      <c r="J3623" s="17"/>
      <c r="K3623" s="17"/>
      <c r="L3623" s="17"/>
      <c r="M3623" s="17"/>
      <c r="N3623" s="17"/>
      <c r="O3623" s="17"/>
      <c r="P3623" s="17"/>
      <c r="Q3623" s="17"/>
      <c r="R3623" s="17"/>
      <c r="S3623" s="17"/>
      <c r="T3623" s="17"/>
      <c r="U3623" s="17"/>
      <c r="V3623" s="17"/>
      <c r="W3623" s="17"/>
      <c r="X3623" s="17"/>
      <c r="Y3623" s="17"/>
      <c r="Z3623" s="31"/>
      <c r="AA3623" s="32"/>
    </row>
    <row r="3624" spans="1:27" ht="12.75">
      <c r="A3624" s="17"/>
      <c r="B3624" s="17"/>
      <c r="C3624" s="17"/>
      <c r="D3624" s="17"/>
      <c r="E3624" s="17"/>
      <c r="F3624" s="17"/>
      <c r="G3624" s="17"/>
      <c r="H3624" s="17"/>
      <c r="I3624" s="31"/>
      <c r="J3624" s="17"/>
      <c r="K3624" s="17"/>
      <c r="L3624" s="17"/>
      <c r="M3624" s="17"/>
      <c r="N3624" s="17"/>
      <c r="O3624" s="17"/>
      <c r="P3624" s="17"/>
      <c r="Q3624" s="17"/>
      <c r="R3624" s="17"/>
      <c r="S3624" s="17"/>
      <c r="T3624" s="17"/>
      <c r="U3624" s="17"/>
      <c r="V3624" s="17"/>
      <c r="W3624" s="17"/>
      <c r="X3624" s="17"/>
      <c r="Y3624" s="17"/>
      <c r="Z3624" s="31"/>
      <c r="AA3624" s="32"/>
    </row>
    <row r="3625" spans="1:27" ht="12.75">
      <c r="A3625" s="17"/>
      <c r="B3625" s="17"/>
      <c r="C3625" s="17"/>
      <c r="D3625" s="17"/>
      <c r="E3625" s="17"/>
      <c r="F3625" s="17"/>
      <c r="G3625" s="17"/>
      <c r="H3625" s="17"/>
      <c r="I3625" s="31"/>
      <c r="J3625" s="17"/>
      <c r="K3625" s="17"/>
      <c r="L3625" s="17"/>
      <c r="M3625" s="17"/>
      <c r="N3625" s="17"/>
      <c r="O3625" s="17"/>
      <c r="P3625" s="17"/>
      <c r="Q3625" s="17"/>
      <c r="R3625" s="17"/>
      <c r="S3625" s="17"/>
      <c r="T3625" s="17"/>
      <c r="U3625" s="17"/>
      <c r="V3625" s="17"/>
      <c r="W3625" s="17"/>
      <c r="X3625" s="17"/>
      <c r="Y3625" s="17"/>
      <c r="Z3625" s="31"/>
      <c r="AA3625" s="32"/>
    </row>
    <row r="3626" spans="1:27" ht="12.75">
      <c r="A3626" s="17"/>
      <c r="B3626" s="17"/>
      <c r="C3626" s="17"/>
      <c r="D3626" s="17"/>
      <c r="E3626" s="17"/>
      <c r="F3626" s="17"/>
      <c r="G3626" s="17"/>
      <c r="H3626" s="17"/>
      <c r="I3626" s="31"/>
      <c r="J3626" s="17"/>
      <c r="K3626" s="17"/>
      <c r="L3626" s="17"/>
      <c r="M3626" s="17"/>
      <c r="N3626" s="17"/>
      <c r="O3626" s="17"/>
      <c r="P3626" s="17"/>
      <c r="Q3626" s="17"/>
      <c r="R3626" s="17"/>
      <c r="S3626" s="17"/>
      <c r="T3626" s="17"/>
      <c r="U3626" s="17"/>
      <c r="V3626" s="17"/>
      <c r="W3626" s="17"/>
      <c r="X3626" s="17"/>
      <c r="Y3626" s="17"/>
      <c r="Z3626" s="31"/>
      <c r="AA3626" s="32"/>
    </row>
    <row r="3627" spans="1:27" ht="12.75">
      <c r="A3627" s="17"/>
      <c r="B3627" s="17"/>
      <c r="C3627" s="17"/>
      <c r="D3627" s="17"/>
      <c r="E3627" s="17"/>
      <c r="F3627" s="17"/>
      <c r="G3627" s="17"/>
      <c r="H3627" s="17"/>
      <c r="I3627" s="31"/>
      <c r="J3627" s="17"/>
      <c r="K3627" s="17"/>
      <c r="L3627" s="17"/>
      <c r="M3627" s="17"/>
      <c r="N3627" s="17"/>
      <c r="O3627" s="17"/>
      <c r="P3627" s="17"/>
      <c r="Q3627" s="17"/>
      <c r="R3627" s="17"/>
      <c r="S3627" s="17"/>
      <c r="T3627" s="17"/>
      <c r="U3627" s="17"/>
      <c r="V3627" s="17"/>
      <c r="W3627" s="17"/>
      <c r="X3627" s="17"/>
      <c r="Y3627" s="17"/>
      <c r="Z3627" s="31"/>
      <c r="AA3627" s="32"/>
    </row>
    <row r="3628" spans="1:27" ht="12.75">
      <c r="A3628" s="17"/>
      <c r="B3628" s="17"/>
      <c r="C3628" s="17"/>
      <c r="D3628" s="17"/>
      <c r="E3628" s="17"/>
      <c r="F3628" s="17"/>
      <c r="G3628" s="17"/>
      <c r="H3628" s="17"/>
      <c r="I3628" s="31"/>
      <c r="J3628" s="17"/>
      <c r="K3628" s="17"/>
      <c r="L3628" s="17"/>
      <c r="M3628" s="17"/>
      <c r="N3628" s="17"/>
      <c r="O3628" s="17"/>
      <c r="P3628" s="17"/>
      <c r="Q3628" s="17"/>
      <c r="R3628" s="17"/>
      <c r="S3628" s="17"/>
      <c r="T3628" s="17"/>
      <c r="U3628" s="17"/>
      <c r="V3628" s="17"/>
      <c r="W3628" s="17"/>
      <c r="X3628" s="17"/>
      <c r="Y3628" s="17"/>
      <c r="Z3628" s="31"/>
      <c r="AA3628" s="32"/>
    </row>
    <row r="3629" spans="1:27" ht="12.75">
      <c r="A3629" s="17"/>
      <c r="B3629" s="17"/>
      <c r="C3629" s="17"/>
      <c r="D3629" s="17"/>
      <c r="E3629" s="17"/>
      <c r="F3629" s="17"/>
      <c r="G3629" s="17"/>
      <c r="H3629" s="17"/>
      <c r="I3629" s="31"/>
      <c r="J3629" s="17"/>
      <c r="K3629" s="17"/>
      <c r="L3629" s="17"/>
      <c r="M3629" s="17"/>
      <c r="N3629" s="17"/>
      <c r="O3629" s="17"/>
      <c r="P3629" s="17"/>
      <c r="Q3629" s="17"/>
      <c r="R3629" s="17"/>
      <c r="S3629" s="17"/>
      <c r="T3629" s="17"/>
      <c r="U3629" s="17"/>
      <c r="V3629" s="17"/>
      <c r="W3629" s="17"/>
      <c r="X3629" s="17"/>
      <c r="Y3629" s="17"/>
      <c r="Z3629" s="31"/>
      <c r="AA3629" s="32"/>
    </row>
    <row r="3630" spans="1:27" ht="12.75">
      <c r="A3630" s="17"/>
      <c r="B3630" s="17"/>
      <c r="C3630" s="17"/>
      <c r="D3630" s="17"/>
      <c r="E3630" s="17"/>
      <c r="F3630" s="17"/>
      <c r="G3630" s="17"/>
      <c r="H3630" s="17"/>
      <c r="I3630" s="31"/>
      <c r="J3630" s="17"/>
      <c r="K3630" s="17"/>
      <c r="L3630" s="17"/>
      <c r="M3630" s="17"/>
      <c r="N3630" s="17"/>
      <c r="O3630" s="17"/>
      <c r="P3630" s="17"/>
      <c r="Q3630" s="17"/>
      <c r="R3630" s="17"/>
      <c r="S3630" s="17"/>
      <c r="T3630" s="17"/>
      <c r="U3630" s="17"/>
      <c r="V3630" s="17"/>
      <c r="W3630" s="17"/>
      <c r="X3630" s="17"/>
      <c r="Y3630" s="17"/>
      <c r="Z3630" s="31"/>
      <c r="AA3630" s="32"/>
    </row>
    <row r="3631" spans="1:27" ht="12.75">
      <c r="A3631" s="17"/>
      <c r="B3631" s="17"/>
      <c r="C3631" s="17"/>
      <c r="D3631" s="17"/>
      <c r="E3631" s="17"/>
      <c r="F3631" s="17"/>
      <c r="G3631" s="17"/>
      <c r="H3631" s="17"/>
      <c r="I3631" s="31"/>
      <c r="J3631" s="17"/>
      <c r="K3631" s="17"/>
      <c r="L3631" s="17"/>
      <c r="M3631" s="17"/>
      <c r="N3631" s="17"/>
      <c r="O3631" s="17"/>
      <c r="P3631" s="17"/>
      <c r="Q3631" s="17"/>
      <c r="R3631" s="17"/>
      <c r="S3631" s="17"/>
      <c r="T3631" s="17"/>
      <c r="U3631" s="17"/>
      <c r="V3631" s="17"/>
      <c r="W3631" s="17"/>
      <c r="X3631" s="17"/>
      <c r="Y3631" s="17"/>
      <c r="Z3631" s="31"/>
      <c r="AA3631" s="32"/>
    </row>
    <row r="3632" spans="1:27" ht="12.75">
      <c r="A3632" s="17"/>
      <c r="B3632" s="17"/>
      <c r="C3632" s="17"/>
      <c r="D3632" s="17"/>
      <c r="E3632" s="17"/>
      <c r="F3632" s="17"/>
      <c r="G3632" s="17"/>
      <c r="H3632" s="17"/>
      <c r="I3632" s="31"/>
      <c r="J3632" s="17"/>
      <c r="K3632" s="17"/>
      <c r="L3632" s="17"/>
      <c r="M3632" s="17"/>
      <c r="N3632" s="17"/>
      <c r="O3632" s="17"/>
      <c r="P3632" s="17"/>
      <c r="Q3632" s="17"/>
      <c r="R3632" s="17"/>
      <c r="S3632" s="17"/>
      <c r="T3632" s="17"/>
      <c r="U3632" s="17"/>
      <c r="V3632" s="17"/>
      <c r="W3632" s="17"/>
      <c r="X3632" s="17"/>
      <c r="Y3632" s="17"/>
      <c r="Z3632" s="31"/>
      <c r="AA3632" s="32"/>
    </row>
    <row r="3633" spans="1:27" ht="12.75">
      <c r="A3633" s="17"/>
      <c r="B3633" s="17"/>
      <c r="C3633" s="17"/>
      <c r="D3633" s="17"/>
      <c r="E3633" s="17"/>
      <c r="F3633" s="17"/>
      <c r="G3633" s="17"/>
      <c r="H3633" s="17"/>
      <c r="I3633" s="31"/>
      <c r="J3633" s="17"/>
      <c r="K3633" s="17"/>
      <c r="L3633" s="17"/>
      <c r="M3633" s="17"/>
      <c r="N3633" s="17"/>
      <c r="O3633" s="17"/>
      <c r="P3633" s="17"/>
      <c r="Q3633" s="17"/>
      <c r="R3633" s="17"/>
      <c r="S3633" s="17"/>
      <c r="T3633" s="17"/>
      <c r="U3633" s="17"/>
      <c r="V3633" s="17"/>
      <c r="W3633" s="17"/>
      <c r="X3633" s="17"/>
      <c r="Y3633" s="17"/>
      <c r="Z3633" s="31"/>
      <c r="AA3633" s="32"/>
    </row>
    <row r="3634" spans="1:27" ht="12.75">
      <c r="A3634" s="17"/>
      <c r="B3634" s="17"/>
      <c r="C3634" s="17"/>
      <c r="D3634" s="17"/>
      <c r="E3634" s="17"/>
      <c r="F3634" s="17"/>
      <c r="G3634" s="17"/>
      <c r="H3634" s="17"/>
      <c r="I3634" s="31"/>
      <c r="J3634" s="17"/>
      <c r="K3634" s="17"/>
      <c r="L3634" s="17"/>
      <c r="M3634" s="17"/>
      <c r="N3634" s="17"/>
      <c r="O3634" s="17"/>
      <c r="P3634" s="17"/>
      <c r="Q3634" s="17"/>
      <c r="R3634" s="17"/>
      <c r="S3634" s="17"/>
      <c r="T3634" s="17"/>
      <c r="U3634" s="17"/>
      <c r="V3634" s="17"/>
      <c r="W3634" s="17"/>
      <c r="X3634" s="17"/>
      <c r="Y3634" s="17"/>
      <c r="Z3634" s="31"/>
      <c r="AA3634" s="32"/>
    </row>
    <row r="3635" spans="1:27" ht="12.75">
      <c r="A3635" s="17"/>
      <c r="B3635" s="17"/>
      <c r="C3635" s="17"/>
      <c r="D3635" s="17"/>
      <c r="E3635" s="17"/>
      <c r="F3635" s="17"/>
      <c r="G3635" s="17"/>
      <c r="H3635" s="17"/>
      <c r="I3635" s="31"/>
      <c r="J3635" s="17"/>
      <c r="K3635" s="17"/>
      <c r="L3635" s="17"/>
      <c r="M3635" s="17"/>
      <c r="N3635" s="17"/>
      <c r="O3635" s="17"/>
      <c r="P3635" s="17"/>
      <c r="Q3635" s="17"/>
      <c r="R3635" s="17"/>
      <c r="S3635" s="17"/>
      <c r="T3635" s="17"/>
      <c r="U3635" s="17"/>
      <c r="V3635" s="17"/>
      <c r="W3635" s="17"/>
      <c r="X3635" s="17"/>
      <c r="Y3635" s="17"/>
      <c r="Z3635" s="31"/>
      <c r="AA3635" s="32"/>
    </row>
    <row r="3636" spans="1:27" ht="12.75">
      <c r="A3636" s="17"/>
      <c r="B3636" s="17"/>
      <c r="C3636" s="17"/>
      <c r="D3636" s="17"/>
      <c r="E3636" s="17"/>
      <c r="F3636" s="17"/>
      <c r="G3636" s="17"/>
      <c r="H3636" s="17"/>
      <c r="I3636" s="31"/>
      <c r="J3636" s="17"/>
      <c r="K3636" s="17"/>
      <c r="L3636" s="17"/>
      <c r="M3636" s="17"/>
      <c r="N3636" s="17"/>
      <c r="O3636" s="17"/>
      <c r="P3636" s="17"/>
      <c r="Q3636" s="17"/>
      <c r="R3636" s="17"/>
      <c r="S3636" s="17"/>
      <c r="T3636" s="17"/>
      <c r="U3636" s="17"/>
      <c r="V3636" s="17"/>
      <c r="W3636" s="17"/>
      <c r="X3636" s="17"/>
      <c r="Y3636" s="17"/>
      <c r="Z3636" s="31"/>
      <c r="AA3636" s="32"/>
    </row>
    <row r="3637" spans="1:27" ht="12.75">
      <c r="A3637" s="17"/>
      <c r="B3637" s="17"/>
      <c r="C3637" s="17"/>
      <c r="D3637" s="17"/>
      <c r="E3637" s="17"/>
      <c r="F3637" s="17"/>
      <c r="G3637" s="17"/>
      <c r="H3637" s="17"/>
      <c r="I3637" s="31"/>
      <c r="J3637" s="17"/>
      <c r="K3637" s="17"/>
      <c r="L3637" s="17"/>
      <c r="M3637" s="17"/>
      <c r="N3637" s="17"/>
      <c r="O3637" s="17"/>
      <c r="P3637" s="17"/>
      <c r="Q3637" s="17"/>
      <c r="R3637" s="17"/>
      <c r="S3637" s="17"/>
      <c r="T3637" s="17"/>
      <c r="U3637" s="17"/>
      <c r="V3637" s="17"/>
      <c r="W3637" s="17"/>
      <c r="X3637" s="17"/>
      <c r="Y3637" s="17"/>
      <c r="Z3637" s="31"/>
      <c r="AA3637" s="32"/>
    </row>
    <row r="3638" spans="1:27" ht="12.75">
      <c r="A3638" s="17"/>
      <c r="B3638" s="17"/>
      <c r="C3638" s="17"/>
      <c r="D3638" s="17"/>
      <c r="E3638" s="17"/>
      <c r="F3638" s="17"/>
      <c r="G3638" s="17"/>
      <c r="H3638" s="17"/>
      <c r="I3638" s="31"/>
      <c r="J3638" s="17"/>
      <c r="K3638" s="17"/>
      <c r="L3638" s="17"/>
      <c r="M3638" s="17"/>
      <c r="N3638" s="17"/>
      <c r="O3638" s="17"/>
      <c r="P3638" s="17"/>
      <c r="Q3638" s="17"/>
      <c r="R3638" s="17"/>
      <c r="S3638" s="17"/>
      <c r="T3638" s="17"/>
      <c r="U3638" s="17"/>
      <c r="V3638" s="17"/>
      <c r="W3638" s="17"/>
      <c r="X3638" s="17"/>
      <c r="Y3638" s="17"/>
      <c r="Z3638" s="31"/>
      <c r="AA3638" s="32"/>
    </row>
    <row r="3639" spans="1:27" ht="12.75">
      <c r="A3639" s="17"/>
      <c r="B3639" s="17"/>
      <c r="C3639" s="17"/>
      <c r="D3639" s="17"/>
      <c r="E3639" s="17"/>
      <c r="F3639" s="17"/>
      <c r="G3639" s="17"/>
      <c r="H3639" s="17"/>
      <c r="I3639" s="31"/>
      <c r="J3639" s="17"/>
      <c r="K3639" s="17"/>
      <c r="L3639" s="17"/>
      <c r="M3639" s="17"/>
      <c r="N3639" s="17"/>
      <c r="O3639" s="17"/>
      <c r="P3639" s="17"/>
      <c r="Q3639" s="17"/>
      <c r="R3639" s="17"/>
      <c r="S3639" s="17"/>
      <c r="T3639" s="17"/>
      <c r="U3639" s="17"/>
      <c r="V3639" s="17"/>
      <c r="W3639" s="17"/>
      <c r="X3639" s="17"/>
      <c r="Y3639" s="17"/>
      <c r="Z3639" s="31"/>
      <c r="AA3639" s="32"/>
    </row>
    <row r="3640" spans="1:27" ht="12.75">
      <c r="A3640" s="17"/>
      <c r="B3640" s="17"/>
      <c r="C3640" s="17"/>
      <c r="D3640" s="17"/>
      <c r="E3640" s="17"/>
      <c r="F3640" s="17"/>
      <c r="G3640" s="17"/>
      <c r="H3640" s="17"/>
      <c r="I3640" s="31"/>
      <c r="J3640" s="17"/>
      <c r="K3640" s="17"/>
      <c r="L3640" s="17"/>
      <c r="M3640" s="17"/>
      <c r="N3640" s="17"/>
      <c r="O3640" s="17"/>
      <c r="P3640" s="17"/>
      <c r="Q3640" s="17"/>
      <c r="R3640" s="17"/>
      <c r="S3640" s="17"/>
      <c r="T3640" s="17"/>
      <c r="U3640" s="17"/>
      <c r="V3640" s="17"/>
      <c r="W3640" s="17"/>
      <c r="X3640" s="17"/>
      <c r="Y3640" s="17"/>
      <c r="Z3640" s="31"/>
      <c r="AA3640" s="32"/>
    </row>
    <row r="3641" spans="1:27" ht="12.75">
      <c r="A3641" s="17"/>
      <c r="B3641" s="17"/>
      <c r="C3641" s="17"/>
      <c r="D3641" s="17"/>
      <c r="E3641" s="17"/>
      <c r="F3641" s="17"/>
      <c r="G3641" s="17"/>
      <c r="H3641" s="17"/>
      <c r="I3641" s="31"/>
      <c r="J3641" s="17"/>
      <c r="K3641" s="17"/>
      <c r="L3641" s="17"/>
      <c r="M3641" s="17"/>
      <c r="N3641" s="17"/>
      <c r="O3641" s="17"/>
      <c r="P3641" s="17"/>
      <c r="Q3641" s="17"/>
      <c r="R3641" s="17"/>
      <c r="S3641" s="17"/>
      <c r="T3641" s="17"/>
      <c r="U3641" s="17"/>
      <c r="V3641" s="17"/>
      <c r="W3641" s="17"/>
      <c r="X3641" s="17"/>
      <c r="Y3641" s="17"/>
      <c r="Z3641" s="31"/>
      <c r="AA3641" s="32"/>
    </row>
    <row r="3642" spans="1:27" ht="12.75">
      <c r="A3642" s="17"/>
      <c r="B3642" s="17"/>
      <c r="C3642" s="17"/>
      <c r="D3642" s="17"/>
      <c r="E3642" s="17"/>
      <c r="F3642" s="17"/>
      <c r="G3642" s="17"/>
      <c r="H3642" s="17"/>
      <c r="I3642" s="31"/>
      <c r="J3642" s="17"/>
      <c r="K3642" s="17"/>
      <c r="L3642" s="17"/>
      <c r="M3642" s="17"/>
      <c r="N3642" s="17"/>
      <c r="O3642" s="17"/>
      <c r="P3642" s="17"/>
      <c r="Q3642" s="17"/>
      <c r="R3642" s="17"/>
      <c r="S3642" s="17"/>
      <c r="T3642" s="17"/>
      <c r="U3642" s="17"/>
      <c r="V3642" s="17"/>
      <c r="W3642" s="17"/>
      <c r="X3642" s="17"/>
      <c r="Y3642" s="17"/>
      <c r="Z3642" s="31"/>
      <c r="AA3642" s="32"/>
    </row>
    <row r="3643" spans="1:27" ht="12.75">
      <c r="A3643" s="17"/>
      <c r="B3643" s="17"/>
      <c r="C3643" s="17"/>
      <c r="D3643" s="17"/>
      <c r="E3643" s="17"/>
      <c r="F3643" s="17"/>
      <c r="G3643" s="17"/>
      <c r="H3643" s="17"/>
      <c r="I3643" s="31"/>
      <c r="J3643" s="17"/>
      <c r="K3643" s="17"/>
      <c r="L3643" s="17"/>
      <c r="M3643" s="17"/>
      <c r="N3643" s="17"/>
      <c r="O3643" s="17"/>
      <c r="P3643" s="17"/>
      <c r="Q3643" s="17"/>
      <c r="R3643" s="17"/>
      <c r="S3643" s="17"/>
      <c r="T3643" s="17"/>
      <c r="U3643" s="17"/>
      <c r="V3643" s="17"/>
      <c r="W3643" s="17"/>
      <c r="X3643" s="17"/>
      <c r="Y3643" s="17"/>
      <c r="Z3643" s="31"/>
      <c r="AA3643" s="32"/>
    </row>
    <row r="3644" spans="1:27" ht="12.75">
      <c r="A3644" s="17"/>
      <c r="B3644" s="17"/>
      <c r="C3644" s="17"/>
      <c r="D3644" s="17"/>
      <c r="E3644" s="17"/>
      <c r="F3644" s="17"/>
      <c r="G3644" s="17"/>
      <c r="H3644" s="17"/>
      <c r="I3644" s="31"/>
      <c r="J3644" s="17"/>
      <c r="K3644" s="17"/>
      <c r="L3644" s="17"/>
      <c r="M3644" s="17"/>
      <c r="N3644" s="17"/>
      <c r="O3644" s="17"/>
      <c r="P3644" s="17"/>
      <c r="Q3644" s="17"/>
      <c r="R3644" s="17"/>
      <c r="S3644" s="17"/>
      <c r="T3644" s="17"/>
      <c r="U3644" s="17"/>
      <c r="V3644" s="17"/>
      <c r="W3644" s="17"/>
      <c r="X3644" s="17"/>
      <c r="Y3644" s="17"/>
      <c r="Z3644" s="31"/>
      <c r="AA3644" s="32"/>
    </row>
    <row r="3645" spans="1:27" ht="12.75">
      <c r="A3645" s="17"/>
      <c r="B3645" s="17"/>
      <c r="C3645" s="17"/>
      <c r="D3645" s="17"/>
      <c r="E3645" s="17"/>
      <c r="F3645" s="17"/>
      <c r="G3645" s="17"/>
      <c r="H3645" s="17"/>
      <c r="I3645" s="31"/>
      <c r="J3645" s="17"/>
      <c r="K3645" s="17"/>
      <c r="L3645" s="17"/>
      <c r="M3645" s="17"/>
      <c r="N3645" s="17"/>
      <c r="O3645" s="17"/>
      <c r="P3645" s="17"/>
      <c r="Q3645" s="17"/>
      <c r="R3645" s="17"/>
      <c r="S3645" s="17"/>
      <c r="T3645" s="17"/>
      <c r="U3645" s="17"/>
      <c r="V3645" s="17"/>
      <c r="W3645" s="17"/>
      <c r="X3645" s="17"/>
      <c r="Y3645" s="17"/>
      <c r="Z3645" s="31"/>
      <c r="AA3645" s="32"/>
    </row>
    <row r="3646" spans="1:27" ht="12.75">
      <c r="A3646" s="17"/>
      <c r="B3646" s="17"/>
      <c r="C3646" s="17"/>
      <c r="D3646" s="17"/>
      <c r="E3646" s="17"/>
      <c r="F3646" s="17"/>
      <c r="G3646" s="17"/>
      <c r="H3646" s="17"/>
      <c r="I3646" s="31"/>
      <c r="J3646" s="17"/>
      <c r="K3646" s="17"/>
      <c r="L3646" s="17"/>
      <c r="M3646" s="17"/>
      <c r="N3646" s="17"/>
      <c r="O3646" s="17"/>
      <c r="P3646" s="17"/>
      <c r="Q3646" s="17"/>
      <c r="R3646" s="17"/>
      <c r="S3646" s="17"/>
      <c r="T3646" s="17"/>
      <c r="U3646" s="17"/>
      <c r="V3646" s="17"/>
      <c r="W3646" s="17"/>
      <c r="X3646" s="17"/>
      <c r="Y3646" s="17"/>
      <c r="Z3646" s="31"/>
      <c r="AA3646" s="32"/>
    </row>
    <row r="3647" spans="1:27" ht="12.75">
      <c r="A3647" s="17"/>
      <c r="B3647" s="17"/>
      <c r="C3647" s="17"/>
      <c r="D3647" s="17"/>
      <c r="E3647" s="17"/>
      <c r="F3647" s="17"/>
      <c r="G3647" s="17"/>
      <c r="H3647" s="17"/>
      <c r="I3647" s="31"/>
      <c r="J3647" s="17"/>
      <c r="K3647" s="17"/>
      <c r="L3647" s="17"/>
      <c r="M3647" s="17"/>
      <c r="N3647" s="17"/>
      <c r="O3647" s="17"/>
      <c r="P3647" s="17"/>
      <c r="Q3647" s="17"/>
      <c r="R3647" s="17"/>
      <c r="S3647" s="17"/>
      <c r="T3647" s="17"/>
      <c r="U3647" s="17"/>
      <c r="V3647" s="17"/>
      <c r="W3647" s="17"/>
      <c r="X3647" s="17"/>
      <c r="Y3647" s="17"/>
      <c r="Z3647" s="31"/>
      <c r="AA3647" s="32"/>
    </row>
    <row r="3648" spans="1:27" ht="12.75">
      <c r="A3648" s="17"/>
      <c r="B3648" s="17"/>
      <c r="C3648" s="17"/>
      <c r="D3648" s="17"/>
      <c r="E3648" s="17"/>
      <c r="F3648" s="17"/>
      <c r="G3648" s="17"/>
      <c r="H3648" s="17"/>
      <c r="I3648" s="31"/>
      <c r="J3648" s="17"/>
      <c r="K3648" s="17"/>
      <c r="L3648" s="17"/>
      <c r="M3648" s="17"/>
      <c r="N3648" s="17"/>
      <c r="O3648" s="17"/>
      <c r="P3648" s="17"/>
      <c r="Q3648" s="17"/>
      <c r="R3648" s="17"/>
      <c r="S3648" s="17"/>
      <c r="T3648" s="17"/>
      <c r="U3648" s="17"/>
      <c r="V3648" s="17"/>
      <c r="W3648" s="17"/>
      <c r="X3648" s="17"/>
      <c r="Y3648" s="17"/>
      <c r="Z3648" s="31"/>
      <c r="AA3648" s="32"/>
    </row>
    <row r="3649" spans="1:27" ht="12.75">
      <c r="A3649" s="17"/>
      <c r="B3649" s="17"/>
      <c r="C3649" s="17"/>
      <c r="D3649" s="17"/>
      <c r="E3649" s="17"/>
      <c r="F3649" s="17"/>
      <c r="G3649" s="17"/>
      <c r="H3649" s="17"/>
      <c r="I3649" s="31"/>
      <c r="J3649" s="17"/>
      <c r="K3649" s="17"/>
      <c r="L3649" s="17"/>
      <c r="M3649" s="17"/>
      <c r="N3649" s="17"/>
      <c r="O3649" s="17"/>
      <c r="P3649" s="17"/>
      <c r="Q3649" s="17"/>
      <c r="R3649" s="17"/>
      <c r="S3649" s="17"/>
      <c r="T3649" s="17"/>
      <c r="U3649" s="17"/>
      <c r="V3649" s="17"/>
      <c r="W3649" s="17"/>
      <c r="X3649" s="17"/>
      <c r="Y3649" s="17"/>
      <c r="Z3649" s="31"/>
      <c r="AA3649" s="32"/>
    </row>
    <row r="3650" spans="1:27" ht="12.75">
      <c r="A3650" s="17"/>
      <c r="B3650" s="17"/>
      <c r="C3650" s="17"/>
      <c r="D3650" s="17"/>
      <c r="E3650" s="17"/>
      <c r="F3650" s="17"/>
      <c r="G3650" s="17"/>
      <c r="H3650" s="17"/>
      <c r="I3650" s="31"/>
      <c r="J3650" s="17"/>
      <c r="K3650" s="17"/>
      <c r="L3650" s="17"/>
      <c r="M3650" s="17"/>
      <c r="N3650" s="17"/>
      <c r="O3650" s="17"/>
      <c r="P3650" s="17"/>
      <c r="Q3650" s="17"/>
      <c r="R3650" s="17"/>
      <c r="S3650" s="17"/>
      <c r="T3650" s="17"/>
      <c r="U3650" s="17"/>
      <c r="V3650" s="17"/>
      <c r="W3650" s="17"/>
      <c r="X3650" s="17"/>
      <c r="Y3650" s="17"/>
      <c r="Z3650" s="31"/>
      <c r="AA3650" s="32"/>
    </row>
    <row r="3651" spans="1:27" ht="12.75">
      <c r="A3651" s="17"/>
      <c r="B3651" s="17"/>
      <c r="C3651" s="17"/>
      <c r="D3651" s="17"/>
      <c r="E3651" s="17"/>
      <c r="F3651" s="17"/>
      <c r="G3651" s="17"/>
      <c r="H3651" s="17"/>
      <c r="I3651" s="31"/>
      <c r="J3651" s="17"/>
      <c r="K3651" s="17"/>
      <c r="L3651" s="17"/>
      <c r="M3651" s="17"/>
      <c r="N3651" s="17"/>
      <c r="O3651" s="17"/>
      <c r="P3651" s="17"/>
      <c r="Q3651" s="17"/>
      <c r="R3651" s="17"/>
      <c r="S3651" s="17"/>
      <c r="T3651" s="17"/>
      <c r="U3651" s="17"/>
      <c r="V3651" s="17"/>
      <c r="W3651" s="17"/>
      <c r="X3651" s="17"/>
      <c r="Y3651" s="17"/>
      <c r="Z3651" s="31"/>
      <c r="AA3651" s="32"/>
    </row>
    <row r="3652" spans="1:27" ht="12.75">
      <c r="A3652" s="17"/>
      <c r="B3652" s="17"/>
      <c r="C3652" s="17"/>
      <c r="D3652" s="17"/>
      <c r="E3652" s="17"/>
      <c r="F3652" s="17"/>
      <c r="G3652" s="17"/>
      <c r="H3652" s="17"/>
      <c r="I3652" s="31"/>
      <c r="J3652" s="17"/>
      <c r="K3652" s="17"/>
      <c r="L3652" s="17"/>
      <c r="M3652" s="17"/>
      <c r="N3652" s="17"/>
      <c r="O3652" s="17"/>
      <c r="P3652" s="17"/>
      <c r="Q3652" s="17"/>
      <c r="R3652" s="17"/>
      <c r="S3652" s="17"/>
      <c r="T3652" s="17"/>
      <c r="U3652" s="17"/>
      <c r="V3652" s="17"/>
      <c r="W3652" s="17"/>
      <c r="X3652" s="17"/>
      <c r="Y3652" s="17"/>
      <c r="Z3652" s="31"/>
      <c r="AA3652" s="32"/>
    </row>
    <row r="3653" spans="1:27" ht="12.75">
      <c r="A3653" s="17"/>
      <c r="B3653" s="17"/>
      <c r="C3653" s="17"/>
      <c r="D3653" s="17"/>
      <c r="E3653" s="17"/>
      <c r="F3653" s="17"/>
      <c r="G3653" s="17"/>
      <c r="H3653" s="17"/>
      <c r="I3653" s="31"/>
      <c r="J3653" s="17"/>
      <c r="K3653" s="17"/>
      <c r="L3653" s="17"/>
      <c r="M3653" s="17"/>
      <c r="N3653" s="17"/>
      <c r="O3653" s="17"/>
      <c r="P3653" s="17"/>
      <c r="Q3653" s="17"/>
      <c r="R3653" s="17"/>
      <c r="S3653" s="17"/>
      <c r="T3653" s="17"/>
      <c r="U3653" s="17"/>
      <c r="V3653" s="17"/>
      <c r="W3653" s="17"/>
      <c r="X3653" s="17"/>
      <c r="Y3653" s="17"/>
      <c r="Z3653" s="31"/>
      <c r="AA3653" s="32"/>
    </row>
    <row r="3654" spans="1:27" ht="12.75">
      <c r="A3654" s="17"/>
      <c r="B3654" s="17"/>
      <c r="C3654" s="17"/>
      <c r="D3654" s="17"/>
      <c r="E3654" s="17"/>
      <c r="F3654" s="17"/>
      <c r="G3654" s="17"/>
      <c r="H3654" s="17"/>
      <c r="I3654" s="31"/>
      <c r="J3654" s="17"/>
      <c r="K3654" s="17"/>
      <c r="L3654" s="17"/>
      <c r="M3654" s="17"/>
      <c r="N3654" s="17"/>
      <c r="O3654" s="17"/>
      <c r="P3654" s="17"/>
      <c r="Q3654" s="17"/>
      <c r="R3654" s="17"/>
      <c r="S3654" s="17"/>
      <c r="T3654" s="17"/>
      <c r="U3654" s="17"/>
      <c r="V3654" s="17"/>
      <c r="W3654" s="17"/>
      <c r="X3654" s="17"/>
      <c r="Y3654" s="17"/>
      <c r="Z3654" s="31"/>
      <c r="AA3654" s="32"/>
    </row>
    <row r="3655" spans="1:27" ht="12.75">
      <c r="A3655" s="17"/>
      <c r="B3655" s="17"/>
      <c r="C3655" s="17"/>
      <c r="D3655" s="17"/>
      <c r="E3655" s="17"/>
      <c r="F3655" s="17"/>
      <c r="G3655" s="17"/>
      <c r="H3655" s="17"/>
      <c r="I3655" s="31"/>
      <c r="J3655" s="17"/>
      <c r="K3655" s="17"/>
      <c r="L3655" s="17"/>
      <c r="M3655" s="17"/>
      <c r="N3655" s="17"/>
      <c r="O3655" s="17"/>
      <c r="P3655" s="17"/>
      <c r="Q3655" s="17"/>
      <c r="R3655" s="17"/>
      <c r="S3655" s="17"/>
      <c r="T3655" s="17"/>
      <c r="U3655" s="17"/>
      <c r="V3655" s="17"/>
      <c r="W3655" s="17"/>
      <c r="X3655" s="17"/>
      <c r="Y3655" s="17"/>
      <c r="Z3655" s="31"/>
      <c r="AA3655" s="32"/>
    </row>
    <row r="3656" spans="1:27" ht="12.75">
      <c r="A3656" s="17"/>
      <c r="B3656" s="17"/>
      <c r="C3656" s="17"/>
      <c r="D3656" s="17"/>
      <c r="E3656" s="17"/>
      <c r="F3656" s="17"/>
      <c r="G3656" s="17"/>
      <c r="H3656" s="17"/>
      <c r="I3656" s="31"/>
      <c r="J3656" s="17"/>
      <c r="K3656" s="17"/>
      <c r="L3656" s="17"/>
      <c r="M3656" s="17"/>
      <c r="N3656" s="17"/>
      <c r="O3656" s="17"/>
      <c r="P3656" s="17"/>
      <c r="Q3656" s="17"/>
      <c r="R3656" s="17"/>
      <c r="S3656" s="17"/>
      <c r="T3656" s="17"/>
      <c r="U3656" s="17"/>
      <c r="V3656" s="17"/>
      <c r="W3656" s="17"/>
      <c r="X3656" s="17"/>
      <c r="Y3656" s="17"/>
      <c r="Z3656" s="31"/>
      <c r="AA3656" s="32"/>
    </row>
    <row r="3657" spans="1:27" ht="12.75">
      <c r="A3657" s="17"/>
      <c r="B3657" s="17"/>
      <c r="C3657" s="17"/>
      <c r="D3657" s="17"/>
      <c r="E3657" s="17"/>
      <c r="F3657" s="17"/>
      <c r="G3657" s="17"/>
      <c r="H3657" s="17"/>
      <c r="I3657" s="31"/>
      <c r="J3657" s="17"/>
      <c r="K3657" s="17"/>
      <c r="L3657" s="17"/>
      <c r="M3657" s="17"/>
      <c r="N3657" s="17"/>
      <c r="O3657" s="17"/>
      <c r="P3657" s="17"/>
      <c r="Q3657" s="17"/>
      <c r="R3657" s="17"/>
      <c r="S3657" s="17"/>
      <c r="T3657" s="17"/>
      <c r="U3657" s="17"/>
      <c r="V3657" s="17"/>
      <c r="W3657" s="17"/>
      <c r="X3657" s="17"/>
      <c r="Y3657" s="17"/>
      <c r="Z3657" s="31"/>
      <c r="AA3657" s="32"/>
    </row>
    <row r="3658" spans="1:27" ht="12.75">
      <c r="A3658" s="17"/>
      <c r="B3658" s="17"/>
      <c r="C3658" s="17"/>
      <c r="D3658" s="17"/>
      <c r="E3658" s="17"/>
      <c r="F3658" s="17"/>
      <c r="G3658" s="17"/>
      <c r="H3658" s="17"/>
      <c r="I3658" s="31"/>
      <c r="J3658" s="17"/>
      <c r="K3658" s="17"/>
      <c r="L3658" s="17"/>
      <c r="M3658" s="17"/>
      <c r="N3658" s="17"/>
      <c r="O3658" s="17"/>
      <c r="P3658" s="17"/>
      <c r="Q3658" s="17"/>
      <c r="R3658" s="17"/>
      <c r="S3658" s="17"/>
      <c r="T3658" s="17"/>
      <c r="U3658" s="17"/>
      <c r="V3658" s="17"/>
      <c r="W3658" s="17"/>
      <c r="X3658" s="17"/>
      <c r="Y3658" s="17"/>
      <c r="Z3658" s="31"/>
      <c r="AA3658" s="32"/>
    </row>
    <row r="3659" spans="1:27" ht="12.75">
      <c r="A3659" s="17"/>
      <c r="B3659" s="17"/>
      <c r="C3659" s="17"/>
      <c r="D3659" s="17"/>
      <c r="E3659" s="17"/>
      <c r="F3659" s="17"/>
      <c r="G3659" s="17"/>
      <c r="H3659" s="17"/>
      <c r="I3659" s="31"/>
      <c r="J3659" s="17"/>
      <c r="K3659" s="17"/>
      <c r="L3659" s="17"/>
      <c r="M3659" s="17"/>
      <c r="N3659" s="17"/>
      <c r="O3659" s="17"/>
      <c r="P3659" s="17"/>
      <c r="Q3659" s="17"/>
      <c r="R3659" s="17"/>
      <c r="S3659" s="17"/>
      <c r="T3659" s="17"/>
      <c r="U3659" s="17"/>
      <c r="V3659" s="17"/>
      <c r="W3659" s="17"/>
      <c r="X3659" s="17"/>
      <c r="Y3659" s="17"/>
      <c r="Z3659" s="31"/>
      <c r="AA3659" s="32"/>
    </row>
    <row r="3660" spans="1:27" ht="12.75">
      <c r="A3660" s="17"/>
      <c r="B3660" s="17"/>
      <c r="C3660" s="17"/>
      <c r="D3660" s="17"/>
      <c r="E3660" s="17"/>
      <c r="F3660" s="17"/>
      <c r="G3660" s="17"/>
      <c r="H3660" s="17"/>
      <c r="I3660" s="31"/>
      <c r="J3660" s="17"/>
      <c r="K3660" s="17"/>
      <c r="L3660" s="17"/>
      <c r="M3660" s="17"/>
      <c r="N3660" s="17"/>
      <c r="O3660" s="17"/>
      <c r="P3660" s="17"/>
      <c r="Q3660" s="17"/>
      <c r="R3660" s="17"/>
      <c r="S3660" s="17"/>
      <c r="T3660" s="17"/>
      <c r="U3660" s="17"/>
      <c r="V3660" s="17"/>
      <c r="W3660" s="17"/>
      <c r="X3660" s="17"/>
      <c r="Y3660" s="17"/>
      <c r="Z3660" s="31"/>
      <c r="AA3660" s="32"/>
    </row>
    <row r="3661" spans="1:27" ht="12.75">
      <c r="A3661" s="17"/>
      <c r="B3661" s="17"/>
      <c r="C3661" s="17"/>
      <c r="D3661" s="17"/>
      <c r="E3661" s="17"/>
      <c r="F3661" s="17"/>
      <c r="G3661" s="17"/>
      <c r="H3661" s="17"/>
      <c r="I3661" s="31"/>
      <c r="J3661" s="17"/>
      <c r="K3661" s="17"/>
      <c r="L3661" s="17"/>
      <c r="M3661" s="17"/>
      <c r="N3661" s="17"/>
      <c r="O3661" s="17"/>
      <c r="P3661" s="17"/>
      <c r="Q3661" s="17"/>
      <c r="R3661" s="17"/>
      <c r="S3661" s="17"/>
      <c r="T3661" s="17"/>
      <c r="U3661" s="17"/>
      <c r="V3661" s="17"/>
      <c r="W3661" s="17"/>
      <c r="X3661" s="17"/>
      <c r="Y3661" s="17"/>
      <c r="Z3661" s="31"/>
      <c r="AA3661" s="32"/>
    </row>
    <row r="3662" spans="1:27" ht="12.75">
      <c r="A3662" s="17"/>
      <c r="B3662" s="17"/>
      <c r="C3662" s="17"/>
      <c r="D3662" s="17"/>
      <c r="E3662" s="17"/>
      <c r="F3662" s="17"/>
      <c r="G3662" s="17"/>
      <c r="H3662" s="17"/>
      <c r="I3662" s="31"/>
      <c r="J3662" s="17"/>
      <c r="K3662" s="17"/>
      <c r="L3662" s="17"/>
      <c r="M3662" s="17"/>
      <c r="N3662" s="17"/>
      <c r="O3662" s="17"/>
      <c r="P3662" s="17"/>
      <c r="Q3662" s="17"/>
      <c r="R3662" s="17"/>
      <c r="S3662" s="17"/>
      <c r="T3662" s="17"/>
      <c r="U3662" s="17"/>
      <c r="V3662" s="17"/>
      <c r="W3662" s="17"/>
      <c r="X3662" s="17"/>
      <c r="Y3662" s="17"/>
      <c r="Z3662" s="31"/>
      <c r="AA3662" s="32"/>
    </row>
    <row r="3663" spans="1:27" ht="12.75">
      <c r="A3663" s="17"/>
      <c r="B3663" s="17"/>
      <c r="C3663" s="17"/>
      <c r="D3663" s="17"/>
      <c r="E3663" s="17"/>
      <c r="F3663" s="17"/>
      <c r="G3663" s="17"/>
      <c r="H3663" s="17"/>
      <c r="I3663" s="31"/>
      <c r="J3663" s="17"/>
      <c r="K3663" s="17"/>
      <c r="L3663" s="17"/>
      <c r="M3663" s="17"/>
      <c r="N3663" s="17"/>
      <c r="O3663" s="17"/>
      <c r="P3663" s="17"/>
      <c r="Q3663" s="17"/>
      <c r="R3663" s="17"/>
      <c r="S3663" s="17"/>
      <c r="T3663" s="17"/>
      <c r="U3663" s="17"/>
      <c r="V3663" s="17"/>
      <c r="W3663" s="17"/>
      <c r="X3663" s="17"/>
      <c r="Y3663" s="17"/>
      <c r="Z3663" s="31"/>
      <c r="AA3663" s="32"/>
    </row>
    <row r="3664" spans="1:27" ht="12.75">
      <c r="A3664" s="17"/>
      <c r="B3664" s="17"/>
      <c r="C3664" s="17"/>
      <c r="D3664" s="17"/>
      <c r="E3664" s="17"/>
      <c r="F3664" s="17"/>
      <c r="G3664" s="17"/>
      <c r="H3664" s="17"/>
      <c r="I3664" s="31"/>
      <c r="J3664" s="17"/>
      <c r="K3664" s="17"/>
      <c r="L3664" s="17"/>
      <c r="M3664" s="17"/>
      <c r="N3664" s="17"/>
      <c r="O3664" s="17"/>
      <c r="P3664" s="17"/>
      <c r="Q3664" s="17"/>
      <c r="R3664" s="17"/>
      <c r="S3664" s="17"/>
      <c r="T3664" s="17"/>
      <c r="U3664" s="17"/>
      <c r="V3664" s="17"/>
      <c r="W3664" s="17"/>
      <c r="X3664" s="17"/>
      <c r="Y3664" s="17"/>
      <c r="Z3664" s="31"/>
      <c r="AA3664" s="32"/>
    </row>
    <row r="3665" spans="1:27" ht="12.75">
      <c r="A3665" s="17"/>
      <c r="B3665" s="17"/>
      <c r="C3665" s="17"/>
      <c r="D3665" s="17"/>
      <c r="E3665" s="17"/>
      <c r="F3665" s="17"/>
      <c r="G3665" s="17"/>
      <c r="H3665" s="17"/>
      <c r="I3665" s="31"/>
      <c r="J3665" s="17"/>
      <c r="K3665" s="17"/>
      <c r="L3665" s="17"/>
      <c r="M3665" s="17"/>
      <c r="N3665" s="17"/>
      <c r="O3665" s="17"/>
      <c r="P3665" s="17"/>
      <c r="Q3665" s="17"/>
      <c r="R3665" s="17"/>
      <c r="S3665" s="17"/>
      <c r="T3665" s="17"/>
      <c r="U3665" s="17"/>
      <c r="V3665" s="17"/>
      <c r="W3665" s="17"/>
      <c r="X3665" s="17"/>
      <c r="Y3665" s="17"/>
      <c r="Z3665" s="31"/>
      <c r="AA3665" s="32"/>
    </row>
    <row r="3666" spans="1:27" ht="12.75">
      <c r="A3666" s="17"/>
      <c r="B3666" s="17"/>
      <c r="C3666" s="17"/>
      <c r="D3666" s="17"/>
      <c r="E3666" s="17"/>
      <c r="F3666" s="17"/>
      <c r="G3666" s="17"/>
      <c r="H3666" s="17"/>
      <c r="I3666" s="31"/>
      <c r="J3666" s="17"/>
      <c r="K3666" s="17"/>
      <c r="L3666" s="17"/>
      <c r="M3666" s="17"/>
      <c r="N3666" s="17"/>
      <c r="O3666" s="17"/>
      <c r="P3666" s="17"/>
      <c r="Q3666" s="17"/>
      <c r="R3666" s="17"/>
      <c r="S3666" s="17"/>
      <c r="T3666" s="17"/>
      <c r="U3666" s="17"/>
      <c r="V3666" s="17"/>
      <c r="W3666" s="17"/>
      <c r="X3666" s="17"/>
      <c r="Y3666" s="17"/>
      <c r="Z3666" s="31"/>
      <c r="AA3666" s="32"/>
    </row>
    <row r="3667" spans="1:27" ht="12.75">
      <c r="A3667" s="17"/>
      <c r="B3667" s="17"/>
      <c r="C3667" s="17"/>
      <c r="D3667" s="17"/>
      <c r="E3667" s="17"/>
      <c r="F3667" s="17"/>
      <c r="G3667" s="17"/>
      <c r="H3667" s="17"/>
      <c r="I3667" s="31"/>
      <c r="J3667" s="17"/>
      <c r="K3667" s="17"/>
      <c r="L3667" s="17"/>
      <c r="M3667" s="17"/>
      <c r="N3667" s="17"/>
      <c r="O3667" s="17"/>
      <c r="P3667" s="17"/>
      <c r="Q3667" s="17"/>
      <c r="R3667" s="17"/>
      <c r="S3667" s="17"/>
      <c r="T3667" s="17"/>
      <c r="U3667" s="17"/>
      <c r="V3667" s="17"/>
      <c r="W3667" s="17"/>
      <c r="X3667" s="17"/>
      <c r="Y3667" s="17"/>
      <c r="Z3667" s="31"/>
      <c r="AA3667" s="32"/>
    </row>
    <row r="3668" spans="1:27" ht="12.75">
      <c r="A3668" s="17"/>
      <c r="B3668" s="17"/>
      <c r="C3668" s="17"/>
      <c r="D3668" s="17"/>
      <c r="E3668" s="17"/>
      <c r="F3668" s="17"/>
      <c r="G3668" s="17"/>
      <c r="H3668" s="17"/>
      <c r="I3668" s="31"/>
      <c r="J3668" s="17"/>
      <c r="K3668" s="17"/>
      <c r="L3668" s="17"/>
      <c r="M3668" s="17"/>
      <c r="N3668" s="17"/>
      <c r="O3668" s="17"/>
      <c r="P3668" s="17"/>
      <c r="Q3668" s="17"/>
      <c r="R3668" s="17"/>
      <c r="S3668" s="17"/>
      <c r="T3668" s="17"/>
      <c r="U3668" s="17"/>
      <c r="V3668" s="17"/>
      <c r="W3668" s="17"/>
      <c r="X3668" s="17"/>
      <c r="Y3668" s="17"/>
      <c r="Z3668" s="31"/>
      <c r="AA3668" s="32"/>
    </row>
    <row r="3669" spans="1:27" ht="12.75">
      <c r="A3669" s="17"/>
      <c r="B3669" s="17"/>
      <c r="C3669" s="17"/>
      <c r="D3669" s="17"/>
      <c r="E3669" s="17"/>
      <c r="F3669" s="17"/>
      <c r="G3669" s="17"/>
      <c r="H3669" s="17"/>
      <c r="I3669" s="31"/>
      <c r="J3669" s="17"/>
      <c r="K3669" s="17"/>
      <c r="L3669" s="17"/>
      <c r="M3669" s="17"/>
      <c r="N3669" s="17"/>
      <c r="O3669" s="17"/>
      <c r="P3669" s="17"/>
      <c r="Q3669" s="17"/>
      <c r="R3669" s="17"/>
      <c r="S3669" s="17"/>
      <c r="T3669" s="17"/>
      <c r="U3669" s="17"/>
      <c r="V3669" s="17"/>
      <c r="W3669" s="17"/>
      <c r="X3669" s="17"/>
      <c r="Y3669" s="17"/>
      <c r="Z3669" s="31"/>
      <c r="AA3669" s="32"/>
    </row>
    <row r="3670" spans="1:27" ht="12.75">
      <c r="A3670" s="17"/>
      <c r="B3670" s="17"/>
      <c r="C3670" s="17"/>
      <c r="D3670" s="17"/>
      <c r="E3670" s="17"/>
      <c r="F3670" s="17"/>
      <c r="G3670" s="17"/>
      <c r="H3670" s="17"/>
      <c r="I3670" s="31"/>
      <c r="J3670" s="17"/>
      <c r="K3670" s="17"/>
      <c r="L3670" s="17"/>
      <c r="M3670" s="17"/>
      <c r="N3670" s="17"/>
      <c r="O3670" s="17"/>
      <c r="P3670" s="17"/>
      <c r="Q3670" s="17"/>
      <c r="R3670" s="17"/>
      <c r="S3670" s="17"/>
      <c r="T3670" s="17"/>
      <c r="U3670" s="17"/>
      <c r="V3670" s="17"/>
      <c r="W3670" s="17"/>
      <c r="X3670" s="17"/>
      <c r="Y3670" s="17"/>
      <c r="Z3670" s="31"/>
      <c r="AA3670" s="32"/>
    </row>
    <row r="3671" spans="1:27" ht="12.75">
      <c r="A3671" s="17"/>
      <c r="B3671" s="17"/>
      <c r="C3671" s="17"/>
      <c r="D3671" s="17"/>
      <c r="E3671" s="17"/>
      <c r="F3671" s="17"/>
      <c r="G3671" s="17"/>
      <c r="H3671" s="17"/>
      <c r="I3671" s="31"/>
      <c r="J3671" s="17"/>
      <c r="K3671" s="17"/>
      <c r="L3671" s="17"/>
      <c r="M3671" s="17"/>
      <c r="N3671" s="17"/>
      <c r="O3671" s="17"/>
      <c r="P3671" s="17"/>
      <c r="Q3671" s="17"/>
      <c r="R3671" s="17"/>
      <c r="S3671" s="17"/>
      <c r="T3671" s="17"/>
      <c r="U3671" s="17"/>
      <c r="V3671" s="17"/>
      <c r="W3671" s="17"/>
      <c r="X3671" s="17"/>
      <c r="Y3671" s="17"/>
      <c r="Z3671" s="31"/>
      <c r="AA3671" s="32"/>
    </row>
    <row r="3672" spans="1:27" ht="12.75">
      <c r="A3672" s="17"/>
      <c r="B3672" s="17"/>
      <c r="C3672" s="17"/>
      <c r="D3672" s="17"/>
      <c r="E3672" s="17"/>
      <c r="F3672" s="17"/>
      <c r="G3672" s="17"/>
      <c r="H3672" s="17"/>
      <c r="I3672" s="31"/>
      <c r="J3672" s="17"/>
      <c r="K3672" s="17"/>
      <c r="L3672" s="17"/>
      <c r="M3672" s="17"/>
      <c r="N3672" s="17"/>
      <c r="O3672" s="17"/>
      <c r="P3672" s="17"/>
      <c r="Q3672" s="17"/>
      <c r="R3672" s="17"/>
      <c r="S3672" s="17"/>
      <c r="T3672" s="17"/>
      <c r="U3672" s="17"/>
      <c r="V3672" s="17"/>
      <c r="W3672" s="17"/>
      <c r="X3672" s="17"/>
      <c r="Y3672" s="17"/>
      <c r="Z3672" s="31"/>
      <c r="AA3672" s="32"/>
    </row>
    <row r="3673" spans="1:27" ht="12.75">
      <c r="A3673" s="17"/>
      <c r="B3673" s="17"/>
      <c r="C3673" s="17"/>
      <c r="D3673" s="17"/>
      <c r="E3673" s="17"/>
      <c r="F3673" s="17"/>
      <c r="G3673" s="17"/>
      <c r="H3673" s="17"/>
      <c r="I3673" s="31"/>
      <c r="J3673" s="17"/>
      <c r="K3673" s="17"/>
      <c r="L3673" s="17"/>
      <c r="M3673" s="17"/>
      <c r="N3673" s="17"/>
      <c r="O3673" s="17"/>
      <c r="P3673" s="17"/>
      <c r="Q3673" s="17"/>
      <c r="R3673" s="17"/>
      <c r="S3673" s="17"/>
      <c r="T3673" s="17"/>
      <c r="U3673" s="17"/>
      <c r="V3673" s="17"/>
      <c r="W3673" s="17"/>
      <c r="X3673" s="17"/>
      <c r="Y3673" s="17"/>
      <c r="Z3673" s="31"/>
      <c r="AA3673" s="32"/>
    </row>
    <row r="3674" spans="1:27" ht="12.75">
      <c r="A3674" s="17"/>
      <c r="B3674" s="17"/>
      <c r="C3674" s="17"/>
      <c r="D3674" s="17"/>
      <c r="E3674" s="17"/>
      <c r="F3674" s="17"/>
      <c r="G3674" s="17"/>
      <c r="H3674" s="17"/>
      <c r="I3674" s="31"/>
      <c r="J3674" s="17"/>
      <c r="K3674" s="17"/>
      <c r="L3674" s="17"/>
      <c r="M3674" s="17"/>
      <c r="N3674" s="17"/>
      <c r="O3674" s="17"/>
      <c r="P3674" s="17"/>
      <c r="Q3674" s="17"/>
      <c r="R3674" s="17"/>
      <c r="S3674" s="17"/>
      <c r="T3674" s="17"/>
      <c r="U3674" s="17"/>
      <c r="V3674" s="17"/>
      <c r="W3674" s="17"/>
      <c r="X3674" s="17"/>
      <c r="Y3674" s="17"/>
      <c r="Z3674" s="31"/>
      <c r="AA3674" s="32"/>
    </row>
    <row r="3675" spans="1:27" ht="12.75">
      <c r="A3675" s="17"/>
      <c r="B3675" s="17"/>
      <c r="C3675" s="17"/>
      <c r="D3675" s="17"/>
      <c r="E3675" s="17"/>
      <c r="F3675" s="17"/>
      <c r="G3675" s="17"/>
      <c r="H3675" s="17"/>
      <c r="I3675" s="31"/>
      <c r="J3675" s="17"/>
      <c r="K3675" s="17"/>
      <c r="L3675" s="17"/>
      <c r="M3675" s="17"/>
      <c r="N3675" s="17"/>
      <c r="O3675" s="17"/>
      <c r="P3675" s="17"/>
      <c r="Q3675" s="17"/>
      <c r="R3675" s="17"/>
      <c r="S3675" s="17"/>
      <c r="T3675" s="17"/>
      <c r="U3675" s="17"/>
      <c r="V3675" s="17"/>
      <c r="W3675" s="17"/>
      <c r="X3675" s="17"/>
      <c r="Y3675" s="17"/>
      <c r="Z3675" s="31"/>
      <c r="AA3675" s="32"/>
    </row>
    <row r="3676" spans="1:27" ht="12.75">
      <c r="A3676" s="17"/>
      <c r="B3676" s="17"/>
      <c r="C3676" s="17"/>
      <c r="D3676" s="17"/>
      <c r="E3676" s="17"/>
      <c r="F3676" s="17"/>
      <c r="G3676" s="17"/>
      <c r="H3676" s="17"/>
      <c r="I3676" s="31"/>
      <c r="J3676" s="17"/>
      <c r="K3676" s="17"/>
      <c r="L3676" s="17"/>
      <c r="M3676" s="17"/>
      <c r="N3676" s="17"/>
      <c r="O3676" s="17"/>
      <c r="P3676" s="17"/>
      <c r="Q3676" s="17"/>
      <c r="R3676" s="17"/>
      <c r="S3676" s="17"/>
      <c r="T3676" s="17"/>
      <c r="U3676" s="17"/>
      <c r="V3676" s="17"/>
      <c r="W3676" s="17"/>
      <c r="X3676" s="17"/>
      <c r="Y3676" s="17"/>
      <c r="Z3676" s="31"/>
      <c r="AA3676" s="32"/>
    </row>
    <row r="3677" spans="1:27" ht="12.75">
      <c r="A3677" s="17"/>
      <c r="B3677" s="17"/>
      <c r="C3677" s="17"/>
      <c r="D3677" s="17"/>
      <c r="E3677" s="17"/>
      <c r="F3677" s="17"/>
      <c r="G3677" s="17"/>
      <c r="H3677" s="17"/>
      <c r="I3677" s="31"/>
      <c r="J3677" s="17"/>
      <c r="K3677" s="17"/>
      <c r="L3677" s="17"/>
      <c r="M3677" s="17"/>
      <c r="N3677" s="17"/>
      <c r="O3677" s="17"/>
      <c r="P3677" s="17"/>
      <c r="Q3677" s="17"/>
      <c r="R3677" s="17"/>
      <c r="S3677" s="17"/>
      <c r="T3677" s="17"/>
      <c r="U3677" s="17"/>
      <c r="V3677" s="17"/>
      <c r="W3677" s="17"/>
      <c r="X3677" s="17"/>
      <c r="Y3677" s="17"/>
      <c r="Z3677" s="31"/>
      <c r="AA3677" s="32"/>
    </row>
    <row r="3678" spans="1:27" ht="12.75">
      <c r="A3678" s="17"/>
      <c r="B3678" s="17"/>
      <c r="C3678" s="17"/>
      <c r="D3678" s="17"/>
      <c r="E3678" s="17"/>
      <c r="F3678" s="17"/>
      <c r="G3678" s="17"/>
      <c r="H3678" s="17"/>
      <c r="I3678" s="31"/>
      <c r="J3678" s="17"/>
      <c r="K3678" s="17"/>
      <c r="L3678" s="17"/>
      <c r="M3678" s="17"/>
      <c r="N3678" s="17"/>
      <c r="O3678" s="17"/>
      <c r="P3678" s="17"/>
      <c r="Q3678" s="17"/>
      <c r="R3678" s="17"/>
      <c r="S3678" s="17"/>
      <c r="T3678" s="17"/>
      <c r="U3678" s="17"/>
      <c r="V3678" s="17"/>
      <c r="W3678" s="17"/>
      <c r="X3678" s="17"/>
      <c r="Y3678" s="17"/>
      <c r="Z3678" s="31"/>
      <c r="AA3678" s="32"/>
    </row>
    <row r="3679" spans="1:27" ht="12.75">
      <c r="A3679" s="17"/>
      <c r="B3679" s="17"/>
      <c r="C3679" s="17"/>
      <c r="D3679" s="17"/>
      <c r="E3679" s="17"/>
      <c r="F3679" s="17"/>
      <c r="G3679" s="17"/>
      <c r="H3679" s="17"/>
      <c r="I3679" s="31"/>
      <c r="J3679" s="17"/>
      <c r="K3679" s="17"/>
      <c r="L3679" s="17"/>
      <c r="M3679" s="17"/>
      <c r="N3679" s="17"/>
      <c r="O3679" s="17"/>
      <c r="P3679" s="17"/>
      <c r="Q3679" s="17"/>
      <c r="R3679" s="17"/>
      <c r="S3679" s="17"/>
      <c r="T3679" s="17"/>
      <c r="U3679" s="17"/>
      <c r="V3679" s="17"/>
      <c r="W3679" s="17"/>
      <c r="X3679" s="17"/>
      <c r="Y3679" s="17"/>
      <c r="Z3679" s="31"/>
      <c r="AA3679" s="32"/>
    </row>
    <row r="3680" spans="1:27" ht="12.75">
      <c r="A3680" s="17"/>
      <c r="B3680" s="17"/>
      <c r="C3680" s="17"/>
      <c r="D3680" s="17"/>
      <c r="E3680" s="17"/>
      <c r="F3680" s="17"/>
      <c r="G3680" s="17"/>
      <c r="H3680" s="17"/>
      <c r="I3680" s="31"/>
      <c r="J3680" s="17"/>
      <c r="K3680" s="17"/>
      <c r="L3680" s="17"/>
      <c r="M3680" s="17"/>
      <c r="N3680" s="17"/>
      <c r="O3680" s="17"/>
      <c r="P3680" s="17"/>
      <c r="Q3680" s="17"/>
      <c r="R3680" s="17"/>
      <c r="S3680" s="17"/>
      <c r="T3680" s="17"/>
      <c r="U3680" s="17"/>
      <c r="V3680" s="17"/>
      <c r="W3680" s="17"/>
      <c r="X3680" s="17"/>
      <c r="Y3680" s="17"/>
      <c r="Z3680" s="31"/>
      <c r="AA3680" s="32"/>
    </row>
    <row r="3681" spans="1:27" ht="12.75">
      <c r="A3681" s="17"/>
      <c r="B3681" s="17"/>
      <c r="C3681" s="17"/>
      <c r="D3681" s="17"/>
      <c r="E3681" s="17"/>
      <c r="F3681" s="17"/>
      <c r="G3681" s="17"/>
      <c r="H3681" s="17"/>
      <c r="I3681" s="31"/>
      <c r="J3681" s="17"/>
      <c r="K3681" s="17"/>
      <c r="L3681" s="17"/>
      <c r="M3681" s="17"/>
      <c r="N3681" s="17"/>
      <c r="O3681" s="17"/>
      <c r="P3681" s="17"/>
      <c r="Q3681" s="17"/>
      <c r="R3681" s="17"/>
      <c r="S3681" s="17"/>
      <c r="T3681" s="17"/>
      <c r="U3681" s="17"/>
      <c r="V3681" s="17"/>
      <c r="W3681" s="17"/>
      <c r="X3681" s="17"/>
      <c r="Y3681" s="17"/>
      <c r="Z3681" s="31"/>
      <c r="AA3681" s="32"/>
    </row>
    <row r="3682" spans="1:27" ht="12.75">
      <c r="A3682" s="17"/>
      <c r="B3682" s="17"/>
      <c r="C3682" s="17"/>
      <c r="D3682" s="17"/>
      <c r="E3682" s="17"/>
      <c r="F3682" s="17"/>
      <c r="G3682" s="17"/>
      <c r="H3682" s="17"/>
      <c r="I3682" s="31"/>
      <c r="J3682" s="17"/>
      <c r="K3682" s="17"/>
      <c r="L3682" s="17"/>
      <c r="M3682" s="17"/>
      <c r="N3682" s="17"/>
      <c r="O3682" s="17"/>
      <c r="P3682" s="17"/>
      <c r="Q3682" s="17"/>
      <c r="R3682" s="17"/>
      <c r="S3682" s="17"/>
      <c r="T3682" s="17"/>
      <c r="U3682" s="17"/>
      <c r="V3682" s="17"/>
      <c r="W3682" s="17"/>
      <c r="X3682" s="17"/>
      <c r="Y3682" s="17"/>
      <c r="Z3682" s="31"/>
      <c r="AA3682" s="32"/>
    </row>
    <row r="3683" spans="1:27" ht="12.75">
      <c r="A3683" s="17"/>
      <c r="B3683" s="17"/>
      <c r="C3683" s="17"/>
      <c r="D3683" s="17"/>
      <c r="E3683" s="17"/>
      <c r="F3683" s="17"/>
      <c r="G3683" s="17"/>
      <c r="H3683" s="17"/>
      <c r="I3683" s="31"/>
      <c r="J3683" s="17"/>
      <c r="K3683" s="17"/>
      <c r="L3683" s="17"/>
      <c r="M3683" s="17"/>
      <c r="N3683" s="17"/>
      <c r="O3683" s="17"/>
      <c r="P3683" s="17"/>
      <c r="Q3683" s="17"/>
      <c r="R3683" s="17"/>
      <c r="S3683" s="17"/>
      <c r="T3683" s="17"/>
      <c r="U3683" s="17"/>
      <c r="V3683" s="17"/>
      <c r="W3683" s="17"/>
      <c r="X3683" s="17"/>
      <c r="Y3683" s="17"/>
      <c r="Z3683" s="31"/>
      <c r="AA3683" s="32"/>
    </row>
    <row r="3684" spans="1:27" ht="12.75">
      <c r="A3684" s="17"/>
      <c r="B3684" s="17"/>
      <c r="C3684" s="17"/>
      <c r="D3684" s="17"/>
      <c r="E3684" s="17"/>
      <c r="F3684" s="17"/>
      <c r="G3684" s="17"/>
      <c r="H3684" s="17"/>
      <c r="I3684" s="31"/>
      <c r="J3684" s="17"/>
      <c r="K3684" s="17"/>
      <c r="L3684" s="17"/>
      <c r="M3684" s="17"/>
      <c r="N3684" s="17"/>
      <c r="O3684" s="17"/>
      <c r="P3684" s="17"/>
      <c r="Q3684" s="17"/>
      <c r="R3684" s="17"/>
      <c r="S3684" s="17"/>
      <c r="T3684" s="17"/>
      <c r="U3684" s="17"/>
      <c r="V3684" s="17"/>
      <c r="W3684" s="17"/>
      <c r="X3684" s="17"/>
      <c r="Y3684" s="17"/>
      <c r="Z3684" s="31"/>
      <c r="AA3684" s="32"/>
    </row>
    <row r="3685" spans="1:27" ht="12.75">
      <c r="A3685" s="17"/>
      <c r="B3685" s="17"/>
      <c r="C3685" s="17"/>
      <c r="D3685" s="17"/>
      <c r="E3685" s="17"/>
      <c r="F3685" s="17"/>
      <c r="G3685" s="17"/>
      <c r="H3685" s="17"/>
      <c r="I3685" s="31"/>
      <c r="J3685" s="17"/>
      <c r="K3685" s="17"/>
      <c r="L3685" s="17"/>
      <c r="M3685" s="17"/>
      <c r="N3685" s="17"/>
      <c r="O3685" s="17"/>
      <c r="P3685" s="17"/>
      <c r="Q3685" s="17"/>
      <c r="R3685" s="17"/>
      <c r="S3685" s="17"/>
      <c r="T3685" s="17"/>
      <c r="U3685" s="17"/>
      <c r="V3685" s="17"/>
      <c r="W3685" s="17"/>
      <c r="X3685" s="17"/>
      <c r="Y3685" s="17"/>
      <c r="Z3685" s="31"/>
      <c r="AA3685" s="32"/>
    </row>
    <row r="3686" spans="1:27" ht="12.75">
      <c r="A3686" s="17"/>
      <c r="B3686" s="17"/>
      <c r="C3686" s="17"/>
      <c r="D3686" s="17"/>
      <c r="E3686" s="17"/>
      <c r="F3686" s="17"/>
      <c r="G3686" s="17"/>
      <c r="H3686" s="17"/>
      <c r="I3686" s="31"/>
      <c r="J3686" s="17"/>
      <c r="K3686" s="17"/>
      <c r="L3686" s="17"/>
      <c r="M3686" s="17"/>
      <c r="N3686" s="17"/>
      <c r="O3686" s="17"/>
      <c r="P3686" s="17"/>
      <c r="Q3686" s="17"/>
      <c r="R3686" s="17"/>
      <c r="S3686" s="17"/>
      <c r="T3686" s="17"/>
      <c r="U3686" s="17"/>
      <c r="V3686" s="17"/>
      <c r="W3686" s="17"/>
      <c r="X3686" s="17"/>
      <c r="Y3686" s="17"/>
      <c r="Z3686" s="31"/>
      <c r="AA3686" s="32"/>
    </row>
    <row r="3687" spans="1:27" ht="12.75">
      <c r="A3687" s="17"/>
      <c r="B3687" s="17"/>
      <c r="C3687" s="17"/>
      <c r="D3687" s="17"/>
      <c r="E3687" s="17"/>
      <c r="F3687" s="17"/>
      <c r="G3687" s="17"/>
      <c r="H3687" s="17"/>
      <c r="I3687" s="31"/>
      <c r="J3687" s="17"/>
      <c r="K3687" s="17"/>
      <c r="L3687" s="17"/>
      <c r="M3687" s="17"/>
      <c r="N3687" s="17"/>
      <c r="O3687" s="17"/>
      <c r="P3687" s="17"/>
      <c r="Q3687" s="17"/>
      <c r="R3687" s="17"/>
      <c r="S3687" s="17"/>
      <c r="T3687" s="17"/>
      <c r="U3687" s="17"/>
      <c r="V3687" s="17"/>
      <c r="W3687" s="17"/>
      <c r="X3687" s="17"/>
      <c r="Y3687" s="17"/>
      <c r="Z3687" s="31"/>
      <c r="AA3687" s="32"/>
    </row>
    <row r="3688" spans="1:27" ht="12.75">
      <c r="A3688" s="17"/>
      <c r="B3688" s="17"/>
      <c r="C3688" s="17"/>
      <c r="D3688" s="17"/>
      <c r="E3688" s="17"/>
      <c r="F3688" s="17"/>
      <c r="G3688" s="17"/>
      <c r="H3688" s="17"/>
      <c r="I3688" s="31"/>
      <c r="J3688" s="17"/>
      <c r="K3688" s="17"/>
      <c r="L3688" s="17"/>
      <c r="M3688" s="17"/>
      <c r="N3688" s="17"/>
      <c r="O3688" s="17"/>
      <c r="P3688" s="17"/>
      <c r="Q3688" s="17"/>
      <c r="R3688" s="17"/>
      <c r="S3688" s="17"/>
      <c r="T3688" s="17"/>
      <c r="U3688" s="17"/>
      <c r="V3688" s="17"/>
      <c r="W3688" s="17"/>
      <c r="X3688" s="17"/>
      <c r="Y3688" s="17"/>
      <c r="Z3688" s="31"/>
      <c r="AA3688" s="32"/>
    </row>
    <row r="3689" spans="1:27" ht="12.75">
      <c r="A3689" s="17"/>
      <c r="B3689" s="17"/>
      <c r="C3689" s="17"/>
      <c r="D3689" s="17"/>
      <c r="E3689" s="17"/>
      <c r="F3689" s="17"/>
      <c r="G3689" s="17"/>
      <c r="H3689" s="17"/>
      <c r="I3689" s="31"/>
      <c r="J3689" s="17"/>
      <c r="K3689" s="17"/>
      <c r="L3689" s="17"/>
      <c r="M3689" s="17"/>
      <c r="N3689" s="17"/>
      <c r="O3689" s="17"/>
      <c r="P3689" s="17"/>
      <c r="Q3689" s="17"/>
      <c r="R3689" s="17"/>
      <c r="S3689" s="17"/>
      <c r="T3689" s="17"/>
      <c r="U3689" s="17"/>
      <c r="V3689" s="17"/>
      <c r="W3689" s="17"/>
      <c r="X3689" s="17"/>
      <c r="Y3689" s="17"/>
      <c r="Z3689" s="31"/>
      <c r="AA3689" s="32"/>
    </row>
    <row r="3690" spans="1:27" ht="12.75">
      <c r="A3690" s="17"/>
      <c r="B3690" s="17"/>
      <c r="C3690" s="17"/>
      <c r="D3690" s="17"/>
      <c r="E3690" s="17"/>
      <c r="F3690" s="17"/>
      <c r="G3690" s="17"/>
      <c r="H3690" s="17"/>
      <c r="I3690" s="31"/>
      <c r="J3690" s="17"/>
      <c r="K3690" s="17"/>
      <c r="L3690" s="17"/>
      <c r="M3690" s="17"/>
      <c r="N3690" s="17"/>
      <c r="O3690" s="17"/>
      <c r="P3690" s="17"/>
      <c r="Q3690" s="17"/>
      <c r="R3690" s="17"/>
      <c r="S3690" s="17"/>
      <c r="T3690" s="17"/>
      <c r="U3690" s="17"/>
      <c r="V3690" s="17"/>
      <c r="W3690" s="17"/>
      <c r="X3690" s="17"/>
      <c r="Y3690" s="17"/>
      <c r="Z3690" s="31"/>
      <c r="AA3690" s="32"/>
    </row>
    <row r="3691" spans="1:27" ht="12.75">
      <c r="A3691" s="17"/>
      <c r="B3691" s="17"/>
      <c r="C3691" s="17"/>
      <c r="D3691" s="17"/>
      <c r="E3691" s="17"/>
      <c r="F3691" s="17"/>
      <c r="G3691" s="17"/>
      <c r="H3691" s="17"/>
      <c r="I3691" s="31"/>
      <c r="J3691" s="17"/>
      <c r="K3691" s="17"/>
      <c r="L3691" s="17"/>
      <c r="M3691" s="17"/>
      <c r="N3691" s="17"/>
      <c r="O3691" s="17"/>
      <c r="P3691" s="17"/>
      <c r="Q3691" s="17"/>
      <c r="R3691" s="17"/>
      <c r="S3691" s="17"/>
      <c r="T3691" s="17"/>
      <c r="U3691" s="17"/>
      <c r="V3691" s="17"/>
      <c r="W3691" s="17"/>
      <c r="X3691" s="17"/>
      <c r="Y3691" s="17"/>
      <c r="Z3691" s="31"/>
      <c r="AA3691" s="32"/>
    </row>
    <row r="3692" spans="1:27" ht="12.75">
      <c r="A3692" s="17"/>
      <c r="B3692" s="17"/>
      <c r="C3692" s="17"/>
      <c r="D3692" s="17"/>
      <c r="E3692" s="17"/>
      <c r="F3692" s="17"/>
      <c r="G3692" s="17"/>
      <c r="H3692" s="17"/>
      <c r="I3692" s="31"/>
      <c r="J3692" s="17"/>
      <c r="K3692" s="17"/>
      <c r="L3692" s="17"/>
      <c r="M3692" s="17"/>
      <c r="N3692" s="17"/>
      <c r="O3692" s="17"/>
      <c r="P3692" s="17"/>
      <c r="Q3692" s="17"/>
      <c r="R3692" s="17"/>
      <c r="S3692" s="17"/>
      <c r="T3692" s="17"/>
      <c r="U3692" s="17"/>
      <c r="V3692" s="17"/>
      <c r="W3692" s="17"/>
      <c r="X3692" s="17"/>
      <c r="Y3692" s="17"/>
      <c r="Z3692" s="31"/>
      <c r="AA3692" s="32"/>
    </row>
    <row r="3693" spans="1:27" ht="12.75">
      <c r="A3693" s="17"/>
      <c r="B3693" s="17"/>
      <c r="C3693" s="17"/>
      <c r="D3693" s="17"/>
      <c r="E3693" s="17"/>
      <c r="F3693" s="17"/>
      <c r="G3693" s="17"/>
      <c r="H3693" s="17"/>
      <c r="I3693" s="31"/>
      <c r="J3693" s="17"/>
      <c r="K3693" s="17"/>
      <c r="L3693" s="17"/>
      <c r="M3693" s="17"/>
      <c r="N3693" s="17"/>
      <c r="O3693" s="17"/>
      <c r="P3693" s="17"/>
      <c r="Q3693" s="17"/>
      <c r="R3693" s="17"/>
      <c r="S3693" s="17"/>
      <c r="T3693" s="17"/>
      <c r="U3693" s="17"/>
      <c r="V3693" s="17"/>
      <c r="W3693" s="17"/>
      <c r="X3693" s="17"/>
      <c r="Y3693" s="17"/>
      <c r="Z3693" s="31"/>
      <c r="AA3693" s="32"/>
    </row>
    <row r="3694" spans="1:27" ht="12.75">
      <c r="A3694" s="17"/>
      <c r="B3694" s="17"/>
      <c r="C3694" s="17"/>
      <c r="D3694" s="17"/>
      <c r="E3694" s="17"/>
      <c r="F3694" s="17"/>
      <c r="G3694" s="17"/>
      <c r="H3694" s="17"/>
      <c r="I3694" s="31"/>
      <c r="J3694" s="17"/>
      <c r="K3694" s="17"/>
      <c r="L3694" s="17"/>
      <c r="M3694" s="17"/>
      <c r="N3694" s="17"/>
      <c r="O3694" s="17"/>
      <c r="P3694" s="17"/>
      <c r="Q3694" s="17"/>
      <c r="R3694" s="17"/>
      <c r="S3694" s="17"/>
      <c r="T3694" s="17"/>
      <c r="U3694" s="17"/>
      <c r="V3694" s="17"/>
      <c r="W3694" s="17"/>
      <c r="X3694" s="17"/>
      <c r="Y3694" s="17"/>
      <c r="Z3694" s="31"/>
      <c r="AA3694" s="32"/>
    </row>
    <row r="3695" spans="1:27" ht="12.75">
      <c r="A3695" s="17"/>
      <c r="B3695" s="17"/>
      <c r="C3695" s="17"/>
      <c r="D3695" s="17"/>
      <c r="E3695" s="17"/>
      <c r="F3695" s="17"/>
      <c r="G3695" s="17"/>
      <c r="H3695" s="17"/>
      <c r="I3695" s="31"/>
      <c r="J3695" s="17"/>
      <c r="K3695" s="17"/>
      <c r="L3695" s="17"/>
      <c r="M3695" s="17"/>
      <c r="N3695" s="17"/>
      <c r="O3695" s="17"/>
      <c r="P3695" s="17"/>
      <c r="Q3695" s="17"/>
      <c r="R3695" s="17"/>
      <c r="S3695" s="17"/>
      <c r="T3695" s="17"/>
      <c r="U3695" s="17"/>
      <c r="V3695" s="17"/>
      <c r="W3695" s="17"/>
      <c r="X3695" s="17"/>
      <c r="Y3695" s="17"/>
      <c r="Z3695" s="31"/>
      <c r="AA3695" s="32"/>
    </row>
    <row r="3696" spans="1:27" ht="12.75">
      <c r="A3696" s="17"/>
      <c r="B3696" s="17"/>
      <c r="C3696" s="17"/>
      <c r="D3696" s="17"/>
      <c r="E3696" s="17"/>
      <c r="F3696" s="17"/>
      <c r="G3696" s="17"/>
      <c r="H3696" s="17"/>
      <c r="I3696" s="31"/>
      <c r="J3696" s="17"/>
      <c r="K3696" s="17"/>
      <c r="L3696" s="17"/>
      <c r="M3696" s="17"/>
      <c r="N3696" s="17"/>
      <c r="O3696" s="17"/>
      <c r="P3696" s="17"/>
      <c r="Q3696" s="17"/>
      <c r="R3696" s="17"/>
      <c r="S3696" s="17"/>
      <c r="T3696" s="17"/>
      <c r="U3696" s="17"/>
      <c r="V3696" s="17"/>
      <c r="W3696" s="17"/>
      <c r="X3696" s="17"/>
      <c r="Y3696" s="17"/>
      <c r="Z3696" s="31"/>
      <c r="AA3696" s="32"/>
    </row>
    <row r="3697" spans="1:27" ht="12.75">
      <c r="A3697" s="17"/>
      <c r="B3697" s="17"/>
      <c r="C3697" s="17"/>
      <c r="D3697" s="17"/>
      <c r="E3697" s="17"/>
      <c r="F3697" s="17"/>
      <c r="G3697" s="17"/>
      <c r="H3697" s="17"/>
      <c r="I3697" s="31"/>
      <c r="J3697" s="17"/>
      <c r="K3697" s="17"/>
      <c r="L3697" s="17"/>
      <c r="M3697" s="17"/>
      <c r="N3697" s="17"/>
      <c r="O3697" s="17"/>
      <c r="P3697" s="17"/>
      <c r="Q3697" s="17"/>
      <c r="R3697" s="17"/>
      <c r="S3697" s="17"/>
      <c r="T3697" s="17"/>
      <c r="U3697" s="17"/>
      <c r="V3697" s="17"/>
      <c r="W3697" s="17"/>
      <c r="X3697" s="17"/>
      <c r="Y3697" s="17"/>
      <c r="Z3697" s="31"/>
      <c r="AA3697" s="32"/>
    </row>
    <row r="3698" spans="1:27" ht="12.75">
      <c r="A3698" s="17"/>
      <c r="B3698" s="17"/>
      <c r="C3698" s="17"/>
      <c r="D3698" s="17"/>
      <c r="E3698" s="17"/>
      <c r="F3698" s="17"/>
      <c r="G3698" s="17"/>
      <c r="H3698" s="17"/>
      <c r="I3698" s="31"/>
      <c r="J3698" s="17"/>
      <c r="K3698" s="17"/>
      <c r="L3698" s="17"/>
      <c r="M3698" s="17"/>
      <c r="N3698" s="17"/>
      <c r="O3698" s="17"/>
      <c r="P3698" s="17"/>
      <c r="Q3698" s="17"/>
      <c r="R3698" s="17"/>
      <c r="S3698" s="17"/>
      <c r="T3698" s="17"/>
      <c r="U3698" s="17"/>
      <c r="V3698" s="17"/>
      <c r="W3698" s="17"/>
      <c r="X3698" s="17"/>
      <c r="Y3698" s="17"/>
      <c r="Z3698" s="31"/>
      <c r="AA3698" s="32"/>
    </row>
    <row r="3699" spans="1:27" ht="12.75">
      <c r="A3699" s="17"/>
      <c r="B3699" s="17"/>
      <c r="C3699" s="17"/>
      <c r="D3699" s="17"/>
      <c r="E3699" s="17"/>
      <c r="F3699" s="17"/>
      <c r="G3699" s="17"/>
      <c r="H3699" s="17"/>
      <c r="I3699" s="31"/>
      <c r="J3699" s="17"/>
      <c r="K3699" s="17"/>
      <c r="L3699" s="17"/>
      <c r="M3699" s="17"/>
      <c r="N3699" s="17"/>
      <c r="O3699" s="17"/>
      <c r="P3699" s="17"/>
      <c r="Q3699" s="17"/>
      <c r="R3699" s="17"/>
      <c r="S3699" s="17"/>
      <c r="T3699" s="17"/>
      <c r="U3699" s="17"/>
      <c r="V3699" s="17"/>
      <c r="W3699" s="17"/>
      <c r="X3699" s="17"/>
      <c r="Y3699" s="17"/>
      <c r="Z3699" s="31"/>
      <c r="AA3699" s="32"/>
    </row>
    <row r="3700" spans="1:27" ht="12.75">
      <c r="A3700" s="17"/>
      <c r="B3700" s="17"/>
      <c r="C3700" s="17"/>
      <c r="D3700" s="17"/>
      <c r="E3700" s="17"/>
      <c r="F3700" s="17"/>
      <c r="G3700" s="17"/>
      <c r="H3700" s="17"/>
      <c r="I3700" s="31"/>
      <c r="J3700" s="17"/>
      <c r="K3700" s="17"/>
      <c r="L3700" s="17"/>
      <c r="M3700" s="17"/>
      <c r="N3700" s="17"/>
      <c r="O3700" s="17"/>
      <c r="P3700" s="17"/>
      <c r="Q3700" s="17"/>
      <c r="R3700" s="17"/>
      <c r="S3700" s="17"/>
      <c r="T3700" s="17"/>
      <c r="U3700" s="17"/>
      <c r="V3700" s="17"/>
      <c r="W3700" s="17"/>
      <c r="X3700" s="17"/>
      <c r="Y3700" s="17"/>
      <c r="Z3700" s="31"/>
      <c r="AA3700" s="32"/>
    </row>
    <row r="3701" spans="1:27" ht="12.75">
      <c r="A3701" s="17"/>
      <c r="B3701" s="17"/>
      <c r="C3701" s="17"/>
      <c r="D3701" s="17"/>
      <c r="E3701" s="17"/>
      <c r="F3701" s="17"/>
      <c r="G3701" s="17"/>
      <c r="H3701" s="17"/>
      <c r="I3701" s="31"/>
      <c r="J3701" s="17"/>
      <c r="K3701" s="17"/>
      <c r="L3701" s="17"/>
      <c r="M3701" s="17"/>
      <c r="N3701" s="17"/>
      <c r="O3701" s="17"/>
      <c r="P3701" s="17"/>
      <c r="Q3701" s="17"/>
      <c r="R3701" s="17"/>
      <c r="S3701" s="17"/>
      <c r="T3701" s="17"/>
      <c r="U3701" s="17"/>
      <c r="V3701" s="17"/>
      <c r="W3701" s="17"/>
      <c r="X3701" s="17"/>
      <c r="Y3701" s="17"/>
      <c r="Z3701" s="31"/>
      <c r="AA3701" s="32"/>
    </row>
    <row r="3702" spans="1:27" ht="12.75">
      <c r="A3702" s="17"/>
      <c r="B3702" s="17"/>
      <c r="C3702" s="17"/>
      <c r="D3702" s="17"/>
      <c r="E3702" s="17"/>
      <c r="F3702" s="17"/>
      <c r="G3702" s="17"/>
      <c r="H3702" s="17"/>
      <c r="I3702" s="31"/>
      <c r="J3702" s="17"/>
      <c r="K3702" s="17"/>
      <c r="L3702" s="17"/>
      <c r="M3702" s="17"/>
      <c r="N3702" s="17"/>
      <c r="O3702" s="17"/>
      <c r="P3702" s="17"/>
      <c r="Q3702" s="17"/>
      <c r="R3702" s="17"/>
      <c r="S3702" s="17"/>
      <c r="T3702" s="17"/>
      <c r="U3702" s="17"/>
      <c r="V3702" s="17"/>
      <c r="W3702" s="17"/>
      <c r="X3702" s="17"/>
      <c r="Y3702" s="17"/>
      <c r="Z3702" s="31"/>
      <c r="AA3702" s="32"/>
    </row>
    <row r="3703" spans="1:27" ht="12.75">
      <c r="A3703" s="17"/>
      <c r="B3703" s="17"/>
      <c r="C3703" s="17"/>
      <c r="D3703" s="17"/>
      <c r="E3703" s="17"/>
      <c r="F3703" s="17"/>
      <c r="G3703" s="17"/>
      <c r="H3703" s="17"/>
      <c r="I3703" s="31"/>
      <c r="J3703" s="17"/>
      <c r="K3703" s="17"/>
      <c r="L3703" s="17"/>
      <c r="M3703" s="17"/>
      <c r="N3703" s="17"/>
      <c r="O3703" s="17"/>
      <c r="P3703" s="17"/>
      <c r="Q3703" s="17"/>
      <c r="R3703" s="17"/>
      <c r="S3703" s="17"/>
      <c r="T3703" s="17"/>
      <c r="U3703" s="17"/>
      <c r="V3703" s="17"/>
      <c r="W3703" s="17"/>
      <c r="X3703" s="17"/>
      <c r="Y3703" s="17"/>
      <c r="Z3703" s="31"/>
      <c r="AA3703" s="32"/>
    </row>
    <row r="3704" spans="1:27" ht="12.75">
      <c r="A3704" s="17"/>
      <c r="B3704" s="17"/>
      <c r="C3704" s="17"/>
      <c r="D3704" s="17"/>
      <c r="E3704" s="17"/>
      <c r="F3704" s="17"/>
      <c r="G3704" s="17"/>
      <c r="H3704" s="17"/>
      <c r="I3704" s="31"/>
      <c r="J3704" s="17"/>
      <c r="K3704" s="17"/>
      <c r="L3704" s="17"/>
      <c r="M3704" s="17"/>
      <c r="N3704" s="17"/>
      <c r="O3704" s="17"/>
      <c r="P3704" s="17"/>
      <c r="Q3704" s="17"/>
      <c r="R3704" s="17"/>
      <c r="S3704" s="17"/>
      <c r="T3704" s="17"/>
      <c r="U3704" s="17"/>
      <c r="V3704" s="17"/>
      <c r="W3704" s="17"/>
      <c r="X3704" s="17"/>
      <c r="Y3704" s="17"/>
      <c r="Z3704" s="31"/>
      <c r="AA3704" s="32"/>
    </row>
    <row r="3705" spans="1:27" ht="12.75">
      <c r="A3705" s="17"/>
      <c r="B3705" s="17"/>
      <c r="C3705" s="17"/>
      <c r="D3705" s="17"/>
      <c r="E3705" s="17"/>
      <c r="F3705" s="17"/>
      <c r="G3705" s="17"/>
      <c r="H3705" s="17"/>
      <c r="I3705" s="31"/>
      <c r="J3705" s="17"/>
      <c r="K3705" s="17"/>
      <c r="L3705" s="17"/>
      <c r="M3705" s="17"/>
      <c r="N3705" s="17"/>
      <c r="O3705" s="17"/>
      <c r="P3705" s="17"/>
      <c r="Q3705" s="17"/>
      <c r="R3705" s="17"/>
      <c r="S3705" s="17"/>
      <c r="T3705" s="17"/>
      <c r="U3705" s="17"/>
      <c r="V3705" s="17"/>
      <c r="W3705" s="17"/>
      <c r="X3705" s="17"/>
      <c r="Y3705" s="17"/>
      <c r="Z3705" s="31"/>
      <c r="AA3705" s="32"/>
    </row>
    <row r="3706" spans="1:27" ht="12.75">
      <c r="A3706" s="17"/>
      <c r="B3706" s="17"/>
      <c r="C3706" s="17"/>
      <c r="D3706" s="17"/>
      <c r="E3706" s="17"/>
      <c r="F3706" s="17"/>
      <c r="G3706" s="17"/>
      <c r="H3706" s="17"/>
      <c r="I3706" s="31"/>
      <c r="J3706" s="17"/>
      <c r="K3706" s="17"/>
      <c r="L3706" s="17"/>
      <c r="M3706" s="17"/>
      <c r="N3706" s="17"/>
      <c r="O3706" s="17"/>
      <c r="P3706" s="17"/>
      <c r="Q3706" s="17"/>
      <c r="R3706" s="17"/>
      <c r="S3706" s="17"/>
      <c r="T3706" s="17"/>
      <c r="U3706" s="17"/>
      <c r="V3706" s="17"/>
      <c r="W3706" s="17"/>
      <c r="X3706" s="17"/>
      <c r="Y3706" s="17"/>
      <c r="Z3706" s="31"/>
      <c r="AA3706" s="32"/>
    </row>
    <row r="3707" spans="1:27" ht="12.75">
      <c r="A3707" s="17"/>
      <c r="B3707" s="17"/>
      <c r="C3707" s="17"/>
      <c r="D3707" s="17"/>
      <c r="E3707" s="17"/>
      <c r="F3707" s="17"/>
      <c r="G3707" s="17"/>
      <c r="H3707" s="17"/>
      <c r="I3707" s="31"/>
      <c r="J3707" s="17"/>
      <c r="K3707" s="17"/>
      <c r="L3707" s="17"/>
      <c r="M3707" s="17"/>
      <c r="N3707" s="17"/>
      <c r="O3707" s="17"/>
      <c r="P3707" s="17"/>
      <c r="Q3707" s="17"/>
      <c r="R3707" s="17"/>
      <c r="S3707" s="17"/>
      <c r="T3707" s="17"/>
      <c r="U3707" s="17"/>
      <c r="V3707" s="17"/>
      <c r="W3707" s="17"/>
      <c r="X3707" s="17"/>
      <c r="Y3707" s="17"/>
      <c r="Z3707" s="31"/>
      <c r="AA3707" s="32"/>
    </row>
    <row r="3708" spans="1:27" ht="12.75">
      <c r="A3708" s="17"/>
      <c r="B3708" s="17"/>
      <c r="C3708" s="17"/>
      <c r="D3708" s="17"/>
      <c r="E3708" s="17"/>
      <c r="F3708" s="17"/>
      <c r="G3708" s="17"/>
      <c r="H3708" s="17"/>
      <c r="I3708" s="31"/>
      <c r="J3708" s="17"/>
      <c r="K3708" s="17"/>
      <c r="L3708" s="17"/>
      <c r="M3708" s="17"/>
      <c r="N3708" s="17"/>
      <c r="O3708" s="17"/>
      <c r="P3708" s="17"/>
      <c r="Q3708" s="17"/>
      <c r="R3708" s="17"/>
      <c r="S3708" s="17"/>
      <c r="T3708" s="17"/>
      <c r="U3708" s="17"/>
      <c r="V3708" s="17"/>
      <c r="W3708" s="17"/>
      <c r="X3708" s="17"/>
      <c r="Y3708" s="17"/>
      <c r="Z3708" s="31"/>
      <c r="AA3708" s="32"/>
    </row>
    <row r="3709" spans="1:27" ht="12.75">
      <c r="A3709" s="17"/>
      <c r="B3709" s="17"/>
      <c r="C3709" s="17"/>
      <c r="D3709" s="17"/>
      <c r="E3709" s="17"/>
      <c r="F3709" s="17"/>
      <c r="G3709" s="17"/>
      <c r="H3709" s="17"/>
      <c r="I3709" s="31"/>
      <c r="J3709" s="17"/>
      <c r="K3709" s="17"/>
      <c r="L3709" s="17"/>
      <c r="M3709" s="17"/>
      <c r="N3709" s="17"/>
      <c r="O3709" s="17"/>
      <c r="P3709" s="17"/>
      <c r="Q3709" s="17"/>
      <c r="R3709" s="17"/>
      <c r="S3709" s="17"/>
      <c r="T3709" s="17"/>
      <c r="U3709" s="17"/>
      <c r="V3709" s="17"/>
      <c r="W3709" s="17"/>
      <c r="X3709" s="17"/>
      <c r="Y3709" s="17"/>
      <c r="Z3709" s="31"/>
      <c r="AA3709" s="32"/>
    </row>
    <row r="3710" spans="1:27" ht="12.75">
      <c r="A3710" s="17"/>
      <c r="B3710" s="17"/>
      <c r="C3710" s="17"/>
      <c r="D3710" s="17"/>
      <c r="E3710" s="17"/>
      <c r="F3710" s="17"/>
      <c r="G3710" s="17"/>
      <c r="H3710" s="17"/>
      <c r="I3710" s="31"/>
      <c r="J3710" s="17"/>
      <c r="K3710" s="17"/>
      <c r="L3710" s="17"/>
      <c r="M3710" s="17"/>
      <c r="N3710" s="17"/>
      <c r="O3710" s="17"/>
      <c r="P3710" s="17"/>
      <c r="Q3710" s="17"/>
      <c r="R3710" s="17"/>
      <c r="S3710" s="17"/>
      <c r="T3710" s="17"/>
      <c r="U3710" s="17"/>
      <c r="V3710" s="17"/>
      <c r="W3710" s="17"/>
      <c r="X3710" s="17"/>
      <c r="Y3710" s="17"/>
      <c r="Z3710" s="31"/>
      <c r="AA3710" s="32"/>
    </row>
    <row r="3711" spans="1:27" ht="12.75">
      <c r="A3711" s="17"/>
      <c r="B3711" s="17"/>
      <c r="C3711" s="17"/>
      <c r="D3711" s="17"/>
      <c r="E3711" s="17"/>
      <c r="F3711" s="17"/>
      <c r="G3711" s="17"/>
      <c r="H3711" s="17"/>
      <c r="I3711" s="31"/>
      <c r="J3711" s="17"/>
      <c r="K3711" s="17"/>
      <c r="L3711" s="17"/>
      <c r="M3711" s="17"/>
      <c r="N3711" s="17"/>
      <c r="O3711" s="17"/>
      <c r="P3711" s="17"/>
      <c r="Q3711" s="17"/>
      <c r="R3711" s="17"/>
      <c r="S3711" s="17"/>
      <c r="T3711" s="17"/>
      <c r="U3711" s="17"/>
      <c r="V3711" s="17"/>
      <c r="W3711" s="17"/>
      <c r="X3711" s="17"/>
      <c r="Y3711" s="17"/>
      <c r="Z3711" s="31"/>
      <c r="AA3711" s="32"/>
    </row>
    <row r="3712" spans="1:27" ht="12.75">
      <c r="A3712" s="17"/>
      <c r="B3712" s="17"/>
      <c r="C3712" s="17"/>
      <c r="D3712" s="17"/>
      <c r="E3712" s="17"/>
      <c r="F3712" s="17"/>
      <c r="G3712" s="17"/>
      <c r="H3712" s="17"/>
      <c r="I3712" s="31"/>
      <c r="J3712" s="17"/>
      <c r="K3712" s="17"/>
      <c r="L3712" s="17"/>
      <c r="M3712" s="17"/>
      <c r="N3712" s="17"/>
      <c r="O3712" s="17"/>
      <c r="P3712" s="17"/>
      <c r="Q3712" s="17"/>
      <c r="R3712" s="17"/>
      <c r="S3712" s="17"/>
      <c r="T3712" s="17"/>
      <c r="U3712" s="17"/>
      <c r="V3712" s="17"/>
      <c r="W3712" s="17"/>
      <c r="X3712" s="17"/>
      <c r="Y3712" s="17"/>
      <c r="Z3712" s="31"/>
      <c r="AA3712" s="32"/>
    </row>
    <row r="3713" spans="1:27" ht="12.75">
      <c r="A3713" s="17"/>
      <c r="B3713" s="17"/>
      <c r="C3713" s="17"/>
      <c r="D3713" s="17"/>
      <c r="E3713" s="17"/>
      <c r="F3713" s="17"/>
      <c r="G3713" s="17"/>
      <c r="H3713" s="17"/>
      <c r="I3713" s="31"/>
      <c r="J3713" s="17"/>
      <c r="K3713" s="17"/>
      <c r="L3713" s="17"/>
      <c r="M3713" s="17"/>
      <c r="N3713" s="17"/>
      <c r="O3713" s="17"/>
      <c r="P3713" s="17"/>
      <c r="Q3713" s="17"/>
      <c r="R3713" s="17"/>
      <c r="S3713" s="17"/>
      <c r="T3713" s="17"/>
      <c r="U3713" s="17"/>
      <c r="V3713" s="17"/>
      <c r="W3713" s="17"/>
      <c r="X3713" s="17"/>
      <c r="Y3713" s="17"/>
      <c r="Z3713" s="31"/>
      <c r="AA3713" s="32"/>
    </row>
    <row r="3714" spans="1:27" ht="12.75">
      <c r="A3714" s="17"/>
      <c r="B3714" s="17"/>
      <c r="C3714" s="17"/>
      <c r="D3714" s="17"/>
      <c r="E3714" s="17"/>
      <c r="F3714" s="17"/>
      <c r="G3714" s="17"/>
      <c r="H3714" s="17"/>
      <c r="I3714" s="31"/>
      <c r="J3714" s="17"/>
      <c r="K3714" s="17"/>
      <c r="L3714" s="17"/>
      <c r="M3714" s="17"/>
      <c r="N3714" s="17"/>
      <c r="O3714" s="17"/>
      <c r="P3714" s="17"/>
      <c r="Q3714" s="17"/>
      <c r="R3714" s="17"/>
      <c r="S3714" s="17"/>
      <c r="T3714" s="17"/>
      <c r="U3714" s="17"/>
      <c r="V3714" s="17"/>
      <c r="W3714" s="17"/>
      <c r="X3714" s="17"/>
      <c r="Y3714" s="17"/>
      <c r="Z3714" s="31"/>
      <c r="AA3714" s="32"/>
    </row>
    <row r="3715" spans="1:27" ht="12.75">
      <c r="A3715" s="17"/>
      <c r="B3715" s="17"/>
      <c r="C3715" s="17"/>
      <c r="D3715" s="17"/>
      <c r="E3715" s="17"/>
      <c r="F3715" s="17"/>
      <c r="G3715" s="17"/>
      <c r="H3715" s="17"/>
      <c r="I3715" s="31"/>
      <c r="J3715" s="17"/>
      <c r="K3715" s="17"/>
      <c r="L3715" s="17"/>
      <c r="M3715" s="17"/>
      <c r="N3715" s="17"/>
      <c r="O3715" s="17"/>
      <c r="P3715" s="17"/>
      <c r="Q3715" s="17"/>
      <c r="R3715" s="17"/>
      <c r="S3715" s="17"/>
      <c r="T3715" s="17"/>
      <c r="U3715" s="17"/>
      <c r="V3715" s="17"/>
      <c r="W3715" s="17"/>
      <c r="X3715" s="17"/>
      <c r="Y3715" s="17"/>
      <c r="Z3715" s="31"/>
      <c r="AA3715" s="32"/>
    </row>
    <row r="3716" spans="1:27" ht="12.75">
      <c r="A3716" s="17"/>
      <c r="B3716" s="17"/>
      <c r="C3716" s="17"/>
      <c r="D3716" s="17"/>
      <c r="E3716" s="17"/>
      <c r="F3716" s="17"/>
      <c r="G3716" s="17"/>
      <c r="H3716" s="17"/>
      <c r="I3716" s="31"/>
      <c r="J3716" s="17"/>
      <c r="K3716" s="17"/>
      <c r="L3716" s="17"/>
      <c r="M3716" s="17"/>
      <c r="N3716" s="17"/>
      <c r="O3716" s="17"/>
      <c r="P3716" s="17"/>
      <c r="Q3716" s="17"/>
      <c r="R3716" s="17"/>
      <c r="S3716" s="17"/>
      <c r="T3716" s="17"/>
      <c r="U3716" s="17"/>
      <c r="V3716" s="17"/>
      <c r="W3716" s="17"/>
      <c r="X3716" s="17"/>
      <c r="Y3716" s="17"/>
      <c r="Z3716" s="31"/>
      <c r="AA3716" s="32"/>
    </row>
    <row r="3717" spans="1:27" ht="12.75">
      <c r="A3717" s="17"/>
      <c r="B3717" s="17"/>
      <c r="C3717" s="17"/>
      <c r="D3717" s="17"/>
      <c r="E3717" s="17"/>
      <c r="F3717" s="17"/>
      <c r="G3717" s="17"/>
      <c r="H3717" s="17"/>
      <c r="I3717" s="31"/>
      <c r="J3717" s="17"/>
      <c r="K3717" s="17"/>
      <c r="L3717" s="17"/>
      <c r="M3717" s="17"/>
      <c r="N3717" s="17"/>
      <c r="O3717" s="17"/>
      <c r="P3717" s="17"/>
      <c r="Q3717" s="17"/>
      <c r="R3717" s="17"/>
      <c r="S3717" s="17"/>
      <c r="T3717" s="17"/>
      <c r="U3717" s="17"/>
      <c r="V3717" s="17"/>
      <c r="W3717" s="17"/>
      <c r="X3717" s="17"/>
      <c r="Y3717" s="17"/>
      <c r="Z3717" s="31"/>
      <c r="AA3717" s="32"/>
    </row>
    <row r="3718" spans="1:27" ht="12.75">
      <c r="A3718" s="17"/>
      <c r="B3718" s="17"/>
      <c r="C3718" s="17"/>
      <c r="D3718" s="17"/>
      <c r="E3718" s="17"/>
      <c r="F3718" s="17"/>
      <c r="G3718" s="17"/>
      <c r="H3718" s="17"/>
      <c r="I3718" s="31"/>
      <c r="J3718" s="17"/>
      <c r="K3718" s="17"/>
      <c r="L3718" s="17"/>
      <c r="M3718" s="17"/>
      <c r="N3718" s="17"/>
      <c r="O3718" s="17"/>
      <c r="P3718" s="17"/>
      <c r="Q3718" s="17"/>
      <c r="R3718" s="17"/>
      <c r="S3718" s="17"/>
      <c r="T3718" s="17"/>
      <c r="U3718" s="17"/>
      <c r="V3718" s="17"/>
      <c r="W3718" s="17"/>
      <c r="X3718" s="17"/>
      <c r="Y3718" s="17"/>
      <c r="Z3718" s="31"/>
      <c r="AA3718" s="32"/>
    </row>
    <row r="3719" spans="1:27" ht="12.75">
      <c r="A3719" s="17"/>
      <c r="B3719" s="17"/>
      <c r="C3719" s="17"/>
      <c r="D3719" s="17"/>
      <c r="E3719" s="17"/>
      <c r="F3719" s="17"/>
      <c r="G3719" s="17"/>
      <c r="H3719" s="17"/>
      <c r="I3719" s="31"/>
      <c r="J3719" s="17"/>
      <c r="K3719" s="17"/>
      <c r="L3719" s="17"/>
      <c r="M3719" s="17"/>
      <c r="N3719" s="17"/>
      <c r="O3719" s="17"/>
      <c r="P3719" s="17"/>
      <c r="Q3719" s="17"/>
      <c r="R3719" s="17"/>
      <c r="S3719" s="17"/>
      <c r="T3719" s="17"/>
      <c r="U3719" s="17"/>
      <c r="V3719" s="17"/>
      <c r="W3719" s="17"/>
      <c r="X3719" s="17"/>
      <c r="Y3719" s="17"/>
      <c r="Z3719" s="31"/>
      <c r="AA3719" s="32"/>
    </row>
    <row r="3720" spans="1:27" ht="12.75">
      <c r="A3720" s="17"/>
      <c r="B3720" s="17"/>
      <c r="C3720" s="17"/>
      <c r="D3720" s="17"/>
      <c r="E3720" s="17"/>
      <c r="F3720" s="17"/>
      <c r="G3720" s="17"/>
      <c r="H3720" s="17"/>
      <c r="I3720" s="31"/>
      <c r="J3720" s="17"/>
      <c r="K3720" s="17"/>
      <c r="L3720" s="17"/>
      <c r="M3720" s="17"/>
      <c r="N3720" s="17"/>
      <c r="O3720" s="17"/>
      <c r="P3720" s="17"/>
      <c r="Q3720" s="17"/>
      <c r="R3720" s="17"/>
      <c r="S3720" s="17"/>
      <c r="T3720" s="17"/>
      <c r="U3720" s="17"/>
      <c r="V3720" s="17"/>
      <c r="W3720" s="17"/>
      <c r="X3720" s="17"/>
      <c r="Y3720" s="17"/>
      <c r="Z3720" s="31"/>
      <c r="AA3720" s="32"/>
    </row>
    <row r="3721" spans="1:27" ht="12.75">
      <c r="A3721" s="17"/>
      <c r="B3721" s="17"/>
      <c r="C3721" s="17"/>
      <c r="D3721" s="17"/>
      <c r="E3721" s="17"/>
      <c r="F3721" s="17"/>
      <c r="G3721" s="17"/>
      <c r="H3721" s="17"/>
      <c r="I3721" s="31"/>
      <c r="J3721" s="17"/>
      <c r="K3721" s="17"/>
      <c r="L3721" s="17"/>
      <c r="M3721" s="17"/>
      <c r="N3721" s="17"/>
      <c r="O3721" s="17"/>
      <c r="P3721" s="17"/>
      <c r="Q3721" s="17"/>
      <c r="R3721" s="17"/>
      <c r="S3721" s="17"/>
      <c r="T3721" s="17"/>
      <c r="U3721" s="17"/>
      <c r="V3721" s="17"/>
      <c r="W3721" s="17"/>
      <c r="X3721" s="17"/>
      <c r="Y3721" s="17"/>
      <c r="Z3721" s="31"/>
      <c r="AA3721" s="32"/>
    </row>
    <row r="3722" spans="1:27" ht="12.75">
      <c r="A3722" s="17"/>
      <c r="B3722" s="17"/>
      <c r="C3722" s="17"/>
      <c r="D3722" s="17"/>
      <c r="E3722" s="17"/>
      <c r="F3722" s="17"/>
      <c r="G3722" s="17"/>
      <c r="H3722" s="17"/>
      <c r="I3722" s="31"/>
      <c r="J3722" s="17"/>
      <c r="K3722" s="17"/>
      <c r="L3722" s="17"/>
      <c r="M3722" s="17"/>
      <c r="N3722" s="17"/>
      <c r="O3722" s="17"/>
      <c r="P3722" s="17"/>
      <c r="Q3722" s="17"/>
      <c r="R3722" s="17"/>
      <c r="S3722" s="17"/>
      <c r="T3722" s="17"/>
      <c r="U3722" s="17"/>
      <c r="V3722" s="17"/>
      <c r="W3722" s="17"/>
      <c r="X3722" s="17"/>
      <c r="Y3722" s="17"/>
      <c r="Z3722" s="31"/>
      <c r="AA3722" s="32"/>
    </row>
    <row r="3723" spans="1:27" ht="12.75">
      <c r="A3723" s="17"/>
      <c r="B3723" s="17"/>
      <c r="C3723" s="17"/>
      <c r="D3723" s="17"/>
      <c r="E3723" s="17"/>
      <c r="F3723" s="17"/>
      <c r="G3723" s="17"/>
      <c r="H3723" s="17"/>
      <c r="I3723" s="31"/>
      <c r="J3723" s="17"/>
      <c r="K3723" s="17"/>
      <c r="L3723" s="17"/>
      <c r="M3723" s="17"/>
      <c r="N3723" s="17"/>
      <c r="O3723" s="17"/>
      <c r="P3723" s="17"/>
      <c r="Q3723" s="17"/>
      <c r="R3723" s="17"/>
      <c r="S3723" s="17"/>
      <c r="T3723" s="17"/>
      <c r="U3723" s="17"/>
      <c r="V3723" s="17"/>
      <c r="W3723" s="17"/>
      <c r="X3723" s="17"/>
      <c r="Y3723" s="17"/>
      <c r="Z3723" s="31"/>
      <c r="AA3723" s="32"/>
    </row>
    <row r="3724" spans="1:27" ht="12.75">
      <c r="A3724" s="17"/>
      <c r="B3724" s="17"/>
      <c r="C3724" s="17"/>
      <c r="D3724" s="17"/>
      <c r="E3724" s="17"/>
      <c r="F3724" s="17"/>
      <c r="G3724" s="17"/>
      <c r="H3724" s="17"/>
      <c r="I3724" s="31"/>
      <c r="J3724" s="17"/>
      <c r="K3724" s="17"/>
      <c r="L3724" s="17"/>
      <c r="M3724" s="17"/>
      <c r="N3724" s="17"/>
      <c r="O3724" s="17"/>
      <c r="P3724" s="17"/>
      <c r="Q3724" s="17"/>
      <c r="R3724" s="17"/>
      <c r="S3724" s="17"/>
      <c r="T3724" s="17"/>
      <c r="U3724" s="17"/>
      <c r="V3724" s="17"/>
      <c r="W3724" s="17"/>
      <c r="X3724" s="17"/>
      <c r="Y3724" s="17"/>
      <c r="Z3724" s="31"/>
      <c r="AA3724" s="32"/>
    </row>
    <row r="3725" spans="1:27" ht="12.75">
      <c r="A3725" s="17"/>
      <c r="B3725" s="17"/>
      <c r="C3725" s="17"/>
      <c r="D3725" s="17"/>
      <c r="E3725" s="17"/>
      <c r="F3725" s="17"/>
      <c r="G3725" s="17"/>
      <c r="H3725" s="17"/>
      <c r="I3725" s="31"/>
      <c r="J3725" s="17"/>
      <c r="K3725" s="17"/>
      <c r="L3725" s="17"/>
      <c r="M3725" s="17"/>
      <c r="N3725" s="17"/>
      <c r="O3725" s="17"/>
      <c r="P3725" s="17"/>
      <c r="Q3725" s="17"/>
      <c r="R3725" s="17"/>
      <c r="S3725" s="17"/>
      <c r="T3725" s="17"/>
      <c r="U3725" s="17"/>
      <c r="V3725" s="17"/>
      <c r="W3725" s="17"/>
      <c r="X3725" s="17"/>
      <c r="Y3725" s="17"/>
      <c r="Z3725" s="31"/>
      <c r="AA3725" s="32"/>
    </row>
    <row r="3726" spans="1:27" ht="12.75">
      <c r="A3726" s="17"/>
      <c r="B3726" s="17"/>
      <c r="C3726" s="17"/>
      <c r="D3726" s="17"/>
      <c r="E3726" s="17"/>
      <c r="F3726" s="17"/>
      <c r="G3726" s="17"/>
      <c r="H3726" s="17"/>
      <c r="I3726" s="31"/>
      <c r="J3726" s="17"/>
      <c r="K3726" s="17"/>
      <c r="L3726" s="17"/>
      <c r="M3726" s="17"/>
      <c r="N3726" s="17"/>
      <c r="O3726" s="17"/>
      <c r="P3726" s="17"/>
      <c r="Q3726" s="17"/>
      <c r="R3726" s="17"/>
      <c r="S3726" s="17"/>
      <c r="T3726" s="17"/>
      <c r="U3726" s="17"/>
      <c r="V3726" s="17"/>
      <c r="W3726" s="17"/>
      <c r="X3726" s="17"/>
      <c r="Y3726" s="17"/>
      <c r="Z3726" s="31"/>
      <c r="AA3726" s="32"/>
    </row>
    <row r="3727" spans="1:27" ht="12.75">
      <c r="A3727" s="17"/>
      <c r="B3727" s="17"/>
      <c r="C3727" s="17"/>
      <c r="D3727" s="17"/>
      <c r="E3727" s="17"/>
      <c r="F3727" s="17"/>
      <c r="G3727" s="17"/>
      <c r="H3727" s="17"/>
      <c r="I3727" s="31"/>
      <c r="J3727" s="17"/>
      <c r="K3727" s="17"/>
      <c r="L3727" s="17"/>
      <c r="M3727" s="17"/>
      <c r="N3727" s="17"/>
      <c r="O3727" s="17"/>
      <c r="P3727" s="17"/>
      <c r="Q3727" s="17"/>
      <c r="R3727" s="17"/>
      <c r="S3727" s="17"/>
      <c r="T3727" s="17"/>
      <c r="U3727" s="17"/>
      <c r="V3727" s="17"/>
      <c r="W3727" s="17"/>
      <c r="X3727" s="17"/>
      <c r="Y3727" s="17"/>
      <c r="Z3727" s="31"/>
      <c r="AA3727" s="32"/>
    </row>
    <row r="3728" spans="1:27" ht="12.75">
      <c r="A3728" s="17"/>
      <c r="B3728" s="17"/>
      <c r="C3728" s="17"/>
      <c r="D3728" s="17"/>
      <c r="E3728" s="17"/>
      <c r="F3728" s="17"/>
      <c r="G3728" s="17"/>
      <c r="H3728" s="17"/>
      <c r="I3728" s="31"/>
      <c r="J3728" s="17"/>
      <c r="K3728" s="17"/>
      <c r="L3728" s="17"/>
      <c r="M3728" s="17"/>
      <c r="N3728" s="17"/>
      <c r="O3728" s="17"/>
      <c r="P3728" s="17"/>
      <c r="Q3728" s="17"/>
      <c r="R3728" s="17"/>
      <c r="S3728" s="17"/>
      <c r="T3728" s="17"/>
      <c r="U3728" s="17"/>
      <c r="V3728" s="17"/>
      <c r="W3728" s="17"/>
      <c r="X3728" s="17"/>
      <c r="Y3728" s="17"/>
      <c r="Z3728" s="31"/>
      <c r="AA3728" s="32"/>
    </row>
    <row r="3729" spans="1:27" ht="12.75">
      <c r="A3729" s="17"/>
      <c r="B3729" s="17"/>
      <c r="C3729" s="17"/>
      <c r="D3729" s="17"/>
      <c r="E3729" s="17"/>
      <c r="F3729" s="17"/>
      <c r="G3729" s="17"/>
      <c r="H3729" s="17"/>
      <c r="I3729" s="31"/>
      <c r="J3729" s="17"/>
      <c r="K3729" s="17"/>
      <c r="L3729" s="17"/>
      <c r="M3729" s="17"/>
      <c r="N3729" s="17"/>
      <c r="O3729" s="17"/>
      <c r="P3729" s="17"/>
      <c r="Q3729" s="17"/>
      <c r="R3729" s="17"/>
      <c r="S3729" s="17"/>
      <c r="T3729" s="17"/>
      <c r="U3729" s="17"/>
      <c r="V3729" s="17"/>
      <c r="W3729" s="17"/>
      <c r="X3729" s="17"/>
      <c r="Y3729" s="17"/>
      <c r="Z3729" s="31"/>
      <c r="AA3729" s="32"/>
    </row>
    <row r="3730" spans="1:27" ht="12.75">
      <c r="A3730" s="17"/>
      <c r="B3730" s="17"/>
      <c r="C3730" s="17"/>
      <c r="D3730" s="17"/>
      <c r="E3730" s="17"/>
      <c r="F3730" s="17"/>
      <c r="G3730" s="17"/>
      <c r="H3730" s="17"/>
      <c r="I3730" s="31"/>
      <c r="J3730" s="17"/>
      <c r="K3730" s="17"/>
      <c r="L3730" s="17"/>
      <c r="M3730" s="17"/>
      <c r="N3730" s="17"/>
      <c r="O3730" s="17"/>
      <c r="P3730" s="17"/>
      <c r="Q3730" s="17"/>
      <c r="R3730" s="17"/>
      <c r="S3730" s="17"/>
      <c r="T3730" s="17"/>
      <c r="U3730" s="17"/>
      <c r="V3730" s="17"/>
      <c r="W3730" s="17"/>
      <c r="X3730" s="17"/>
      <c r="Y3730" s="17"/>
      <c r="Z3730" s="31"/>
      <c r="AA3730" s="32"/>
    </row>
    <row r="3731" spans="1:27" ht="12.75">
      <c r="A3731" s="17"/>
      <c r="B3731" s="17"/>
      <c r="C3731" s="17"/>
      <c r="D3731" s="17"/>
      <c r="E3731" s="17"/>
      <c r="F3731" s="17"/>
      <c r="G3731" s="17"/>
      <c r="H3731" s="17"/>
      <c r="I3731" s="31"/>
      <c r="J3731" s="17"/>
      <c r="K3731" s="17"/>
      <c r="L3731" s="17"/>
      <c r="M3731" s="17"/>
      <c r="N3731" s="17"/>
      <c r="O3731" s="17"/>
      <c r="P3731" s="17"/>
      <c r="Q3731" s="17"/>
      <c r="R3731" s="17"/>
      <c r="S3731" s="17"/>
      <c r="T3731" s="17"/>
      <c r="U3731" s="17"/>
      <c r="V3731" s="17"/>
      <c r="W3731" s="17"/>
      <c r="X3731" s="17"/>
      <c r="Y3731" s="17"/>
      <c r="Z3731" s="31"/>
      <c r="AA3731" s="32"/>
    </row>
    <row r="3732" spans="1:27" ht="12.75">
      <c r="A3732" s="17"/>
      <c r="B3732" s="17"/>
      <c r="C3732" s="17"/>
      <c r="D3732" s="17"/>
      <c r="E3732" s="17"/>
      <c r="F3732" s="17"/>
      <c r="G3732" s="17"/>
      <c r="H3732" s="17"/>
      <c r="I3732" s="31"/>
      <c r="J3732" s="17"/>
      <c r="K3732" s="17"/>
      <c r="L3732" s="17"/>
      <c r="M3732" s="17"/>
      <c r="N3732" s="17"/>
      <c r="O3732" s="17"/>
      <c r="P3732" s="17"/>
      <c r="Q3732" s="17"/>
      <c r="R3732" s="17"/>
      <c r="S3732" s="17"/>
      <c r="T3732" s="17"/>
      <c r="U3732" s="17"/>
      <c r="V3732" s="17"/>
      <c r="W3732" s="17"/>
      <c r="X3732" s="17"/>
      <c r="Y3732" s="17"/>
      <c r="Z3732" s="31"/>
      <c r="AA3732" s="32"/>
    </row>
    <row r="3733" spans="1:27" ht="12.75">
      <c r="A3733" s="17"/>
      <c r="B3733" s="17"/>
      <c r="C3733" s="17"/>
      <c r="D3733" s="17"/>
      <c r="E3733" s="17"/>
      <c r="F3733" s="17"/>
      <c r="G3733" s="17"/>
      <c r="H3733" s="17"/>
      <c r="I3733" s="31"/>
      <c r="J3733" s="17"/>
      <c r="K3733" s="17"/>
      <c r="L3733" s="17"/>
      <c r="M3733" s="17"/>
      <c r="N3733" s="17"/>
      <c r="O3733" s="17"/>
      <c r="P3733" s="17"/>
      <c r="Q3733" s="17"/>
      <c r="R3733" s="17"/>
      <c r="S3733" s="17"/>
      <c r="T3733" s="17"/>
      <c r="U3733" s="17"/>
      <c r="V3733" s="17"/>
      <c r="W3733" s="17"/>
      <c r="X3733" s="17"/>
      <c r="Y3733" s="17"/>
      <c r="Z3733" s="31"/>
      <c r="AA3733" s="32"/>
    </row>
    <row r="3734" spans="1:27" ht="12.75">
      <c r="A3734" s="17"/>
      <c r="B3734" s="17"/>
      <c r="C3734" s="17"/>
      <c r="D3734" s="17"/>
      <c r="E3734" s="17"/>
      <c r="F3734" s="17"/>
      <c r="G3734" s="17"/>
      <c r="H3734" s="17"/>
      <c r="I3734" s="31"/>
      <c r="J3734" s="17"/>
      <c r="K3734" s="17"/>
      <c r="L3734" s="17"/>
      <c r="M3734" s="17"/>
      <c r="N3734" s="17"/>
      <c r="O3734" s="17"/>
      <c r="P3734" s="17"/>
      <c r="Q3734" s="17"/>
      <c r="R3734" s="17"/>
      <c r="S3734" s="17"/>
      <c r="T3734" s="17"/>
      <c r="U3734" s="17"/>
      <c r="V3734" s="17"/>
      <c r="W3734" s="17"/>
      <c r="X3734" s="17"/>
      <c r="Y3734" s="17"/>
      <c r="Z3734" s="31"/>
      <c r="AA3734" s="32"/>
    </row>
    <row r="3735" spans="1:27" ht="12.75">
      <c r="A3735" s="17"/>
      <c r="B3735" s="17"/>
      <c r="C3735" s="17"/>
      <c r="D3735" s="17"/>
      <c r="E3735" s="17"/>
      <c r="F3735" s="17"/>
      <c r="G3735" s="17"/>
      <c r="H3735" s="17"/>
      <c r="I3735" s="31"/>
      <c r="J3735" s="17"/>
      <c r="K3735" s="17"/>
      <c r="L3735" s="17"/>
      <c r="M3735" s="17"/>
      <c r="N3735" s="17"/>
      <c r="O3735" s="17"/>
      <c r="P3735" s="17"/>
      <c r="Q3735" s="17"/>
      <c r="R3735" s="17"/>
      <c r="S3735" s="17"/>
      <c r="T3735" s="17"/>
      <c r="U3735" s="17"/>
      <c r="V3735" s="17"/>
      <c r="W3735" s="17"/>
      <c r="X3735" s="17"/>
      <c r="Y3735" s="17"/>
      <c r="Z3735" s="31"/>
      <c r="AA3735" s="32"/>
    </row>
    <row r="3736" spans="1:27" ht="12.75">
      <c r="A3736" s="17"/>
      <c r="B3736" s="17"/>
      <c r="C3736" s="17"/>
      <c r="D3736" s="17"/>
      <c r="E3736" s="17"/>
      <c r="F3736" s="17"/>
      <c r="G3736" s="17"/>
      <c r="H3736" s="17"/>
      <c r="I3736" s="31"/>
      <c r="J3736" s="17"/>
      <c r="K3736" s="17"/>
      <c r="L3736" s="17"/>
      <c r="M3736" s="17"/>
      <c r="N3736" s="17"/>
      <c r="O3736" s="17"/>
      <c r="P3736" s="17"/>
      <c r="Q3736" s="17"/>
      <c r="R3736" s="17"/>
      <c r="S3736" s="17"/>
      <c r="T3736" s="17"/>
      <c r="U3736" s="17"/>
      <c r="V3736" s="17"/>
      <c r="W3736" s="17"/>
      <c r="X3736" s="17"/>
      <c r="Y3736" s="17"/>
      <c r="Z3736" s="31"/>
      <c r="AA3736" s="32"/>
    </row>
    <row r="3737" spans="1:27" ht="12.75">
      <c r="A3737" s="17"/>
      <c r="B3737" s="17"/>
      <c r="C3737" s="17"/>
      <c r="D3737" s="17"/>
      <c r="E3737" s="17"/>
      <c r="F3737" s="17"/>
      <c r="G3737" s="17"/>
      <c r="H3737" s="17"/>
      <c r="I3737" s="31"/>
      <c r="J3737" s="17"/>
      <c r="K3737" s="17"/>
      <c r="L3737" s="17"/>
      <c r="M3737" s="17"/>
      <c r="N3737" s="17"/>
      <c r="O3737" s="17"/>
      <c r="P3737" s="17"/>
      <c r="Q3737" s="17"/>
      <c r="R3737" s="17"/>
      <c r="S3737" s="17"/>
      <c r="T3737" s="17"/>
      <c r="U3737" s="17"/>
      <c r="V3737" s="17"/>
      <c r="W3737" s="17"/>
      <c r="X3737" s="17"/>
      <c r="Y3737" s="17"/>
      <c r="Z3737" s="31"/>
      <c r="AA3737" s="32"/>
    </row>
    <row r="3738" spans="1:27" ht="12.75">
      <c r="A3738" s="17"/>
      <c r="B3738" s="17"/>
      <c r="C3738" s="17"/>
      <c r="D3738" s="17"/>
      <c r="E3738" s="17"/>
      <c r="F3738" s="17"/>
      <c r="G3738" s="17"/>
      <c r="H3738" s="17"/>
      <c r="I3738" s="31"/>
      <c r="J3738" s="17"/>
      <c r="K3738" s="17"/>
      <c r="L3738" s="17"/>
      <c r="M3738" s="17"/>
      <c r="N3738" s="17"/>
      <c r="O3738" s="17"/>
      <c r="P3738" s="17"/>
      <c r="Q3738" s="17"/>
      <c r="R3738" s="17"/>
      <c r="S3738" s="17"/>
      <c r="T3738" s="17"/>
      <c r="U3738" s="17"/>
      <c r="V3738" s="17"/>
      <c r="W3738" s="17"/>
      <c r="X3738" s="17"/>
      <c r="Y3738" s="17"/>
      <c r="Z3738" s="31"/>
      <c r="AA3738" s="32"/>
    </row>
    <row r="3739" spans="1:27" ht="12.75">
      <c r="A3739" s="17"/>
      <c r="B3739" s="17"/>
      <c r="C3739" s="17"/>
      <c r="D3739" s="17"/>
      <c r="E3739" s="17"/>
      <c r="F3739" s="17"/>
      <c r="G3739" s="17"/>
      <c r="H3739" s="17"/>
      <c r="I3739" s="31"/>
      <c r="J3739" s="17"/>
      <c r="K3739" s="17"/>
      <c r="L3739" s="17"/>
      <c r="M3739" s="17"/>
      <c r="N3739" s="17"/>
      <c r="O3739" s="17"/>
      <c r="P3739" s="17"/>
      <c r="Q3739" s="17"/>
      <c r="R3739" s="17"/>
      <c r="S3739" s="17"/>
      <c r="T3739" s="17"/>
      <c r="U3739" s="17"/>
      <c r="V3739" s="17"/>
      <c r="W3739" s="17"/>
      <c r="X3739" s="17"/>
      <c r="Y3739" s="17"/>
      <c r="Z3739" s="31"/>
      <c r="AA3739" s="32"/>
    </row>
    <row r="3740" spans="1:27" ht="12.75">
      <c r="A3740" s="17"/>
      <c r="B3740" s="17"/>
      <c r="C3740" s="17"/>
      <c r="D3740" s="17"/>
      <c r="E3740" s="17"/>
      <c r="F3740" s="17"/>
      <c r="G3740" s="17"/>
      <c r="H3740" s="17"/>
      <c r="I3740" s="31"/>
      <c r="J3740" s="17"/>
      <c r="K3740" s="17"/>
      <c r="L3740" s="17"/>
      <c r="M3740" s="17"/>
      <c r="N3740" s="17"/>
      <c r="O3740" s="17"/>
      <c r="P3740" s="17"/>
      <c r="Q3740" s="17"/>
      <c r="R3740" s="17"/>
      <c r="S3740" s="17"/>
      <c r="T3740" s="17"/>
      <c r="U3740" s="17"/>
      <c r="V3740" s="17"/>
      <c r="W3740" s="17"/>
      <c r="X3740" s="17"/>
      <c r="Y3740" s="17"/>
      <c r="Z3740" s="31"/>
      <c r="AA3740" s="32"/>
    </row>
    <row r="3741" spans="1:27" ht="12.75">
      <c r="A3741" s="17"/>
      <c r="B3741" s="17"/>
      <c r="C3741" s="17"/>
      <c r="D3741" s="17"/>
      <c r="E3741" s="17"/>
      <c r="F3741" s="17"/>
      <c r="G3741" s="17"/>
      <c r="H3741" s="17"/>
      <c r="I3741" s="31"/>
      <c r="J3741" s="17"/>
      <c r="K3741" s="17"/>
      <c r="L3741" s="17"/>
      <c r="M3741" s="17"/>
      <c r="N3741" s="17"/>
      <c r="O3741" s="17"/>
      <c r="P3741" s="17"/>
      <c r="Q3741" s="17"/>
      <c r="R3741" s="17"/>
      <c r="S3741" s="17"/>
      <c r="T3741" s="17"/>
      <c r="U3741" s="17"/>
      <c r="V3741" s="17"/>
      <c r="W3741" s="17"/>
      <c r="X3741" s="17"/>
      <c r="Y3741" s="17"/>
      <c r="Z3741" s="31"/>
      <c r="AA3741" s="32"/>
    </row>
    <row r="3742" spans="1:27" ht="12.75">
      <c r="A3742" s="17"/>
      <c r="B3742" s="17"/>
      <c r="C3742" s="17"/>
      <c r="D3742" s="17"/>
      <c r="E3742" s="17"/>
      <c r="F3742" s="17"/>
      <c r="G3742" s="17"/>
      <c r="H3742" s="17"/>
      <c r="I3742" s="31"/>
      <c r="J3742" s="17"/>
      <c r="K3742" s="17"/>
      <c r="L3742" s="17"/>
      <c r="M3742" s="17"/>
      <c r="N3742" s="17"/>
      <c r="O3742" s="17"/>
      <c r="P3742" s="17"/>
      <c r="Q3742" s="17"/>
      <c r="R3742" s="17"/>
      <c r="S3742" s="17"/>
      <c r="T3742" s="17"/>
      <c r="U3742" s="17"/>
      <c r="V3742" s="17"/>
      <c r="W3742" s="17"/>
      <c r="X3742" s="17"/>
      <c r="Y3742" s="17"/>
      <c r="Z3742" s="31"/>
      <c r="AA3742" s="32"/>
    </row>
    <row r="3743" spans="1:27" ht="12.75">
      <c r="A3743" s="17"/>
      <c r="B3743" s="17"/>
      <c r="C3743" s="17"/>
      <c r="D3743" s="17"/>
      <c r="E3743" s="17"/>
      <c r="F3743" s="17"/>
      <c r="G3743" s="17"/>
      <c r="H3743" s="17"/>
      <c r="I3743" s="31"/>
      <c r="J3743" s="17"/>
      <c r="K3743" s="17"/>
      <c r="L3743" s="17"/>
      <c r="M3743" s="17"/>
      <c r="N3743" s="17"/>
      <c r="O3743" s="17"/>
      <c r="P3743" s="17"/>
      <c r="Q3743" s="17"/>
      <c r="R3743" s="17"/>
      <c r="S3743" s="17"/>
      <c r="T3743" s="17"/>
      <c r="U3743" s="17"/>
      <c r="V3743" s="17"/>
      <c r="W3743" s="17"/>
      <c r="X3743" s="17"/>
      <c r="Y3743" s="17"/>
      <c r="Z3743" s="31"/>
      <c r="AA3743" s="32"/>
    </row>
    <row r="3744" spans="1:27" ht="12.75">
      <c r="A3744" s="17"/>
      <c r="B3744" s="17"/>
      <c r="C3744" s="17"/>
      <c r="D3744" s="17"/>
      <c r="E3744" s="17"/>
      <c r="F3744" s="17"/>
      <c r="G3744" s="17"/>
      <c r="H3744" s="17"/>
      <c r="I3744" s="31"/>
      <c r="J3744" s="17"/>
      <c r="K3744" s="17"/>
      <c r="L3744" s="17"/>
      <c r="M3744" s="17"/>
      <c r="N3744" s="17"/>
      <c r="O3744" s="17"/>
      <c r="P3744" s="17"/>
      <c r="Q3744" s="17"/>
      <c r="R3744" s="17"/>
      <c r="S3744" s="17"/>
      <c r="T3744" s="17"/>
      <c r="U3744" s="17"/>
      <c r="V3744" s="17"/>
      <c r="W3744" s="17"/>
      <c r="X3744" s="17"/>
      <c r="Y3744" s="17"/>
      <c r="Z3744" s="31"/>
      <c r="AA3744" s="32"/>
    </row>
    <row r="3745" spans="1:27" ht="12.75">
      <c r="A3745" s="17"/>
      <c r="B3745" s="17"/>
      <c r="C3745" s="17"/>
      <c r="D3745" s="17"/>
      <c r="E3745" s="17"/>
      <c r="F3745" s="17"/>
      <c r="G3745" s="17"/>
      <c r="H3745" s="17"/>
      <c r="I3745" s="31"/>
      <c r="J3745" s="17"/>
      <c r="K3745" s="17"/>
      <c r="L3745" s="17"/>
      <c r="M3745" s="17"/>
      <c r="N3745" s="17"/>
      <c r="O3745" s="17"/>
      <c r="P3745" s="17"/>
      <c r="Q3745" s="17"/>
      <c r="R3745" s="17"/>
      <c r="S3745" s="17"/>
      <c r="T3745" s="17"/>
      <c r="U3745" s="17"/>
      <c r="V3745" s="17"/>
      <c r="W3745" s="17"/>
      <c r="X3745" s="17"/>
      <c r="Y3745" s="17"/>
      <c r="Z3745" s="31"/>
      <c r="AA3745" s="32"/>
    </row>
    <row r="3746" spans="1:27" ht="12.75">
      <c r="A3746" s="17"/>
      <c r="B3746" s="17"/>
      <c r="C3746" s="17"/>
      <c r="D3746" s="17"/>
      <c r="E3746" s="17"/>
      <c r="F3746" s="17"/>
      <c r="G3746" s="17"/>
      <c r="H3746" s="17"/>
      <c r="I3746" s="31"/>
      <c r="J3746" s="17"/>
      <c r="K3746" s="17"/>
      <c r="L3746" s="17"/>
      <c r="M3746" s="17"/>
      <c r="N3746" s="17"/>
      <c r="O3746" s="17"/>
      <c r="P3746" s="17"/>
      <c r="Q3746" s="17"/>
      <c r="R3746" s="17"/>
      <c r="S3746" s="17"/>
      <c r="T3746" s="17"/>
      <c r="U3746" s="17"/>
      <c r="V3746" s="17"/>
      <c r="W3746" s="17"/>
      <c r="X3746" s="17"/>
      <c r="Y3746" s="17"/>
      <c r="Z3746" s="31"/>
      <c r="AA3746" s="32"/>
    </row>
    <row r="3747" spans="1:27" ht="12.75">
      <c r="A3747" s="17"/>
      <c r="B3747" s="17"/>
      <c r="C3747" s="17"/>
      <c r="D3747" s="17"/>
      <c r="E3747" s="17"/>
      <c r="F3747" s="17"/>
      <c r="G3747" s="17"/>
      <c r="H3747" s="17"/>
      <c r="I3747" s="31"/>
      <c r="J3747" s="17"/>
      <c r="K3747" s="17"/>
      <c r="L3747" s="17"/>
      <c r="M3747" s="17"/>
      <c r="N3747" s="17"/>
      <c r="O3747" s="17"/>
      <c r="P3747" s="17"/>
      <c r="Q3747" s="17"/>
      <c r="R3747" s="17"/>
      <c r="S3747" s="17"/>
      <c r="T3747" s="17"/>
      <c r="U3747" s="17"/>
      <c r="V3747" s="17"/>
      <c r="W3747" s="17"/>
      <c r="X3747" s="17"/>
      <c r="Y3747" s="17"/>
      <c r="Z3747" s="31"/>
      <c r="AA3747" s="32"/>
    </row>
    <row r="3748" spans="1:27" ht="12.75">
      <c r="A3748" s="17"/>
      <c r="B3748" s="17"/>
      <c r="C3748" s="17"/>
      <c r="D3748" s="17"/>
      <c r="E3748" s="17"/>
      <c r="F3748" s="17"/>
      <c r="G3748" s="17"/>
      <c r="H3748" s="17"/>
      <c r="I3748" s="31"/>
      <c r="J3748" s="17"/>
      <c r="K3748" s="17"/>
      <c r="L3748" s="17"/>
      <c r="M3748" s="17"/>
      <c r="N3748" s="17"/>
      <c r="O3748" s="17"/>
      <c r="P3748" s="17"/>
      <c r="Q3748" s="17"/>
      <c r="R3748" s="17"/>
      <c r="S3748" s="17"/>
      <c r="T3748" s="17"/>
      <c r="U3748" s="17"/>
      <c r="V3748" s="17"/>
      <c r="W3748" s="17"/>
      <c r="X3748" s="17"/>
      <c r="Y3748" s="17"/>
      <c r="Z3748" s="31"/>
      <c r="AA3748" s="32"/>
    </row>
    <row r="3749" spans="1:27" ht="12.75">
      <c r="A3749" s="17"/>
      <c r="B3749" s="17"/>
      <c r="C3749" s="17"/>
      <c r="D3749" s="17"/>
      <c r="E3749" s="17"/>
      <c r="F3749" s="17"/>
      <c r="G3749" s="17"/>
      <c r="H3749" s="17"/>
      <c r="I3749" s="31"/>
      <c r="J3749" s="17"/>
      <c r="K3749" s="17"/>
      <c r="L3749" s="17"/>
      <c r="M3749" s="17"/>
      <c r="N3749" s="17"/>
      <c r="O3749" s="17"/>
      <c r="P3749" s="17"/>
      <c r="Q3749" s="17"/>
      <c r="R3749" s="17"/>
      <c r="S3749" s="17"/>
      <c r="T3749" s="17"/>
      <c r="U3749" s="17"/>
      <c r="V3749" s="17"/>
      <c r="W3749" s="17"/>
      <c r="X3749" s="17"/>
      <c r="Y3749" s="17"/>
      <c r="Z3749" s="31"/>
      <c r="AA3749" s="32"/>
    </row>
    <row r="3750" spans="1:27" ht="12.75">
      <c r="A3750" s="17"/>
      <c r="B3750" s="17"/>
      <c r="C3750" s="17"/>
      <c r="D3750" s="17"/>
      <c r="E3750" s="17"/>
      <c r="F3750" s="17"/>
      <c r="G3750" s="17"/>
      <c r="H3750" s="17"/>
      <c r="I3750" s="31"/>
      <c r="J3750" s="17"/>
      <c r="K3750" s="17"/>
      <c r="L3750" s="17"/>
      <c r="M3750" s="17"/>
      <c r="N3750" s="17"/>
      <c r="O3750" s="17"/>
      <c r="P3750" s="17"/>
      <c r="Q3750" s="17"/>
      <c r="R3750" s="17"/>
      <c r="S3750" s="17"/>
      <c r="T3750" s="17"/>
      <c r="U3750" s="17"/>
      <c r="V3750" s="17"/>
      <c r="W3750" s="17"/>
      <c r="X3750" s="17"/>
      <c r="Y3750" s="17"/>
      <c r="Z3750" s="31"/>
      <c r="AA3750" s="32"/>
    </row>
    <row r="3751" spans="1:27" ht="12.75">
      <c r="A3751" s="17"/>
      <c r="B3751" s="17"/>
      <c r="C3751" s="17"/>
      <c r="D3751" s="17"/>
      <c r="E3751" s="17"/>
      <c r="F3751" s="17"/>
      <c r="G3751" s="17"/>
      <c r="H3751" s="17"/>
      <c r="I3751" s="31"/>
      <c r="J3751" s="17"/>
      <c r="K3751" s="17"/>
      <c r="L3751" s="17"/>
      <c r="M3751" s="17"/>
      <c r="N3751" s="17"/>
      <c r="O3751" s="17"/>
      <c r="P3751" s="17"/>
      <c r="Q3751" s="17"/>
      <c r="R3751" s="17"/>
      <c r="S3751" s="17"/>
      <c r="T3751" s="17"/>
      <c r="U3751" s="17"/>
      <c r="V3751" s="17"/>
      <c r="W3751" s="17"/>
      <c r="X3751" s="17"/>
      <c r="Y3751" s="17"/>
      <c r="Z3751" s="31"/>
      <c r="AA3751" s="32"/>
    </row>
    <row r="3752" spans="1:27" ht="12.75">
      <c r="A3752" s="17"/>
      <c r="B3752" s="17"/>
      <c r="C3752" s="17"/>
      <c r="D3752" s="17"/>
      <c r="E3752" s="17"/>
      <c r="F3752" s="17"/>
      <c r="G3752" s="17"/>
      <c r="H3752" s="17"/>
      <c r="I3752" s="31"/>
      <c r="J3752" s="17"/>
      <c r="K3752" s="17"/>
      <c r="L3752" s="17"/>
      <c r="M3752" s="17"/>
      <c r="N3752" s="17"/>
      <c r="O3752" s="17"/>
      <c r="P3752" s="17"/>
      <c r="Q3752" s="17"/>
      <c r="R3752" s="17"/>
      <c r="S3752" s="17"/>
      <c r="T3752" s="17"/>
      <c r="U3752" s="17"/>
      <c r="V3752" s="17"/>
      <c r="W3752" s="17"/>
      <c r="X3752" s="17"/>
      <c r="Y3752" s="17"/>
      <c r="Z3752" s="31"/>
      <c r="AA3752" s="32"/>
    </row>
    <row r="3753" spans="1:27" ht="12.75">
      <c r="A3753" s="17"/>
      <c r="B3753" s="17"/>
      <c r="C3753" s="17"/>
      <c r="D3753" s="17"/>
      <c r="E3753" s="17"/>
      <c r="F3753" s="17"/>
      <c r="G3753" s="17"/>
      <c r="H3753" s="17"/>
      <c r="I3753" s="31"/>
      <c r="J3753" s="17"/>
      <c r="K3753" s="17"/>
      <c r="L3753" s="17"/>
      <c r="M3753" s="17"/>
      <c r="N3753" s="17"/>
      <c r="O3753" s="17"/>
      <c r="P3753" s="17"/>
      <c r="Q3753" s="17"/>
      <c r="R3753" s="17"/>
      <c r="S3753" s="17"/>
      <c r="T3753" s="17"/>
      <c r="U3753" s="17"/>
      <c r="V3753" s="17"/>
      <c r="W3753" s="17"/>
      <c r="X3753" s="17"/>
      <c r="Y3753" s="17"/>
      <c r="Z3753" s="31"/>
      <c r="AA3753" s="32"/>
    </row>
    <row r="3754" spans="1:27" ht="12.75">
      <c r="A3754" s="17"/>
      <c r="B3754" s="17"/>
      <c r="C3754" s="17"/>
      <c r="D3754" s="17"/>
      <c r="E3754" s="17"/>
      <c r="F3754" s="17"/>
      <c r="G3754" s="17"/>
      <c r="H3754" s="17"/>
      <c r="I3754" s="31"/>
      <c r="J3754" s="17"/>
      <c r="K3754" s="17"/>
      <c r="L3754" s="17"/>
      <c r="M3754" s="17"/>
      <c r="N3754" s="17"/>
      <c r="O3754" s="17"/>
      <c r="P3754" s="17"/>
      <c r="Q3754" s="17"/>
      <c r="R3754" s="17"/>
      <c r="S3754" s="17"/>
      <c r="T3754" s="17"/>
      <c r="U3754" s="17"/>
      <c r="V3754" s="17"/>
      <c r="W3754" s="17"/>
      <c r="X3754" s="17"/>
      <c r="Y3754" s="17"/>
      <c r="Z3754" s="31"/>
      <c r="AA3754" s="32"/>
    </row>
    <row r="3755" spans="1:27" ht="12.75">
      <c r="A3755" s="17"/>
      <c r="B3755" s="17"/>
      <c r="C3755" s="17"/>
      <c r="D3755" s="17"/>
      <c r="E3755" s="17"/>
      <c r="F3755" s="17"/>
      <c r="G3755" s="17"/>
      <c r="H3755" s="17"/>
      <c r="I3755" s="31"/>
      <c r="J3755" s="17"/>
      <c r="K3755" s="17"/>
      <c r="L3755" s="17"/>
      <c r="M3755" s="17"/>
      <c r="N3755" s="17"/>
      <c r="O3755" s="17"/>
      <c r="P3755" s="17"/>
      <c r="Q3755" s="17"/>
      <c r="R3755" s="17"/>
      <c r="S3755" s="17"/>
      <c r="T3755" s="17"/>
      <c r="U3755" s="17"/>
      <c r="V3755" s="17"/>
      <c r="W3755" s="17"/>
      <c r="X3755" s="17"/>
      <c r="Y3755" s="17"/>
      <c r="Z3755" s="31"/>
      <c r="AA3755" s="32"/>
    </row>
    <row r="3756" spans="1:27" ht="12.75">
      <c r="A3756" s="17"/>
      <c r="B3756" s="17"/>
      <c r="C3756" s="17"/>
      <c r="D3756" s="17"/>
      <c r="E3756" s="17"/>
      <c r="F3756" s="17"/>
      <c r="G3756" s="17"/>
      <c r="H3756" s="17"/>
      <c r="I3756" s="31"/>
      <c r="J3756" s="17"/>
      <c r="K3756" s="17"/>
      <c r="L3756" s="17"/>
      <c r="M3756" s="17"/>
      <c r="N3756" s="17"/>
      <c r="O3756" s="17"/>
      <c r="P3756" s="17"/>
      <c r="Q3756" s="17"/>
      <c r="R3756" s="17"/>
      <c r="S3756" s="17"/>
      <c r="T3756" s="17"/>
      <c r="U3756" s="17"/>
      <c r="V3756" s="17"/>
      <c r="W3756" s="17"/>
      <c r="X3756" s="17"/>
      <c r="Y3756" s="17"/>
      <c r="Z3756" s="31"/>
      <c r="AA3756" s="32"/>
    </row>
    <row r="3757" spans="1:27" ht="12.75">
      <c r="A3757" s="17"/>
      <c r="B3757" s="17"/>
      <c r="C3757" s="17"/>
      <c r="D3757" s="17"/>
      <c r="E3757" s="17"/>
      <c r="F3757" s="17"/>
      <c r="G3757" s="17"/>
      <c r="H3757" s="17"/>
      <c r="I3757" s="31"/>
      <c r="J3757" s="17"/>
      <c r="K3757" s="17"/>
      <c r="L3757" s="17"/>
      <c r="M3757" s="17"/>
      <c r="N3757" s="17"/>
      <c r="O3757" s="17"/>
      <c r="P3757" s="17"/>
      <c r="Q3757" s="17"/>
      <c r="R3757" s="17"/>
      <c r="S3757" s="17"/>
      <c r="T3757" s="17"/>
      <c r="U3757" s="17"/>
      <c r="V3757" s="17"/>
      <c r="W3757" s="17"/>
      <c r="X3757" s="17"/>
      <c r="Y3757" s="17"/>
      <c r="Z3757" s="31"/>
      <c r="AA3757" s="32"/>
    </row>
    <row r="3758" spans="1:27" ht="12.75">
      <c r="A3758" s="17"/>
      <c r="B3758" s="17"/>
      <c r="C3758" s="17"/>
      <c r="D3758" s="17"/>
      <c r="E3758" s="17"/>
      <c r="F3758" s="17"/>
      <c r="G3758" s="17"/>
      <c r="H3758" s="17"/>
      <c r="I3758" s="31"/>
      <c r="J3758" s="17"/>
      <c r="K3758" s="17"/>
      <c r="L3758" s="17"/>
      <c r="M3758" s="17"/>
      <c r="N3758" s="17"/>
      <c r="O3758" s="17"/>
      <c r="P3758" s="17"/>
      <c r="Q3758" s="17"/>
      <c r="R3758" s="17"/>
      <c r="S3758" s="17"/>
      <c r="T3758" s="17"/>
      <c r="U3758" s="17"/>
      <c r="V3758" s="17"/>
      <c r="W3758" s="17"/>
      <c r="X3758" s="17"/>
      <c r="Y3758" s="17"/>
      <c r="Z3758" s="31"/>
      <c r="AA3758" s="32"/>
    </row>
    <row r="3759" spans="1:27" ht="12.75">
      <c r="A3759" s="17"/>
      <c r="B3759" s="17"/>
      <c r="C3759" s="17"/>
      <c r="D3759" s="17"/>
      <c r="E3759" s="17"/>
      <c r="F3759" s="17"/>
      <c r="G3759" s="17"/>
      <c r="H3759" s="17"/>
      <c r="I3759" s="31"/>
      <c r="J3759" s="17"/>
      <c r="K3759" s="17"/>
      <c r="L3759" s="17"/>
      <c r="M3759" s="17"/>
      <c r="N3759" s="17"/>
      <c r="O3759" s="17"/>
      <c r="P3759" s="17"/>
      <c r="Q3759" s="17"/>
      <c r="R3759" s="17"/>
      <c r="S3759" s="17"/>
      <c r="T3759" s="17"/>
      <c r="U3759" s="17"/>
      <c r="V3759" s="17"/>
      <c r="W3759" s="17"/>
      <c r="X3759" s="17"/>
      <c r="Y3759" s="17"/>
      <c r="Z3759" s="31"/>
      <c r="AA3759" s="32"/>
    </row>
    <row r="3760" spans="1:27" ht="12.75">
      <c r="A3760" s="17"/>
      <c r="B3760" s="17"/>
      <c r="C3760" s="17"/>
      <c r="D3760" s="17"/>
      <c r="E3760" s="17"/>
      <c r="F3760" s="17"/>
      <c r="G3760" s="17"/>
      <c r="H3760" s="17"/>
      <c r="I3760" s="31"/>
      <c r="J3760" s="17"/>
      <c r="K3760" s="17"/>
      <c r="L3760" s="17"/>
      <c r="M3760" s="17"/>
      <c r="N3760" s="17"/>
      <c r="O3760" s="17"/>
      <c r="P3760" s="17"/>
      <c r="Q3760" s="17"/>
      <c r="R3760" s="17"/>
      <c r="S3760" s="17"/>
      <c r="T3760" s="17"/>
      <c r="U3760" s="17"/>
      <c r="V3760" s="17"/>
      <c r="W3760" s="17"/>
      <c r="X3760" s="17"/>
      <c r="Y3760" s="17"/>
      <c r="Z3760" s="31"/>
      <c r="AA3760" s="32"/>
    </row>
    <row r="3761" spans="1:27" ht="12.75">
      <c r="A3761" s="17"/>
      <c r="B3761" s="17"/>
      <c r="C3761" s="17"/>
      <c r="D3761" s="17"/>
      <c r="E3761" s="17"/>
      <c r="F3761" s="17"/>
      <c r="G3761" s="17"/>
      <c r="H3761" s="17"/>
      <c r="I3761" s="31"/>
      <c r="J3761" s="17"/>
      <c r="K3761" s="17"/>
      <c r="L3761" s="17"/>
      <c r="M3761" s="17"/>
      <c r="N3761" s="17"/>
      <c r="O3761" s="17"/>
      <c r="P3761" s="17"/>
      <c r="Q3761" s="17"/>
      <c r="R3761" s="17"/>
      <c r="S3761" s="17"/>
      <c r="T3761" s="17"/>
      <c r="U3761" s="17"/>
      <c r="V3761" s="17"/>
      <c r="W3761" s="17"/>
      <c r="X3761" s="17"/>
      <c r="Y3761" s="17"/>
      <c r="Z3761" s="31"/>
      <c r="AA3761" s="32"/>
    </row>
    <row r="3762" spans="1:27" ht="12.75">
      <c r="A3762" s="17"/>
      <c r="B3762" s="17"/>
      <c r="C3762" s="17"/>
      <c r="D3762" s="17"/>
      <c r="E3762" s="17"/>
      <c r="F3762" s="17"/>
      <c r="G3762" s="17"/>
      <c r="H3762" s="17"/>
      <c r="I3762" s="31"/>
      <c r="J3762" s="17"/>
      <c r="K3762" s="17"/>
      <c r="L3762" s="17"/>
      <c r="M3762" s="17"/>
      <c r="N3762" s="17"/>
      <c r="O3762" s="17"/>
      <c r="P3762" s="17"/>
      <c r="Q3762" s="17"/>
      <c r="R3762" s="17"/>
      <c r="S3762" s="17"/>
      <c r="T3762" s="17"/>
      <c r="U3762" s="17"/>
      <c r="V3762" s="17"/>
      <c r="W3762" s="17"/>
      <c r="X3762" s="17"/>
      <c r="Y3762" s="17"/>
      <c r="Z3762" s="31"/>
      <c r="AA3762" s="32"/>
    </row>
    <row r="3763" spans="1:27" ht="12.75">
      <c r="A3763" s="17"/>
      <c r="B3763" s="17"/>
      <c r="C3763" s="17"/>
      <c r="D3763" s="17"/>
      <c r="E3763" s="17"/>
      <c r="F3763" s="17"/>
      <c r="G3763" s="17"/>
      <c r="H3763" s="17"/>
      <c r="I3763" s="31"/>
      <c r="J3763" s="17"/>
      <c r="K3763" s="17"/>
      <c r="L3763" s="17"/>
      <c r="M3763" s="17"/>
      <c r="N3763" s="17"/>
      <c r="O3763" s="17"/>
      <c r="P3763" s="17"/>
      <c r="Q3763" s="17"/>
      <c r="R3763" s="17"/>
      <c r="S3763" s="17"/>
      <c r="T3763" s="17"/>
      <c r="U3763" s="17"/>
      <c r="V3763" s="17"/>
      <c r="W3763" s="17"/>
      <c r="X3763" s="17"/>
      <c r="Y3763" s="17"/>
      <c r="Z3763" s="31"/>
      <c r="AA3763" s="32"/>
    </row>
    <row r="3764" spans="1:27" ht="12.75">
      <c r="A3764" s="17"/>
      <c r="B3764" s="17"/>
      <c r="C3764" s="17"/>
      <c r="D3764" s="17"/>
      <c r="E3764" s="17"/>
      <c r="F3764" s="17"/>
      <c r="G3764" s="17"/>
      <c r="H3764" s="17"/>
      <c r="I3764" s="31"/>
      <c r="J3764" s="17"/>
      <c r="K3764" s="17"/>
      <c r="L3764" s="17"/>
      <c r="M3764" s="17"/>
      <c r="N3764" s="17"/>
      <c r="O3764" s="17"/>
      <c r="P3764" s="17"/>
      <c r="Q3764" s="17"/>
      <c r="R3764" s="17"/>
      <c r="S3764" s="17"/>
      <c r="T3764" s="17"/>
      <c r="U3764" s="17"/>
      <c r="V3764" s="17"/>
      <c r="W3764" s="17"/>
      <c r="X3764" s="17"/>
      <c r="Y3764" s="17"/>
      <c r="Z3764" s="31"/>
      <c r="AA3764" s="32"/>
    </row>
    <row r="3765" spans="1:27" ht="12.75">
      <c r="A3765" s="17"/>
      <c r="B3765" s="17"/>
      <c r="C3765" s="17"/>
      <c r="D3765" s="17"/>
      <c r="E3765" s="17"/>
      <c r="F3765" s="17"/>
      <c r="G3765" s="17"/>
      <c r="H3765" s="17"/>
      <c r="I3765" s="31"/>
      <c r="J3765" s="17"/>
      <c r="K3765" s="17"/>
      <c r="L3765" s="17"/>
      <c r="M3765" s="17"/>
      <c r="N3765" s="17"/>
      <c r="O3765" s="17"/>
      <c r="P3765" s="17"/>
      <c r="Q3765" s="17"/>
      <c r="R3765" s="17"/>
      <c r="S3765" s="17"/>
      <c r="T3765" s="17"/>
      <c r="U3765" s="17"/>
      <c r="V3765" s="17"/>
      <c r="W3765" s="17"/>
      <c r="X3765" s="17"/>
      <c r="Y3765" s="17"/>
      <c r="Z3765" s="31"/>
      <c r="AA3765" s="32"/>
    </row>
    <row r="3766" spans="1:27" ht="12.75">
      <c r="A3766" s="17"/>
      <c r="B3766" s="17"/>
      <c r="C3766" s="17"/>
      <c r="D3766" s="17"/>
      <c r="E3766" s="17"/>
      <c r="F3766" s="17"/>
      <c r="G3766" s="17"/>
      <c r="H3766" s="17"/>
      <c r="I3766" s="31"/>
      <c r="J3766" s="17"/>
      <c r="K3766" s="17"/>
      <c r="L3766" s="17"/>
      <c r="M3766" s="17"/>
      <c r="N3766" s="17"/>
      <c r="O3766" s="17"/>
      <c r="P3766" s="17"/>
      <c r="Q3766" s="17"/>
      <c r="R3766" s="17"/>
      <c r="S3766" s="17"/>
      <c r="T3766" s="17"/>
      <c r="U3766" s="17"/>
      <c r="V3766" s="17"/>
      <c r="W3766" s="17"/>
      <c r="X3766" s="17"/>
      <c r="Y3766" s="17"/>
      <c r="Z3766" s="31"/>
      <c r="AA3766" s="32"/>
    </row>
    <row r="3767" spans="1:27" ht="12.75">
      <c r="A3767" s="17"/>
      <c r="B3767" s="17"/>
      <c r="C3767" s="17"/>
      <c r="D3767" s="17"/>
      <c r="E3767" s="17"/>
      <c r="F3767" s="17"/>
      <c r="G3767" s="17"/>
      <c r="H3767" s="17"/>
      <c r="I3767" s="31"/>
      <c r="J3767" s="17"/>
      <c r="K3767" s="17"/>
      <c r="L3767" s="17"/>
      <c r="M3767" s="17"/>
      <c r="N3767" s="17"/>
      <c r="O3767" s="17"/>
      <c r="P3767" s="17"/>
      <c r="Q3767" s="17"/>
      <c r="R3767" s="17"/>
      <c r="S3767" s="17"/>
      <c r="T3767" s="17"/>
      <c r="U3767" s="17"/>
      <c r="V3767" s="17"/>
      <c r="W3767" s="17"/>
      <c r="X3767" s="17"/>
      <c r="Y3767" s="17"/>
      <c r="Z3767" s="31"/>
      <c r="AA3767" s="32"/>
    </row>
    <row r="3768" spans="1:27" ht="12.75">
      <c r="A3768" s="17"/>
      <c r="B3768" s="17"/>
      <c r="C3768" s="17"/>
      <c r="D3768" s="17"/>
      <c r="E3768" s="17"/>
      <c r="F3768" s="17"/>
      <c r="G3768" s="17"/>
      <c r="H3768" s="17"/>
      <c r="I3768" s="31"/>
      <c r="J3768" s="17"/>
      <c r="K3768" s="17"/>
      <c r="L3768" s="17"/>
      <c r="M3768" s="17"/>
      <c r="N3768" s="17"/>
      <c r="O3768" s="17"/>
      <c r="P3768" s="17"/>
      <c r="Q3768" s="17"/>
      <c r="R3768" s="17"/>
      <c r="S3768" s="17"/>
      <c r="T3768" s="17"/>
      <c r="U3768" s="17"/>
      <c r="V3768" s="17"/>
      <c r="W3768" s="17"/>
      <c r="X3768" s="17"/>
      <c r="Y3768" s="17"/>
      <c r="Z3768" s="31"/>
      <c r="AA3768" s="32"/>
    </row>
    <row r="3769" spans="1:27" ht="12.75">
      <c r="A3769" s="17"/>
      <c r="B3769" s="17"/>
      <c r="C3769" s="17"/>
      <c r="D3769" s="17"/>
      <c r="E3769" s="17"/>
      <c r="F3769" s="17"/>
      <c r="G3769" s="17"/>
      <c r="H3769" s="17"/>
      <c r="I3769" s="31"/>
      <c r="J3769" s="17"/>
      <c r="K3769" s="17"/>
      <c r="L3769" s="17"/>
      <c r="M3769" s="17"/>
      <c r="N3769" s="17"/>
      <c r="O3769" s="17"/>
      <c r="P3769" s="17"/>
      <c r="Q3769" s="17"/>
      <c r="R3769" s="17"/>
      <c r="S3769" s="17"/>
      <c r="T3769" s="17"/>
      <c r="U3769" s="17"/>
      <c r="V3769" s="17"/>
      <c r="W3769" s="17"/>
      <c r="X3769" s="17"/>
      <c r="Y3769" s="17"/>
      <c r="Z3769" s="31"/>
      <c r="AA3769" s="32"/>
    </row>
    <row r="3770" spans="1:27" ht="12.75">
      <c r="A3770" s="17"/>
      <c r="B3770" s="17"/>
      <c r="C3770" s="17"/>
      <c r="D3770" s="17"/>
      <c r="E3770" s="17"/>
      <c r="F3770" s="17"/>
      <c r="G3770" s="17"/>
      <c r="H3770" s="17"/>
      <c r="I3770" s="31"/>
      <c r="J3770" s="17"/>
      <c r="K3770" s="17"/>
      <c r="L3770" s="17"/>
      <c r="M3770" s="17"/>
      <c r="N3770" s="17"/>
      <c r="O3770" s="17"/>
      <c r="P3770" s="17"/>
      <c r="Q3770" s="17"/>
      <c r="R3770" s="17"/>
      <c r="S3770" s="17"/>
      <c r="T3770" s="17"/>
      <c r="U3770" s="17"/>
      <c r="V3770" s="17"/>
      <c r="W3770" s="17"/>
      <c r="X3770" s="17"/>
      <c r="Y3770" s="17"/>
      <c r="Z3770" s="31"/>
      <c r="AA3770" s="32"/>
    </row>
    <row r="3771" spans="1:27" ht="12.75">
      <c r="A3771" s="17"/>
      <c r="B3771" s="17"/>
      <c r="C3771" s="17"/>
      <c r="D3771" s="17"/>
      <c r="E3771" s="17"/>
      <c r="F3771" s="17"/>
      <c r="G3771" s="17"/>
      <c r="H3771" s="17"/>
      <c r="I3771" s="31"/>
      <c r="J3771" s="17"/>
      <c r="K3771" s="17"/>
      <c r="L3771" s="17"/>
      <c r="M3771" s="17"/>
      <c r="N3771" s="17"/>
      <c r="O3771" s="17"/>
      <c r="P3771" s="17"/>
      <c r="Q3771" s="17"/>
      <c r="R3771" s="17"/>
      <c r="S3771" s="17"/>
      <c r="T3771" s="17"/>
      <c r="U3771" s="17"/>
      <c r="V3771" s="17"/>
      <c r="W3771" s="17"/>
      <c r="X3771" s="17"/>
      <c r="Y3771" s="17"/>
      <c r="Z3771" s="31"/>
      <c r="AA3771" s="32"/>
    </row>
    <row r="3772" spans="1:27" ht="12.75">
      <c r="A3772" s="17"/>
      <c r="B3772" s="17"/>
      <c r="C3772" s="17"/>
      <c r="D3772" s="17"/>
      <c r="E3772" s="17"/>
      <c r="F3772" s="17"/>
      <c r="G3772" s="17"/>
      <c r="H3772" s="17"/>
      <c r="I3772" s="31"/>
      <c r="J3772" s="17"/>
      <c r="K3772" s="17"/>
      <c r="L3772" s="17"/>
      <c r="M3772" s="17"/>
      <c r="N3772" s="17"/>
      <c r="O3772" s="17"/>
      <c r="P3772" s="17"/>
      <c r="Q3772" s="17"/>
      <c r="R3772" s="17"/>
      <c r="S3772" s="17"/>
      <c r="T3772" s="17"/>
      <c r="U3772" s="17"/>
      <c r="V3772" s="17"/>
      <c r="W3772" s="17"/>
      <c r="X3772" s="17"/>
      <c r="Y3772" s="17"/>
      <c r="Z3772" s="31"/>
      <c r="AA3772" s="32"/>
    </row>
    <row r="3773" spans="1:27" ht="12.75">
      <c r="A3773" s="17"/>
      <c r="B3773" s="17"/>
      <c r="C3773" s="17"/>
      <c r="D3773" s="17"/>
      <c r="E3773" s="17"/>
      <c r="F3773" s="17"/>
      <c r="G3773" s="17"/>
      <c r="H3773" s="17"/>
      <c r="I3773" s="31"/>
      <c r="J3773" s="17"/>
      <c r="K3773" s="17"/>
      <c r="L3773" s="17"/>
      <c r="M3773" s="17"/>
      <c r="N3773" s="17"/>
      <c r="O3773" s="17"/>
      <c r="P3773" s="17"/>
      <c r="Q3773" s="17"/>
      <c r="R3773" s="17"/>
      <c r="S3773" s="17"/>
      <c r="T3773" s="17"/>
      <c r="U3773" s="17"/>
      <c r="V3773" s="17"/>
      <c r="W3773" s="17"/>
      <c r="X3773" s="17"/>
      <c r="Y3773" s="17"/>
      <c r="Z3773" s="31"/>
      <c r="AA3773" s="32"/>
    </row>
    <row r="3774" spans="1:27" ht="12.75">
      <c r="A3774" s="17"/>
      <c r="B3774" s="17"/>
      <c r="C3774" s="17"/>
      <c r="D3774" s="17"/>
      <c r="E3774" s="17"/>
      <c r="F3774" s="17"/>
      <c r="G3774" s="17"/>
      <c r="H3774" s="17"/>
      <c r="I3774" s="31"/>
      <c r="J3774" s="17"/>
      <c r="K3774" s="17"/>
      <c r="L3774" s="17"/>
      <c r="M3774" s="17"/>
      <c r="N3774" s="17"/>
      <c r="O3774" s="17"/>
      <c r="P3774" s="17"/>
      <c r="Q3774" s="17"/>
      <c r="R3774" s="17"/>
      <c r="S3774" s="17"/>
      <c r="T3774" s="17"/>
      <c r="U3774" s="17"/>
      <c r="V3774" s="17"/>
      <c r="W3774" s="17"/>
      <c r="X3774" s="17"/>
      <c r="Y3774" s="17"/>
      <c r="Z3774" s="31"/>
      <c r="AA3774" s="32"/>
    </row>
    <row r="3775" spans="1:27" ht="12.75">
      <c r="A3775" s="17"/>
      <c r="B3775" s="17"/>
      <c r="C3775" s="17"/>
      <c r="D3775" s="17"/>
      <c r="E3775" s="17"/>
      <c r="F3775" s="17"/>
      <c r="G3775" s="17"/>
      <c r="H3775" s="17"/>
      <c r="I3775" s="31"/>
      <c r="J3775" s="17"/>
      <c r="K3775" s="17"/>
      <c r="L3775" s="17"/>
      <c r="M3775" s="17"/>
      <c r="N3775" s="17"/>
      <c r="O3775" s="17"/>
      <c r="P3775" s="17"/>
      <c r="Q3775" s="17"/>
      <c r="R3775" s="17"/>
      <c r="S3775" s="17"/>
      <c r="T3775" s="17"/>
      <c r="U3775" s="17"/>
      <c r="V3775" s="17"/>
      <c r="W3775" s="17"/>
      <c r="X3775" s="17"/>
      <c r="Y3775" s="17"/>
      <c r="Z3775" s="31"/>
      <c r="AA3775" s="32"/>
    </row>
    <row r="3776" spans="1:27" ht="12.75">
      <c r="A3776" s="17"/>
      <c r="B3776" s="17"/>
      <c r="C3776" s="17"/>
      <c r="D3776" s="17"/>
      <c r="E3776" s="17"/>
      <c r="F3776" s="17"/>
      <c r="G3776" s="17"/>
      <c r="H3776" s="17"/>
      <c r="I3776" s="31"/>
      <c r="J3776" s="17"/>
      <c r="K3776" s="17"/>
      <c r="L3776" s="17"/>
      <c r="M3776" s="17"/>
      <c r="N3776" s="17"/>
      <c r="O3776" s="17"/>
      <c r="P3776" s="17"/>
      <c r="Q3776" s="17"/>
      <c r="R3776" s="17"/>
      <c r="S3776" s="17"/>
      <c r="T3776" s="17"/>
      <c r="U3776" s="17"/>
      <c r="V3776" s="17"/>
      <c r="W3776" s="17"/>
      <c r="X3776" s="17"/>
      <c r="Y3776" s="17"/>
      <c r="Z3776" s="31"/>
      <c r="AA3776" s="32"/>
    </row>
    <row r="3777" spans="1:27" ht="12.75">
      <c r="A3777" s="17"/>
      <c r="B3777" s="17"/>
      <c r="C3777" s="17"/>
      <c r="D3777" s="17"/>
      <c r="E3777" s="17"/>
      <c r="F3777" s="17"/>
      <c r="G3777" s="17"/>
      <c r="H3777" s="17"/>
      <c r="I3777" s="31"/>
      <c r="J3777" s="17"/>
      <c r="K3777" s="17"/>
      <c r="L3777" s="17"/>
      <c r="M3777" s="17"/>
      <c r="N3777" s="17"/>
      <c r="O3777" s="17"/>
      <c r="P3777" s="17"/>
      <c r="Q3777" s="17"/>
      <c r="R3777" s="17"/>
      <c r="S3777" s="17"/>
      <c r="T3777" s="17"/>
      <c r="U3777" s="17"/>
      <c r="V3777" s="17"/>
      <c r="W3777" s="17"/>
      <c r="X3777" s="17"/>
      <c r="Y3777" s="17"/>
      <c r="Z3777" s="31"/>
      <c r="AA3777" s="32"/>
    </row>
    <row r="3778" spans="1:27" ht="12.75">
      <c r="A3778" s="17"/>
      <c r="B3778" s="17"/>
      <c r="C3778" s="17"/>
      <c r="D3778" s="17"/>
      <c r="E3778" s="17"/>
      <c r="F3778" s="17"/>
      <c r="G3778" s="17"/>
      <c r="H3778" s="17"/>
      <c r="I3778" s="31"/>
      <c r="J3778" s="17"/>
      <c r="K3778" s="17"/>
      <c r="L3778" s="17"/>
      <c r="M3778" s="17"/>
      <c r="N3778" s="17"/>
      <c r="O3778" s="17"/>
      <c r="P3778" s="17"/>
      <c r="Q3778" s="17"/>
      <c r="R3778" s="17"/>
      <c r="S3778" s="17"/>
      <c r="T3778" s="17"/>
      <c r="U3778" s="17"/>
      <c r="V3778" s="17"/>
      <c r="W3778" s="17"/>
      <c r="X3778" s="17"/>
      <c r="Y3778" s="17"/>
      <c r="Z3778" s="31"/>
      <c r="AA3778" s="32"/>
    </row>
    <row r="3779" spans="1:27" ht="12.75">
      <c r="A3779" s="17"/>
      <c r="B3779" s="17"/>
      <c r="C3779" s="17"/>
      <c r="D3779" s="17"/>
      <c r="E3779" s="17"/>
      <c r="F3779" s="17"/>
      <c r="G3779" s="17"/>
      <c r="H3779" s="17"/>
      <c r="I3779" s="31"/>
      <c r="J3779" s="17"/>
      <c r="K3779" s="17"/>
      <c r="L3779" s="17"/>
      <c r="M3779" s="17"/>
      <c r="N3779" s="17"/>
      <c r="O3779" s="17"/>
      <c r="P3779" s="17"/>
      <c r="Q3779" s="17"/>
      <c r="R3779" s="17"/>
      <c r="S3779" s="17"/>
      <c r="T3779" s="17"/>
      <c r="U3779" s="17"/>
      <c r="V3779" s="17"/>
      <c r="W3779" s="17"/>
      <c r="X3779" s="17"/>
      <c r="Y3779" s="17"/>
      <c r="Z3779" s="31"/>
      <c r="AA3779" s="32"/>
    </row>
    <row r="3780" spans="1:27" ht="12.75">
      <c r="A3780" s="17"/>
      <c r="B3780" s="17"/>
      <c r="C3780" s="17"/>
      <c r="D3780" s="17"/>
      <c r="E3780" s="17"/>
      <c r="F3780" s="17"/>
      <c r="G3780" s="17"/>
      <c r="H3780" s="17"/>
      <c r="I3780" s="31"/>
      <c r="J3780" s="17"/>
      <c r="K3780" s="17"/>
      <c r="L3780" s="17"/>
      <c r="M3780" s="17"/>
      <c r="N3780" s="17"/>
      <c r="O3780" s="17"/>
      <c r="P3780" s="17"/>
      <c r="Q3780" s="17"/>
      <c r="R3780" s="17"/>
      <c r="S3780" s="17"/>
      <c r="T3780" s="17"/>
      <c r="U3780" s="17"/>
      <c r="V3780" s="17"/>
      <c r="W3780" s="17"/>
      <c r="X3780" s="17"/>
      <c r="Y3780" s="17"/>
      <c r="Z3780" s="31"/>
      <c r="AA3780" s="32"/>
    </row>
    <row r="3781" spans="1:27" ht="12.75">
      <c r="A3781" s="17"/>
      <c r="B3781" s="17"/>
      <c r="C3781" s="17"/>
      <c r="D3781" s="17"/>
      <c r="E3781" s="17"/>
      <c r="F3781" s="17"/>
      <c r="G3781" s="17"/>
      <c r="H3781" s="17"/>
      <c r="I3781" s="31"/>
      <c r="J3781" s="17"/>
      <c r="K3781" s="17"/>
      <c r="L3781" s="17"/>
      <c r="M3781" s="17"/>
      <c r="N3781" s="17"/>
      <c r="O3781" s="17"/>
      <c r="P3781" s="17"/>
      <c r="Q3781" s="17"/>
      <c r="R3781" s="17"/>
      <c r="S3781" s="17"/>
      <c r="T3781" s="17"/>
      <c r="U3781" s="17"/>
      <c r="V3781" s="17"/>
      <c r="W3781" s="17"/>
      <c r="X3781" s="17"/>
      <c r="Y3781" s="17"/>
      <c r="Z3781" s="31"/>
      <c r="AA3781" s="32"/>
    </row>
    <row r="3782" spans="1:27" ht="12.75">
      <c r="A3782" s="17"/>
      <c r="B3782" s="17"/>
      <c r="C3782" s="17"/>
      <c r="D3782" s="17"/>
      <c r="E3782" s="17"/>
      <c r="F3782" s="17"/>
      <c r="G3782" s="17"/>
      <c r="H3782" s="17"/>
      <c r="I3782" s="31"/>
      <c r="J3782" s="17"/>
      <c r="K3782" s="17"/>
      <c r="L3782" s="17"/>
      <c r="M3782" s="17"/>
      <c r="N3782" s="17"/>
      <c r="O3782" s="17"/>
      <c r="P3782" s="17"/>
      <c r="Q3782" s="17"/>
      <c r="R3782" s="17"/>
      <c r="S3782" s="17"/>
      <c r="T3782" s="17"/>
      <c r="U3782" s="17"/>
      <c r="V3782" s="17"/>
      <c r="W3782" s="17"/>
      <c r="X3782" s="17"/>
      <c r="Y3782" s="17"/>
      <c r="Z3782" s="31"/>
      <c r="AA3782" s="32"/>
    </row>
    <row r="3783" spans="1:27" ht="12.75">
      <c r="A3783" s="17"/>
      <c r="B3783" s="17"/>
      <c r="C3783" s="17"/>
      <c r="D3783" s="17"/>
      <c r="E3783" s="17"/>
      <c r="F3783" s="17"/>
      <c r="G3783" s="17"/>
      <c r="H3783" s="17"/>
      <c r="I3783" s="31"/>
      <c r="J3783" s="17"/>
      <c r="K3783" s="17"/>
      <c r="L3783" s="17"/>
      <c r="M3783" s="17"/>
      <c r="N3783" s="17"/>
      <c r="O3783" s="17"/>
      <c r="P3783" s="17"/>
      <c r="Q3783" s="17"/>
      <c r="R3783" s="17"/>
      <c r="S3783" s="17"/>
      <c r="T3783" s="17"/>
      <c r="U3783" s="17"/>
      <c r="V3783" s="17"/>
      <c r="W3783" s="17"/>
      <c r="X3783" s="17"/>
      <c r="Y3783" s="17"/>
      <c r="Z3783" s="31"/>
      <c r="AA3783" s="32"/>
    </row>
    <row r="3784" spans="1:27" ht="12.75">
      <c r="A3784" s="17"/>
      <c r="B3784" s="17"/>
      <c r="C3784" s="17"/>
      <c r="D3784" s="17"/>
      <c r="E3784" s="17"/>
      <c r="F3784" s="17"/>
      <c r="G3784" s="17"/>
      <c r="H3784" s="17"/>
      <c r="I3784" s="31"/>
      <c r="J3784" s="17"/>
      <c r="K3784" s="17"/>
      <c r="L3784" s="17"/>
      <c r="M3784" s="17"/>
      <c r="N3784" s="17"/>
      <c r="O3784" s="17"/>
      <c r="P3784" s="17"/>
      <c r="Q3784" s="17"/>
      <c r="R3784" s="17"/>
      <c r="S3784" s="17"/>
      <c r="T3784" s="17"/>
      <c r="U3784" s="17"/>
      <c r="V3784" s="17"/>
      <c r="W3784" s="17"/>
      <c r="X3784" s="17"/>
      <c r="Y3784" s="17"/>
      <c r="Z3784" s="31"/>
      <c r="AA3784" s="32"/>
    </row>
    <row r="3785" spans="1:27" ht="12.75">
      <c r="A3785" s="17"/>
      <c r="B3785" s="17"/>
      <c r="C3785" s="17"/>
      <c r="D3785" s="17"/>
      <c r="E3785" s="17"/>
      <c r="F3785" s="17"/>
      <c r="G3785" s="17"/>
      <c r="H3785" s="17"/>
      <c r="I3785" s="31"/>
      <c r="J3785" s="17"/>
      <c r="K3785" s="17"/>
      <c r="L3785" s="17"/>
      <c r="M3785" s="17"/>
      <c r="N3785" s="17"/>
      <c r="O3785" s="17"/>
      <c r="P3785" s="17"/>
      <c r="Q3785" s="17"/>
      <c r="R3785" s="17"/>
      <c r="S3785" s="17"/>
      <c r="T3785" s="17"/>
      <c r="U3785" s="17"/>
      <c r="V3785" s="17"/>
      <c r="W3785" s="17"/>
      <c r="X3785" s="17"/>
      <c r="Y3785" s="17"/>
      <c r="Z3785" s="31"/>
      <c r="AA3785" s="32"/>
    </row>
    <row r="3786" spans="1:27" ht="12.75">
      <c r="A3786" s="17"/>
      <c r="B3786" s="17"/>
      <c r="C3786" s="17"/>
      <c r="D3786" s="17"/>
      <c r="E3786" s="17"/>
      <c r="F3786" s="17"/>
      <c r="G3786" s="17"/>
      <c r="H3786" s="17"/>
      <c r="I3786" s="31"/>
      <c r="J3786" s="17"/>
      <c r="K3786" s="17"/>
      <c r="L3786" s="17"/>
      <c r="M3786" s="17"/>
      <c r="N3786" s="17"/>
      <c r="O3786" s="17"/>
      <c r="P3786" s="17"/>
      <c r="Q3786" s="17"/>
      <c r="R3786" s="17"/>
      <c r="S3786" s="17"/>
      <c r="T3786" s="17"/>
      <c r="U3786" s="17"/>
      <c r="V3786" s="17"/>
      <c r="W3786" s="17"/>
      <c r="X3786" s="17"/>
      <c r="Y3786" s="17"/>
      <c r="Z3786" s="31"/>
      <c r="AA3786" s="32"/>
    </row>
    <row r="3787" spans="1:27" ht="12.75">
      <c r="A3787" s="17"/>
      <c r="B3787" s="17"/>
      <c r="C3787" s="17"/>
      <c r="D3787" s="17"/>
      <c r="E3787" s="17"/>
      <c r="F3787" s="17"/>
      <c r="G3787" s="17"/>
      <c r="H3787" s="17"/>
      <c r="I3787" s="31"/>
      <c r="J3787" s="17"/>
      <c r="K3787" s="17"/>
      <c r="L3787" s="17"/>
      <c r="M3787" s="17"/>
      <c r="N3787" s="17"/>
      <c r="O3787" s="17"/>
      <c r="P3787" s="17"/>
      <c r="Q3787" s="17"/>
      <c r="R3787" s="17"/>
      <c r="S3787" s="17"/>
      <c r="T3787" s="17"/>
      <c r="U3787" s="17"/>
      <c r="V3787" s="17"/>
      <c r="W3787" s="17"/>
      <c r="X3787" s="17"/>
      <c r="Y3787" s="17"/>
      <c r="Z3787" s="31"/>
      <c r="AA3787" s="32"/>
    </row>
    <row r="3788" spans="1:27" ht="12.75">
      <c r="A3788" s="17"/>
      <c r="B3788" s="17"/>
      <c r="C3788" s="17"/>
      <c r="D3788" s="17"/>
      <c r="E3788" s="17"/>
      <c r="F3788" s="17"/>
      <c r="G3788" s="17"/>
      <c r="H3788" s="17"/>
      <c r="I3788" s="31"/>
      <c r="J3788" s="17"/>
      <c r="K3788" s="17"/>
      <c r="L3788" s="17"/>
      <c r="M3788" s="17"/>
      <c r="N3788" s="17"/>
      <c r="O3788" s="17"/>
      <c r="P3788" s="17"/>
      <c r="Q3788" s="17"/>
      <c r="R3788" s="17"/>
      <c r="S3788" s="17"/>
      <c r="T3788" s="17"/>
      <c r="U3788" s="17"/>
      <c r="V3788" s="17"/>
      <c r="W3788" s="17"/>
      <c r="X3788" s="17"/>
      <c r="Y3788" s="17"/>
      <c r="Z3788" s="31"/>
      <c r="AA3788" s="32"/>
    </row>
    <row r="3789" spans="1:27" ht="12.75">
      <c r="A3789" s="17"/>
      <c r="B3789" s="17"/>
      <c r="C3789" s="17"/>
      <c r="D3789" s="17"/>
      <c r="E3789" s="17"/>
      <c r="F3789" s="17"/>
      <c r="G3789" s="17"/>
      <c r="H3789" s="17"/>
      <c r="I3789" s="31"/>
      <c r="J3789" s="17"/>
      <c r="K3789" s="17"/>
      <c r="L3789" s="17"/>
      <c r="M3789" s="17"/>
      <c r="N3789" s="17"/>
      <c r="O3789" s="17"/>
      <c r="P3789" s="17"/>
      <c r="Q3789" s="17"/>
      <c r="R3789" s="17"/>
      <c r="S3789" s="17"/>
      <c r="T3789" s="17"/>
      <c r="U3789" s="17"/>
      <c r="V3789" s="17"/>
      <c r="W3789" s="17"/>
      <c r="X3789" s="17"/>
      <c r="Y3789" s="17"/>
      <c r="Z3789" s="31"/>
      <c r="AA3789" s="32"/>
    </row>
    <row r="3790" spans="1:27" ht="12.75">
      <c r="A3790" s="17"/>
      <c r="B3790" s="17"/>
      <c r="C3790" s="17"/>
      <c r="D3790" s="17"/>
      <c r="E3790" s="17"/>
      <c r="F3790" s="17"/>
      <c r="G3790" s="17"/>
      <c r="H3790" s="17"/>
      <c r="I3790" s="31"/>
      <c r="J3790" s="17"/>
      <c r="K3790" s="17"/>
      <c r="L3790" s="17"/>
      <c r="M3790" s="17"/>
      <c r="N3790" s="17"/>
      <c r="O3790" s="17"/>
      <c r="P3790" s="17"/>
      <c r="Q3790" s="17"/>
      <c r="R3790" s="17"/>
      <c r="S3790" s="17"/>
      <c r="T3790" s="17"/>
      <c r="U3790" s="17"/>
      <c r="V3790" s="17"/>
      <c r="W3790" s="17"/>
      <c r="X3790" s="17"/>
      <c r="Y3790" s="17"/>
      <c r="Z3790" s="31"/>
      <c r="AA3790" s="32"/>
    </row>
    <row r="3791" spans="1:27" ht="12.75">
      <c r="A3791" s="17"/>
      <c r="B3791" s="17"/>
      <c r="C3791" s="17"/>
      <c r="D3791" s="17"/>
      <c r="E3791" s="17"/>
      <c r="F3791" s="17"/>
      <c r="G3791" s="17"/>
      <c r="H3791" s="17"/>
      <c r="I3791" s="31"/>
      <c r="J3791" s="17"/>
      <c r="K3791" s="17"/>
      <c r="L3791" s="17"/>
      <c r="M3791" s="17"/>
      <c r="N3791" s="17"/>
      <c r="O3791" s="17"/>
      <c r="P3791" s="17"/>
      <c r="Q3791" s="17"/>
      <c r="R3791" s="17"/>
      <c r="S3791" s="17"/>
      <c r="T3791" s="17"/>
      <c r="U3791" s="17"/>
      <c r="V3791" s="17"/>
      <c r="W3791" s="17"/>
      <c r="X3791" s="17"/>
      <c r="Y3791" s="17"/>
      <c r="Z3791" s="31"/>
      <c r="AA3791" s="32"/>
    </row>
    <row r="3792" spans="1:27" ht="12.75">
      <c r="A3792" s="17"/>
      <c r="B3792" s="17"/>
      <c r="C3792" s="17"/>
      <c r="D3792" s="17"/>
      <c r="E3792" s="17"/>
      <c r="F3792" s="17"/>
      <c r="G3792" s="17"/>
      <c r="H3792" s="17"/>
      <c r="I3792" s="31"/>
      <c r="J3792" s="17"/>
      <c r="K3792" s="17"/>
      <c r="L3792" s="17"/>
      <c r="M3792" s="17"/>
      <c r="N3792" s="17"/>
      <c r="O3792" s="17"/>
      <c r="P3792" s="17"/>
      <c r="Q3792" s="17"/>
      <c r="R3792" s="17"/>
      <c r="S3792" s="17"/>
      <c r="T3792" s="17"/>
      <c r="U3792" s="17"/>
      <c r="V3792" s="17"/>
      <c r="W3792" s="17"/>
      <c r="X3792" s="17"/>
      <c r="Y3792" s="17"/>
      <c r="Z3792" s="31"/>
      <c r="AA3792" s="32"/>
    </row>
    <row r="3793" spans="1:27" ht="12.75">
      <c r="A3793" s="17"/>
      <c r="B3793" s="17"/>
      <c r="C3793" s="17"/>
      <c r="D3793" s="17"/>
      <c r="E3793" s="17"/>
      <c r="F3793" s="17"/>
      <c r="G3793" s="17"/>
      <c r="H3793" s="17"/>
      <c r="I3793" s="31"/>
      <c r="J3793" s="17"/>
      <c r="K3793" s="17"/>
      <c r="L3793" s="17"/>
      <c r="M3793" s="17"/>
      <c r="N3793" s="17"/>
      <c r="O3793" s="17"/>
      <c r="P3793" s="17"/>
      <c r="Q3793" s="17"/>
      <c r="R3793" s="17"/>
      <c r="S3793" s="17"/>
      <c r="T3793" s="17"/>
      <c r="U3793" s="17"/>
      <c r="V3793" s="17"/>
      <c r="W3793" s="17"/>
      <c r="X3793" s="17"/>
      <c r="Y3793" s="17"/>
      <c r="Z3793" s="31"/>
      <c r="AA3793" s="32"/>
    </row>
    <row r="3794" spans="1:27" ht="12.75">
      <c r="A3794" s="17"/>
      <c r="B3794" s="17"/>
      <c r="C3794" s="17"/>
      <c r="D3794" s="17"/>
      <c r="E3794" s="17"/>
      <c r="F3794" s="17"/>
      <c r="G3794" s="17"/>
      <c r="H3794" s="17"/>
      <c r="I3794" s="31"/>
      <c r="J3794" s="17"/>
      <c r="K3794" s="17"/>
      <c r="L3794" s="17"/>
      <c r="M3794" s="17"/>
      <c r="N3794" s="17"/>
      <c r="O3794" s="17"/>
      <c r="P3794" s="17"/>
      <c r="Q3794" s="17"/>
      <c r="R3794" s="17"/>
      <c r="S3794" s="17"/>
      <c r="T3794" s="17"/>
      <c r="U3794" s="17"/>
      <c r="V3794" s="17"/>
      <c r="W3794" s="17"/>
      <c r="X3794" s="17"/>
      <c r="Y3794" s="17"/>
      <c r="Z3794" s="31"/>
      <c r="AA3794" s="32"/>
    </row>
    <row r="3795" spans="1:27" ht="12.75">
      <c r="A3795" s="17"/>
      <c r="B3795" s="17"/>
      <c r="C3795" s="17"/>
      <c r="D3795" s="17"/>
      <c r="E3795" s="17"/>
      <c r="F3795" s="17"/>
      <c r="G3795" s="17"/>
      <c r="H3795" s="17"/>
      <c r="I3795" s="31"/>
      <c r="J3795" s="17"/>
      <c r="K3795" s="17"/>
      <c r="L3795" s="17"/>
      <c r="M3795" s="17"/>
      <c r="N3795" s="17"/>
      <c r="O3795" s="17"/>
      <c r="P3795" s="17"/>
      <c r="Q3795" s="17"/>
      <c r="R3795" s="17"/>
      <c r="S3795" s="17"/>
      <c r="T3795" s="17"/>
      <c r="U3795" s="17"/>
      <c r="V3795" s="17"/>
      <c r="W3795" s="17"/>
      <c r="X3795" s="17"/>
      <c r="Y3795" s="17"/>
      <c r="Z3795" s="31"/>
      <c r="AA3795" s="32"/>
    </row>
    <row r="3796" spans="1:27" ht="12.75">
      <c r="A3796" s="17"/>
      <c r="B3796" s="17"/>
      <c r="C3796" s="17"/>
      <c r="D3796" s="17"/>
      <c r="E3796" s="17"/>
      <c r="F3796" s="17"/>
      <c r="G3796" s="17"/>
      <c r="H3796" s="17"/>
      <c r="I3796" s="31"/>
      <c r="J3796" s="17"/>
      <c r="K3796" s="17"/>
      <c r="L3796" s="17"/>
      <c r="M3796" s="17"/>
      <c r="N3796" s="17"/>
      <c r="O3796" s="17"/>
      <c r="P3796" s="17"/>
      <c r="Q3796" s="17"/>
      <c r="R3796" s="17"/>
      <c r="S3796" s="17"/>
      <c r="T3796" s="17"/>
      <c r="U3796" s="17"/>
      <c r="V3796" s="17"/>
      <c r="W3796" s="17"/>
      <c r="X3796" s="17"/>
      <c r="Y3796" s="17"/>
      <c r="Z3796" s="31"/>
      <c r="AA3796" s="32"/>
    </row>
    <row r="3797" spans="1:27" ht="12.75">
      <c r="A3797" s="17"/>
      <c r="B3797" s="17"/>
      <c r="C3797" s="17"/>
      <c r="D3797" s="17"/>
      <c r="E3797" s="17"/>
      <c r="F3797" s="17"/>
      <c r="G3797" s="17"/>
      <c r="H3797" s="17"/>
      <c r="I3797" s="31"/>
      <c r="J3797" s="17"/>
      <c r="K3797" s="17"/>
      <c r="L3797" s="17"/>
      <c r="M3797" s="17"/>
      <c r="N3797" s="17"/>
      <c r="O3797" s="17"/>
      <c r="P3797" s="17"/>
      <c r="Q3797" s="17"/>
      <c r="R3797" s="17"/>
      <c r="S3797" s="17"/>
      <c r="T3797" s="17"/>
      <c r="U3797" s="17"/>
      <c r="V3797" s="17"/>
      <c r="W3797" s="17"/>
      <c r="X3797" s="17"/>
      <c r="Y3797" s="17"/>
      <c r="Z3797" s="31"/>
      <c r="AA3797" s="32"/>
    </row>
    <row r="3798" spans="1:27" ht="12.75">
      <c r="A3798" s="17"/>
      <c r="B3798" s="17"/>
      <c r="C3798" s="17"/>
      <c r="D3798" s="17"/>
      <c r="E3798" s="17"/>
      <c r="F3798" s="17"/>
      <c r="G3798" s="17"/>
      <c r="H3798" s="17"/>
      <c r="I3798" s="31"/>
      <c r="J3798" s="17"/>
      <c r="K3798" s="17"/>
      <c r="L3798" s="17"/>
      <c r="M3798" s="17"/>
      <c r="N3798" s="17"/>
      <c r="O3798" s="17"/>
      <c r="P3798" s="17"/>
      <c r="Q3798" s="17"/>
      <c r="R3798" s="17"/>
      <c r="S3798" s="17"/>
      <c r="T3798" s="17"/>
      <c r="U3798" s="17"/>
      <c r="V3798" s="17"/>
      <c r="W3798" s="17"/>
      <c r="X3798" s="17"/>
      <c r="Y3798" s="17"/>
      <c r="Z3798" s="31"/>
      <c r="AA3798" s="32"/>
    </row>
    <row r="3799" spans="1:27" ht="12.75">
      <c r="A3799" s="17"/>
      <c r="B3799" s="17"/>
      <c r="C3799" s="17"/>
      <c r="D3799" s="17"/>
      <c r="E3799" s="17"/>
      <c r="F3799" s="17"/>
      <c r="G3799" s="17"/>
      <c r="H3799" s="17"/>
      <c r="I3799" s="31"/>
      <c r="J3799" s="17"/>
      <c r="K3799" s="17"/>
      <c r="L3799" s="17"/>
      <c r="M3799" s="17"/>
      <c r="N3799" s="17"/>
      <c r="O3799" s="17"/>
      <c r="P3799" s="17"/>
      <c r="Q3799" s="17"/>
      <c r="R3799" s="17"/>
      <c r="S3799" s="17"/>
      <c r="T3799" s="17"/>
      <c r="U3799" s="17"/>
      <c r="V3799" s="17"/>
      <c r="W3799" s="17"/>
      <c r="X3799" s="17"/>
      <c r="Y3799" s="17"/>
      <c r="Z3799" s="31"/>
      <c r="AA3799" s="32"/>
    </row>
    <row r="3800" spans="1:27" ht="12.75">
      <c r="A3800" s="17"/>
      <c r="B3800" s="17"/>
      <c r="C3800" s="17"/>
      <c r="D3800" s="17"/>
      <c r="E3800" s="17"/>
      <c r="F3800" s="17"/>
      <c r="G3800" s="17"/>
      <c r="H3800" s="17"/>
      <c r="I3800" s="31"/>
      <c r="J3800" s="17"/>
      <c r="K3800" s="17"/>
      <c r="L3800" s="17"/>
      <c r="M3800" s="17"/>
      <c r="N3800" s="17"/>
      <c r="O3800" s="17"/>
      <c r="P3800" s="17"/>
      <c r="Q3800" s="17"/>
      <c r="R3800" s="17"/>
      <c r="S3800" s="17"/>
      <c r="T3800" s="17"/>
      <c r="U3800" s="17"/>
      <c r="V3800" s="17"/>
      <c r="W3800" s="17"/>
      <c r="X3800" s="17"/>
      <c r="Y3800" s="17"/>
      <c r="Z3800" s="31"/>
      <c r="AA3800" s="32"/>
    </row>
    <row r="3801" spans="1:27" ht="12.75">
      <c r="A3801" s="17"/>
      <c r="B3801" s="17"/>
      <c r="C3801" s="17"/>
      <c r="D3801" s="17"/>
      <c r="E3801" s="17"/>
      <c r="F3801" s="17"/>
      <c r="G3801" s="17"/>
      <c r="H3801" s="17"/>
      <c r="I3801" s="31"/>
      <c r="J3801" s="17"/>
      <c r="K3801" s="17"/>
      <c r="L3801" s="17"/>
      <c r="M3801" s="17"/>
      <c r="N3801" s="17"/>
      <c r="O3801" s="17"/>
      <c r="P3801" s="17"/>
      <c r="Q3801" s="17"/>
      <c r="R3801" s="17"/>
      <c r="S3801" s="17"/>
      <c r="T3801" s="17"/>
      <c r="U3801" s="17"/>
      <c r="V3801" s="17"/>
      <c r="W3801" s="17"/>
      <c r="X3801" s="17"/>
      <c r="Y3801" s="17"/>
      <c r="Z3801" s="31"/>
      <c r="AA3801" s="32"/>
    </row>
    <row r="3802" spans="1:27" ht="12.75">
      <c r="A3802" s="17"/>
      <c r="B3802" s="17"/>
      <c r="C3802" s="17"/>
      <c r="D3802" s="17"/>
      <c r="E3802" s="17"/>
      <c r="F3802" s="17"/>
      <c r="G3802" s="17"/>
      <c r="H3802" s="17"/>
      <c r="I3802" s="31"/>
      <c r="J3802" s="17"/>
      <c r="K3802" s="17"/>
      <c r="L3802" s="17"/>
      <c r="M3802" s="17"/>
      <c r="N3802" s="17"/>
      <c r="O3802" s="17"/>
      <c r="P3802" s="17"/>
      <c r="Q3802" s="17"/>
      <c r="R3802" s="17"/>
      <c r="S3802" s="17"/>
      <c r="T3802" s="17"/>
      <c r="U3802" s="17"/>
      <c r="V3802" s="17"/>
      <c r="W3802" s="17"/>
      <c r="X3802" s="17"/>
      <c r="Y3802" s="17"/>
      <c r="Z3802" s="31"/>
      <c r="AA3802" s="32"/>
    </row>
    <row r="3803" spans="1:27" ht="12.75">
      <c r="A3803" s="17"/>
      <c r="B3803" s="17"/>
      <c r="C3803" s="17"/>
      <c r="D3803" s="17"/>
      <c r="E3803" s="17"/>
      <c r="F3803" s="17"/>
      <c r="G3803" s="17"/>
      <c r="H3803" s="17"/>
      <c r="I3803" s="31"/>
      <c r="J3803" s="17"/>
      <c r="K3803" s="17"/>
      <c r="L3803" s="17"/>
      <c r="M3803" s="17"/>
      <c r="N3803" s="17"/>
      <c r="O3803" s="17"/>
      <c r="P3803" s="17"/>
      <c r="Q3803" s="17"/>
      <c r="R3803" s="17"/>
      <c r="S3803" s="17"/>
      <c r="T3803" s="17"/>
      <c r="U3803" s="17"/>
      <c r="V3803" s="17"/>
      <c r="W3803" s="17"/>
      <c r="X3803" s="17"/>
      <c r="Y3803" s="17"/>
      <c r="Z3803" s="31"/>
      <c r="AA3803" s="32"/>
    </row>
    <row r="3804" spans="1:27" ht="12.75">
      <c r="A3804" s="17"/>
      <c r="B3804" s="17"/>
      <c r="C3804" s="17"/>
      <c r="D3804" s="17"/>
      <c r="E3804" s="17"/>
      <c r="F3804" s="17"/>
      <c r="G3804" s="17"/>
      <c r="H3804" s="17"/>
      <c r="I3804" s="31"/>
      <c r="J3804" s="17"/>
      <c r="K3804" s="17"/>
      <c r="L3804" s="17"/>
      <c r="M3804" s="17"/>
      <c r="N3804" s="17"/>
      <c r="O3804" s="17"/>
      <c r="P3804" s="17"/>
      <c r="Q3804" s="17"/>
      <c r="R3804" s="17"/>
      <c r="S3804" s="17"/>
      <c r="T3804" s="17"/>
      <c r="U3804" s="17"/>
      <c r="V3804" s="17"/>
      <c r="W3804" s="17"/>
      <c r="X3804" s="17"/>
      <c r="Y3804" s="17"/>
      <c r="Z3804" s="31"/>
      <c r="AA3804" s="32"/>
    </row>
    <row r="3805" spans="1:27" ht="12.75">
      <c r="A3805" s="17"/>
      <c r="B3805" s="17"/>
      <c r="C3805" s="17"/>
      <c r="D3805" s="17"/>
      <c r="E3805" s="17"/>
      <c r="F3805" s="17"/>
      <c r="G3805" s="17"/>
      <c r="H3805" s="17"/>
      <c r="I3805" s="31"/>
      <c r="J3805" s="17"/>
      <c r="K3805" s="17"/>
      <c r="L3805" s="17"/>
      <c r="M3805" s="17"/>
      <c r="N3805" s="17"/>
      <c r="O3805" s="17"/>
      <c r="P3805" s="17"/>
      <c r="Q3805" s="17"/>
      <c r="R3805" s="17"/>
      <c r="S3805" s="17"/>
      <c r="T3805" s="17"/>
      <c r="U3805" s="17"/>
      <c r="V3805" s="17"/>
      <c r="W3805" s="17"/>
      <c r="X3805" s="17"/>
      <c r="Y3805" s="17"/>
      <c r="Z3805" s="31"/>
      <c r="AA3805" s="32"/>
    </row>
    <row r="3806" spans="1:27" ht="12.75">
      <c r="A3806" s="17"/>
      <c r="B3806" s="17"/>
      <c r="C3806" s="17"/>
      <c r="D3806" s="17"/>
      <c r="E3806" s="17"/>
      <c r="F3806" s="17"/>
      <c r="G3806" s="17"/>
      <c r="H3806" s="17"/>
      <c r="I3806" s="31"/>
      <c r="J3806" s="17"/>
      <c r="K3806" s="17"/>
      <c r="L3806" s="17"/>
      <c r="M3806" s="17"/>
      <c r="N3806" s="17"/>
      <c r="O3806" s="17"/>
      <c r="P3806" s="17"/>
      <c r="Q3806" s="17"/>
      <c r="R3806" s="17"/>
      <c r="S3806" s="17"/>
      <c r="T3806" s="17"/>
      <c r="U3806" s="17"/>
      <c r="V3806" s="17"/>
      <c r="W3806" s="17"/>
      <c r="X3806" s="17"/>
      <c r="Y3806" s="17"/>
      <c r="Z3806" s="31"/>
      <c r="AA3806" s="32"/>
    </row>
    <row r="3807" spans="1:27" ht="12.75">
      <c r="A3807" s="17"/>
      <c r="B3807" s="17"/>
      <c r="C3807" s="17"/>
      <c r="D3807" s="17"/>
      <c r="E3807" s="17"/>
      <c r="F3807" s="17"/>
      <c r="G3807" s="17"/>
      <c r="H3807" s="17"/>
      <c r="I3807" s="31"/>
      <c r="J3807" s="17"/>
      <c r="K3807" s="17"/>
      <c r="L3807" s="17"/>
      <c r="M3807" s="17"/>
      <c r="N3807" s="17"/>
      <c r="O3807" s="17"/>
      <c r="P3807" s="17"/>
      <c r="Q3807" s="17"/>
      <c r="R3807" s="17"/>
      <c r="S3807" s="17"/>
      <c r="T3807" s="17"/>
      <c r="U3807" s="17"/>
      <c r="V3807" s="17"/>
      <c r="W3807" s="17"/>
      <c r="X3807" s="17"/>
      <c r="Y3807" s="17"/>
      <c r="Z3807" s="31"/>
      <c r="AA3807" s="32"/>
    </row>
    <row r="3808" spans="1:27" ht="12.75">
      <c r="A3808" s="17"/>
      <c r="B3808" s="17"/>
      <c r="C3808" s="17"/>
      <c r="D3808" s="17"/>
      <c r="E3808" s="17"/>
      <c r="F3808" s="17"/>
      <c r="G3808" s="17"/>
      <c r="H3808" s="17"/>
      <c r="I3808" s="31"/>
      <c r="J3808" s="17"/>
      <c r="K3808" s="17"/>
      <c r="L3808" s="17"/>
      <c r="M3808" s="17"/>
      <c r="N3808" s="17"/>
      <c r="O3808" s="17"/>
      <c r="P3808" s="17"/>
      <c r="Q3808" s="17"/>
      <c r="R3808" s="17"/>
      <c r="S3808" s="17"/>
      <c r="T3808" s="17"/>
      <c r="U3808" s="17"/>
      <c r="V3808" s="17"/>
      <c r="W3808" s="17"/>
      <c r="X3808" s="17"/>
      <c r="Y3808" s="17"/>
      <c r="Z3808" s="31"/>
      <c r="AA3808" s="32"/>
    </row>
    <row r="3809" spans="1:27" ht="12.75">
      <c r="A3809" s="17"/>
      <c r="B3809" s="17"/>
      <c r="C3809" s="17"/>
      <c r="D3809" s="17"/>
      <c r="E3809" s="17"/>
      <c r="F3809" s="17"/>
      <c r="G3809" s="17"/>
      <c r="H3809" s="17"/>
      <c r="I3809" s="31"/>
      <c r="J3809" s="17"/>
      <c r="K3809" s="17"/>
      <c r="L3809" s="17"/>
      <c r="M3809" s="17"/>
      <c r="N3809" s="17"/>
      <c r="O3809" s="17"/>
      <c r="P3809" s="17"/>
      <c r="Q3809" s="17"/>
      <c r="R3809" s="17"/>
      <c r="S3809" s="17"/>
      <c r="T3809" s="17"/>
      <c r="U3809" s="17"/>
      <c r="V3809" s="17"/>
      <c r="W3809" s="17"/>
      <c r="X3809" s="17"/>
      <c r="Y3809" s="17"/>
      <c r="Z3809" s="31"/>
      <c r="AA3809" s="32"/>
    </row>
    <row r="3810" spans="1:27" ht="12.75">
      <c r="A3810" s="17"/>
      <c r="B3810" s="17"/>
      <c r="C3810" s="17"/>
      <c r="D3810" s="17"/>
      <c r="E3810" s="17"/>
      <c r="F3810" s="17"/>
      <c r="G3810" s="17"/>
      <c r="H3810" s="17"/>
      <c r="I3810" s="31"/>
      <c r="J3810" s="17"/>
      <c r="K3810" s="17"/>
      <c r="L3810" s="17"/>
      <c r="M3810" s="17"/>
      <c r="N3810" s="17"/>
      <c r="O3810" s="17"/>
      <c r="P3810" s="17"/>
      <c r="Q3810" s="17"/>
      <c r="R3810" s="17"/>
      <c r="S3810" s="17"/>
      <c r="T3810" s="17"/>
      <c r="U3810" s="17"/>
      <c r="V3810" s="17"/>
      <c r="W3810" s="17"/>
      <c r="X3810" s="17"/>
      <c r="Y3810" s="17"/>
      <c r="Z3810" s="31"/>
      <c r="AA3810" s="32"/>
    </row>
    <row r="3811" spans="1:27" ht="12.75">
      <c r="A3811" s="17"/>
      <c r="B3811" s="17"/>
      <c r="C3811" s="17"/>
      <c r="D3811" s="17"/>
      <c r="E3811" s="17"/>
      <c r="F3811" s="17"/>
      <c r="G3811" s="17"/>
      <c r="H3811" s="17"/>
      <c r="I3811" s="31"/>
      <c r="J3811" s="17"/>
      <c r="K3811" s="17"/>
      <c r="L3811" s="17"/>
      <c r="M3811" s="17"/>
      <c r="N3811" s="17"/>
      <c r="O3811" s="17"/>
      <c r="P3811" s="17"/>
      <c r="Q3811" s="17"/>
      <c r="R3811" s="17"/>
      <c r="S3811" s="17"/>
      <c r="T3811" s="17"/>
      <c r="U3811" s="17"/>
      <c r="V3811" s="17"/>
      <c r="W3811" s="17"/>
      <c r="X3811" s="17"/>
      <c r="Y3811" s="17"/>
      <c r="Z3811" s="31"/>
      <c r="AA3811" s="32"/>
    </row>
    <row r="3812" spans="1:27" ht="12.75">
      <c r="A3812" s="17"/>
      <c r="B3812" s="17"/>
      <c r="C3812" s="17"/>
      <c r="D3812" s="17"/>
      <c r="E3812" s="17"/>
      <c r="F3812" s="17"/>
      <c r="G3812" s="17"/>
      <c r="H3812" s="17"/>
      <c r="I3812" s="31"/>
      <c r="J3812" s="17"/>
      <c r="K3812" s="17"/>
      <c r="L3812" s="17"/>
      <c r="M3812" s="17"/>
      <c r="N3812" s="17"/>
      <c r="O3812" s="17"/>
      <c r="P3812" s="17"/>
      <c r="Q3812" s="17"/>
      <c r="R3812" s="17"/>
      <c r="S3812" s="17"/>
      <c r="T3812" s="17"/>
      <c r="U3812" s="17"/>
      <c r="V3812" s="17"/>
      <c r="W3812" s="17"/>
      <c r="X3812" s="17"/>
      <c r="Y3812" s="17"/>
      <c r="Z3812" s="31"/>
      <c r="AA3812" s="32"/>
    </row>
    <row r="3813" spans="1:27" ht="12.75">
      <c r="A3813" s="17"/>
      <c r="B3813" s="17"/>
      <c r="C3813" s="17"/>
      <c r="D3813" s="17"/>
      <c r="E3813" s="17"/>
      <c r="F3813" s="17"/>
      <c r="G3813" s="17"/>
      <c r="H3813" s="17"/>
      <c r="I3813" s="31"/>
      <c r="J3813" s="17"/>
      <c r="K3813" s="17"/>
      <c r="L3813" s="17"/>
      <c r="M3813" s="17"/>
      <c r="N3813" s="17"/>
      <c r="O3813" s="17"/>
      <c r="P3813" s="17"/>
      <c r="Q3813" s="17"/>
      <c r="R3813" s="17"/>
      <c r="S3813" s="17"/>
      <c r="T3813" s="17"/>
      <c r="U3813" s="17"/>
      <c r="V3813" s="17"/>
      <c r="W3813" s="17"/>
      <c r="X3813" s="17"/>
      <c r="Y3813" s="17"/>
      <c r="Z3813" s="31"/>
      <c r="AA3813" s="32"/>
    </row>
    <row r="3814" spans="1:27" ht="12.75">
      <c r="A3814" s="17"/>
      <c r="B3814" s="17"/>
      <c r="C3814" s="17"/>
      <c r="D3814" s="17"/>
      <c r="E3814" s="17"/>
      <c r="F3814" s="17"/>
      <c r="G3814" s="17"/>
      <c r="H3814" s="17"/>
      <c r="I3814" s="31"/>
      <c r="J3814" s="17"/>
      <c r="K3814" s="17"/>
      <c r="L3814" s="17"/>
      <c r="M3814" s="17"/>
      <c r="N3814" s="17"/>
      <c r="O3814" s="17"/>
      <c r="P3814" s="17"/>
      <c r="Q3814" s="17"/>
      <c r="R3814" s="17"/>
      <c r="S3814" s="17"/>
      <c r="T3814" s="17"/>
      <c r="U3814" s="17"/>
      <c r="V3814" s="17"/>
      <c r="W3814" s="17"/>
      <c r="X3814" s="17"/>
      <c r="Y3814" s="17"/>
      <c r="Z3814" s="31"/>
      <c r="AA3814" s="32"/>
    </row>
    <row r="3815" spans="1:27" ht="12.75">
      <c r="A3815" s="17"/>
      <c r="B3815" s="17"/>
      <c r="C3815" s="17"/>
      <c r="D3815" s="17"/>
      <c r="E3815" s="17"/>
      <c r="F3815" s="17"/>
      <c r="G3815" s="17"/>
      <c r="H3815" s="17"/>
      <c r="I3815" s="31"/>
      <c r="J3815" s="17"/>
      <c r="K3815" s="17"/>
      <c r="L3815" s="17"/>
      <c r="M3815" s="17"/>
      <c r="N3815" s="17"/>
      <c r="O3815" s="17"/>
      <c r="P3815" s="17"/>
      <c r="Q3815" s="17"/>
      <c r="R3815" s="17"/>
      <c r="S3815" s="17"/>
      <c r="T3815" s="17"/>
      <c r="U3815" s="17"/>
      <c r="V3815" s="17"/>
      <c r="W3815" s="17"/>
      <c r="X3815" s="17"/>
      <c r="Y3815" s="17"/>
      <c r="Z3815" s="31"/>
      <c r="AA3815" s="32"/>
    </row>
  </sheetData>
  <mergeCells count="3">
    <mergeCell ref="A1:G1"/>
    <mergeCell ref="A2:B2"/>
    <mergeCell ref="C2:D2"/>
  </mergeCells>
  <phoneticPr fontId="1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89"/>
  <sheetViews>
    <sheetView workbookViewId="0"/>
  </sheetViews>
  <sheetFormatPr defaultColWidth="12.5703125" defaultRowHeight="15.75" customHeight="1"/>
  <cols>
    <col min="2" max="2" width="48.42578125" customWidth="1"/>
    <col min="3" max="3" width="78.140625" customWidth="1"/>
    <col min="4" max="4" width="27.28515625" customWidth="1"/>
    <col min="5" max="5" width="35.7109375" customWidth="1"/>
  </cols>
  <sheetData>
    <row r="1" spans="1:25">
      <c r="A1" s="33" t="str">
        <f ca="1">IFERROR(__xludf.DUMMYFUNCTION("IMPORTRANGE(""1L6CKA1ELegp2FAVqDr6MqXj9L1AM_sM_-mT2HKEO0Ok"",""廠商聯絡清單!A1:AG8000"")"),"廠商")</f>
        <v>廠商</v>
      </c>
      <c r="B1" s="33" t="str">
        <f ca="1">IFERROR(__xludf.DUMMYFUNCTION("""COMPUTED_VALUE"""),"負責品牌")</f>
        <v>負責品牌</v>
      </c>
      <c r="C1" s="33" t="str">
        <f ca="1">IFERROR(__xludf.DUMMYFUNCTION("""COMPUTED_VALUE"""),"聯絡人")</f>
        <v>聯絡人</v>
      </c>
      <c r="D1" s="33" t="str">
        <f ca="1">IFERROR(__xludf.DUMMYFUNCTION("""COMPUTED_VALUE"""),"聯絡電話")</f>
        <v>聯絡電話</v>
      </c>
      <c r="E1" s="33" t="str">
        <f ca="1">IFERROR(__xludf.DUMMYFUNCTION("""COMPUTED_VALUE"""),"信箱")</f>
        <v>信箱</v>
      </c>
      <c r="F1" s="17"/>
      <c r="G1" s="17"/>
      <c r="H1" s="17"/>
      <c r="I1" s="17"/>
      <c r="J1" s="17"/>
      <c r="K1" s="17"/>
      <c r="L1" s="17"/>
      <c r="M1" s="17"/>
      <c r="N1" s="17"/>
      <c r="O1" s="17"/>
      <c r="P1" s="17"/>
      <c r="Q1" s="17"/>
      <c r="R1" s="17"/>
      <c r="S1" s="17"/>
      <c r="T1" s="17"/>
      <c r="U1" s="17"/>
      <c r="V1" s="17"/>
      <c r="W1" s="17"/>
      <c r="X1" s="17"/>
      <c r="Y1" s="17"/>
    </row>
    <row r="2" spans="1:25">
      <c r="A2" s="43" t="str">
        <f ca="1">IFERROR(__xludf.DUMMYFUNCTION("""COMPUTED_VALUE"""),"大同")</f>
        <v>大同</v>
      </c>
      <c r="B2" s="43" t="str">
        <f ca="1">IFERROR(__xludf.DUMMYFUNCTION("""COMPUTED_VALUE"""),"家電(大同、國際、象印)
空調 (日立、國際、大金)
電視(大同)")</f>
        <v>家電(大同、國際、象印)
空調 (日立、國際、大金)
電視(大同)</v>
      </c>
      <c r="C2" s="33" t="str">
        <f ca="1">IFERROR(__xludf.DUMMYFUNCTION("""COMPUTED_VALUE"""),"林象魁")</f>
        <v>林象魁</v>
      </c>
      <c r="D2" s="33" t="str">
        <f ca="1">IFERROR(__xludf.DUMMYFUNCTION("""COMPUTED_VALUE"""),"02-2592-5252#2329
0958-971552")</f>
        <v>02-2592-5252#2329
0958-971552</v>
      </c>
      <c r="E2" s="34" t="str">
        <f ca="1">IFERROR(__xludf.DUMMYFUNCTION("""COMPUTED_VALUE"""),"iverson1008@tcpc.tatung.com.tw")</f>
        <v>iverson1008@tcpc.tatung.com.tw</v>
      </c>
      <c r="F2" s="17"/>
      <c r="G2" s="17"/>
      <c r="H2" s="17"/>
      <c r="I2" s="17"/>
      <c r="J2" s="17"/>
      <c r="K2" s="17"/>
      <c r="L2" s="17"/>
      <c r="M2" s="17"/>
      <c r="N2" s="17"/>
      <c r="O2" s="17"/>
      <c r="P2" s="17"/>
      <c r="Q2" s="17"/>
      <c r="R2" s="17"/>
      <c r="S2" s="17"/>
      <c r="T2" s="17"/>
      <c r="U2" s="17"/>
      <c r="V2" s="17"/>
      <c r="W2" s="17"/>
      <c r="X2" s="17"/>
      <c r="Y2" s="17"/>
    </row>
    <row r="3" spans="1:25">
      <c r="A3" s="42"/>
      <c r="B3" s="41"/>
      <c r="C3" s="33" t="str">
        <f ca="1">IFERROR(__xludf.DUMMYFUNCTION("""COMPUTED_VALUE"""),"賴家賢")</f>
        <v>賴家賢</v>
      </c>
      <c r="D3" s="33" t="str">
        <f ca="1">IFERROR(__xludf.DUMMYFUNCTION("""COMPUTED_VALUE"""),"02-2592-5252#2363、2568
0922-750-168")</f>
        <v>02-2592-5252#2363、2568
0922-750-168</v>
      </c>
      <c r="E3" s="34" t="str">
        <f ca="1">IFERROR(__xludf.DUMMYFUNCTION("""COMPUTED_VALUE"""),"chlai@tcpc.tatung.com.tw")</f>
        <v>chlai@tcpc.tatung.com.tw</v>
      </c>
      <c r="F3" s="17"/>
      <c r="G3" s="17"/>
      <c r="H3" s="17"/>
      <c r="I3" s="17"/>
      <c r="J3" s="17"/>
      <c r="K3" s="17"/>
      <c r="L3" s="17"/>
      <c r="M3" s="17"/>
      <c r="N3" s="17"/>
      <c r="O3" s="17"/>
      <c r="P3" s="17"/>
      <c r="Q3" s="17"/>
      <c r="R3" s="17"/>
      <c r="S3" s="17"/>
      <c r="T3" s="17"/>
      <c r="U3" s="17"/>
      <c r="V3" s="17"/>
      <c r="W3" s="17"/>
      <c r="X3" s="17"/>
      <c r="Y3" s="17"/>
    </row>
    <row r="4" spans="1:25">
      <c r="A4" s="41"/>
      <c r="B4" s="33" t="str">
        <f ca="1">IFERROR(__xludf.DUMMYFUNCTION("""COMPUTED_VALUE"""),"訂單查詢系統")</f>
        <v>訂單查詢系統</v>
      </c>
      <c r="C4" s="34" t="str">
        <f ca="1">IFERROR(__xludf.DUMMYFUNCTION("""COMPUTED_VALUE"""),"http://tcpcscm1.tatung.com.tw/ProductionControlWeb/CI/CI_CHT_OrderQuery.jsp")</f>
        <v>http://tcpcscm1.tatung.com.tw/ProductionControlWeb/CI/CI_CHT_OrderQuery.jsp</v>
      </c>
      <c r="D4" s="33"/>
      <c r="E4" s="33"/>
      <c r="F4" s="17"/>
      <c r="G4" s="17"/>
      <c r="H4" s="17"/>
      <c r="I4" s="17"/>
      <c r="J4" s="17"/>
      <c r="K4" s="17"/>
      <c r="L4" s="17"/>
      <c r="M4" s="17"/>
      <c r="N4" s="17"/>
      <c r="O4" s="17"/>
      <c r="P4" s="17"/>
      <c r="Q4" s="17"/>
      <c r="R4" s="17"/>
      <c r="S4" s="17"/>
      <c r="T4" s="17"/>
      <c r="U4" s="17"/>
      <c r="V4" s="17"/>
      <c r="W4" s="17"/>
      <c r="X4" s="17"/>
      <c r="Y4" s="17"/>
    </row>
    <row r="5" spans="1:25">
      <c r="A5" s="43" t="str">
        <f ca="1">IFERROR(__xludf.DUMMYFUNCTION("""COMPUTED_VALUE"""),"東元")</f>
        <v>東元</v>
      </c>
      <c r="B5" s="43" t="str">
        <f ca="1">IFERROR(__xludf.DUMMYFUNCTION("""COMPUTED_VALUE"""),"東元空調、洗冰
 (小家電請洽凱創)")</f>
        <v>東元空調、洗冰
 (小家電請洽凱創)</v>
      </c>
      <c r="C5" s="33" t="str">
        <f ca="1">IFERROR(__xludf.DUMMYFUNCTION("""COMPUTED_VALUE"""),"北部 (宜蘭、北北基、桃園、新竹、苗栗、花蓮) 
吳宜穎(產品詢問/客訴處理)")</f>
        <v>北部 (宜蘭、北北基、桃園、新竹、苗栗、花蓮) 
吳宜穎(產品詢問/客訴處理)</v>
      </c>
      <c r="D5" s="33" t="str">
        <f ca="1">IFERROR(__xludf.DUMMYFUNCTION("""COMPUTED_VALUE"""),"02-26553333#2721")</f>
        <v>02-26553333#2721</v>
      </c>
      <c r="E5" s="34" t="str">
        <f ca="1">IFERROR(__xludf.DUMMYFUNCTION("""COMPUTED_VALUE"""),"win19820604@ejoy.net.tw")</f>
        <v>win19820604@ejoy.net.tw</v>
      </c>
      <c r="F5" s="17"/>
      <c r="G5" s="17"/>
      <c r="H5" s="17"/>
      <c r="I5" s="17"/>
      <c r="J5" s="17"/>
      <c r="K5" s="17"/>
      <c r="L5" s="17"/>
      <c r="M5" s="17"/>
      <c r="N5" s="17"/>
      <c r="O5" s="17"/>
      <c r="P5" s="17"/>
      <c r="Q5" s="17"/>
      <c r="R5" s="17"/>
      <c r="S5" s="17"/>
      <c r="T5" s="17"/>
      <c r="U5" s="17"/>
      <c r="V5" s="17"/>
      <c r="W5" s="17"/>
      <c r="X5" s="17"/>
      <c r="Y5" s="17"/>
    </row>
    <row r="6" spans="1:25">
      <c r="A6" s="42"/>
      <c r="B6" s="42"/>
      <c r="C6" s="33" t="str">
        <f ca="1">IFERROR(__xludf.DUMMYFUNCTION("""COMPUTED_VALUE"""),"中部 (台中、彰化、南投、雲林)
吳佩玲(產品詢問/客訴處理)")</f>
        <v>中部 (台中、彰化、南投、雲林)
吳佩玲(產品詢問/客訴處理)</v>
      </c>
      <c r="D6" s="33" t="str">
        <f ca="1">IFERROR(__xludf.DUMMYFUNCTION("""COMPUTED_VALUE"""),"0977-039-231")</f>
        <v>0977-039-231</v>
      </c>
      <c r="E6" s="34" t="str">
        <f ca="1">IFERROR(__xludf.DUMMYFUNCTION("""COMPUTED_VALUE"""),"0316@ejoy.net.tw")</f>
        <v>0316@ejoy.net.tw</v>
      </c>
      <c r="F6" s="17"/>
      <c r="G6" s="17"/>
      <c r="H6" s="17"/>
      <c r="I6" s="17"/>
      <c r="J6" s="17"/>
      <c r="K6" s="17"/>
      <c r="L6" s="17"/>
      <c r="M6" s="17"/>
      <c r="N6" s="17"/>
      <c r="O6" s="17"/>
      <c r="P6" s="17"/>
      <c r="Q6" s="17"/>
      <c r="R6" s="17"/>
      <c r="S6" s="17"/>
      <c r="T6" s="17"/>
      <c r="U6" s="17"/>
      <c r="V6" s="17"/>
      <c r="W6" s="17"/>
      <c r="X6" s="17"/>
      <c r="Y6" s="17"/>
    </row>
    <row r="7" spans="1:25">
      <c r="A7" s="42"/>
      <c r="B7" s="42"/>
      <c r="C7" s="33" t="str">
        <f ca="1">IFERROR(__xludf.DUMMYFUNCTION("""COMPUTED_VALUE"""),"南部 (嘉義、台南、高雄、屏東、台東) 
吳婉宜 (產品詢問/客訴處理)")</f>
        <v>南部 (嘉義、台南、高雄、屏東、台東) 
吳婉宜 (產品詢問/客訴處理)</v>
      </c>
      <c r="D7" s="33" t="str">
        <f ca="1">IFERROR(__xludf.DUMMYFUNCTION("""COMPUTED_VALUE"""),"0977-039226")</f>
        <v>0977-039226</v>
      </c>
      <c r="E7" s="34" t="str">
        <f ca="1">IFERROR(__xludf.DUMMYFUNCTION("""COMPUTED_VALUE"""),"sume-wu@ejoy.net.tw")</f>
        <v>sume-wu@ejoy.net.tw</v>
      </c>
      <c r="F7" s="17"/>
      <c r="G7" s="17"/>
      <c r="H7" s="17"/>
      <c r="I7" s="17"/>
      <c r="J7" s="17"/>
      <c r="K7" s="17"/>
      <c r="L7" s="17"/>
      <c r="M7" s="17"/>
      <c r="N7" s="17"/>
      <c r="O7" s="17"/>
      <c r="P7" s="17"/>
      <c r="Q7" s="17"/>
      <c r="R7" s="17"/>
      <c r="S7" s="17"/>
      <c r="T7" s="17"/>
      <c r="U7" s="17"/>
      <c r="V7" s="17"/>
      <c r="W7" s="17"/>
      <c r="X7" s="17"/>
      <c r="Y7" s="17"/>
    </row>
    <row r="8" spans="1:25">
      <c r="A8" s="42"/>
      <c r="B8" s="42"/>
      <c r="C8" s="33" t="str">
        <f ca="1">IFERROR(__xludf.DUMMYFUNCTION("""COMPUTED_VALUE"""),"李心純 (總訂單查詢/簽收單/客訴處理/報修)")</f>
        <v>李心純 (總訂單查詢/簽收單/客訴處理/報修)</v>
      </c>
      <c r="D8" s="33" t="str">
        <f ca="1">IFERROR(__xludf.DUMMYFUNCTION("""COMPUTED_VALUE"""),"02-2655-3333#3606")</f>
        <v>02-2655-3333#3606</v>
      </c>
      <c r="E8" s="34" t="str">
        <f ca="1">IFERROR(__xludf.DUMMYFUNCTION("""COMPUTED_VALUE"""),"eve@ejoy.net.tw")</f>
        <v>eve@ejoy.net.tw</v>
      </c>
      <c r="F8" s="17"/>
      <c r="G8" s="17"/>
      <c r="H8" s="17"/>
      <c r="I8" s="17"/>
      <c r="J8" s="17"/>
      <c r="K8" s="17"/>
      <c r="L8" s="17"/>
      <c r="M8" s="17"/>
      <c r="N8" s="17"/>
      <c r="O8" s="17"/>
      <c r="P8" s="17"/>
      <c r="Q8" s="17"/>
      <c r="R8" s="17"/>
      <c r="S8" s="17"/>
      <c r="T8" s="17"/>
      <c r="U8" s="17"/>
      <c r="V8" s="17"/>
      <c r="W8" s="17"/>
      <c r="X8" s="17"/>
      <c r="Y8" s="17"/>
    </row>
    <row r="9" spans="1:25">
      <c r="A9" s="41"/>
      <c r="B9" s="41"/>
      <c r="C9" s="33" t="str">
        <f ca="1">IFERROR(__xludf.DUMMYFUNCTION("""COMPUTED_VALUE"""),"鍾昌珮 全區業務總窗口(產品詢問/客訴處理)")</f>
        <v>鍾昌珮 全區業務總窗口(產品詢問/客訴處理)</v>
      </c>
      <c r="D9" s="33" t="str">
        <f ca="1">IFERROR(__xludf.DUMMYFUNCTION("""COMPUTED_VALUE"""),"02-26553333#3243")</f>
        <v>02-26553333#3243</v>
      </c>
      <c r="E9" s="33" t="str">
        <f ca="1">IFERROR(__xludf.DUMMYFUNCTION("""COMPUTED_VALUE"""),"mandy@ejoy.net.tw")</f>
        <v>mandy@ejoy.net.tw</v>
      </c>
      <c r="F9" s="17"/>
      <c r="G9" s="17"/>
      <c r="H9" s="17"/>
      <c r="I9" s="17"/>
      <c r="J9" s="17"/>
      <c r="K9" s="17"/>
      <c r="L9" s="17"/>
      <c r="M9" s="17"/>
      <c r="N9" s="17"/>
      <c r="O9" s="17"/>
      <c r="P9" s="17"/>
      <c r="Q9" s="17"/>
      <c r="R9" s="17"/>
      <c r="S9" s="17"/>
      <c r="T9" s="17"/>
      <c r="U9" s="17"/>
      <c r="V9" s="17"/>
      <c r="W9" s="17"/>
      <c r="X9" s="17"/>
      <c r="Y9" s="17"/>
    </row>
    <row r="10" spans="1:25" ht="26.25" customHeight="1">
      <c r="A10" s="43" t="str">
        <f ca="1">IFERROR(__xludf.DUMMYFUNCTION("""COMPUTED_VALUE"""),"凱創")</f>
        <v>凱創</v>
      </c>
      <c r="B10" s="43" t="str">
        <f ca="1">IFERROR(__xludf.DUMMYFUNCTION("""COMPUTED_VALUE""")," 3M、奇美小電、聲寶小電、東元小電、
Toshiba小電、Cuisinart、Siroca、Matsutek
※無販售任何品牌的大電(電視、空調、洗冰)家電")</f>
        <v xml:space="preserve"> 3M、奇美小電、聲寶小電、東元小電、
Toshiba小電、Cuisinart、Siroca、Matsutek
※無販售任何品牌的大電(電視、空調、洗冰)家電</v>
      </c>
      <c r="C10" s="33" t="str">
        <f ca="1">IFERROR(__xludf.DUMMYFUNCTION("""COMPUTED_VALUE"""),"李宛青(訂單查詢)")</f>
        <v>李宛青(訂單查詢)</v>
      </c>
      <c r="D10" s="33" t="str">
        <f ca="1">IFERROR(__xludf.DUMMYFUNCTION("""COMPUTED_VALUE"""),"02-8935-2255#164")</f>
        <v>02-8935-2255#164</v>
      </c>
      <c r="E10" s="34" t="str">
        <f ca="1">IFERROR(__xludf.DUMMYFUNCTION("""COMPUTED_VALUE"""),"elfin@creata.com.tw")</f>
        <v>elfin@creata.com.tw</v>
      </c>
      <c r="F10" s="17"/>
      <c r="G10" s="17"/>
      <c r="H10" s="17"/>
      <c r="I10" s="17"/>
      <c r="J10" s="17"/>
      <c r="K10" s="17"/>
      <c r="L10" s="17"/>
      <c r="M10" s="17"/>
      <c r="N10" s="17"/>
      <c r="O10" s="17"/>
      <c r="P10" s="17"/>
      <c r="Q10" s="17"/>
      <c r="R10" s="17"/>
      <c r="S10" s="17"/>
      <c r="T10" s="17"/>
      <c r="U10" s="17"/>
      <c r="V10" s="17"/>
      <c r="W10" s="17"/>
      <c r="X10" s="17"/>
      <c r="Y10" s="17"/>
    </row>
    <row r="11" spans="1:25" ht="26.25" customHeight="1">
      <c r="A11" s="42"/>
      <c r="B11" s="41"/>
      <c r="C11" s="33" t="str">
        <f ca="1">IFERROR(__xludf.DUMMYFUNCTION("""COMPUTED_VALUE"""),"洪靜慈(業務窗口)")</f>
        <v>洪靜慈(業務窗口)</v>
      </c>
      <c r="D11" s="33" t="str">
        <f ca="1">IFERROR(__xludf.DUMMYFUNCTION("""COMPUTED_VALUE"""),"02-8935-2255#165")</f>
        <v>02-8935-2255#165</v>
      </c>
      <c r="E11" s="33" t="str">
        <f ca="1">IFERROR(__xludf.DUMMYFUNCTION("""COMPUTED_VALUE"""),"joanne@creata.com.tw")</f>
        <v>joanne@creata.com.tw</v>
      </c>
      <c r="F11" s="17"/>
      <c r="G11" s="17"/>
      <c r="H11" s="17"/>
      <c r="I11" s="17"/>
      <c r="J11" s="17"/>
      <c r="K11" s="17"/>
      <c r="L11" s="17"/>
      <c r="M11" s="17"/>
      <c r="N11" s="17"/>
      <c r="O11" s="17"/>
      <c r="P11" s="17"/>
      <c r="Q11" s="17"/>
      <c r="R11" s="17"/>
      <c r="S11" s="17"/>
      <c r="T11" s="17"/>
      <c r="U11" s="17"/>
      <c r="V11" s="17"/>
      <c r="W11" s="17"/>
      <c r="X11" s="17"/>
      <c r="Y11" s="17"/>
    </row>
    <row r="12" spans="1:25">
      <c r="A12" s="41"/>
      <c r="B12" s="33" t="str">
        <f ca="1">IFERROR(__xludf.DUMMYFUNCTION("""COMPUTED_VALUE"""),"訂單查詢系統")</f>
        <v>訂單查詢系統</v>
      </c>
      <c r="C12" s="34" t="str">
        <f ca="1">IFERROR(__xludf.DUMMYFUNCTION("""COMPUTED_VALUE"""),"網址: http://60.250.76.156/Smart-Query/mainframes.aspx
 帳號：hinet01 密碼：hi0401net")</f>
        <v>網址: http://60.250.76.156/Smart-Query/mainframes.aspx
 帳號：hinet01 密碼：hi0401net</v>
      </c>
      <c r="D12" s="33"/>
      <c r="E12" s="33"/>
      <c r="F12" s="17"/>
      <c r="G12" s="17"/>
      <c r="H12" s="17"/>
      <c r="I12" s="17"/>
      <c r="J12" s="17"/>
      <c r="K12" s="17"/>
      <c r="L12" s="17"/>
      <c r="M12" s="17"/>
      <c r="N12" s="17"/>
      <c r="O12" s="17"/>
      <c r="P12" s="17"/>
      <c r="Q12" s="17"/>
      <c r="R12" s="17"/>
      <c r="S12" s="17"/>
      <c r="T12" s="17"/>
      <c r="U12" s="17"/>
      <c r="V12" s="17"/>
      <c r="W12" s="17"/>
      <c r="X12" s="17"/>
      <c r="Y12" s="17"/>
    </row>
    <row r="13" spans="1:25">
      <c r="A13" s="33" t="str">
        <f ca="1">IFERROR(__xludf.DUMMYFUNCTION("""COMPUTED_VALUE"""),"聲寶")</f>
        <v>聲寶</v>
      </c>
      <c r="B13" s="33" t="str">
        <f ca="1">IFERROR(__xludf.DUMMYFUNCTION("""COMPUTED_VALUE"""),"聲寶")</f>
        <v>聲寶</v>
      </c>
      <c r="C13" s="33" t="str">
        <f ca="1">IFERROR(__xludf.DUMMYFUNCTION("""COMPUTED_VALUE"""),"吳如蘭(洗衣機、空調、冰箱、電視、Claire)")</f>
        <v>吳如蘭(洗衣機、空調、冰箱、電視、Claire)</v>
      </c>
      <c r="D13" s="33" t="str">
        <f ca="1">IFERROR(__xludf.DUMMYFUNCTION("""COMPUTED_VALUE"""),"03-397-5151 # 1154
0936-090-186")</f>
        <v>03-397-5151 # 1154
0936-090-186</v>
      </c>
      <c r="E13" s="33" t="str">
        <f ca="1">IFERROR(__xludf.DUMMYFUNCTION("""COMPUTED_VALUE"""),"ella@sampo.com.tw")</f>
        <v>ella@sampo.com.tw</v>
      </c>
      <c r="F13" s="17"/>
      <c r="G13" s="17"/>
      <c r="H13" s="17"/>
      <c r="I13" s="17"/>
      <c r="J13" s="17"/>
      <c r="K13" s="17"/>
      <c r="L13" s="17"/>
      <c r="M13" s="17"/>
      <c r="N13" s="17"/>
      <c r="O13" s="17"/>
      <c r="P13" s="17"/>
      <c r="Q13" s="17"/>
      <c r="R13" s="17"/>
      <c r="S13" s="17"/>
      <c r="T13" s="17"/>
      <c r="U13" s="17"/>
      <c r="V13" s="17"/>
      <c r="W13" s="17"/>
      <c r="X13" s="17"/>
      <c r="Y13" s="17"/>
    </row>
    <row r="14" spans="1:25">
      <c r="A14" s="43" t="str">
        <f ca="1">IFERROR(__xludf.DUMMYFUNCTION("""COMPUTED_VALUE"""),"聯強")</f>
        <v>聯強</v>
      </c>
      <c r="B14" s="43" t="str">
        <f ca="1">IFERROR(__xludf.DUMMYFUNCTION("""COMPUTED_VALUE"""),"ASUS路由器、DJI、Ecovacs、 Gateman電子鎖")</f>
        <v>ASUS路由器、DJI、Ecovacs、 Gateman電子鎖</v>
      </c>
      <c r="C14" s="33" t="str">
        <f ca="1">IFERROR(__xludf.DUMMYFUNCTION("""COMPUTED_VALUE"""),"葉姿君(訂單查詢)")</f>
        <v>葉姿君(訂單查詢)</v>
      </c>
      <c r="D14" s="33" t="str">
        <f ca="1">IFERROR(__xludf.DUMMYFUNCTION("""COMPUTED_VALUE"""),"02-2506-3320#2645
 Line ID: joyce7302")</f>
        <v>02-2506-3320#2645
 Line ID: joyce7302</v>
      </c>
      <c r="E14" s="34" t="str">
        <f ca="1">IFERROR(__xludf.DUMMYFUNCTION("""COMPUTED_VALUE"""),"jeneifer@synnex.com.tw")</f>
        <v>jeneifer@synnex.com.tw</v>
      </c>
      <c r="F14" s="17"/>
      <c r="G14" s="17"/>
      <c r="H14" s="17"/>
      <c r="I14" s="17"/>
      <c r="J14" s="17"/>
      <c r="K14" s="17"/>
      <c r="L14" s="17"/>
      <c r="M14" s="17"/>
      <c r="N14" s="17"/>
      <c r="O14" s="17"/>
      <c r="P14" s="17"/>
      <c r="Q14" s="17"/>
      <c r="R14" s="17"/>
      <c r="S14" s="17"/>
      <c r="T14" s="17"/>
      <c r="U14" s="17"/>
      <c r="V14" s="17"/>
      <c r="W14" s="17"/>
      <c r="X14" s="17"/>
      <c r="Y14" s="17"/>
    </row>
    <row r="15" spans="1:25">
      <c r="A15" s="41"/>
      <c r="B15" s="41"/>
      <c r="C15" s="33" t="str">
        <f ca="1">IFERROR(__xludf.DUMMYFUNCTION("""COMPUTED_VALUE"""),"詹芷懿(業務窗口)")</f>
        <v>詹芷懿(業務窗口)</v>
      </c>
      <c r="D15" s="33" t="str">
        <f ca="1">IFERROR(__xludf.DUMMYFUNCTION("""COMPUTED_VALUE"""),"02-2506-3320 #2622")</f>
        <v>02-2506-3320 #2622</v>
      </c>
      <c r="E15" s="34" t="str">
        <f ca="1">IFERROR(__xludf.DUMMYFUNCTION("""COMPUTED_VALUE"""),"anniezhan@synnex.com.tw")</f>
        <v>anniezhan@synnex.com.tw</v>
      </c>
      <c r="F15" s="17"/>
      <c r="G15" s="17"/>
      <c r="H15" s="17"/>
      <c r="I15" s="17"/>
      <c r="J15" s="17"/>
      <c r="K15" s="17"/>
      <c r="L15" s="17"/>
      <c r="M15" s="17"/>
      <c r="N15" s="17"/>
      <c r="O15" s="17"/>
      <c r="P15" s="17"/>
      <c r="Q15" s="17"/>
      <c r="R15" s="17"/>
      <c r="S15" s="17"/>
      <c r="T15" s="17"/>
      <c r="U15" s="17"/>
      <c r="V15" s="17"/>
      <c r="W15" s="17"/>
      <c r="X15" s="17"/>
      <c r="Y15" s="17"/>
    </row>
    <row r="16" spans="1:25">
      <c r="A16" s="43" t="str">
        <f ca="1">IFERROR(__xludf.DUMMYFUNCTION("""COMPUTED_VALUE"""),"旺德")</f>
        <v>旺德</v>
      </c>
      <c r="B16" s="43" t="str">
        <f ca="1">IFERROR(__xludf.DUMMYFUNCTION("""COMPUTED_VALUE"""),"THOMSON/ SABA/wonder")</f>
        <v>THOMSON/ SABA/wonder</v>
      </c>
      <c r="C16" s="33" t="str">
        <f ca="1">IFERROR(__xludf.DUMMYFUNCTION("""COMPUTED_VALUE"""),"吳金泉(產品經理)")</f>
        <v>吳金泉(產品經理)</v>
      </c>
      <c r="D16" s="33" t="str">
        <f ca="1">IFERROR(__xludf.DUMMYFUNCTION("""COMPUTED_VALUE"""),"0936-142-166")</f>
        <v>0936-142-166</v>
      </c>
      <c r="E16" s="34" t="str">
        <f ca="1">IFERROR(__xludf.DUMMYFUNCTION("""COMPUTED_VALUE"""),"louis@wonder.tw")</f>
        <v>louis@wonder.tw</v>
      </c>
      <c r="F16" s="17"/>
      <c r="G16" s="17"/>
      <c r="H16" s="17"/>
      <c r="I16" s="17"/>
      <c r="J16" s="17"/>
      <c r="K16" s="17"/>
      <c r="L16" s="17"/>
      <c r="M16" s="17"/>
      <c r="N16" s="17"/>
      <c r="O16" s="17"/>
      <c r="P16" s="17"/>
      <c r="Q16" s="17"/>
      <c r="R16" s="17"/>
      <c r="S16" s="17"/>
      <c r="T16" s="17"/>
      <c r="U16" s="17"/>
      <c r="V16" s="17"/>
      <c r="W16" s="17"/>
      <c r="X16" s="17"/>
      <c r="Y16" s="17"/>
    </row>
    <row r="17" spans="1:25">
      <c r="A17" s="42"/>
      <c r="B17" s="42"/>
      <c r="C17" s="33" t="str">
        <f ca="1">IFERROR(__xludf.DUMMYFUNCTION("""COMPUTED_VALUE"""),"何文卿(訂單處理)")</f>
        <v>何文卿(訂單處理)</v>
      </c>
      <c r="D17" s="33" t="str">
        <f ca="1">IFERROR(__xludf.DUMMYFUNCTION("""COMPUTED_VALUE"""),"02-2298-4188#652")</f>
        <v>02-2298-4188#652</v>
      </c>
      <c r="E17" s="34" t="str">
        <f ca="1">IFERROR(__xludf.DUMMYFUNCTION("""COMPUTED_VALUE"""),"wendy@wonder.tw")</f>
        <v>wendy@wonder.tw</v>
      </c>
      <c r="F17" s="17"/>
      <c r="G17" s="17"/>
      <c r="H17" s="17"/>
      <c r="I17" s="17"/>
      <c r="J17" s="17"/>
      <c r="K17" s="17"/>
      <c r="L17" s="17"/>
      <c r="M17" s="17"/>
      <c r="N17" s="17"/>
      <c r="O17" s="17"/>
      <c r="P17" s="17"/>
      <c r="Q17" s="17"/>
      <c r="R17" s="17"/>
      <c r="S17" s="17"/>
      <c r="T17" s="17"/>
      <c r="U17" s="17"/>
      <c r="V17" s="17"/>
      <c r="W17" s="17"/>
      <c r="X17" s="17"/>
      <c r="Y17" s="17"/>
    </row>
    <row r="18" spans="1:25">
      <c r="A18" s="41"/>
      <c r="B18" s="41"/>
      <c r="C18" s="33" t="str">
        <f ca="1">IFERROR(__xludf.DUMMYFUNCTION("""COMPUTED_VALUE"""),"產品問題/ 保固維修/ 諮詢小組")</f>
        <v>產品問題/ 保固維修/ 諮詢小組</v>
      </c>
      <c r="D18" s="33" t="str">
        <f ca="1">IFERROR(__xludf.DUMMYFUNCTION("""COMPUTED_VALUE"""),"02-8990-4440")</f>
        <v>02-8990-4440</v>
      </c>
      <c r="E18" s="33" t="str">
        <f ca="1">IFERROR(__xludf.DUMMYFUNCTION("""COMPUTED_VALUE"""),"alice@wonder.tw
 selina@wonder.tw")</f>
        <v>alice@wonder.tw
 selina@wonder.tw</v>
      </c>
      <c r="F18" s="17"/>
      <c r="G18" s="17"/>
      <c r="H18" s="17"/>
      <c r="I18" s="17"/>
      <c r="J18" s="17"/>
      <c r="K18" s="17"/>
      <c r="L18" s="17"/>
      <c r="M18" s="17"/>
      <c r="N18" s="17"/>
      <c r="O18" s="17"/>
      <c r="P18" s="17"/>
      <c r="Q18" s="17"/>
      <c r="R18" s="17"/>
      <c r="S18" s="17"/>
      <c r="T18" s="17"/>
      <c r="U18" s="17"/>
      <c r="V18" s="17"/>
      <c r="W18" s="17"/>
      <c r="X18" s="17"/>
      <c r="Y18" s="17"/>
    </row>
    <row r="19" spans="1:25">
      <c r="A19" s="43" t="str">
        <f ca="1">IFERROR(__xludf.DUMMYFUNCTION("""COMPUTED_VALUE"""),"展碁")</f>
        <v>展碁</v>
      </c>
      <c r="B19" s="43" t="str">
        <f ca="1">IFERROR(__xludf.DUMMYFUNCTION("""COMPUTED_VALUE"""),"訂單與客訴處理")</f>
        <v>訂單與客訴處理</v>
      </c>
      <c r="C19" s="33" t="str">
        <f ca="1">IFERROR(__xludf.DUMMYFUNCTION("""COMPUTED_VALUE"""),"林宥均(訂單查詢)")</f>
        <v>林宥均(訂單查詢)</v>
      </c>
      <c r="D19" s="33" t="str">
        <f ca="1">IFERROR(__xludf.DUMMYFUNCTION("""COMPUTED_VALUE"""),"02-2371-6000#715")</f>
        <v>02-2371-6000#715</v>
      </c>
      <c r="E19" s="33" t="str">
        <f ca="1">IFERROR(__xludf.DUMMYFUNCTION("""COMPUTED_VALUE"""),"moni.lin@weblink.com.tw")</f>
        <v>moni.lin@weblink.com.tw</v>
      </c>
      <c r="F19" s="17"/>
      <c r="G19" s="17"/>
      <c r="H19" s="17"/>
      <c r="I19" s="17"/>
      <c r="J19" s="17"/>
      <c r="K19" s="17"/>
      <c r="L19" s="17"/>
      <c r="M19" s="17"/>
      <c r="N19" s="17"/>
      <c r="O19" s="17"/>
      <c r="P19" s="17"/>
      <c r="Q19" s="17"/>
      <c r="R19" s="17"/>
      <c r="S19" s="17"/>
      <c r="T19" s="17"/>
      <c r="U19" s="17"/>
      <c r="V19" s="17"/>
      <c r="W19" s="17"/>
      <c r="X19" s="17"/>
      <c r="Y19" s="17"/>
    </row>
    <row r="20" spans="1:25">
      <c r="A20" s="41"/>
      <c r="B20" s="41"/>
      <c r="C20" s="33" t="str">
        <f ca="1">IFERROR(__xludf.DUMMYFUNCTION("""COMPUTED_VALUE"""),"鄭子揚(客訴與產品問題)")</f>
        <v>鄭子揚(客訴與產品問題)</v>
      </c>
      <c r="D20" s="33" t="str">
        <f ca="1">IFERROR(__xludf.DUMMYFUNCTION("""COMPUTED_VALUE"""),"02-2371-6000#726
0987-080-259")</f>
        <v>02-2371-6000#726
0987-080-259</v>
      </c>
      <c r="E20" s="34" t="str">
        <f ca="1">IFERROR(__xludf.DUMMYFUNCTION("""COMPUTED_VALUE"""),"Nick.cheng@weblink.com.tw")</f>
        <v>Nick.cheng@weblink.com.tw</v>
      </c>
      <c r="F20" s="17"/>
      <c r="G20" s="17"/>
      <c r="H20" s="17"/>
      <c r="I20" s="17"/>
      <c r="J20" s="17"/>
      <c r="K20" s="17"/>
      <c r="L20" s="17"/>
      <c r="M20" s="17"/>
      <c r="N20" s="17"/>
      <c r="O20" s="17"/>
      <c r="P20" s="17"/>
      <c r="Q20" s="17"/>
      <c r="R20" s="17"/>
      <c r="S20" s="17"/>
      <c r="T20" s="17"/>
      <c r="U20" s="17"/>
      <c r="V20" s="17"/>
      <c r="W20" s="17"/>
      <c r="X20" s="17"/>
      <c r="Y20" s="17"/>
    </row>
    <row r="21" spans="1:25">
      <c r="A21" s="43" t="str">
        <f ca="1">IFERROR(__xludf.DUMMYFUNCTION("""COMPUTED_VALUE"""),"禾聯")</f>
        <v>禾聯</v>
      </c>
      <c r="B21" s="43" t="str">
        <f ca="1">IFERROR(__xludf.DUMMYFUNCTION("""COMPUTED_VALUE"""),"禾聯")</f>
        <v>禾聯</v>
      </c>
      <c r="C21" s="33" t="str">
        <f ca="1">IFERROR(__xludf.DUMMYFUNCTION("""COMPUTED_VALUE"""),"蕭鳳儀
 (訂單查詢)")</f>
        <v>蕭鳳儀
 (訂單查詢)</v>
      </c>
      <c r="D21" s="33" t="str">
        <f ca="1">IFERROR(__xludf.DUMMYFUNCTION("""COMPUTED_VALUE"""),"03-396-1188#2228")</f>
        <v>03-396-1188#2228</v>
      </c>
      <c r="E21" s="33" t="str">
        <f ca="1">IFERROR(__xludf.DUMMYFUNCTION("""COMPUTED_VALUE"""),"fengyi@heran.com.tw")</f>
        <v>fengyi@heran.com.tw</v>
      </c>
      <c r="F21" s="17"/>
      <c r="G21" s="17"/>
      <c r="H21" s="17"/>
      <c r="I21" s="17"/>
      <c r="J21" s="17"/>
      <c r="K21" s="17"/>
      <c r="L21" s="17"/>
      <c r="M21" s="17"/>
      <c r="N21" s="17"/>
      <c r="O21" s="17"/>
      <c r="P21" s="17"/>
      <c r="Q21" s="17"/>
      <c r="R21" s="17"/>
      <c r="S21" s="17"/>
      <c r="T21" s="17"/>
      <c r="U21" s="17"/>
      <c r="V21" s="17"/>
      <c r="W21" s="17"/>
      <c r="X21" s="17"/>
      <c r="Y21" s="17"/>
    </row>
    <row r="22" spans="1:25">
      <c r="A22" s="42"/>
      <c r="B22" s="42"/>
      <c r="C22" s="33" t="str">
        <f ca="1">IFERROR(__xludf.DUMMYFUNCTION("""COMPUTED_VALUE"""),"吳明益
 (業務窗口)")</f>
        <v>吳明益
 (業務窗口)</v>
      </c>
      <c r="D22" s="33" t="str">
        <f ca="1">IFERROR(__xludf.DUMMYFUNCTION("""COMPUTED_VALUE"""),"03-3961188 #5502
0955-783-290")</f>
        <v>03-3961188 #5502
0955-783-290</v>
      </c>
      <c r="E22" s="33" t="str">
        <f ca="1">IFERROR(__xludf.DUMMYFUNCTION("""COMPUTED_VALUE"""),"lkk@heran.com.tw")</f>
        <v>lkk@heran.com.tw</v>
      </c>
      <c r="F22" s="17"/>
      <c r="G22" s="17"/>
      <c r="H22" s="17"/>
      <c r="I22" s="17"/>
      <c r="J22" s="17"/>
      <c r="K22" s="17"/>
      <c r="L22" s="17"/>
      <c r="M22" s="17"/>
      <c r="N22" s="17"/>
      <c r="O22" s="17"/>
      <c r="P22" s="17"/>
      <c r="Q22" s="17"/>
      <c r="R22" s="17"/>
      <c r="S22" s="17"/>
      <c r="T22" s="17"/>
      <c r="U22" s="17"/>
      <c r="V22" s="17"/>
      <c r="W22" s="17"/>
      <c r="X22" s="17"/>
      <c r="Y22" s="17"/>
    </row>
    <row r="23" spans="1:25">
      <c r="A23" s="41"/>
      <c r="B23" s="41"/>
      <c r="C23" s="33" t="str">
        <f ca="1">IFERROR(__xludf.DUMMYFUNCTION("""COMPUTED_VALUE"""),"l 訂單查詢系統：http://61.218.122.130/tops/f_admin/Login.aspx
l 帳號/密碼：customer/customer")</f>
        <v>l 訂單查詢系統：http://61.218.122.130/tops/f_admin/Login.aspx
l 帳號/密碼：customer/customer</v>
      </c>
      <c r="D23" s="33"/>
      <c r="E23" s="33"/>
      <c r="F23" s="17"/>
      <c r="G23" s="17"/>
      <c r="H23" s="17"/>
      <c r="I23" s="17"/>
      <c r="J23" s="17"/>
      <c r="K23" s="17"/>
      <c r="L23" s="17"/>
      <c r="M23" s="17"/>
      <c r="N23" s="17"/>
      <c r="O23" s="17"/>
      <c r="P23" s="17"/>
      <c r="Q23" s="17"/>
      <c r="R23" s="17"/>
      <c r="S23" s="17"/>
      <c r="T23" s="17"/>
      <c r="U23" s="17"/>
      <c r="V23" s="17"/>
      <c r="W23" s="17"/>
      <c r="X23" s="17"/>
      <c r="Y23" s="17"/>
    </row>
    <row r="24" spans="1:25">
      <c r="A24" s="43" t="str">
        <f ca="1">IFERROR(__xludf.DUMMYFUNCTION("""COMPUTED_VALUE"""),"順發")</f>
        <v>順發</v>
      </c>
      <c r="B24" s="43" t="str">
        <f ca="1">IFERROR(__xludf.DUMMYFUNCTION("""COMPUTED_VALUE"""),"家電: Mitsubishi、SAMSUNG、日立、Sharp、Iris風扇、北方電暖器、嘉儀電暖器…
3C : 所有筆電(LG除外)、螢幕(ASUS/三星/BneQ/ViewSonic/DELL)")</f>
        <v>家電: Mitsubishi、SAMSUNG、日立、Sharp、Iris風扇、北方電暖器、嘉儀電暖器…
3C : 所有筆電(LG除外)、螢幕(ASUS/三星/BneQ/ViewSonic/DELL)</v>
      </c>
      <c r="C24" s="33" t="str">
        <f ca="1">IFERROR(__xludf.DUMMYFUNCTION("""COMPUTED_VALUE"""),"蔡瑩榛(大家電)(訂單查詢)")</f>
        <v>蔡瑩榛(大家電)(訂單查詢)</v>
      </c>
      <c r="D24" s="33" t="str">
        <f ca="1">IFERROR(__xludf.DUMMYFUNCTION("""COMPUTED_VALUE"""),"02-2322-1818#621
0922-858-987")</f>
        <v>02-2322-1818#621
0922-858-987</v>
      </c>
      <c r="E24" s="34" t="str">
        <f ca="1">IFERROR(__xludf.DUMMYFUNCTION("""COMPUTED_VALUE"""),"cht.sunfar@mail.sunfar.com.tw")</f>
        <v>cht.sunfar@mail.sunfar.com.tw</v>
      </c>
      <c r="F24" s="17"/>
      <c r="G24" s="17"/>
      <c r="H24" s="17"/>
      <c r="I24" s="17"/>
      <c r="J24" s="17"/>
      <c r="K24" s="17"/>
      <c r="L24" s="17"/>
      <c r="M24" s="17"/>
      <c r="N24" s="17"/>
      <c r="O24" s="17"/>
      <c r="P24" s="17"/>
      <c r="Q24" s="17"/>
      <c r="R24" s="17"/>
      <c r="S24" s="17"/>
      <c r="T24" s="17"/>
      <c r="U24" s="17"/>
      <c r="V24" s="17"/>
      <c r="W24" s="17"/>
      <c r="X24" s="17"/>
      <c r="Y24" s="17"/>
    </row>
    <row r="25" spans="1:25">
      <c r="A25" s="42"/>
      <c r="B25" s="42"/>
      <c r="C25" s="33" t="str">
        <f ca="1">IFERROR(__xludf.DUMMYFUNCTION("""COMPUTED_VALUE"""),"黃雅瑜(小家電)(訂單查詢)")</f>
        <v>黃雅瑜(小家電)(訂單查詢)</v>
      </c>
      <c r="D25" s="33" t="str">
        <f ca="1">IFERROR(__xludf.DUMMYFUNCTION("""COMPUTED_VALUE"""),"07-236-6221#911
0955-309-226")</f>
        <v>07-236-6221#911
0955-309-226</v>
      </c>
      <c r="E25" s="34" t="str">
        <f ca="1">IFERROR(__xludf.DUMMYFUNCTION("""COMPUTED_VALUE"""),"cht.sunfar@mail.sunfar.com.tw")</f>
        <v>cht.sunfar@mail.sunfar.com.tw</v>
      </c>
      <c r="F25" s="17"/>
      <c r="G25" s="17"/>
      <c r="H25" s="17"/>
      <c r="I25" s="17"/>
      <c r="J25" s="17"/>
      <c r="K25" s="17"/>
      <c r="L25" s="17"/>
      <c r="M25" s="17"/>
      <c r="N25" s="17"/>
      <c r="O25" s="17"/>
      <c r="P25" s="17"/>
      <c r="Q25" s="17"/>
      <c r="R25" s="17"/>
      <c r="S25" s="17"/>
      <c r="T25" s="17"/>
      <c r="U25" s="17"/>
      <c r="V25" s="17"/>
      <c r="W25" s="17"/>
      <c r="X25" s="17"/>
      <c r="Y25" s="17"/>
    </row>
    <row r="26" spans="1:25">
      <c r="A26" s="42"/>
      <c r="B26" s="42"/>
      <c r="C26" s="33" t="str">
        <f ca="1">IFERROR(__xludf.DUMMYFUNCTION("""COMPUTED_VALUE"""),"劉俊麟(家電PM)")</f>
        <v>劉俊麟(家電PM)</v>
      </c>
      <c r="D26" s="33" t="str">
        <f ca="1">IFERROR(__xludf.DUMMYFUNCTION("""COMPUTED_VALUE"""),"02-2322-1818#623
0981-820-526")</f>
        <v>02-2322-1818#623
0981-820-526</v>
      </c>
      <c r="E26" s="34" t="str">
        <f ca="1">IFERROR(__xludf.DUMMYFUNCTION("""COMPUTED_VALUE"""),"cht.sunfar@mail.sunfar.com.tw")</f>
        <v>cht.sunfar@mail.sunfar.com.tw</v>
      </c>
      <c r="F26" s="17"/>
      <c r="G26" s="17"/>
      <c r="H26" s="17"/>
      <c r="I26" s="17"/>
      <c r="J26" s="17"/>
      <c r="K26" s="17"/>
      <c r="L26" s="17"/>
      <c r="M26" s="17"/>
      <c r="N26" s="17"/>
      <c r="O26" s="17"/>
      <c r="P26" s="17"/>
      <c r="Q26" s="17"/>
      <c r="R26" s="17"/>
      <c r="S26" s="17"/>
      <c r="T26" s="17"/>
      <c r="U26" s="17"/>
      <c r="V26" s="17"/>
      <c r="W26" s="17"/>
      <c r="X26" s="17"/>
      <c r="Y26" s="17"/>
    </row>
    <row r="27" spans="1:25">
      <c r="A27" s="42"/>
      <c r="B27" s="42"/>
      <c r="C27" s="33" t="str">
        <f ca="1">IFERROR(__xludf.DUMMYFUNCTION("""COMPUTED_VALUE"""),"許晉斌(家電PM)")</f>
        <v>許晉斌(家電PM)</v>
      </c>
      <c r="D27" s="33" t="str">
        <f ca="1">IFERROR(__xludf.DUMMYFUNCTION("""COMPUTED_VALUE"""),"02-2322-1818#622
0922-213-831")</f>
        <v>02-2322-1818#622
0922-213-831</v>
      </c>
      <c r="E27" s="34" t="str">
        <f ca="1">IFERROR(__xludf.DUMMYFUNCTION("""COMPUTED_VALUE"""),"cht.sunfar@mail.sunfar.com.tw")</f>
        <v>cht.sunfar@mail.sunfar.com.tw</v>
      </c>
      <c r="F27" s="17"/>
      <c r="G27" s="17"/>
      <c r="H27" s="17"/>
      <c r="I27" s="17"/>
      <c r="J27" s="17"/>
      <c r="K27" s="17"/>
      <c r="L27" s="17"/>
      <c r="M27" s="17"/>
      <c r="N27" s="17"/>
      <c r="O27" s="17"/>
      <c r="P27" s="17"/>
      <c r="Q27" s="17"/>
      <c r="R27" s="17"/>
      <c r="S27" s="17"/>
      <c r="T27" s="17"/>
      <c r="U27" s="17"/>
      <c r="V27" s="17"/>
      <c r="W27" s="17"/>
      <c r="X27" s="17"/>
      <c r="Y27" s="17"/>
    </row>
    <row r="28" spans="1:25">
      <c r="A28" s="42"/>
      <c r="B28" s="42"/>
      <c r="C28" s="33" t="str">
        <f ca="1">IFERROR(__xludf.DUMMYFUNCTION("""COMPUTED_VALUE"""),"鄭婉嫕(螢幕PM)")</f>
        <v>鄭婉嫕(螢幕PM)</v>
      </c>
      <c r="D28" s="33" t="str">
        <f ca="1">IFERROR(__xludf.DUMMYFUNCTION("""COMPUTED_VALUE"""),"07-236-6221#582")</f>
        <v>07-236-6221#582</v>
      </c>
      <c r="E28" s="34" t="str">
        <f ca="1">IFERROR(__xludf.DUMMYFUNCTION("""COMPUTED_VALUE"""),"11201@ sunfar.com.tｗ")</f>
        <v>11201@ sunfar.com.tｗ</v>
      </c>
      <c r="F28" s="17"/>
      <c r="G28" s="17"/>
      <c r="H28" s="17"/>
      <c r="I28" s="17"/>
      <c r="J28" s="17"/>
      <c r="K28" s="17"/>
      <c r="L28" s="17"/>
      <c r="M28" s="17"/>
      <c r="N28" s="17"/>
      <c r="O28" s="17"/>
      <c r="P28" s="17"/>
      <c r="Q28" s="17"/>
      <c r="R28" s="17"/>
      <c r="S28" s="17"/>
      <c r="T28" s="17"/>
      <c r="U28" s="17"/>
      <c r="V28" s="17"/>
      <c r="W28" s="17"/>
      <c r="X28" s="17"/>
      <c r="Y28" s="17"/>
    </row>
    <row r="29" spans="1:25">
      <c r="A29" s="41"/>
      <c r="B29" s="41"/>
      <c r="C29" s="33" t="str">
        <f ca="1">IFERROR(__xludf.DUMMYFUNCTION("""COMPUTED_VALUE"""),"洪紫璇(筆電PM)")</f>
        <v>洪紫璇(筆電PM)</v>
      </c>
      <c r="D29" s="33" t="str">
        <f ca="1">IFERROR(__xludf.DUMMYFUNCTION("""COMPUTED_VALUE"""),"07-236-6221#581
0915-212-032")</f>
        <v>07-236-6221#581
0915-212-032</v>
      </c>
      <c r="E29" s="33" t="str">
        <f ca="1">IFERROR(__xludf.DUMMYFUNCTION("""COMPUTED_VALUE"""),"10780@mail.sunfar.com.tw")</f>
        <v>10780@mail.sunfar.com.tw</v>
      </c>
      <c r="F29" s="17"/>
      <c r="G29" s="17"/>
      <c r="H29" s="17"/>
      <c r="I29" s="17"/>
      <c r="J29" s="17"/>
      <c r="K29" s="17"/>
      <c r="L29" s="17"/>
      <c r="M29" s="17"/>
      <c r="N29" s="17"/>
      <c r="O29" s="17"/>
      <c r="P29" s="17"/>
      <c r="Q29" s="17"/>
      <c r="R29" s="17"/>
      <c r="S29" s="17"/>
      <c r="T29" s="17"/>
      <c r="U29" s="17"/>
      <c r="V29" s="17"/>
      <c r="W29" s="17"/>
      <c r="X29" s="17"/>
      <c r="Y29" s="17"/>
    </row>
    <row r="30" spans="1:25">
      <c r="A30" s="43" t="str">
        <f ca="1">IFERROR(__xludf.DUMMYFUNCTION("""COMPUTED_VALUE"""),"城欣")</f>
        <v>城欣</v>
      </c>
      <c r="B30" s="43" t="str">
        <f ca="1">IFERROR(__xludf.DUMMYFUNCTION("""COMPUTED_VALUE"""),"輝葉、JHT、HYD")</f>
        <v>輝葉、JHT、HYD</v>
      </c>
      <c r="C30" s="33" t="str">
        <f ca="1">IFERROR(__xludf.DUMMYFUNCTION("""COMPUTED_VALUE"""),"訂單查詢/保固維修")</f>
        <v>訂單查詢/保固維修</v>
      </c>
      <c r="D30" s="35" t="str">
        <f ca="1">IFERROR(__xludf.DUMMYFUNCTION("""COMPUTED_VALUE"""),"0800-001-176")</f>
        <v>0800-001-176</v>
      </c>
      <c r="E30" s="33" t="str">
        <f ca="1">IFERROR(__xludf.DUMMYFUNCTION("""COMPUTED_VALUE"""),"service@hueiyeh.com.tw")</f>
        <v>service@hueiyeh.com.tw</v>
      </c>
      <c r="F30" s="17"/>
      <c r="G30" s="17"/>
      <c r="H30" s="17"/>
      <c r="I30" s="17"/>
      <c r="J30" s="17"/>
      <c r="K30" s="17"/>
      <c r="L30" s="17"/>
      <c r="M30" s="17"/>
      <c r="N30" s="17"/>
      <c r="O30" s="17"/>
      <c r="P30" s="17"/>
      <c r="Q30" s="17"/>
      <c r="R30" s="17"/>
      <c r="S30" s="17"/>
      <c r="T30" s="17"/>
      <c r="U30" s="17"/>
      <c r="V30" s="17"/>
      <c r="W30" s="17"/>
      <c r="X30" s="17"/>
      <c r="Y30" s="17"/>
    </row>
    <row r="31" spans="1:25">
      <c r="A31" s="41"/>
      <c r="B31" s="41"/>
      <c r="C31" s="33" t="str">
        <f ca="1">IFERROR(__xludf.DUMMYFUNCTION("""COMPUTED_VALUE"""),"劉依融(產品PM)")</f>
        <v>劉依融(產品PM)</v>
      </c>
      <c r="D31" s="33" t="str">
        <f ca="1">IFERROR(__xludf.DUMMYFUNCTION("""COMPUTED_VALUE"""),"02-2765-1880 #608")</f>
        <v>02-2765-1880 #608</v>
      </c>
      <c r="E31" s="33" t="str">
        <f ca="1">IFERROR(__xludf.DUMMYFUNCTION("""COMPUTED_VALUE"""),"hanna@hueiyeh.com.tw")</f>
        <v>hanna@hueiyeh.com.tw</v>
      </c>
      <c r="F31" s="17"/>
      <c r="G31" s="17"/>
      <c r="H31" s="17"/>
      <c r="I31" s="17"/>
      <c r="J31" s="17"/>
      <c r="K31" s="17"/>
      <c r="L31" s="17"/>
      <c r="M31" s="17"/>
      <c r="N31" s="17"/>
      <c r="O31" s="17"/>
      <c r="P31" s="17"/>
      <c r="Q31" s="17"/>
      <c r="R31" s="17"/>
      <c r="S31" s="17"/>
      <c r="T31" s="17"/>
      <c r="U31" s="17"/>
      <c r="V31" s="17"/>
      <c r="W31" s="17"/>
      <c r="X31" s="17"/>
      <c r="Y31" s="17"/>
    </row>
    <row r="32" spans="1:25" ht="33.75" customHeight="1">
      <c r="A32" s="43" t="str">
        <f ca="1">IFERROR(__xludf.DUMMYFUNCTION("""COMPUTED_VALUE"""),"和成")</f>
        <v>和成</v>
      </c>
      <c r="B32" s="43" t="str">
        <f ca="1">IFERROR(__xludf.DUMMYFUNCTION("""COMPUTED_VALUE"""),"ＨＣＧ和成
 免治便座
 二段式配貨:商品先到後施工
 平日18:00後(晚間)及假日約裝有額外施工費需另付750元，額外施工費師傅出門就有車馬費用，不管是否有裝成功")</f>
        <v>ＨＣＧ和成
 免治便座
 二段式配貨:商品先到後施工
 平日18:00後(晚間)及假日約裝有額外施工費需另付750元，額外施工費師傅出門就有車馬費用，不管是否有裝成功</v>
      </c>
      <c r="C32" s="33" t="str">
        <f ca="1">IFERROR(__xludf.DUMMYFUNCTION("""COMPUTED_VALUE"""),"萬亜倩(貨況查詢)")</f>
        <v>萬亜倩(貨況查詢)</v>
      </c>
      <c r="D32" s="33" t="str">
        <f ca="1">IFERROR(__xludf.DUMMYFUNCTION("""COMPUTED_VALUE"""),"(03)3623105#1831")</f>
        <v>(03)3623105#1831</v>
      </c>
      <c r="E32" s="33" t="str">
        <f ca="1">IFERROR(__xludf.DUMMYFUNCTION("""COMPUTED_VALUE"""),"20463@hcgnet.com.tw")</f>
        <v>20463@hcgnet.com.tw</v>
      </c>
      <c r="F32" s="17"/>
      <c r="G32" s="17"/>
      <c r="H32" s="17"/>
      <c r="I32" s="17"/>
      <c r="J32" s="17"/>
      <c r="K32" s="17"/>
      <c r="L32" s="17"/>
      <c r="M32" s="17"/>
      <c r="N32" s="17"/>
      <c r="O32" s="17"/>
      <c r="P32" s="17"/>
      <c r="Q32" s="17"/>
      <c r="R32" s="17"/>
      <c r="S32" s="17"/>
      <c r="T32" s="17"/>
      <c r="U32" s="17"/>
      <c r="V32" s="17"/>
      <c r="W32" s="17"/>
      <c r="X32" s="17"/>
      <c r="Y32" s="17"/>
    </row>
    <row r="33" spans="1:25" ht="33.75" customHeight="1">
      <c r="A33" s="41"/>
      <c r="B33" s="41"/>
      <c r="C33" s="33" t="str">
        <f ca="1">IFERROR(__xludf.DUMMYFUNCTION("""COMPUTED_VALUE"""),"李翰林(業務窗口)")</f>
        <v>李翰林(業務窗口)</v>
      </c>
      <c r="D33" s="33" t="str">
        <f ca="1">IFERROR(__xludf.DUMMYFUNCTION("""COMPUTED_VALUE"""),"(03)362-3105 #1211")</f>
        <v>(03)362-3105 #1211</v>
      </c>
      <c r="E33" s="33" t="str">
        <f ca="1">IFERROR(__xludf.DUMMYFUNCTION("""COMPUTED_VALUE"""),"hcg20300@gmail.com")</f>
        <v>hcg20300@gmail.com</v>
      </c>
      <c r="F33" s="17"/>
      <c r="G33" s="17"/>
      <c r="H33" s="17"/>
      <c r="I33" s="17"/>
      <c r="J33" s="17"/>
      <c r="K33" s="17"/>
      <c r="L33" s="17"/>
      <c r="M33" s="17"/>
      <c r="N33" s="17"/>
      <c r="O33" s="17"/>
      <c r="P33" s="17"/>
      <c r="Q33" s="17"/>
      <c r="R33" s="17"/>
      <c r="S33" s="17"/>
      <c r="T33" s="17"/>
      <c r="U33" s="17"/>
      <c r="V33" s="17"/>
      <c r="W33" s="17"/>
      <c r="X33" s="17"/>
      <c r="Y33" s="17"/>
    </row>
    <row r="34" spans="1:25">
      <c r="A34" s="33" t="str">
        <f ca="1">IFERROR(__xludf.DUMMYFUNCTION("""COMPUTED_VALUE"""),"豪士多")</f>
        <v>豪士多</v>
      </c>
      <c r="B34" s="33" t="str">
        <f ca="1">IFERROR(__xludf.DUMMYFUNCTION("""COMPUTED_VALUE"""),"HCG(和成) 熱水器、瓦斯爐
二段式配貨(無舊機回收)
商品先到後施工
平日18:00後(晚間)及假日約裝有額外施工費需另付750元，額外施工費師傅出門就有車馬費用，不管是否有裝成功
(部分地區不配送詳QA)")</f>
        <v>HCG(和成) 熱水器、瓦斯爐
二段式配貨(無舊機回收)
商品先到後施工
平日18:00後(晚間)及假日約裝有額外施工費需另付750元，額外施工費師傅出門就有車馬費用，不管是否有裝成功
(部分地區不配送詳QA)</v>
      </c>
      <c r="C34" s="33" t="str">
        <f ca="1">IFERROR(__xludf.DUMMYFUNCTION("""COMPUTED_VALUE"""),"賴巧珊(貨況查詢)")</f>
        <v>賴巧珊(貨況查詢)</v>
      </c>
      <c r="D34" s="33" t="str">
        <f ca="1">IFERROR(__xludf.DUMMYFUNCTION("""COMPUTED_VALUE"""),"02-32345785#807")</f>
        <v>02-32345785#807</v>
      </c>
      <c r="E34" s="34" t="str">
        <f ca="1">IFERROR(__xludf.DUMMYFUNCTION("""COMPUTED_VALUE"""),"sarahlai@hostan.com.tw")</f>
        <v>sarahlai@hostan.com.tw</v>
      </c>
      <c r="F34" s="17"/>
      <c r="G34" s="17"/>
      <c r="H34" s="17"/>
      <c r="I34" s="17"/>
      <c r="J34" s="17"/>
      <c r="K34" s="17"/>
      <c r="L34" s="17"/>
      <c r="M34" s="17"/>
      <c r="N34" s="17"/>
      <c r="O34" s="17"/>
      <c r="P34" s="17"/>
      <c r="Q34" s="17"/>
      <c r="R34" s="17"/>
      <c r="S34" s="17"/>
      <c r="T34" s="17"/>
      <c r="U34" s="17"/>
      <c r="V34" s="17"/>
      <c r="W34" s="17"/>
      <c r="X34" s="17"/>
      <c r="Y34" s="17"/>
    </row>
    <row r="35" spans="1:25">
      <c r="A35" s="33" t="str">
        <f ca="1">IFERROR(__xludf.DUMMYFUNCTION("""COMPUTED_VALUE"""),"統領")</f>
        <v>統領</v>
      </c>
      <c r="B35" s="33" t="str">
        <f ca="1">IFERROR(__xludf.DUMMYFUNCTION("""COMPUTED_VALUE"""),"莊頭北、林內、喜特麗、豪山
 (熱水器、瓦斯爐)
 (偏遠/山區加收運費400元，部分地區不配送詳QA)(安裝不成功收取空趟費300元)
可舊機回收請在TOPS備註清楚")</f>
        <v>莊頭北、林內、喜特麗、豪山
 (熱水器、瓦斯爐)
 (偏遠/山區加收運費400元，部分地區不配送詳QA)(安裝不成功收取空趟費300元)
可舊機回收請在TOPS備註清楚</v>
      </c>
      <c r="C35" s="33" t="str">
        <f ca="1">IFERROR(__xludf.DUMMYFUNCTION("""COMPUTED_VALUE"""),"張庭萱(訂單/貨況查詢)")</f>
        <v>張庭萱(訂單/貨況查詢)</v>
      </c>
      <c r="D35" s="33" t="str">
        <f ca="1">IFERROR(__xludf.DUMMYFUNCTION("""COMPUTED_VALUE"""),"02-22689333")</f>
        <v>02-22689333</v>
      </c>
      <c r="E35" s="34" t="str">
        <f ca="1">IFERROR(__xludf.DUMMYFUNCTION("""COMPUTED_VALUE"""),"tonlinserver@gmail.com")</f>
        <v>tonlinserver@gmail.com</v>
      </c>
      <c r="F35" s="17"/>
      <c r="G35" s="17"/>
      <c r="H35" s="17"/>
      <c r="I35" s="17"/>
      <c r="J35" s="17"/>
      <c r="K35" s="17"/>
      <c r="L35" s="17"/>
      <c r="M35" s="17"/>
      <c r="N35" s="17"/>
      <c r="O35" s="17"/>
      <c r="P35" s="17"/>
      <c r="Q35" s="17"/>
      <c r="R35" s="17"/>
      <c r="S35" s="17"/>
      <c r="T35" s="17"/>
      <c r="U35" s="17"/>
      <c r="V35" s="17"/>
      <c r="W35" s="17"/>
      <c r="X35" s="17"/>
      <c r="Y35" s="17"/>
    </row>
    <row r="36" spans="1:25">
      <c r="A36" s="43" t="str">
        <f ca="1">IFERROR(__xludf.DUMMYFUNCTION("""COMPUTED_VALUE"""),"泰博")</f>
        <v>泰博</v>
      </c>
      <c r="B36" s="43" t="str">
        <f ca="1">IFERROR(__xludf.DUMMYFUNCTION("""COMPUTED_VALUE"""),"福爾
血壓血糖計、額溫槍")</f>
        <v>福爾
血壓血糖計、額溫槍</v>
      </c>
      <c r="C36" s="33" t="str">
        <f ca="1">IFERROR(__xludf.DUMMYFUNCTION("""COMPUTED_VALUE"""),"王安妮&amp;張維邦 
 (貨況查詢、產品諮詢)")</f>
        <v>王安妮&amp;張維邦 
 (貨況查詢、產品諮詢)</v>
      </c>
      <c r="D36" s="33" t="str">
        <f ca="1">IFERROR(__xludf.DUMMYFUNCTION("""COMPUTED_VALUE"""),"02-6625-8188#2178
02-6625-8188#2172")</f>
        <v>02-6625-8188#2178
02-6625-8188#2172</v>
      </c>
      <c r="E36" s="34" t="str">
        <f ca="1">IFERROR(__xludf.DUMMYFUNCTION("""COMPUTED_VALUE"""),"Annie.Wang@taidoc.com.tw
 weipang.chang@taidoc.com.tw")</f>
        <v>Annie.Wang@taidoc.com.tw
 weipang.chang@taidoc.com.tw</v>
      </c>
      <c r="F36" s="17"/>
      <c r="G36" s="17"/>
      <c r="H36" s="17"/>
      <c r="I36" s="17"/>
      <c r="J36" s="17"/>
      <c r="K36" s="17"/>
      <c r="L36" s="17"/>
      <c r="M36" s="17"/>
      <c r="N36" s="17"/>
      <c r="O36" s="17"/>
      <c r="P36" s="17"/>
      <c r="Q36" s="17"/>
      <c r="R36" s="17"/>
      <c r="S36" s="17"/>
      <c r="T36" s="17"/>
      <c r="U36" s="17"/>
      <c r="V36" s="17"/>
      <c r="W36" s="17"/>
      <c r="X36" s="17"/>
      <c r="Y36" s="17"/>
    </row>
    <row r="37" spans="1:25">
      <c r="A37" s="41"/>
      <c r="B37" s="41"/>
      <c r="C37" s="33" t="str">
        <f ca="1">IFERROR(__xludf.DUMMYFUNCTION("""COMPUTED_VALUE"""),"陳信宏(業務窗口)")</f>
        <v>陳信宏(業務窗口)</v>
      </c>
      <c r="D37" s="33" t="str">
        <f ca="1">IFERROR(__xludf.DUMMYFUNCTION("""COMPUTED_VALUE"""),"02-6625-8188#6118")</f>
        <v>02-6625-8188#6118</v>
      </c>
      <c r="E37" s="34" t="str">
        <f ca="1">IFERROR(__xludf.DUMMYFUNCTION("""COMPUTED_VALUE"""),"jacky@taidoc.com.tw")</f>
        <v>jacky@taidoc.com.tw</v>
      </c>
      <c r="F37" s="17"/>
      <c r="G37" s="17"/>
      <c r="H37" s="17"/>
      <c r="I37" s="17"/>
      <c r="J37" s="17"/>
      <c r="K37" s="17"/>
      <c r="L37" s="17"/>
      <c r="M37" s="17"/>
      <c r="N37" s="17"/>
      <c r="O37" s="17"/>
      <c r="P37" s="17"/>
      <c r="Q37" s="17"/>
      <c r="R37" s="17"/>
      <c r="S37" s="17"/>
      <c r="T37" s="17"/>
      <c r="U37" s="17"/>
      <c r="V37" s="17"/>
      <c r="W37" s="17"/>
      <c r="X37" s="17"/>
      <c r="Y37" s="17"/>
    </row>
    <row r="38" spans="1:25">
      <c r="A38" s="33" t="str">
        <f ca="1">IFERROR(__xludf.DUMMYFUNCTION("""COMPUTED_VALUE"""),"可易家電")</f>
        <v>可易家電</v>
      </c>
      <c r="B38" s="33" t="str">
        <f ca="1">IFERROR(__xludf.DUMMYFUNCTION("""COMPUTED_VALUE"""),"Iris   (不含風扇)
 KOIZUMI")</f>
        <v>Iris   (不含風扇)
 KOIZUMI</v>
      </c>
      <c r="C38" s="33" t="str">
        <f ca="1">IFERROR(__xludf.DUMMYFUNCTION("""COMPUTED_VALUE"""),"曹薏茹")</f>
        <v>曹薏茹</v>
      </c>
      <c r="D38" s="33" t="str">
        <f ca="1">IFERROR(__xludf.DUMMYFUNCTION("""COMPUTED_VALUE"""),"02-2895-1001#13
")</f>
        <v xml:space="preserve">02-2895-1001#13
</v>
      </c>
      <c r="E38" s="33" t="str">
        <f ca="1">IFERROR(__xludf.DUMMYFUNCTION("""COMPUTED_VALUE"""),"sl03@presto.com.tw")</f>
        <v>sl03@presto.com.tw</v>
      </c>
      <c r="F38" s="17"/>
      <c r="G38" s="17"/>
      <c r="H38" s="17"/>
      <c r="I38" s="17"/>
      <c r="J38" s="17"/>
      <c r="K38" s="17"/>
      <c r="L38" s="17"/>
      <c r="M38" s="17"/>
      <c r="N38" s="17"/>
      <c r="O38" s="17"/>
      <c r="P38" s="17"/>
      <c r="Q38" s="17"/>
      <c r="R38" s="17"/>
      <c r="S38" s="17"/>
      <c r="T38" s="17"/>
      <c r="U38" s="17"/>
      <c r="V38" s="17"/>
      <c r="W38" s="17"/>
      <c r="X38" s="17"/>
      <c r="Y38" s="17"/>
    </row>
    <row r="39" spans="1:25">
      <c r="A39" s="33" t="str">
        <f ca="1">IFERROR(__xludf.DUMMYFUNCTION("""COMPUTED_VALUE"""),"祥豪資訊")</f>
        <v>祥豪資訊</v>
      </c>
      <c r="B39" s="33" t="str">
        <f ca="1">IFERROR(__xludf.DUMMYFUNCTION("""COMPUTED_VALUE"""),"Logitech")</f>
        <v>Logitech</v>
      </c>
      <c r="C39" s="33" t="str">
        <f ca="1">IFERROR(__xludf.DUMMYFUNCTION("""COMPUTED_VALUE"""),"邱湘敏")</f>
        <v>邱湘敏</v>
      </c>
      <c r="D39" s="33" t="str">
        <f ca="1">IFERROR(__xludf.DUMMYFUNCTION("""COMPUTED_VALUE"""),"02-6625-2345#734")</f>
        <v>02-6625-2345#734</v>
      </c>
      <c r="E39" s="34" t="str">
        <f ca="1">IFERROR(__xludf.DUMMYFUNCTION("""COMPUTED_VALUE"""),"Yuki@thebest.com.tw")</f>
        <v>Yuki@thebest.com.tw</v>
      </c>
      <c r="F39" s="17"/>
      <c r="G39" s="17"/>
      <c r="H39" s="17"/>
      <c r="I39" s="17"/>
      <c r="J39" s="17"/>
      <c r="K39" s="17"/>
      <c r="L39" s="17"/>
      <c r="M39" s="17"/>
      <c r="N39" s="17"/>
      <c r="O39" s="17"/>
      <c r="P39" s="17"/>
      <c r="Q39" s="17"/>
      <c r="R39" s="17"/>
      <c r="S39" s="17"/>
      <c r="T39" s="17"/>
      <c r="U39" s="17"/>
      <c r="V39" s="17"/>
      <c r="W39" s="17"/>
      <c r="X39" s="17"/>
      <c r="Y39" s="17"/>
    </row>
    <row r="40" spans="1:25">
      <c r="A40" s="33" t="str">
        <f ca="1">IFERROR(__xludf.DUMMYFUNCTION("""COMPUTED_VALUE"""),"台灣三洋")</f>
        <v>台灣三洋</v>
      </c>
      <c r="B40" s="33" t="str">
        <f ca="1">IFERROR(__xludf.DUMMYFUNCTION("""COMPUTED_VALUE"""),"台灣三洋
 (中午後配送)")</f>
        <v>台灣三洋
 (中午後配送)</v>
      </c>
      <c r="C40" s="33" t="str">
        <f ca="1">IFERROR(__xludf.DUMMYFUNCTION("""COMPUTED_VALUE"""),"彭康芸(產品&amp;訂單)  0972-016-000")</f>
        <v>彭康芸(產品&amp;訂單)  0972-016-000</v>
      </c>
      <c r="D40" s="33" t="str">
        <f ca="1">IFERROR(__xludf.DUMMYFUNCTION("""COMPUTED_VALUE"""),"02-2521-0251#7103")</f>
        <v>02-2521-0251#7103</v>
      </c>
      <c r="E40" s="34" t="str">
        <f ca="1">IFERROR(__xludf.DUMMYFUNCTION("""COMPUTED_VALUE"""),"sb7398@sanyo.com.tw")</f>
        <v>sb7398@sanyo.com.tw</v>
      </c>
      <c r="F40" s="17"/>
      <c r="G40" s="17"/>
      <c r="H40" s="17"/>
      <c r="I40" s="17"/>
      <c r="J40" s="17"/>
      <c r="K40" s="17"/>
      <c r="L40" s="17"/>
      <c r="M40" s="17"/>
      <c r="N40" s="17"/>
      <c r="O40" s="17"/>
      <c r="P40" s="17"/>
      <c r="Q40" s="17"/>
      <c r="R40" s="17"/>
      <c r="S40" s="17"/>
      <c r="T40" s="17"/>
      <c r="U40" s="17"/>
      <c r="V40" s="17"/>
      <c r="W40" s="17"/>
      <c r="X40" s="17"/>
      <c r="Y40" s="17"/>
    </row>
    <row r="41" spans="1:25">
      <c r="A41" s="33" t="str">
        <f ca="1">IFERROR(__xludf.DUMMYFUNCTION("""COMPUTED_VALUE"""),"麗晶國際")</f>
        <v>麗晶國際</v>
      </c>
      <c r="B41" s="33" t="str">
        <f ca="1">IFERROR(__xludf.DUMMYFUNCTION("""COMPUTED_VALUE"""),"ZANWA晶華、SONGEN松井")</f>
        <v>ZANWA晶華、SONGEN松井</v>
      </c>
      <c r="C41" s="33" t="str">
        <f ca="1">IFERROR(__xludf.DUMMYFUNCTION("""COMPUTED_VALUE"""),"胡鈞代(產品)
陳信豪(訂單)")</f>
        <v>胡鈞代(產品)
陳信豪(訂單)</v>
      </c>
      <c r="D41" s="33" t="str">
        <f ca="1">IFERROR(__xludf.DUMMYFUNCTION("""COMPUTED_VALUE"""),"07-372-3066#19
07-372-3066#16")</f>
        <v>07-372-3066#19
07-372-3066#16</v>
      </c>
      <c r="E41" s="33" t="str">
        <f ca="1">IFERROR(__xludf.DUMMYFUNCTION("""COMPUTED_VALUE"""),"pastartc05@gmail.com
pastartc06@gmail.com")</f>
        <v>pastartc05@gmail.com
pastartc06@gmail.com</v>
      </c>
      <c r="F41" s="17"/>
      <c r="G41" s="17"/>
      <c r="H41" s="17"/>
      <c r="I41" s="17"/>
      <c r="J41" s="17"/>
      <c r="K41" s="17"/>
      <c r="L41" s="17"/>
      <c r="M41" s="17"/>
      <c r="N41" s="17"/>
      <c r="O41" s="17"/>
      <c r="P41" s="17"/>
      <c r="Q41" s="17"/>
      <c r="R41" s="17"/>
      <c r="S41" s="17"/>
      <c r="T41" s="17"/>
      <c r="U41" s="17"/>
      <c r="V41" s="17"/>
      <c r="W41" s="17"/>
      <c r="X41" s="17"/>
      <c r="Y41" s="17"/>
    </row>
    <row r="42" spans="1:25">
      <c r="A42" s="43" t="str">
        <f ca="1">IFERROR(__xludf.DUMMYFUNCTION("""COMPUTED_VALUE"""),"上洋")</f>
        <v>上洋</v>
      </c>
      <c r="B42" s="43" t="str">
        <f ca="1">IFERROR(__xludf.DUMMYFUNCTION("""COMPUTED_VALUE"""),"三菱重工
(空調)
優必洗
(洗/烘衣機)")</f>
        <v>三菱重工
(空調)
優必洗
(洗/烘衣機)</v>
      </c>
      <c r="C42" s="33" t="str">
        <f ca="1">IFERROR(__xludf.DUMMYFUNCTION("""COMPUTED_VALUE"""),"鄭凱倫 (主業務)")</f>
        <v>鄭凱倫 (主業務)</v>
      </c>
      <c r="D42" s="33" t="str">
        <f ca="1">IFERROR(__xludf.DUMMYFUNCTION("""COMPUTED_VALUE"""),"02-2298-3567 #2209
0989-177-148先打")</f>
        <v>02-2298-3567 #2209
0989-177-148先打</v>
      </c>
      <c r="E42" s="33" t="str">
        <f ca="1">IFERROR(__xludf.DUMMYFUNCTION("""COMPUTED_VALUE"""),"kai.zheng@upyoung.com.tw")</f>
        <v>kai.zheng@upyoung.com.tw</v>
      </c>
      <c r="F42" s="17"/>
      <c r="G42" s="17"/>
      <c r="H42" s="17"/>
      <c r="I42" s="17"/>
      <c r="J42" s="17"/>
      <c r="K42" s="17"/>
      <c r="L42" s="17"/>
      <c r="M42" s="17"/>
      <c r="N42" s="17"/>
      <c r="O42" s="17"/>
      <c r="P42" s="17"/>
      <c r="Q42" s="17"/>
      <c r="R42" s="17"/>
      <c r="S42" s="17"/>
      <c r="T42" s="17"/>
      <c r="U42" s="17"/>
      <c r="V42" s="17"/>
      <c r="W42" s="17"/>
      <c r="X42" s="17"/>
      <c r="Y42" s="17"/>
    </row>
    <row r="43" spans="1:25">
      <c r="A43" s="41"/>
      <c r="B43" s="41"/>
      <c r="C43" s="33" t="str">
        <f ca="1">IFERROR(__xludf.DUMMYFUNCTION("""COMPUTED_VALUE"""),"新北市五股區五權五路2號6樓")</f>
        <v>新北市五股區五權五路2號6樓</v>
      </c>
      <c r="D43" s="33"/>
      <c r="E43" s="33"/>
      <c r="F43" s="17"/>
      <c r="G43" s="17"/>
      <c r="H43" s="17"/>
      <c r="I43" s="17"/>
      <c r="J43" s="17"/>
      <c r="K43" s="17"/>
      <c r="L43" s="17"/>
      <c r="M43" s="17"/>
      <c r="N43" s="17"/>
      <c r="O43" s="17"/>
      <c r="P43" s="17"/>
      <c r="Q43" s="17"/>
      <c r="R43" s="17"/>
      <c r="S43" s="17"/>
      <c r="T43" s="17"/>
      <c r="U43" s="17"/>
      <c r="V43" s="17"/>
      <c r="W43" s="17"/>
      <c r="X43" s="17"/>
      <c r="Y43" s="17"/>
    </row>
    <row r="44" spans="1:25">
      <c r="A44" s="43" t="str">
        <f ca="1">IFERROR(__xludf.DUMMYFUNCTION("""COMPUTED_VALUE"""),"昶宏")</f>
        <v>昶宏</v>
      </c>
      <c r="B44" s="43" t="str">
        <f ca="1">IFERROR(__xludf.DUMMYFUNCTION("""COMPUTED_VALUE"""),"Niconico
聲寶料理鍋")</f>
        <v>Niconico
聲寶料理鍋</v>
      </c>
      <c r="C44" s="33" t="str">
        <f ca="1">IFERROR(__xludf.DUMMYFUNCTION("""COMPUTED_VALUE"""),"夏莉芬(訂單)")</f>
        <v>夏莉芬(訂單)</v>
      </c>
      <c r="D44" s="33" t="str">
        <f ca="1">IFERROR(__xludf.DUMMYFUNCTION("""COMPUTED_VALUE"""),"02-2904-1877#208")</f>
        <v>02-2904-1877#208</v>
      </c>
      <c r="E44" s="34" t="str">
        <f ca="1">IFERROR(__xludf.DUMMYFUNCTION("""COMPUTED_VALUE"""),"bass01@b-a-s-s.com.tw
 Ivy@b-a-s-s.com.tw")</f>
        <v>bass01@b-a-s-s.com.tw
 Ivy@b-a-s-s.com.tw</v>
      </c>
      <c r="F44" s="17"/>
      <c r="G44" s="17"/>
      <c r="H44" s="17"/>
      <c r="I44" s="17"/>
      <c r="J44" s="17"/>
      <c r="K44" s="17"/>
      <c r="L44" s="17"/>
      <c r="M44" s="17"/>
      <c r="N44" s="17"/>
      <c r="O44" s="17"/>
      <c r="P44" s="17"/>
      <c r="Q44" s="17"/>
      <c r="R44" s="17"/>
      <c r="S44" s="17"/>
      <c r="T44" s="17"/>
      <c r="U44" s="17"/>
      <c r="V44" s="17"/>
      <c r="W44" s="17"/>
      <c r="X44" s="17"/>
      <c r="Y44" s="17"/>
    </row>
    <row r="45" spans="1:25">
      <c r="A45" s="41"/>
      <c r="B45" s="41"/>
      <c r="C45" s="33" t="str">
        <f ca="1">IFERROR(__xludf.DUMMYFUNCTION("""COMPUTED_VALUE"""),"柯芙蓉(業務)")</f>
        <v>柯芙蓉(業務)</v>
      </c>
      <c r="D45" s="33" t="str">
        <f ca="1">IFERROR(__xludf.DUMMYFUNCTION("""COMPUTED_VALUE"""),"02-2904-1877#212")</f>
        <v>02-2904-1877#212</v>
      </c>
      <c r="E45" s="34" t="str">
        <f ca="1">IFERROR(__xludf.DUMMYFUNCTION("""COMPUTED_VALUE"""),"fone@b-a-s-s.com.tw")</f>
        <v>fone@b-a-s-s.com.tw</v>
      </c>
      <c r="F45" s="17"/>
      <c r="G45" s="17"/>
      <c r="H45" s="17"/>
      <c r="I45" s="17"/>
      <c r="J45" s="17"/>
      <c r="K45" s="17"/>
      <c r="L45" s="17"/>
      <c r="M45" s="17"/>
      <c r="N45" s="17"/>
      <c r="O45" s="17"/>
      <c r="P45" s="17"/>
      <c r="Q45" s="17"/>
      <c r="R45" s="17"/>
      <c r="S45" s="17"/>
      <c r="T45" s="17"/>
      <c r="U45" s="17"/>
      <c r="V45" s="17"/>
      <c r="W45" s="17"/>
      <c r="X45" s="17"/>
      <c r="Y45" s="17"/>
    </row>
    <row r="46" spans="1:25">
      <c r="A46" s="43" t="str">
        <f ca="1">IFERROR(__xludf.DUMMYFUNCTION("""COMPUTED_VALUE"""),"建達")</f>
        <v>建達</v>
      </c>
      <c r="B46" s="43" t="str">
        <f ca="1">IFERROR(__xludf.DUMMYFUNCTION("""COMPUTED_VALUE"""),"TP-Link、AOC電視")</f>
        <v>TP-Link、AOC電視</v>
      </c>
      <c r="C46" s="33" t="str">
        <f ca="1">IFERROR(__xludf.DUMMYFUNCTION("""COMPUTED_VALUE"""),"蘇怡禎(訂單)")</f>
        <v>蘇怡禎(訂單)</v>
      </c>
      <c r="D46" s="33" t="str">
        <f ca="1">IFERROR(__xludf.DUMMYFUNCTION("""COMPUTED_VALUE"""),"02-2219-1600#3906")</f>
        <v>02-2219-1600#3906</v>
      </c>
      <c r="E46" s="34" t="str">
        <f ca="1">IFERROR(__xludf.DUMMYFUNCTION("""COMPUTED_VALUE"""),"Hi-netplace@xander.com.tw")</f>
        <v>Hi-netplace@xander.com.tw</v>
      </c>
      <c r="F46" s="17"/>
      <c r="G46" s="17"/>
      <c r="H46" s="17"/>
      <c r="I46" s="17"/>
      <c r="J46" s="17"/>
      <c r="K46" s="17"/>
      <c r="L46" s="17"/>
      <c r="M46" s="17"/>
      <c r="N46" s="17"/>
      <c r="O46" s="17"/>
      <c r="P46" s="17"/>
      <c r="Q46" s="17"/>
      <c r="R46" s="17"/>
      <c r="S46" s="17"/>
      <c r="T46" s="17"/>
      <c r="U46" s="17"/>
      <c r="V46" s="17"/>
      <c r="W46" s="17"/>
      <c r="X46" s="17"/>
      <c r="Y46" s="17"/>
    </row>
    <row r="47" spans="1:25">
      <c r="A47" s="42"/>
      <c r="B47" s="42"/>
      <c r="C47" s="33" t="str">
        <f ca="1">IFERROR(__xludf.DUMMYFUNCTION("""COMPUTED_VALUE"""),"楊尚霖(業務)")</f>
        <v>楊尚霖(業務)</v>
      </c>
      <c r="D47" s="33" t="str">
        <f ca="1">IFERROR(__xludf.DUMMYFUNCTION("""COMPUTED_VALUE"""),"02-2219-1600#3963")</f>
        <v>02-2219-1600#3963</v>
      </c>
      <c r="E47" s="33" t="str">
        <f ca="1">IFERROR(__xludf.DUMMYFUNCTION("""COMPUTED_VALUE"""),"Jack_Yang@xander.com.tw")</f>
        <v>Jack_Yang@xander.com.tw</v>
      </c>
      <c r="F47" s="17"/>
      <c r="G47" s="17"/>
      <c r="H47" s="17"/>
      <c r="I47" s="17"/>
      <c r="J47" s="17"/>
      <c r="K47" s="17"/>
      <c r="L47" s="17"/>
      <c r="M47" s="17"/>
      <c r="N47" s="17"/>
      <c r="O47" s="17"/>
      <c r="P47" s="17"/>
      <c r="Q47" s="17"/>
      <c r="R47" s="17"/>
      <c r="S47" s="17"/>
      <c r="T47" s="17"/>
      <c r="U47" s="17"/>
      <c r="V47" s="17"/>
      <c r="W47" s="17"/>
      <c r="X47" s="17"/>
      <c r="Y47" s="17"/>
    </row>
    <row r="48" spans="1:25">
      <c r="A48" s="41"/>
      <c r="B48" s="41"/>
      <c r="C48" s="33" t="str">
        <f ca="1">IFERROR(__xludf.DUMMYFUNCTION("""COMPUTED_VALUE"""),"郭小姐(報修)")</f>
        <v>郭小姐(報修)</v>
      </c>
      <c r="D48" s="33" t="str">
        <f ca="1">IFERROR(__xludf.DUMMYFUNCTION("""COMPUTED_VALUE"""),"02-2602-8111")</f>
        <v>02-2602-8111</v>
      </c>
      <c r="E48" s="33"/>
      <c r="F48" s="17"/>
      <c r="G48" s="17"/>
      <c r="H48" s="17"/>
      <c r="I48" s="17"/>
      <c r="J48" s="17"/>
      <c r="K48" s="17"/>
      <c r="L48" s="17"/>
      <c r="M48" s="17"/>
      <c r="N48" s="17"/>
      <c r="O48" s="17"/>
      <c r="P48" s="17"/>
      <c r="Q48" s="17"/>
      <c r="R48" s="17"/>
      <c r="S48" s="17"/>
      <c r="T48" s="17"/>
      <c r="U48" s="17"/>
      <c r="V48" s="17"/>
      <c r="W48" s="17"/>
      <c r="X48" s="17"/>
      <c r="Y48" s="17"/>
    </row>
    <row r="49" spans="1:25">
      <c r="A49" s="43" t="str">
        <f ca="1">IFERROR(__xludf.DUMMYFUNCTION("""COMPUTED_VALUE"""),"飛樂")</f>
        <v>飛樂</v>
      </c>
      <c r="B49" s="43" t="str">
        <f ca="1">IFERROR(__xludf.DUMMYFUNCTION("""COMPUTED_VALUE"""),"飛樂
 Arlink")</f>
        <v>飛樂
 Arlink</v>
      </c>
      <c r="C49" s="33" t="str">
        <f ca="1">IFERROR(__xludf.DUMMYFUNCTION("""COMPUTED_VALUE"""),"陳幸君")</f>
        <v>陳幸君</v>
      </c>
      <c r="D49" s="33" t="str">
        <f ca="1">IFERROR(__xludf.DUMMYFUNCTION("""COMPUTED_VALUE"""),"04-2525-4299#105")</f>
        <v>04-2525-4299#105</v>
      </c>
      <c r="E49" s="34" t="str">
        <f ca="1">IFERROR(__xludf.DUMMYFUNCTION("""COMPUTED_VALUE"""),"philo1699@gmail.com")</f>
        <v>philo1699@gmail.com</v>
      </c>
      <c r="F49" s="17"/>
      <c r="G49" s="17"/>
      <c r="H49" s="17"/>
      <c r="I49" s="17"/>
      <c r="J49" s="17"/>
      <c r="K49" s="17"/>
      <c r="L49" s="17"/>
      <c r="M49" s="17"/>
      <c r="N49" s="17"/>
      <c r="O49" s="17"/>
      <c r="P49" s="17"/>
      <c r="Q49" s="17"/>
      <c r="R49" s="17"/>
      <c r="S49" s="17"/>
      <c r="T49" s="17"/>
      <c r="U49" s="17"/>
      <c r="V49" s="17"/>
      <c r="W49" s="17"/>
      <c r="X49" s="17"/>
      <c r="Y49" s="17"/>
    </row>
    <row r="50" spans="1:25">
      <c r="A50" s="41"/>
      <c r="B50" s="41"/>
      <c r="C50" s="33" t="str">
        <f ca="1">IFERROR(__xludf.DUMMYFUNCTION("""COMPUTED_VALUE"""),"陳頌智")</f>
        <v>陳頌智</v>
      </c>
      <c r="D50" s="33" t="str">
        <f ca="1">IFERROR(__xludf.DUMMYFUNCTION("""COMPUTED_VALUE"""),"04-2525-4299#202")</f>
        <v>04-2525-4299#202</v>
      </c>
      <c r="E50" s="34" t="str">
        <f ca="1">IFERROR(__xludf.DUMMYFUNCTION("""COMPUTED_VALUE"""),"momoarlink@gmail.com")</f>
        <v>momoarlink@gmail.com</v>
      </c>
      <c r="F50" s="17"/>
      <c r="G50" s="17"/>
      <c r="H50" s="17"/>
      <c r="I50" s="17"/>
      <c r="J50" s="17"/>
      <c r="K50" s="17"/>
      <c r="L50" s="17"/>
      <c r="M50" s="17"/>
      <c r="N50" s="17"/>
      <c r="O50" s="17"/>
      <c r="P50" s="17"/>
      <c r="Q50" s="17"/>
      <c r="R50" s="17"/>
      <c r="S50" s="17"/>
      <c r="T50" s="17"/>
      <c r="U50" s="17"/>
      <c r="V50" s="17"/>
      <c r="W50" s="17"/>
      <c r="X50" s="17"/>
      <c r="Y50" s="17"/>
    </row>
    <row r="51" spans="1:25">
      <c r="A51" s="33" t="str">
        <f ca="1">IFERROR(__xludf.DUMMYFUNCTION("""COMPUTED_VALUE"""),"捷元")</f>
        <v>捷元</v>
      </c>
      <c r="B51" s="33" t="str">
        <f ca="1">IFERROR(__xludf.DUMMYFUNCTION("""COMPUTED_VALUE"""),"Philips")</f>
        <v>Philips</v>
      </c>
      <c r="C51" s="33" t="str">
        <f ca="1">IFERROR(__xludf.DUMMYFUNCTION("""COMPUTED_VALUE"""),"林燕")</f>
        <v>林燕</v>
      </c>
      <c r="D51" s="33" t="str">
        <f ca="1">IFERROR(__xludf.DUMMYFUNCTION("""COMPUTED_VALUE"""),"02-2795-6677#162")</f>
        <v>02-2795-6677#162</v>
      </c>
      <c r="E51" s="33" t="str">
        <f ca="1">IFERROR(__xludf.DUMMYFUNCTION("""COMPUTED_VALUE"""),"Amy.lin@gcnc-group.com")</f>
        <v>Amy.lin@gcnc-group.com</v>
      </c>
      <c r="F51" s="17"/>
      <c r="G51" s="17"/>
      <c r="H51" s="17"/>
      <c r="I51" s="17"/>
      <c r="J51" s="17"/>
      <c r="K51" s="17"/>
      <c r="L51" s="17"/>
      <c r="M51" s="17"/>
      <c r="N51" s="17"/>
      <c r="O51" s="17"/>
      <c r="P51" s="17"/>
      <c r="Q51" s="17"/>
      <c r="R51" s="17"/>
      <c r="S51" s="17"/>
      <c r="T51" s="17"/>
      <c r="U51" s="17"/>
      <c r="V51" s="17"/>
      <c r="W51" s="17"/>
      <c r="X51" s="17"/>
      <c r="Y51" s="17"/>
    </row>
    <row r="52" spans="1:25">
      <c r="A52" s="43" t="str">
        <f ca="1">IFERROR(__xludf.DUMMYFUNCTION("""COMPUTED_VALUE"""),"喬山")</f>
        <v>喬山</v>
      </c>
      <c r="B52" s="43" t="str">
        <f ca="1">IFERROR(__xludf.DUMMYFUNCTION("""COMPUTED_VALUE"""),"Johnson")</f>
        <v>Johnson</v>
      </c>
      <c r="C52" s="33" t="str">
        <f ca="1">IFERROR(__xludf.DUMMYFUNCTION("""COMPUTED_VALUE"""),"紀典宏(業務)")</f>
        <v>紀典宏(業務)</v>
      </c>
      <c r="D52" s="35" t="str">
        <f ca="1">IFERROR(__xludf.DUMMYFUNCTION("""COMPUTED_VALUE"""),"0921-654-707")</f>
        <v>0921-654-707</v>
      </c>
      <c r="E52" s="33" t="str">
        <f ca="1">IFERROR(__xludf.DUMMYFUNCTION("""COMPUTED_VALUE"""),"jidh@johnsonfitness.com")</f>
        <v>jidh@johnsonfitness.com</v>
      </c>
      <c r="F52" s="17"/>
      <c r="G52" s="17"/>
      <c r="H52" s="17"/>
      <c r="I52" s="17"/>
      <c r="J52" s="17"/>
      <c r="K52" s="17"/>
      <c r="L52" s="17"/>
      <c r="M52" s="17"/>
      <c r="N52" s="17"/>
      <c r="O52" s="17"/>
      <c r="P52" s="17"/>
      <c r="Q52" s="17"/>
      <c r="R52" s="17"/>
      <c r="S52" s="17"/>
      <c r="T52" s="17"/>
      <c r="U52" s="17"/>
      <c r="V52" s="17"/>
      <c r="W52" s="17"/>
      <c r="X52" s="17"/>
      <c r="Y52" s="17"/>
    </row>
    <row r="53" spans="1:25">
      <c r="A53" s="41"/>
      <c r="B53" s="41"/>
      <c r="C53" s="33" t="str">
        <f ca="1">IFERROR(__xludf.DUMMYFUNCTION("""COMPUTED_VALUE"""),"洪雅雯(訂單)")</f>
        <v>洪雅雯(訂單)</v>
      </c>
      <c r="D53" s="33" t="str">
        <f ca="1">IFERROR(__xludf.DUMMYFUNCTION("""COMPUTED_VALUE"""),"04-2566-7100*215")</f>
        <v>04-2566-7100*215</v>
      </c>
      <c r="E53" s="33" t="str">
        <f ca="1">IFERROR(__xludf.DUMMYFUNCTION("""COMPUTED_VALUE"""),"APPLEHUNG@johnsonfitness.com")</f>
        <v>APPLEHUNG@johnsonfitness.com</v>
      </c>
      <c r="F53" s="17"/>
      <c r="G53" s="17"/>
      <c r="H53" s="17"/>
      <c r="I53" s="17"/>
      <c r="J53" s="17"/>
      <c r="K53" s="17"/>
      <c r="L53" s="17"/>
      <c r="M53" s="17"/>
      <c r="N53" s="17"/>
      <c r="O53" s="17"/>
      <c r="P53" s="17"/>
      <c r="Q53" s="17"/>
      <c r="R53" s="17"/>
      <c r="S53" s="17"/>
      <c r="T53" s="17"/>
      <c r="U53" s="17"/>
      <c r="V53" s="17"/>
      <c r="W53" s="17"/>
      <c r="X53" s="17"/>
      <c r="Y53" s="17"/>
    </row>
    <row r="54" spans="1:25">
      <c r="A54" s="43" t="str">
        <f ca="1">IFERROR(__xludf.DUMMYFUNCTION("""COMPUTED_VALUE"""),"燦坤")</f>
        <v>燦坤</v>
      </c>
      <c r="B54" s="43" t="str">
        <f ca="1">IFERROR(__xludf.DUMMYFUNCTION("""COMPUTED_VALUE"""),"SONY電視")</f>
        <v>SONY電視</v>
      </c>
      <c r="C54" s="33" t="str">
        <f ca="1">IFERROR(__xludf.DUMMYFUNCTION("""COMPUTED_VALUE"""),"巫家儀(訂單)")</f>
        <v>巫家儀(訂單)</v>
      </c>
      <c r="D54" s="33" t="str">
        <f ca="1">IFERROR(__xludf.DUMMYFUNCTION("""COMPUTED_VALUE"""),"02-7720-3999*10826")</f>
        <v>02-7720-3999*10826</v>
      </c>
      <c r="E54" s="33" t="str">
        <f ca="1">IFERROR(__xludf.DUMMYFUNCTION("""COMPUTED_VALUE"""),"cust_manage@tk3c.com")</f>
        <v>cust_manage@tk3c.com</v>
      </c>
      <c r="F54" s="17"/>
      <c r="G54" s="17"/>
      <c r="H54" s="17"/>
      <c r="I54" s="17"/>
      <c r="J54" s="17"/>
      <c r="K54" s="17"/>
      <c r="L54" s="17"/>
      <c r="M54" s="17"/>
      <c r="N54" s="17"/>
      <c r="O54" s="17"/>
      <c r="P54" s="17"/>
      <c r="Q54" s="17"/>
      <c r="R54" s="17"/>
      <c r="S54" s="17"/>
      <c r="T54" s="17"/>
      <c r="U54" s="17"/>
      <c r="V54" s="17"/>
      <c r="W54" s="17"/>
      <c r="X54" s="17"/>
      <c r="Y54" s="17"/>
    </row>
    <row r="55" spans="1:25">
      <c r="A55" s="41"/>
      <c r="B55" s="41"/>
      <c r="C55" s="33" t="str">
        <f ca="1">IFERROR(__xludf.DUMMYFUNCTION("""COMPUTED_VALUE"""),"蘇治韻(業務)")</f>
        <v>蘇治韻(業務)</v>
      </c>
      <c r="D55" s="33" t="str">
        <f ca="1">IFERROR(__xludf.DUMMYFUNCTION("""COMPUTED_VALUE"""),"02-7720-3999#10812")</f>
        <v>02-7720-3999#10812</v>
      </c>
      <c r="E55" s="33" t="str">
        <f ca="1">IFERROR(__xludf.DUMMYFUNCTION("""COMPUTED_VALUE"""),"jean_su@tk3c.tsannkuen.com")</f>
        <v>jean_su@tk3c.tsannkuen.com</v>
      </c>
      <c r="F55" s="17"/>
      <c r="G55" s="17"/>
      <c r="H55" s="17"/>
      <c r="I55" s="17"/>
      <c r="J55" s="17"/>
      <c r="K55" s="17"/>
      <c r="L55" s="17"/>
      <c r="M55" s="17"/>
      <c r="N55" s="17"/>
      <c r="O55" s="17"/>
      <c r="P55" s="17"/>
      <c r="Q55" s="17"/>
      <c r="R55" s="17"/>
      <c r="S55" s="17"/>
      <c r="T55" s="17"/>
      <c r="U55" s="17"/>
      <c r="V55" s="17"/>
      <c r="W55" s="17"/>
      <c r="X55" s="17"/>
      <c r="Y55" s="17"/>
    </row>
    <row r="56" spans="1:25">
      <c r="A56" s="43" t="str">
        <f ca="1">IFERROR(__xludf.DUMMYFUNCTION("""COMPUTED_VALUE"""),"達標智源")</f>
        <v>達標智源</v>
      </c>
      <c r="B56" s="43" t="str">
        <f ca="1">IFERROR(__xludf.DUMMYFUNCTION("""COMPUTED_VALUE"""),"dpsmart")</f>
        <v>dpsmart</v>
      </c>
      <c r="C56" s="33" t="str">
        <f ca="1">IFERROR(__xludf.DUMMYFUNCTION("""COMPUTED_VALUE"""),"潘麗美(訂單查詢出貨)")</f>
        <v>潘麗美(訂單查詢出貨)</v>
      </c>
      <c r="D56" s="33" t="str">
        <f ca="1">IFERROR(__xludf.DUMMYFUNCTION("""COMPUTED_VALUE"""),"02-2696-1069#200")</f>
        <v>02-2696-1069#200</v>
      </c>
      <c r="E56" s="34" t="str">
        <f ca="1">IFERROR(__xludf.DUMMYFUNCTION("""COMPUTED_VALUE"""),"sales@dpsmart.com.tw")</f>
        <v>sales@dpsmart.com.tw</v>
      </c>
      <c r="F56" s="17"/>
      <c r="G56" s="17"/>
      <c r="H56" s="17"/>
      <c r="I56" s="17"/>
      <c r="J56" s="17"/>
      <c r="K56" s="17"/>
      <c r="L56" s="17"/>
      <c r="M56" s="17"/>
      <c r="N56" s="17"/>
      <c r="O56" s="17"/>
      <c r="P56" s="17"/>
      <c r="Q56" s="17"/>
      <c r="R56" s="17"/>
      <c r="S56" s="17"/>
      <c r="T56" s="17"/>
      <c r="U56" s="17"/>
      <c r="V56" s="17"/>
      <c r="W56" s="17"/>
      <c r="X56" s="17"/>
      <c r="Y56" s="17"/>
    </row>
    <row r="57" spans="1:25">
      <c r="A57" s="41"/>
      <c r="B57" s="41"/>
      <c r="C57" s="33" t="str">
        <f ca="1">IFERROR(__xludf.DUMMYFUNCTION("""COMPUTED_VALUE"""),"詹双壬(出貨相關諮詢)")</f>
        <v>詹双壬(出貨相關諮詢)</v>
      </c>
      <c r="D57" s="33" t="str">
        <f ca="1">IFERROR(__xludf.DUMMYFUNCTION("""COMPUTED_VALUE"""),"02-2696-1069#300")</f>
        <v>02-2696-1069#300</v>
      </c>
      <c r="E57" s="34" t="str">
        <f ca="1">IFERROR(__xludf.DUMMYFUNCTION("""COMPUTED_VALUE"""),"alex.chan@dpsmart.com.tw")</f>
        <v>alex.chan@dpsmart.com.tw</v>
      </c>
      <c r="F57" s="17"/>
      <c r="G57" s="17"/>
      <c r="H57" s="17"/>
      <c r="I57" s="17"/>
      <c r="J57" s="17"/>
      <c r="K57" s="17"/>
      <c r="L57" s="17"/>
      <c r="M57" s="17"/>
      <c r="N57" s="17"/>
      <c r="O57" s="17"/>
      <c r="P57" s="17"/>
      <c r="Q57" s="17"/>
      <c r="R57" s="17"/>
      <c r="S57" s="17"/>
      <c r="T57" s="17"/>
      <c r="U57" s="17"/>
      <c r="V57" s="17"/>
      <c r="W57" s="17"/>
      <c r="X57" s="17"/>
      <c r="Y57" s="17"/>
    </row>
    <row r="58" spans="1:25">
      <c r="A58" s="43" t="str">
        <f ca="1">IFERROR(__xludf.DUMMYFUNCTION("""COMPUTED_VALUE"""),"賀光國際")</f>
        <v>賀光國際</v>
      </c>
      <c r="B58" s="43" t="str">
        <f ca="1">IFERROR(__xludf.DUMMYFUNCTION("""COMPUTED_VALUE"""),"Philips門鎖、Sugar、Mr.Smart、Amadana")</f>
        <v>Philips門鎖、Sugar、Mr.Smart、Amadana</v>
      </c>
      <c r="C58" s="33" t="str">
        <f ca="1">IFERROR(__xludf.DUMMYFUNCTION("""COMPUTED_VALUE"""),"Erin 黃于琳")</f>
        <v>Erin 黃于琳</v>
      </c>
      <c r="D58" s="33" t="str">
        <f ca="1">IFERROR(__xludf.DUMMYFUNCTION("""COMPUTED_VALUE"""),"02-3765-3379")</f>
        <v>02-3765-3379</v>
      </c>
      <c r="E58" s="33" t="str">
        <f ca="1">IFERROR(__xludf.DUMMYFUNCTION("""COMPUTED_VALUE"""),"erin@kono.com.tw")</f>
        <v>erin@kono.com.tw</v>
      </c>
      <c r="F58" s="17"/>
      <c r="G58" s="17"/>
      <c r="H58" s="17"/>
      <c r="I58" s="17"/>
      <c r="J58" s="17"/>
      <c r="K58" s="17"/>
      <c r="L58" s="17"/>
      <c r="M58" s="17"/>
      <c r="N58" s="17"/>
      <c r="O58" s="17"/>
      <c r="P58" s="17"/>
      <c r="Q58" s="17"/>
      <c r="R58" s="17"/>
      <c r="S58" s="17"/>
      <c r="T58" s="17"/>
      <c r="U58" s="17"/>
      <c r="V58" s="17"/>
      <c r="W58" s="17"/>
      <c r="X58" s="17"/>
      <c r="Y58" s="17"/>
    </row>
    <row r="59" spans="1:25">
      <c r="A59" s="41"/>
      <c r="B59" s="41"/>
      <c r="C59" s="33" t="str">
        <f ca="1">IFERROR(__xludf.DUMMYFUNCTION("""COMPUTED_VALUE"""),"陳蕙菁(訂單查詢)")</f>
        <v>陳蕙菁(訂單查詢)</v>
      </c>
      <c r="D59" s="33" t="str">
        <f ca="1">IFERROR(__xludf.DUMMYFUNCTION("""COMPUTED_VALUE"""),"02-2662-4343#316")</f>
        <v>02-2662-4343#316</v>
      </c>
      <c r="E59" s="34" t="str">
        <f ca="1">IFERROR(__xludf.DUMMYFUNCTION("""COMPUTED_VALUE"""),"maggie1225@htt.com.tw")</f>
        <v>maggie1225@htt.com.tw</v>
      </c>
      <c r="F59" s="17"/>
      <c r="G59" s="17"/>
      <c r="H59" s="17"/>
      <c r="I59" s="17"/>
      <c r="J59" s="17"/>
      <c r="K59" s="17"/>
      <c r="L59" s="17"/>
      <c r="M59" s="17"/>
      <c r="N59" s="17"/>
      <c r="O59" s="17"/>
      <c r="P59" s="17"/>
      <c r="Q59" s="17"/>
      <c r="R59" s="17"/>
      <c r="S59" s="17"/>
      <c r="T59" s="17"/>
      <c r="U59" s="17"/>
      <c r="V59" s="17"/>
      <c r="W59" s="17"/>
      <c r="X59" s="17"/>
      <c r="Y59" s="17"/>
    </row>
    <row r="60" spans="1:25">
      <c r="A60" s="43"/>
      <c r="B60" s="43"/>
      <c r="C60" s="33" t="str">
        <f ca="1">IFERROR(__xludf.DUMMYFUNCTION("""COMPUTED_VALUE"""),"許棟樑(業務)")</f>
        <v>許棟樑(業務)</v>
      </c>
      <c r="D60" s="33" t="str">
        <f ca="1">IFERROR(__xludf.DUMMYFUNCTION("""COMPUTED_VALUE"""),"02-2662-4343#306
0975-097-555")</f>
        <v>02-2662-4343#306
0975-097-555</v>
      </c>
      <c r="E60" s="34" t="str">
        <f ca="1">IFERROR(__xludf.DUMMYFUNCTION("""COMPUTED_VALUE"""),"htt.service@msa.hinet.net")</f>
        <v>htt.service@msa.hinet.net</v>
      </c>
      <c r="F60" s="17"/>
      <c r="G60" s="17"/>
      <c r="H60" s="17"/>
      <c r="I60" s="17"/>
      <c r="J60" s="17"/>
      <c r="K60" s="17"/>
      <c r="L60" s="17"/>
      <c r="M60" s="17"/>
      <c r="N60" s="17"/>
      <c r="O60" s="17"/>
      <c r="P60" s="17"/>
      <c r="Q60" s="17"/>
      <c r="R60" s="17"/>
      <c r="S60" s="17"/>
      <c r="T60" s="17"/>
      <c r="U60" s="17"/>
      <c r="V60" s="17"/>
      <c r="W60" s="17"/>
      <c r="X60" s="17"/>
      <c r="Y60" s="17"/>
    </row>
    <row r="61" spans="1:25">
      <c r="A61" s="42"/>
      <c r="B61" s="42"/>
      <c r="C61" s="33" t="str">
        <f ca="1">IFERROR(__xludf.DUMMYFUNCTION("""COMPUTED_VALUE"""),"李慧娟(訂單)")</f>
        <v>李慧娟(訂單)</v>
      </c>
      <c r="D61" s="33" t="str">
        <f ca="1">IFERROR(__xludf.DUMMYFUNCTION("""COMPUTED_VALUE"""),"02-8227-1133#23807")</f>
        <v>02-8227-1133#23807</v>
      </c>
      <c r="E61" s="34" t="str">
        <f ca="1">IFERROR(__xludf.DUMMYFUNCTION("""COMPUTED_VALUE"""),"Beata_Lee@mail.nexgen.com.tw")</f>
        <v>Beata_Lee@mail.nexgen.com.tw</v>
      </c>
      <c r="F61" s="17"/>
      <c r="G61" s="17"/>
      <c r="H61" s="17"/>
      <c r="I61" s="17"/>
      <c r="J61" s="17"/>
      <c r="K61" s="17"/>
      <c r="L61" s="17"/>
      <c r="M61" s="17"/>
      <c r="N61" s="17"/>
      <c r="O61" s="17"/>
      <c r="P61" s="17"/>
      <c r="Q61" s="17"/>
      <c r="R61" s="17"/>
      <c r="S61" s="17"/>
      <c r="T61" s="17"/>
      <c r="U61" s="17"/>
      <c r="V61" s="17"/>
      <c r="W61" s="17"/>
      <c r="X61" s="17"/>
      <c r="Y61" s="17"/>
    </row>
    <row r="62" spans="1:25">
      <c r="A62" s="41"/>
      <c r="B62" s="41"/>
      <c r="C62" s="33" t="str">
        <f ca="1">IFERROR(__xludf.DUMMYFUNCTION("""COMPUTED_VALUE"""),"曹雅雯(訂單)")</f>
        <v>曹雅雯(訂單)</v>
      </c>
      <c r="D62" s="33" t="str">
        <f ca="1">IFERROR(__xludf.DUMMYFUNCTION("""COMPUTED_VALUE"""),"02-8227-1133#23807")</f>
        <v>02-8227-1133#23807</v>
      </c>
      <c r="E62" s="33" t="str">
        <f ca="1">IFERROR(__xludf.DUMMYFUNCTION("""COMPUTED_VALUE"""),"sunny_tsao@mail.nexgen.com.tw")</f>
        <v>sunny_tsao@mail.nexgen.com.tw</v>
      </c>
      <c r="F62" s="17"/>
      <c r="G62" s="17"/>
      <c r="H62" s="17"/>
      <c r="I62" s="17"/>
      <c r="J62" s="17"/>
      <c r="K62" s="17"/>
      <c r="L62" s="17"/>
      <c r="M62" s="17"/>
      <c r="N62" s="17"/>
      <c r="O62" s="17"/>
      <c r="P62" s="17"/>
      <c r="Q62" s="17"/>
      <c r="R62" s="17"/>
      <c r="S62" s="17"/>
      <c r="T62" s="17"/>
      <c r="U62" s="17"/>
      <c r="V62" s="17"/>
      <c r="W62" s="17"/>
      <c r="X62" s="17"/>
      <c r="Y62" s="17"/>
    </row>
    <row r="63" spans="1:25">
      <c r="A63" s="43"/>
      <c r="B63" s="43"/>
      <c r="C63" s="33" t="str">
        <f ca="1">IFERROR(__xludf.DUMMYFUNCTION("""COMPUTED_VALUE"""),"游昇龍(業務)")</f>
        <v>游昇龍(業務)</v>
      </c>
      <c r="D63" s="33" t="str">
        <f ca="1">IFERROR(__xludf.DUMMYFUNCTION("""COMPUTED_VALUE"""),"02-8227-1133#21630")</f>
        <v>02-8227-1133#21630</v>
      </c>
      <c r="E63" s="34" t="str">
        <f ca="1">IFERROR(__xludf.DUMMYFUNCTION("""COMPUTED_VALUE"""),"eric_yu@mail.nexgen.com.tw")</f>
        <v>eric_yu@mail.nexgen.com.tw</v>
      </c>
      <c r="F63" s="17"/>
      <c r="G63" s="17"/>
      <c r="H63" s="17"/>
      <c r="I63" s="17"/>
      <c r="J63" s="17"/>
      <c r="K63" s="17"/>
      <c r="L63" s="17"/>
      <c r="M63" s="17"/>
      <c r="N63" s="17"/>
      <c r="O63" s="17"/>
      <c r="P63" s="17"/>
      <c r="Q63" s="17"/>
      <c r="R63" s="17"/>
      <c r="S63" s="17"/>
      <c r="T63" s="17"/>
      <c r="U63" s="17"/>
      <c r="V63" s="17"/>
      <c r="W63" s="17"/>
      <c r="X63" s="17"/>
      <c r="Y63" s="17"/>
    </row>
    <row r="64" spans="1:25">
      <c r="A64" s="42"/>
      <c r="B64" s="42"/>
      <c r="C64" s="33" t="str">
        <f ca="1">IFERROR(__xludf.DUMMYFUNCTION("""COMPUTED_VALUE"""),"李慧娟(訂單)")</f>
        <v>李慧娟(訂單)</v>
      </c>
      <c r="D64" s="33" t="str">
        <f ca="1">IFERROR(__xludf.DUMMYFUNCTION("""COMPUTED_VALUE"""),"02-8227-1133#23807")</f>
        <v>02-8227-1133#23807</v>
      </c>
      <c r="E64" s="34" t="str">
        <f ca="1">IFERROR(__xludf.DUMMYFUNCTION("""COMPUTED_VALUE"""),"Beata_Lee@mail.nexgen.com.tw
")</f>
        <v xml:space="preserve">Beata_Lee@mail.nexgen.com.tw
</v>
      </c>
      <c r="F64" s="17"/>
      <c r="G64" s="17"/>
      <c r="H64" s="17"/>
      <c r="I64" s="17"/>
      <c r="J64" s="17"/>
      <c r="K64" s="17"/>
      <c r="L64" s="17"/>
      <c r="M64" s="17"/>
      <c r="N64" s="17"/>
      <c r="O64" s="17"/>
      <c r="P64" s="17"/>
      <c r="Q64" s="17"/>
      <c r="R64" s="17"/>
      <c r="S64" s="17"/>
      <c r="T64" s="17"/>
      <c r="U64" s="17"/>
      <c r="V64" s="17"/>
      <c r="W64" s="17"/>
      <c r="X64" s="17"/>
      <c r="Y64" s="17"/>
    </row>
    <row r="65" spans="1:25">
      <c r="A65" s="41"/>
      <c r="B65" s="41"/>
      <c r="C65" s="33" t="str">
        <f ca="1">IFERROR(__xludf.DUMMYFUNCTION("""COMPUTED_VALUE"""),"曹雅雯")</f>
        <v>曹雅雯</v>
      </c>
      <c r="D65" s="33" t="str">
        <f ca="1">IFERROR(__xludf.DUMMYFUNCTION("""COMPUTED_VALUE"""),"02-8227-1133#23807")</f>
        <v>02-8227-1133#23807</v>
      </c>
      <c r="E65" s="33" t="str">
        <f ca="1">IFERROR(__xludf.DUMMYFUNCTION("""COMPUTED_VALUE"""),"sunny_tsao@mail.nexgen.com.tw")</f>
        <v>sunny_tsao@mail.nexgen.com.tw</v>
      </c>
      <c r="F65" s="17"/>
      <c r="G65" s="17"/>
      <c r="H65" s="17"/>
      <c r="I65" s="17"/>
      <c r="J65" s="17"/>
      <c r="K65" s="17"/>
      <c r="L65" s="17"/>
      <c r="M65" s="17"/>
      <c r="N65" s="17"/>
      <c r="O65" s="17"/>
      <c r="P65" s="17"/>
      <c r="Q65" s="17"/>
      <c r="R65" s="17"/>
      <c r="S65" s="17"/>
      <c r="T65" s="17"/>
      <c r="U65" s="17"/>
      <c r="V65" s="17"/>
      <c r="W65" s="17"/>
      <c r="X65" s="17"/>
      <c r="Y65" s="17"/>
    </row>
    <row r="66" spans="1:25">
      <c r="A66" s="33"/>
      <c r="B66" s="33"/>
      <c r="C66" s="33" t="str">
        <f ca="1">IFERROR(__xludf.DUMMYFUNCTION("""COMPUTED_VALUE"""),"游昇龍(業務)")</f>
        <v>游昇龍(業務)</v>
      </c>
      <c r="D66" s="33" t="str">
        <f ca="1">IFERROR(__xludf.DUMMYFUNCTION("""COMPUTED_VALUE"""),"02-8227-1133#21630")</f>
        <v>02-8227-1133#21630</v>
      </c>
      <c r="E66" s="34" t="str">
        <f ca="1">IFERROR(__xludf.DUMMYFUNCTION("""COMPUTED_VALUE"""),"eric_yu@mail.nexgen.com.tw")</f>
        <v>eric_yu@mail.nexgen.com.tw</v>
      </c>
      <c r="F66" s="17"/>
      <c r="G66" s="17"/>
      <c r="H66" s="17"/>
      <c r="I66" s="17"/>
      <c r="J66" s="17"/>
      <c r="K66" s="17"/>
      <c r="L66" s="17"/>
      <c r="M66" s="17"/>
      <c r="N66" s="17"/>
      <c r="O66" s="17"/>
      <c r="P66" s="17"/>
      <c r="Q66" s="17"/>
      <c r="R66" s="17"/>
      <c r="S66" s="17"/>
      <c r="T66" s="17"/>
      <c r="U66" s="17"/>
      <c r="V66" s="17"/>
      <c r="W66" s="17"/>
      <c r="X66" s="17"/>
      <c r="Y66" s="17"/>
    </row>
    <row r="67" spans="1:25">
      <c r="A67" s="43"/>
      <c r="B67" s="43"/>
      <c r="C67" s="33" t="str">
        <f ca="1">IFERROR(__xludf.DUMMYFUNCTION("""COMPUTED_VALUE"""),"奇美客服中心")</f>
        <v>奇美客服中心</v>
      </c>
      <c r="D67" s="33" t="str">
        <f ca="1">IFERROR(__xludf.DUMMYFUNCTION("""COMPUTED_VALUE"""),"0800-663-000(消費者服務)")</f>
        <v>0800-663-000(消費者服務)</v>
      </c>
      <c r="E67" s="33" t="str">
        <f ca="1">IFERROR(__xludf.DUMMYFUNCTION("""COMPUTED_VALUE"""),"service_tw@mail.nexgen.com.tw")</f>
        <v>service_tw@mail.nexgen.com.tw</v>
      </c>
      <c r="F67" s="17"/>
      <c r="G67" s="17"/>
      <c r="H67" s="17"/>
      <c r="I67" s="17"/>
      <c r="J67" s="17"/>
      <c r="K67" s="17"/>
      <c r="L67" s="17"/>
      <c r="M67" s="17"/>
      <c r="N67" s="17"/>
      <c r="O67" s="17"/>
      <c r="P67" s="17"/>
      <c r="Q67" s="17"/>
      <c r="R67" s="17"/>
      <c r="S67" s="17"/>
      <c r="T67" s="17"/>
      <c r="U67" s="17"/>
      <c r="V67" s="17"/>
      <c r="W67" s="17"/>
      <c r="X67" s="17"/>
      <c r="Y67" s="17"/>
    </row>
    <row r="68" spans="1:25">
      <c r="A68" s="41"/>
      <c r="B68" s="41"/>
      <c r="C68" s="33" t="str">
        <f ca="1">IFERROR(__xludf.DUMMYFUNCTION("""COMPUTED_VALUE"""),"客服(貨況處理)")</f>
        <v>客服(貨況處理)</v>
      </c>
      <c r="D68" s="33" t="str">
        <f ca="1">IFERROR(__xludf.DUMMYFUNCTION("""COMPUTED_VALUE"""),"0809-090-510")</f>
        <v>0809-090-510</v>
      </c>
      <c r="E68" s="33" t="str">
        <f ca="1">IFERROR(__xludf.DUMMYFUNCTION("""COMPUTED_VALUE"""),"cocoro-service@sharp-world.com.tw ;cocoro-service@sharp.com.tw")</f>
        <v>cocoro-service@sharp-world.com.tw ;cocoro-service@sharp.com.tw</v>
      </c>
      <c r="F68" s="17"/>
      <c r="G68" s="17"/>
      <c r="H68" s="17"/>
      <c r="I68" s="17"/>
      <c r="J68" s="17"/>
      <c r="K68" s="17"/>
      <c r="L68" s="17"/>
      <c r="M68" s="17"/>
      <c r="N68" s="17"/>
      <c r="O68" s="17"/>
      <c r="P68" s="17"/>
      <c r="Q68" s="17"/>
      <c r="R68" s="17"/>
      <c r="S68" s="17"/>
      <c r="T68" s="17"/>
      <c r="U68" s="17"/>
      <c r="V68" s="17"/>
      <c r="W68" s="17"/>
      <c r="X68" s="17"/>
      <c r="Y68" s="17"/>
    </row>
    <row r="69" spans="1:25">
      <c r="A69" s="43"/>
      <c r="B69" s="43"/>
      <c r="C69" s="33" t="str">
        <f ca="1">IFERROR(__xludf.DUMMYFUNCTION("""COMPUTED_VALUE"""),"蕭滋賢(客服)")</f>
        <v>蕭滋賢(客服)</v>
      </c>
      <c r="D69" s="33" t="str">
        <f ca="1">IFERROR(__xludf.DUMMYFUNCTION("""COMPUTED_VALUE"""),"02-25596-2388#17974
0988-833-614")</f>
        <v>02-25596-2388#17974
0988-833-614</v>
      </c>
      <c r="E69" s="33"/>
      <c r="F69" s="17"/>
      <c r="G69" s="17"/>
      <c r="H69" s="17"/>
      <c r="I69" s="17"/>
      <c r="J69" s="17"/>
      <c r="K69" s="17"/>
      <c r="L69" s="17"/>
      <c r="M69" s="17"/>
      <c r="N69" s="17"/>
      <c r="O69" s="17"/>
      <c r="P69" s="17"/>
      <c r="Q69" s="17"/>
      <c r="R69" s="17"/>
      <c r="S69" s="17"/>
      <c r="T69" s="17"/>
      <c r="U69" s="17"/>
      <c r="V69" s="17"/>
      <c r="W69" s="17"/>
      <c r="X69" s="17"/>
      <c r="Y69" s="17"/>
    </row>
    <row r="70" spans="1:25">
      <c r="A70" s="41"/>
      <c r="B70" s="41"/>
      <c r="C70" s="33" t="str">
        <f ca="1">IFERROR(__xludf.DUMMYFUNCTION("""COMPUTED_VALUE"""),"王雅雯(主要窗口/商品配送資訊查詢)")</f>
        <v>王雅雯(主要窗口/商品配送資訊查詢)</v>
      </c>
      <c r="D70" s="33" t="str">
        <f ca="1">IFERROR(__xludf.DUMMYFUNCTION("""COMPUTED_VALUE"""),"02-2218-3588 #1785")</f>
        <v>02-2218-3588 #1785</v>
      </c>
      <c r="E70" s="33" t="str">
        <f ca="1">IFERROR(__xludf.DUMMYFUNCTION("""COMPUTED_VALUE"""),"elva.wang@senao.com.tw")</f>
        <v>elva.wang@senao.com.tw</v>
      </c>
      <c r="F70" s="17"/>
      <c r="G70" s="17"/>
      <c r="H70" s="17"/>
      <c r="I70" s="17"/>
      <c r="J70" s="17"/>
      <c r="K70" s="17"/>
      <c r="L70" s="17"/>
      <c r="M70" s="17"/>
      <c r="N70" s="17"/>
      <c r="O70" s="17"/>
      <c r="P70" s="17"/>
      <c r="Q70" s="17"/>
      <c r="R70" s="17"/>
      <c r="S70" s="17"/>
      <c r="T70" s="17"/>
      <c r="U70" s="17"/>
      <c r="V70" s="17"/>
      <c r="W70" s="17"/>
      <c r="X70" s="17"/>
      <c r="Y70" s="17"/>
    </row>
    <row r="71" spans="1:25">
      <c r="A71" s="33"/>
      <c r="B71" s="33"/>
      <c r="C71" s="33" t="str">
        <f ca="1">IFERROR(__xludf.DUMMYFUNCTION("""COMPUTED_VALUE"""),"何嘉文(業務/技術窗口)")</f>
        <v>何嘉文(業務/技術窗口)</v>
      </c>
      <c r="D71" s="33" t="str">
        <f ca="1">IFERROR(__xludf.DUMMYFUNCTION("""COMPUTED_VALUE"""),"02-2218-3588 #1653")</f>
        <v>02-2218-3588 #1653</v>
      </c>
      <c r="E71" s="33" t="str">
        <f ca="1">IFERROR(__xludf.DUMMYFUNCTION("""COMPUTED_VALUE"""),"kevin.ho@senao.com.tw")</f>
        <v>kevin.ho@senao.com.tw</v>
      </c>
      <c r="F71" s="17"/>
      <c r="G71" s="17"/>
      <c r="H71" s="17"/>
      <c r="I71" s="17"/>
      <c r="J71" s="17"/>
      <c r="K71" s="17"/>
      <c r="L71" s="17"/>
      <c r="M71" s="17"/>
      <c r="N71" s="17"/>
      <c r="O71" s="17"/>
      <c r="P71" s="17"/>
      <c r="Q71" s="17"/>
      <c r="R71" s="17"/>
      <c r="S71" s="17"/>
      <c r="T71" s="17"/>
      <c r="U71" s="17"/>
      <c r="V71" s="17"/>
      <c r="W71" s="17"/>
      <c r="X71" s="17"/>
      <c r="Y71" s="17"/>
    </row>
    <row r="72" spans="1:25">
      <c r="A72" s="33" t="str">
        <f ca="1">IFERROR(__xludf.DUMMYFUNCTION("""COMPUTED_VALUE"""),"奧圖碼(投影機)")</f>
        <v>奧圖碼(投影機)</v>
      </c>
      <c r="B72" s="33" t="str">
        <f ca="1">IFERROR(__xludf.DUMMYFUNCTION("""COMPUTED_VALUE"""),"optoma")</f>
        <v>optoma</v>
      </c>
      <c r="C72" s="33" t="str">
        <f ca="1">IFERROR(__xludf.DUMMYFUNCTION("""COMPUTED_VALUE"""),"周仕元")</f>
        <v>周仕元</v>
      </c>
      <c r="D72" s="33" t="str">
        <f ca="1">IFERROR(__xludf.DUMMYFUNCTION("""COMPUTED_VALUE"""),"0911-063-856")</f>
        <v>0911-063-856</v>
      </c>
      <c r="E72" s="33" t="str">
        <f ca="1">IFERROR(__xludf.DUMMYFUNCTION("""COMPUTED_VALUE"""),"richard.chou@optoma.com")</f>
        <v>richard.chou@optoma.com</v>
      </c>
      <c r="F72" s="17"/>
      <c r="G72" s="17"/>
      <c r="H72" s="17"/>
      <c r="I72" s="17"/>
      <c r="J72" s="17"/>
      <c r="K72" s="17"/>
      <c r="L72" s="17"/>
      <c r="M72" s="17"/>
      <c r="N72" s="17"/>
      <c r="O72" s="17"/>
      <c r="P72" s="17"/>
      <c r="Q72" s="17"/>
      <c r="R72" s="17"/>
      <c r="S72" s="17"/>
      <c r="T72" s="17"/>
      <c r="U72" s="17"/>
      <c r="V72" s="17"/>
      <c r="W72" s="17"/>
      <c r="X72" s="17"/>
      <c r="Y72" s="17"/>
    </row>
    <row r="73" spans="1:25" ht="12.75">
      <c r="A73" s="25"/>
      <c r="B73" s="25"/>
      <c r="C73" s="25" t="str">
        <f ca="1">IFERROR(__xludf.DUMMYFUNCTION("""COMPUTED_VALUE"""),"呂思萍")</f>
        <v>呂思萍</v>
      </c>
      <c r="D73" s="25" t="str">
        <f ca="1">IFERROR(__xludf.DUMMYFUNCTION("""COMPUTED_VALUE"""),"02-8911-8600#3751")</f>
        <v>02-8911-8600#3751</v>
      </c>
      <c r="E73" s="25" t="str">
        <f ca="1">IFERROR(__xludf.DUMMYFUNCTION("""COMPUTED_VALUE"""),"mandy.lu@optoma.com")</f>
        <v>mandy.lu@optoma.com</v>
      </c>
      <c r="F73" s="17"/>
      <c r="G73" s="17"/>
      <c r="H73" s="17"/>
      <c r="I73" s="17"/>
      <c r="J73" s="17"/>
      <c r="K73" s="17"/>
      <c r="L73" s="17"/>
      <c r="M73" s="17"/>
      <c r="N73" s="17"/>
      <c r="O73" s="17"/>
      <c r="P73" s="17"/>
      <c r="Q73" s="17"/>
      <c r="R73" s="17"/>
      <c r="S73" s="17"/>
      <c r="T73" s="17"/>
      <c r="U73" s="17"/>
      <c r="V73" s="17"/>
      <c r="W73" s="17"/>
      <c r="X73" s="17"/>
      <c r="Y73" s="17"/>
    </row>
    <row r="74" spans="1:25" ht="12.75">
      <c r="A74" s="17" t="str">
        <f ca="1">IFERROR(__xludf.DUMMYFUNCTION("""COMPUTED_VALUE"""),"宙宣")</f>
        <v>宙宣</v>
      </c>
      <c r="B74" s="17" t="str">
        <f ca="1">IFERROR(__xludf.DUMMYFUNCTION("""COMPUTED_VALUE"""),"HarmanKardon、UE、BOSE")</f>
        <v>HarmanKardon、UE、BOSE</v>
      </c>
      <c r="C74" s="17" t="str">
        <f ca="1">IFERROR(__xludf.DUMMYFUNCTION("""COMPUTED_VALUE"""),"吳權庭")</f>
        <v>吳權庭</v>
      </c>
      <c r="D74" s="17" t="str">
        <f ca="1">IFERROR(__xludf.DUMMYFUNCTION("""COMPUTED_VALUE"""),"02-8768-1222 #132")</f>
        <v>02-8768-1222 #132</v>
      </c>
      <c r="E74" s="17" t="str">
        <f ca="1">IFERROR(__xludf.DUMMYFUNCTION("""COMPUTED_VALUE"""),"jimm@uni-announce.com.tw")</f>
        <v>jimm@uni-announce.com.tw</v>
      </c>
      <c r="F74" s="17"/>
      <c r="G74" s="17"/>
      <c r="H74" s="17"/>
      <c r="I74" s="17"/>
      <c r="J74" s="17"/>
      <c r="K74" s="17"/>
      <c r="L74" s="17"/>
      <c r="M74" s="17"/>
      <c r="N74" s="17"/>
      <c r="O74" s="17"/>
      <c r="P74" s="17"/>
      <c r="Q74" s="17"/>
      <c r="R74" s="17"/>
      <c r="S74" s="17"/>
      <c r="T74" s="17"/>
      <c r="U74" s="17"/>
      <c r="V74" s="17"/>
      <c r="W74" s="17"/>
      <c r="X74" s="17"/>
      <c r="Y74" s="17"/>
    </row>
    <row r="75" spans="1:25" ht="12.75">
      <c r="A75" s="17" t="str">
        <f ca="1">IFERROR(__xludf.DUMMYFUNCTION("""COMPUTED_VALUE"""),"橋杭")</f>
        <v>橋杭</v>
      </c>
      <c r="B75" s="17" t="str">
        <f ca="1">IFERROR(__xludf.DUMMYFUNCTION("""COMPUTED_VALUE"""),"智慧家庭商品( Simpnic)")</f>
        <v>智慧家庭商品( Simpnic)</v>
      </c>
      <c r="C75" s="17" t="str">
        <f ca="1">IFERROR(__xludf.DUMMYFUNCTION("""COMPUTED_VALUE"""),"蔡百泰(業務)")</f>
        <v>蔡百泰(業務)</v>
      </c>
      <c r="D75" s="17" t="str">
        <f ca="1">IFERROR(__xludf.DUMMYFUNCTION("""COMPUTED_VALUE"""),"02-6616-1016
0910-722-212")</f>
        <v>02-6616-1016
0910-722-212</v>
      </c>
      <c r="E75" s="17" t="str">
        <f ca="1">IFERROR(__xludf.DUMMYFUNCTION("""COMPUTED_VALUE"""),"jack.tsai@simpnic.com")</f>
        <v>jack.tsai@simpnic.com</v>
      </c>
      <c r="F75" s="17"/>
      <c r="G75" s="17"/>
      <c r="H75" s="17"/>
      <c r="I75" s="17"/>
      <c r="J75" s="17"/>
      <c r="K75" s="17"/>
      <c r="L75" s="17"/>
      <c r="M75" s="17"/>
      <c r="N75" s="17"/>
      <c r="O75" s="17"/>
      <c r="P75" s="17"/>
      <c r="Q75" s="17"/>
      <c r="R75" s="17"/>
      <c r="S75" s="17"/>
      <c r="T75" s="17"/>
      <c r="U75" s="17"/>
      <c r="V75" s="17"/>
      <c r="W75" s="17"/>
      <c r="X75" s="17"/>
      <c r="Y75" s="17"/>
    </row>
    <row r="76" spans="1:25" ht="12.75">
      <c r="A76" s="17" t="str">
        <f ca="1">IFERROR(__xludf.DUMMYFUNCTION("""COMPUTED_VALUE"""),"忠寬")</f>
        <v>忠寬</v>
      </c>
      <c r="B76" s="17" t="str">
        <f ca="1">IFERROR(__xludf.DUMMYFUNCTION("""COMPUTED_VALUE"""),"廚房用具：SAIKAIIndigoJapan、 Quasi、Pujadas、Olympia、銀峯GINPO、MEHRZER")</f>
        <v>廚房用具：SAIKAIIndigoJapan、 Quasi、Pujadas、Olympia、銀峯GINPO、MEHRZER</v>
      </c>
      <c r="C76" s="17" t="str">
        <f ca="1">IFERROR(__xludf.DUMMYFUNCTION("""COMPUTED_VALUE"""),"王俊瑋")</f>
        <v>王俊瑋</v>
      </c>
      <c r="D76" s="17" t="str">
        <f ca="1">IFERROR(__xludf.DUMMYFUNCTION("""COMPUTED_VALUE"""),"02-82626777#219")</f>
        <v>02-82626777#219</v>
      </c>
      <c r="E76" s="36" t="str">
        <f ca="1">IFERROR(__xludf.DUMMYFUNCTION("""COMPUTED_VALUE"""),"william@quasi.com.tw")</f>
        <v>william@quasi.com.tw</v>
      </c>
      <c r="F76" s="17"/>
      <c r="G76" s="17"/>
      <c r="H76" s="17"/>
      <c r="I76" s="17"/>
      <c r="J76" s="17"/>
      <c r="K76" s="17"/>
      <c r="L76" s="17"/>
      <c r="M76" s="17"/>
      <c r="N76" s="17"/>
      <c r="O76" s="17"/>
      <c r="P76" s="17"/>
      <c r="Q76" s="17"/>
      <c r="R76" s="17"/>
      <c r="S76" s="17"/>
      <c r="T76" s="17"/>
      <c r="U76" s="17"/>
      <c r="V76" s="17"/>
      <c r="W76" s="17"/>
      <c r="X76" s="17"/>
      <c r="Y76" s="17"/>
    </row>
    <row r="77" spans="1:25" ht="12.75">
      <c r="A77" s="17"/>
      <c r="B77" s="17"/>
      <c r="C77" s="17" t="str">
        <f ca="1">IFERROR(__xludf.DUMMYFUNCTION("""COMPUTED_VALUE"""),"賴姵丞")</f>
        <v>賴姵丞</v>
      </c>
      <c r="D77" s="17" t="str">
        <f ca="1">IFERROR(__xludf.DUMMYFUNCTION("""COMPUTED_VALUE"""),"02-82626777 #228")</f>
        <v>02-82626777 #228</v>
      </c>
      <c r="E77" s="17" t="str">
        <f ca="1">IFERROR(__xludf.DUMMYFUNCTION("""COMPUTED_VALUE"""),"pei@quasi.com.tw")</f>
        <v>pei@quasi.com.tw</v>
      </c>
      <c r="F77" s="17"/>
      <c r="G77" s="17"/>
      <c r="H77" s="17"/>
      <c r="I77" s="17"/>
      <c r="J77" s="17"/>
      <c r="K77" s="17"/>
      <c r="L77" s="17"/>
      <c r="M77" s="17"/>
      <c r="N77" s="17"/>
      <c r="O77" s="17"/>
      <c r="P77" s="17"/>
      <c r="Q77" s="17"/>
      <c r="R77" s="17"/>
      <c r="S77" s="17"/>
      <c r="T77" s="17"/>
      <c r="U77" s="17"/>
      <c r="V77" s="17"/>
      <c r="W77" s="17"/>
      <c r="X77" s="17"/>
      <c r="Y77" s="17"/>
    </row>
    <row r="78" spans="1:25" ht="12.75">
      <c r="A78" s="17" t="str">
        <f ca="1">IFERROR(__xludf.DUMMYFUNCTION("""COMPUTED_VALUE"""),"聯穎國際")</f>
        <v>聯穎國際</v>
      </c>
      <c r="B78" s="17" t="str">
        <f ca="1">IFERROR(__xludf.DUMMYFUNCTION("""COMPUTED_VALUE"""),"電話機：Alcatel、Vtech")</f>
        <v>電話機：Alcatel、Vtech</v>
      </c>
      <c r="C78" s="17" t="str">
        <f ca="1">IFERROR(__xludf.DUMMYFUNCTION("""COMPUTED_VALUE"""),"王忠元Gary(業務)")</f>
        <v>王忠元Gary(業務)</v>
      </c>
      <c r="D78" s="17" t="str">
        <f ca="1">IFERROR(__xludf.DUMMYFUNCTION("""COMPUTED_VALUE"""),"0928886171")</f>
        <v>0928886171</v>
      </c>
      <c r="E78" s="17" t="str">
        <f ca="1">IFERROR(__xludf.DUMMYFUNCTION("""COMPUTED_VALUE"""),"gary@uwin.tw")</f>
        <v>gary@uwin.tw</v>
      </c>
      <c r="F78" s="17"/>
      <c r="G78" s="17"/>
      <c r="H78" s="17"/>
      <c r="I78" s="17"/>
      <c r="J78" s="17"/>
      <c r="K78" s="17"/>
      <c r="L78" s="17"/>
      <c r="M78" s="17"/>
      <c r="N78" s="17"/>
      <c r="O78" s="17"/>
      <c r="P78" s="17"/>
      <c r="Q78" s="17"/>
      <c r="R78" s="17"/>
      <c r="S78" s="17"/>
      <c r="T78" s="17"/>
      <c r="U78" s="17"/>
      <c r="V78" s="17"/>
      <c r="W78" s="17"/>
      <c r="X78" s="17"/>
      <c r="Y78" s="17"/>
    </row>
    <row r="79" spans="1:25" ht="12.75">
      <c r="A79" s="17"/>
      <c r="B79" s="17"/>
      <c r="C79" s="17" t="str">
        <f ca="1">IFERROR(__xludf.DUMMYFUNCTION("""COMPUTED_VALUE"""),"吳民傑(業助)")</f>
        <v>吳民傑(業助)</v>
      </c>
      <c r="D79" s="17" t="str">
        <f ca="1">IFERROR(__xludf.DUMMYFUNCTION("""COMPUTED_VALUE"""),"03-5788690#168")</f>
        <v>03-5788690#168</v>
      </c>
      <c r="E79" s="17" t="str">
        <f ca="1">IFERROR(__xludf.DUMMYFUNCTION("""COMPUTED_VALUE"""),"jack@uwin.tw")</f>
        <v>jack@uwin.tw</v>
      </c>
      <c r="F79" s="17"/>
      <c r="G79" s="17"/>
      <c r="H79" s="17"/>
      <c r="I79" s="17"/>
      <c r="J79" s="17"/>
      <c r="K79" s="17"/>
      <c r="L79" s="17"/>
      <c r="M79" s="17"/>
      <c r="N79" s="17"/>
      <c r="O79" s="17"/>
      <c r="P79" s="17"/>
      <c r="Q79" s="17"/>
      <c r="R79" s="17"/>
      <c r="S79" s="17"/>
      <c r="T79" s="17"/>
      <c r="U79" s="17"/>
      <c r="V79" s="17"/>
      <c r="W79" s="17"/>
      <c r="X79" s="17"/>
      <c r="Y79" s="17"/>
    </row>
    <row r="80" spans="1:25" ht="12.75">
      <c r="A80" s="17" t="str">
        <f ca="1">IFERROR(__xludf.DUMMYFUNCTION("""COMPUTED_VALUE"""),"視博網訊")</f>
        <v>視博網訊</v>
      </c>
      <c r="B80" s="17" t="str">
        <f ca="1">IFERROR(__xludf.DUMMYFUNCTION("""COMPUTED_VALUE"""),"智慧家庭攝影機
(SpotCam)")</f>
        <v>智慧家庭攝影機
(SpotCam)</v>
      </c>
      <c r="C80" s="17" t="str">
        <f ca="1">IFERROR(__xludf.DUMMYFUNCTION("""COMPUTED_VALUE"""),"張雅慧")</f>
        <v>張雅慧</v>
      </c>
      <c r="D80" s="17" t="str">
        <f ca="1">IFERROR(__xludf.DUMMYFUNCTION("""COMPUTED_VALUE"""),"0933-856964")</f>
        <v>0933-856964</v>
      </c>
      <c r="E80" s="17" t="str">
        <f ca="1">IFERROR(__xludf.DUMMYFUNCTION("""COMPUTED_VALUE"""),"cydney.chang@myspotcam.com")</f>
        <v>cydney.chang@myspotcam.com</v>
      </c>
      <c r="F80" s="17"/>
      <c r="G80" s="17"/>
      <c r="H80" s="17"/>
      <c r="I80" s="17"/>
      <c r="J80" s="17"/>
      <c r="K80" s="17"/>
      <c r="L80" s="17"/>
      <c r="M80" s="17"/>
      <c r="N80" s="17"/>
      <c r="O80" s="17"/>
      <c r="P80" s="17"/>
      <c r="Q80" s="17"/>
      <c r="R80" s="17"/>
      <c r="S80" s="17"/>
      <c r="T80" s="17"/>
      <c r="U80" s="17"/>
      <c r="V80" s="17"/>
      <c r="W80" s="17"/>
      <c r="X80" s="17"/>
      <c r="Y80" s="17"/>
    </row>
    <row r="81" spans="1:25" ht="12.75">
      <c r="A81" s="17" t="str">
        <f ca="1">IFERROR(__xludf.DUMMYFUNCTION("""COMPUTED_VALUE"""),"嘉亨科技")</f>
        <v>嘉亨科技</v>
      </c>
      <c r="B81" s="17" t="str">
        <f ca="1">IFERROR(__xludf.DUMMYFUNCTION("""COMPUTED_VALUE"""),"聯合利華Pureit、Timotei 蒂沐蝶、印度 MEDIMIX、德國Frosch小綠蛙、澳洲Tilley")</f>
        <v>聯合利華Pureit、Timotei 蒂沐蝶、印度 MEDIMIX、德國Frosch小綠蛙、澳洲Tilley</v>
      </c>
      <c r="C81" s="17" t="str">
        <f ca="1">IFERROR(__xludf.DUMMYFUNCTION("""COMPUTED_VALUE"""),"施書翰 Peter Shih
王婷婷")</f>
        <v>施書翰 Peter Shih
王婷婷</v>
      </c>
      <c r="D81" s="17" t="str">
        <f ca="1">IFERROR(__xludf.DUMMYFUNCTION("""COMPUTED_VALUE"""),"02-82263775 #338
02-82263775 #362")</f>
        <v>02-82263775 #338
02-82263775 #362</v>
      </c>
      <c r="E81" s="17" t="str">
        <f ca="1">IFERROR(__xludf.DUMMYFUNCTION("""COMPUTED_VALUE"""),"peter.shih@cybernetic.com.tw
yiting.wang@cybernetic.com.tw")</f>
        <v>peter.shih@cybernetic.com.tw
yiting.wang@cybernetic.com.tw</v>
      </c>
      <c r="F81" s="17"/>
      <c r="G81" s="17"/>
      <c r="H81" s="17"/>
      <c r="I81" s="17"/>
      <c r="J81" s="17"/>
      <c r="K81" s="17"/>
      <c r="L81" s="17"/>
      <c r="M81" s="17"/>
      <c r="N81" s="17"/>
      <c r="O81" s="17"/>
      <c r="P81" s="17"/>
      <c r="Q81" s="17"/>
      <c r="R81" s="17"/>
      <c r="S81" s="17"/>
      <c r="T81" s="17"/>
      <c r="U81" s="17"/>
      <c r="V81" s="17"/>
      <c r="W81" s="17"/>
      <c r="X81" s="17"/>
      <c r="Y81" s="17"/>
    </row>
    <row r="82" spans="1:25" ht="12.75">
      <c r="A82" s="17" t="str">
        <f ca="1">IFERROR(__xludf.DUMMYFUNCTION("""COMPUTED_VALUE"""),"黑橋牌")</f>
        <v>黑橋牌</v>
      </c>
      <c r="B82" s="17" t="str">
        <f ca="1">IFERROR(__xludf.DUMMYFUNCTION("""COMPUTED_VALUE"""),"黑橋牌")</f>
        <v>黑橋牌</v>
      </c>
      <c r="C82" s="17" t="str">
        <f ca="1">IFERROR(__xludf.DUMMYFUNCTION("""COMPUTED_VALUE"""),"陳家偉")</f>
        <v>陳家偉</v>
      </c>
      <c r="D82" s="17" t="str">
        <f ca="1">IFERROR(__xludf.DUMMYFUNCTION("""COMPUTED_VALUE"""),"02-22983155#203")</f>
        <v>02-22983155#203</v>
      </c>
      <c r="E82" s="17" t="str">
        <f ca="1">IFERROR(__xludf.DUMMYFUNCTION("""COMPUTED_VALUE"""),"chi.chang@ms1.blackbridge.com.tw")</f>
        <v>chi.chang@ms1.blackbridge.com.tw</v>
      </c>
      <c r="F82" s="17"/>
      <c r="G82" s="17"/>
      <c r="H82" s="17"/>
      <c r="I82" s="17"/>
      <c r="J82" s="17"/>
      <c r="K82" s="17"/>
      <c r="L82" s="17"/>
      <c r="M82" s="17"/>
      <c r="N82" s="17"/>
      <c r="O82" s="17"/>
      <c r="P82" s="17"/>
      <c r="Q82" s="17"/>
      <c r="R82" s="17"/>
      <c r="S82" s="17"/>
      <c r="T82" s="17"/>
      <c r="U82" s="17"/>
      <c r="V82" s="17"/>
      <c r="W82" s="17"/>
      <c r="X82" s="17"/>
      <c r="Y82" s="17"/>
    </row>
    <row r="83" spans="1:25" ht="12.75">
      <c r="A83" s="17" t="str">
        <f ca="1">IFERROR(__xludf.DUMMYFUNCTION("""COMPUTED_VALUE"""),"桂冠")</f>
        <v>桂冠</v>
      </c>
      <c r="B83" s="17" t="str">
        <f ca="1">IFERROR(__xludf.DUMMYFUNCTION("""COMPUTED_VALUE"""),"桂冠、桂冠研究所、桂冠冰菓室")</f>
        <v>桂冠、桂冠研究所、桂冠冰菓室</v>
      </c>
      <c r="C83" s="17" t="str">
        <f ca="1">IFERROR(__xludf.DUMMYFUNCTION("""COMPUTED_VALUE"""),"張雅琪 ")</f>
        <v xml:space="preserve">張雅琪 </v>
      </c>
      <c r="D83" s="17" t="str">
        <f ca="1">IFERROR(__xludf.DUMMYFUNCTION("""COMPUTED_VALUE"""),"02-23650335#392")</f>
        <v>02-23650335#392</v>
      </c>
      <c r="E83" s="17" t="str">
        <f ca="1">IFERROR(__xludf.DUMMYFUNCTION("""COMPUTED_VALUE"""),"angela@laurel.com.tw")</f>
        <v>angela@laurel.com.tw</v>
      </c>
      <c r="F83" s="17"/>
      <c r="G83" s="17"/>
      <c r="H83" s="17"/>
      <c r="I83" s="17"/>
      <c r="J83" s="17"/>
      <c r="K83" s="17"/>
      <c r="L83" s="17"/>
      <c r="M83" s="17"/>
      <c r="N83" s="17"/>
      <c r="O83" s="17"/>
      <c r="P83" s="17"/>
      <c r="Q83" s="17"/>
      <c r="R83" s="17"/>
      <c r="S83" s="17"/>
      <c r="T83" s="17"/>
      <c r="U83" s="17"/>
      <c r="V83" s="17"/>
      <c r="W83" s="17"/>
      <c r="X83" s="17"/>
      <c r="Y83" s="17"/>
    </row>
    <row r="84" spans="1:25" ht="12.75">
      <c r="A84" s="17" t="str">
        <f ca="1">IFERROR(__xludf.DUMMYFUNCTION("""COMPUTED_VALUE"""),"十全")</f>
        <v>十全</v>
      </c>
      <c r="B84" s="17" t="str">
        <f ca="1">IFERROR(__xludf.DUMMYFUNCTION("""COMPUTED_VALUE"""),"PHILIPS電話機")</f>
        <v>PHILIPS電話機</v>
      </c>
      <c r="C84" s="17" t="str">
        <f ca="1">IFERROR(__xludf.DUMMYFUNCTION("""COMPUTED_VALUE"""),"吳宣萱(貨況、訂單查詢)")</f>
        <v>吳宣萱(貨況、訂單查詢)</v>
      </c>
      <c r="D84" s="17" t="str">
        <f ca="1">IFERROR(__xludf.DUMMYFUNCTION("""COMPUTED_VALUE"""),"02-2299-9660 ext 215")</f>
        <v>02-2299-9660 ext 215</v>
      </c>
      <c r="E84" s="36" t="str">
        <f ca="1">IFERROR(__xludf.DUMMYFUNCTION("""COMPUTED_VALUE"""),"rebecca@ia3c.com.tw")</f>
        <v>rebecca@ia3c.com.tw</v>
      </c>
      <c r="F84" s="17"/>
      <c r="G84" s="17"/>
      <c r="H84" s="17"/>
      <c r="I84" s="17"/>
      <c r="J84" s="17"/>
      <c r="K84" s="17"/>
      <c r="L84" s="17"/>
      <c r="M84" s="17"/>
      <c r="N84" s="17"/>
      <c r="O84" s="17"/>
      <c r="P84" s="17"/>
      <c r="Q84" s="17"/>
      <c r="R84" s="17"/>
      <c r="S84" s="17"/>
      <c r="T84" s="17"/>
      <c r="U84" s="17"/>
      <c r="V84" s="17"/>
      <c r="W84" s="17"/>
      <c r="X84" s="17"/>
      <c r="Y84" s="17"/>
    </row>
    <row r="85" spans="1:25" ht="12.75">
      <c r="A85" s="17"/>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ht="12.75">
      <c r="A86" s="17"/>
      <c r="B86" s="17"/>
      <c r="C86" s="17" t="str">
        <f ca="1">IFERROR(__xludf.DUMMYFUNCTION("""COMPUTED_VALUE"""),"陳守慶(業務窗口)")</f>
        <v>陳守慶(業務窗口)</v>
      </c>
      <c r="D86" s="17" t="str">
        <f ca="1">IFERROR(__xludf.DUMMYFUNCTION("""COMPUTED_VALUE"""),"02-2299-9660 ext 217")</f>
        <v>02-2299-9660 ext 217</v>
      </c>
      <c r="E86" s="36" t="str">
        <f ca="1">IFERROR(__xludf.DUMMYFUNCTION("""COMPUTED_VALUE"""),"dino@ia3c.com.tw")</f>
        <v>dino@ia3c.com.tw</v>
      </c>
      <c r="F86" s="17"/>
      <c r="G86" s="17"/>
      <c r="H86" s="17"/>
      <c r="I86" s="17"/>
      <c r="J86" s="17"/>
      <c r="K86" s="17"/>
      <c r="L86" s="17"/>
      <c r="M86" s="17"/>
      <c r="N86" s="17"/>
      <c r="O86" s="17"/>
      <c r="P86" s="17"/>
      <c r="Q86" s="17"/>
      <c r="R86" s="17"/>
      <c r="S86" s="17"/>
      <c r="T86" s="17"/>
      <c r="U86" s="17"/>
      <c r="V86" s="17"/>
      <c r="W86" s="17"/>
      <c r="X86" s="17"/>
      <c r="Y86" s="17"/>
    </row>
    <row r="87" spans="1:25" ht="12.75">
      <c r="A87" s="17"/>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ht="12.75">
      <c r="A88" s="17"/>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ht="12.75">
      <c r="A89" s="17"/>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ht="12.75">
      <c r="A90" s="17"/>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ht="12.75">
      <c r="A91" s="17"/>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ht="12.75">
      <c r="A92" s="17"/>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2.75">
      <c r="A93" s="17"/>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ht="12.75">
      <c r="A94" s="17"/>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ht="12.75">
      <c r="A95" s="17"/>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2.75">
      <c r="A96" s="17"/>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ht="12.75">
      <c r="A97" s="17"/>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ht="12.75">
      <c r="A98" s="17"/>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ht="12.75">
      <c r="A99" s="17"/>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ht="12.7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ht="12.7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ht="12.7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2.7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ht="12.7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12.7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ht="12.7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2.7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2.7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2.7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2.7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ht="12.7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ht="12.7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ht="12.7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1:25" ht="12.7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ht="12.7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1:25" ht="12.7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ht="12.7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5" ht="12.7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ht="12.7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1:25" ht="12.7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1:25" ht="12.7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ht="12.7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ht="12.7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1:25" ht="12.7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ht="12.7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ht="12.7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1:25" ht="12.7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ht="12.7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1:25" ht="12.7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ht="12.7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ht="12.7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ht="12.7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ht="12.7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ht="12.7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ht="12.7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ht="12.7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ht="12.7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ht="12.7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1:25" ht="12.7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ht="12.7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1:25" ht="12.7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ht="12.7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ht="12.7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1:25" ht="12.7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ht="12.7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ht="12.7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ht="12.7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ht="12.7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ht="12.7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ht="12.7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ht="12.7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ht="12.7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ht="12.7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ht="12.7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ht="12.7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ht="12.7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ht="12.7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ht="12.7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ht="12.7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ht="12.7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ht="12.7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ht="12.7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ht="12.7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ht="12.7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ht="12.7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ht="12.7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ht="12.7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ht="12.7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ht="12.7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ht="12.7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ht="12.7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ht="12.7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ht="12.7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ht="12.7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ht="12.7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ht="12.7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ht="12.7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ht="12.7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ht="12.7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ht="12.7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ht="12.7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ht="12.7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ht="12.7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ht="12.7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ht="12.7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ht="12.7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ht="12.7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ht="12.7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ht="12.7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ht="12.7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ht="12.7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ht="12.7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ht="12.7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ht="12.7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ht="12.7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ht="12.7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ht="12.7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ht="12.7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ht="12.7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ht="12.7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ht="12.7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ht="12.7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ht="12.7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ht="12.7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ht="12.7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ht="12.7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ht="12.7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ht="12.7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ht="12.7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ht="12.7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ht="12.7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ht="12.7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ht="12.7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ht="12.7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ht="12.7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ht="12.7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25" ht="12.7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25" ht="12.7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ht="12.7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ht="12.7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25" ht="12.7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25" ht="12.7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25" ht="12.7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25" ht="12.7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ht="12.7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ht="12.7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2.7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ht="12.7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ht="12.7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ht="12.7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ht="12.7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ht="12.7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ht="12.7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ht="12.7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1:25" ht="12.7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row>
    <row r="241" spans="1:25" ht="12.7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row>
    <row r="242" spans="1:25" ht="12.7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row>
    <row r="243" spans="1:25" ht="12.7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row>
    <row r="244" spans="1:25" ht="12.7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row>
    <row r="245" spans="1:25" ht="12.7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row>
    <row r="246" spans="1:25" ht="12.7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row>
    <row r="247" spans="1:25" ht="12.7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row>
    <row r="248" spans="1:25" ht="12.7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row>
    <row r="249" spans="1:25" ht="12.7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ht="12.7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row>
    <row r="251" spans="1:25" ht="12.7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row>
    <row r="252" spans="1:25" ht="12.7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row>
    <row r="253" spans="1:25" ht="12.7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row>
    <row r="254" spans="1:25" ht="12.7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row>
    <row r="255" spans="1:25" ht="12.7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row>
    <row r="256" spans="1:25" ht="12.7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row>
    <row r="257" spans="1:25" ht="12.7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row>
    <row r="258" spans="1:25" ht="12.7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row>
    <row r="259" spans="1:25" ht="12.7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row>
    <row r="260" spans="1:25" ht="12.7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row>
    <row r="261" spans="1:25" ht="12.7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row>
    <row r="262" spans="1:25" ht="12.7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row>
    <row r="263" spans="1:25" ht="12.7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row>
    <row r="264" spans="1:25" ht="12.7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row>
    <row r="265" spans="1:25" ht="12.7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row>
    <row r="266" spans="1:25" ht="12.7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row>
    <row r="267" spans="1:25" ht="12.7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row>
    <row r="268" spans="1:25" ht="12.7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row>
    <row r="269" spans="1:25" ht="12.7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row>
    <row r="270" spans="1:25" ht="12.7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row>
    <row r="271" spans="1:25" ht="12.7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row>
    <row r="272" spans="1:25" ht="12.7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row>
    <row r="273" spans="1:25" ht="12.7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row>
    <row r="274" spans="1:25" ht="12.7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row>
    <row r="275" spans="1:25" ht="12.7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row>
    <row r="276" spans="1:25" ht="12.7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row>
    <row r="277" spans="1:25" ht="12.7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row>
    <row r="278" spans="1:25" ht="12.7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row>
    <row r="279" spans="1:25" ht="12.7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row>
    <row r="280" spans="1:25" ht="12.7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row>
    <row r="281" spans="1:25" ht="12.7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row>
    <row r="282" spans="1:25" ht="12.7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row>
    <row r="283" spans="1:25" ht="12.7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row>
    <row r="284" spans="1:25" ht="12.7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row>
    <row r="285" spans="1:25" ht="12.7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row>
    <row r="286" spans="1:25" ht="12.7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row>
    <row r="287" spans="1:25" ht="12.7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row>
    <row r="288" spans="1:25" ht="12.7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row>
    <row r="289" spans="1:25" ht="12.7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row>
    <row r="290" spans="1:25" ht="12.7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row>
    <row r="291" spans="1:25" ht="12.7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row>
    <row r="292" spans="1:25" ht="12.7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row>
    <row r="293" spans="1:25" ht="12.7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spans="1:25" ht="12.7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row>
    <row r="295" spans="1:25" ht="12.7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row>
    <row r="296" spans="1:25" ht="12.7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row>
    <row r="297" spans="1:25" ht="12.7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row>
    <row r="298" spans="1:25" ht="12.7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row>
    <row r="299" spans="1:25" ht="12.7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row>
    <row r="300" spans="1:25" ht="12.7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row>
    <row r="301" spans="1:25" ht="12.7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row>
    <row r="302" spans="1:25" ht="12.7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row>
    <row r="303" spans="1:25" ht="12.7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row>
    <row r="304" spans="1:25" ht="12.7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row>
    <row r="305" spans="1:25" ht="12.7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row>
    <row r="306" spans="1:25" ht="12.7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row>
    <row r="307" spans="1:25" ht="12.7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row>
    <row r="308" spans="1:25" ht="12.7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row>
    <row r="309" spans="1:25" ht="12.7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spans="1:25" ht="12.7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row>
    <row r="311" spans="1:25" ht="12.7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row>
    <row r="312" spans="1:25" ht="12.7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row>
    <row r="313" spans="1:25" ht="12.7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row>
    <row r="314" spans="1:25" ht="12.7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row>
    <row r="315" spans="1:25" ht="12.7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row>
    <row r="316" spans="1:25" ht="12.7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row>
    <row r="317" spans="1:25" ht="12.7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row>
    <row r="318" spans="1:25" ht="12.7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row>
    <row r="319" spans="1:25" ht="12.7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row>
    <row r="320" spans="1:25" ht="12.7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row>
    <row r="321" spans="1:25" ht="12.7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row>
    <row r="322" spans="1:25" ht="12.7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row>
    <row r="323" spans="1:25" ht="12.7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row>
    <row r="324" spans="1:25" ht="12.7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row>
    <row r="325" spans="1:25" ht="12.7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row>
    <row r="326" spans="1:25" ht="12.7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row>
    <row r="327" spans="1:25" ht="12.7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row>
    <row r="328" spans="1:25" ht="12.7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row>
    <row r="329" spans="1:25" ht="12.7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row>
    <row r="330" spans="1:25" ht="12.7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row>
    <row r="331" spans="1:25" ht="12.7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row>
    <row r="332" spans="1:25" ht="12.7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row>
    <row r="333" spans="1:25" ht="12.7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row>
    <row r="334" spans="1:25" ht="12.7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row>
    <row r="335" spans="1:25" ht="12.7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row>
    <row r="336" spans="1:25" ht="12.7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row>
    <row r="337" spans="1:25" ht="12.7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row>
    <row r="338" spans="1:25" ht="12.7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row>
    <row r="339" spans="1:25" ht="12.7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row>
    <row r="340" spans="1:25" ht="12.7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row>
    <row r="341" spans="1:25" ht="12.7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row>
    <row r="342" spans="1:25" ht="12.7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row>
    <row r="343" spans="1:25" ht="12.7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row>
    <row r="344" spans="1:25" ht="12.7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row>
    <row r="345" spans="1:25" ht="12.7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row>
    <row r="346" spans="1:25" ht="12.7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row>
    <row r="347" spans="1:25" ht="12.7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row>
    <row r="348" spans="1:25" ht="12.7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row>
    <row r="349" spans="1:25" ht="12.7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row>
    <row r="350" spans="1:25" ht="12.7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row>
    <row r="351" spans="1:25" ht="12.7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row>
    <row r="352" spans="1:25" ht="12.7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row>
    <row r="353" spans="1:25" ht="12.7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row>
    <row r="354" spans="1:25" ht="12.7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row>
    <row r="355" spans="1:25" ht="12.7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row>
    <row r="356" spans="1:25" ht="12.7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row>
    <row r="357" spans="1:25" ht="12.7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row>
    <row r="358" spans="1:25" ht="12.7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row>
    <row r="359" spans="1:25" ht="12.7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row>
    <row r="360" spans="1:25" ht="12.7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row>
    <row r="361" spans="1:25" ht="12.7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row>
    <row r="362" spans="1:25" ht="12.7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row>
    <row r="363" spans="1:25" ht="12.7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row>
    <row r="364" spans="1:25" ht="12.7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row>
    <row r="365" spans="1:25" ht="12.7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row>
    <row r="366" spans="1:25" ht="12.7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row>
    <row r="367" spans="1:25" ht="12.7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row>
    <row r="368" spans="1:25" ht="12.7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row>
    <row r="369" spans="1:25" ht="12.7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row>
    <row r="370" spans="1:25" ht="12.7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row>
    <row r="371" spans="1:25" ht="12.7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row>
    <row r="372" spans="1:25" ht="12.7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row>
    <row r="373" spans="1:25" ht="12.7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row>
    <row r="374" spans="1:25" ht="12.7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row>
    <row r="375" spans="1:25" ht="12.7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row>
    <row r="376" spans="1:25" ht="12.7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row>
    <row r="377" spans="1:25" ht="12.7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row>
    <row r="378" spans="1:25" ht="12.7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row>
    <row r="379" spans="1:25" ht="12.7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row>
    <row r="380" spans="1:25" ht="12.7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row>
    <row r="381" spans="1:25" ht="12.7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row>
    <row r="382" spans="1:25" ht="12.7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row>
    <row r="383" spans="1:25" ht="12.7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row>
    <row r="384" spans="1:25" ht="12.7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row>
    <row r="385" spans="1:25" ht="12.7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row>
    <row r="386" spans="1:25" ht="12.7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row>
    <row r="387" spans="1:25" ht="12.7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row>
    <row r="388" spans="1:25" ht="12.7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row>
    <row r="389" spans="1:25" ht="12.7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row>
    <row r="390" spans="1:25" ht="12.7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row>
    <row r="391" spans="1:25" ht="12.7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row>
    <row r="392" spans="1:25" ht="12.7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row>
    <row r="393" spans="1:25" ht="12.7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row>
    <row r="394" spans="1:25" ht="12.7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row>
    <row r="395" spans="1:25" ht="12.7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row>
    <row r="396" spans="1:25" ht="12.7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row>
    <row r="397" spans="1:25" ht="12.7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row>
    <row r="398" spans="1:25" ht="12.7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row>
    <row r="399" spans="1:25" ht="12.7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row>
    <row r="400" spans="1:25" ht="12.7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row>
    <row r="401" spans="1:25" ht="12.7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row>
    <row r="402" spans="1:25" ht="12.7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row>
    <row r="403" spans="1:25" ht="12.7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row>
    <row r="404" spans="1:25" ht="12.7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row>
    <row r="405" spans="1:25" ht="12.7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row>
    <row r="406" spans="1:25" ht="12.7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row>
    <row r="407" spans="1:25" ht="12.7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row>
    <row r="408" spans="1:25" ht="12.7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row>
    <row r="409" spans="1:25" ht="12.7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row>
    <row r="410" spans="1:25" ht="12.7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row>
    <row r="411" spans="1:25" ht="12.7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row>
    <row r="412" spans="1:25" ht="12.7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row>
    <row r="413" spans="1:25" ht="12.7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row>
    <row r="414" spans="1:25" ht="12.7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row>
    <row r="415" spans="1:25" ht="12.7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row>
    <row r="416" spans="1:25" ht="12.7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row>
    <row r="417" spans="1:25" ht="12.7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row>
    <row r="418" spans="1:25" ht="12.7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row>
    <row r="419" spans="1:25" ht="12.7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row>
    <row r="420" spans="1:25" ht="12.7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row>
    <row r="421" spans="1:25" ht="12.7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row>
    <row r="422" spans="1:25" ht="12.7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row>
    <row r="423" spans="1:25" ht="12.7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row>
    <row r="424" spans="1:25" ht="12.7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row>
    <row r="425" spans="1:25" ht="12.7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row>
    <row r="426" spans="1:25" ht="12.7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row>
    <row r="427" spans="1:25" ht="12.7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row>
    <row r="428" spans="1:25" ht="12.7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row>
    <row r="429" spans="1:25" ht="12.7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row>
    <row r="430" spans="1:25" ht="12.7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row>
    <row r="431" spans="1:25" ht="12.7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row>
    <row r="432" spans="1:25" ht="12.7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row>
    <row r="433" spans="1:25" ht="12.7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row>
    <row r="434" spans="1:25" ht="12.7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row>
    <row r="435" spans="1:25" ht="12.7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row>
    <row r="436" spans="1:25" ht="12.7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row>
    <row r="437" spans="1:25" ht="12.7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row>
    <row r="438" spans="1:25" ht="12.7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row>
    <row r="439" spans="1:25" ht="12.7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row>
    <row r="440" spans="1:25" ht="12.7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row>
    <row r="441" spans="1:25" ht="12.7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row>
    <row r="442" spans="1:25" ht="12.7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row>
    <row r="443" spans="1:25" ht="12.7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row>
    <row r="444" spans="1:25" ht="12.7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row>
    <row r="445" spans="1:25" ht="12.7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row>
    <row r="446" spans="1:25" ht="12.7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row>
    <row r="447" spans="1:25" ht="12.7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row>
    <row r="448" spans="1:25" ht="12.7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row>
    <row r="449" spans="1:25" ht="12.7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row>
    <row r="450" spans="1:25" ht="12.7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row>
    <row r="451" spans="1:25" ht="12.7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row>
    <row r="452" spans="1:25" ht="12.7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row>
    <row r="453" spans="1:25" ht="12.7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row>
    <row r="454" spans="1:25" ht="12.7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row>
    <row r="455" spans="1:25" ht="12.7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row>
    <row r="456" spans="1:25" ht="12.7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row>
    <row r="457" spans="1:25" ht="12.7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row>
    <row r="458" spans="1:25" ht="12.7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row>
    <row r="459" spans="1:25" ht="12.7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row>
    <row r="460" spans="1:25" ht="12.7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row>
    <row r="461" spans="1:25" ht="12.7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row>
    <row r="462" spans="1:25" ht="12.7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row>
    <row r="463" spans="1:25" ht="12.7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row>
    <row r="464" spans="1:25" ht="12.7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row>
    <row r="465" spans="1:25" ht="12.7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row>
    <row r="466" spans="1:25" ht="12.7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row>
    <row r="467" spans="1:25" ht="12.7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row>
    <row r="468" spans="1:25" ht="12.7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row>
    <row r="469" spans="1:25" ht="12.7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row>
    <row r="470" spans="1:25" ht="12.7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row>
    <row r="471" spans="1:25" ht="12.7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row>
    <row r="472" spans="1:25" ht="12.7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row>
    <row r="473" spans="1:25" ht="12.7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row>
    <row r="474" spans="1:25" ht="12.7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row>
    <row r="475" spans="1:25" ht="12.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row>
    <row r="476" spans="1:25" ht="12.7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row>
    <row r="477" spans="1:25" ht="12.7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row>
    <row r="478" spans="1:25" ht="12.7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row>
    <row r="479" spans="1:25" ht="12.7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row>
    <row r="480" spans="1:25" ht="12.7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row>
    <row r="481" spans="1:25" ht="12.7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row>
    <row r="482" spans="1:25" ht="12.7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row>
    <row r="483" spans="1:25" ht="12.7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row>
    <row r="484" spans="1:25" ht="12.7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row>
    <row r="485" spans="1:25" ht="12.7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row>
    <row r="486" spans="1:25" ht="12.7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row>
    <row r="487" spans="1:25" ht="12.7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row>
    <row r="488" spans="1:25" ht="12.7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row>
    <row r="489" spans="1:25" ht="12.7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row>
    <row r="490" spans="1:25" ht="12.7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row>
    <row r="491" spans="1:25" ht="12.7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row>
    <row r="492" spans="1:25" ht="12.7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row>
    <row r="493" spans="1:25" ht="12.7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row>
    <row r="494" spans="1:25" ht="12.7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row>
    <row r="495" spans="1:25" ht="12.7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row>
    <row r="496" spans="1:25" ht="12.7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row>
    <row r="497" spans="1:25" ht="12.7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row>
    <row r="498" spans="1:25" ht="12.7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row>
    <row r="499" spans="1:25" ht="12.7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row>
    <row r="500" spans="1:25" ht="12.7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row>
    <row r="501" spans="1:25" ht="12.7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row>
    <row r="502" spans="1:25" ht="12.7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row>
    <row r="503" spans="1:25" ht="12.7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row>
    <row r="504" spans="1:25" ht="12.7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row>
    <row r="505" spans="1:25" ht="12.7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row>
    <row r="506" spans="1:25" ht="12.7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row>
    <row r="507" spans="1:25" ht="12.7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row>
    <row r="508" spans="1:25" ht="12.7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row>
    <row r="509" spans="1:25" ht="12.7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row>
    <row r="510" spans="1:25" ht="12.7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row>
    <row r="511" spans="1:25" ht="12.7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row>
    <row r="512" spans="1:25" ht="12.7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row>
    <row r="513" spans="1:25" ht="12.7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row>
    <row r="514" spans="1:25" ht="12.7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row>
    <row r="515" spans="1:25" ht="12.7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row>
    <row r="516" spans="1:25" ht="12.7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row>
    <row r="517" spans="1:25" ht="12.7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row>
    <row r="518" spans="1:25" ht="12.7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row>
    <row r="519" spans="1:25" ht="12.7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row>
    <row r="520" spans="1:25" ht="12.7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row>
    <row r="521" spans="1:25" ht="12.7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row>
    <row r="522" spans="1:25" ht="12.7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row>
    <row r="523" spans="1:25" ht="12.7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row>
    <row r="524" spans="1:25" ht="12.7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row>
    <row r="525" spans="1:25" ht="12.7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row>
    <row r="526" spans="1:25" ht="12.7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row>
    <row r="527" spans="1:25" ht="12.7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row>
    <row r="528" spans="1:25" ht="12.7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row>
    <row r="529" spans="1:25" ht="12.7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row>
    <row r="530" spans="1:25" ht="12.7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row>
    <row r="531" spans="1:25" ht="12.7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row>
    <row r="532" spans="1:25" ht="12.7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row>
    <row r="533" spans="1:25" ht="12.7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row>
    <row r="534" spans="1:25" ht="12.7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row>
    <row r="535" spans="1:25" ht="12.7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row>
    <row r="536" spans="1:25" ht="12.7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row>
    <row r="537" spans="1:25" ht="12.7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row>
    <row r="538" spans="1:25" ht="12.7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row>
    <row r="539" spans="1:25" ht="12.7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row>
    <row r="540" spans="1:25" ht="12.7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row>
    <row r="541" spans="1:25" ht="12.7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row>
    <row r="542" spans="1:25" ht="12.7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row>
    <row r="543" spans="1:25" ht="12.7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row>
    <row r="544" spans="1:25" ht="12.7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row>
    <row r="545" spans="1:25" ht="12.7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row>
    <row r="546" spans="1:25" ht="12.7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row>
    <row r="547" spans="1:25" ht="12.7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row>
    <row r="548" spans="1:25" ht="12.7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row>
    <row r="549" spans="1:25" ht="12.7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row>
    <row r="550" spans="1:25" ht="12.7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row>
    <row r="551" spans="1:25" ht="12.7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row>
    <row r="552" spans="1:25" ht="12.7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row>
    <row r="553" spans="1:25" ht="12.7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row>
    <row r="554" spans="1:25" ht="12.7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row>
    <row r="555" spans="1:25" ht="12.7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row>
    <row r="556" spans="1:25" ht="12.7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row>
    <row r="557" spans="1:25" ht="12.7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row>
    <row r="558" spans="1:25" ht="12.7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row>
    <row r="559" spans="1:25" ht="12.7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row>
    <row r="560" spans="1:25" ht="12.7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row>
    <row r="561" spans="1:25" ht="12.7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row>
    <row r="562" spans="1:25" ht="12.7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row>
    <row r="563" spans="1:25" ht="12.7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row>
    <row r="564" spans="1:25" ht="12.7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row>
    <row r="565" spans="1:25" ht="12.7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row>
    <row r="566" spans="1:25" ht="12.7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row>
    <row r="567" spans="1:25" ht="12.7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row>
    <row r="568" spans="1:25" ht="12.7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row>
    <row r="569" spans="1:25" ht="12.7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row>
    <row r="570" spans="1:25" ht="12.7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row>
    <row r="571" spans="1:25" ht="12.7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row>
    <row r="572" spans="1:25" ht="12.7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row>
    <row r="573" spans="1:25" ht="12.7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row>
    <row r="574" spans="1:25" ht="12.7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row>
    <row r="575" spans="1:25" ht="12.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row>
    <row r="576" spans="1:25" ht="12.7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row>
    <row r="577" spans="1:25" ht="12.7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row>
    <row r="578" spans="1:25" ht="12.7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row>
    <row r="579" spans="1:25" ht="12.7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row>
    <row r="580" spans="1:25" ht="12.7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row>
    <row r="581" spans="1:25" ht="12.7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row>
    <row r="582" spans="1:25" ht="12.7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row>
    <row r="583" spans="1:25" ht="12.7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row>
    <row r="584" spans="1:25" ht="12.7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row>
    <row r="585" spans="1:25" ht="12.7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row>
    <row r="586" spans="1:25" ht="12.7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row>
    <row r="587" spans="1:25" ht="12.7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row>
    <row r="588" spans="1:25" ht="12.7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row>
    <row r="589" spans="1:25" ht="12.7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row>
    <row r="590" spans="1:25" ht="12.7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row>
    <row r="591" spans="1:25" ht="12.7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row>
    <row r="592" spans="1:25" ht="12.7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row>
    <row r="593" spans="1:25" ht="12.7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row>
    <row r="594" spans="1:25" ht="12.7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row>
    <row r="595" spans="1:25" ht="12.7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row>
    <row r="596" spans="1:25" ht="12.7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row>
    <row r="597" spans="1:25" ht="12.7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row>
    <row r="598" spans="1:25" ht="12.7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row>
    <row r="599" spans="1:25" ht="12.7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row>
    <row r="600" spans="1:25" ht="12.7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row>
    <row r="601" spans="1:25" ht="12.7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row>
    <row r="602" spans="1:25" ht="12.7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row>
    <row r="603" spans="1:25" ht="12.7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row>
    <row r="604" spans="1:25" ht="12.7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row>
    <row r="605" spans="1:25" ht="12.7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row>
    <row r="606" spans="1:25" ht="12.7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row>
    <row r="607" spans="1:25" ht="12.7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row>
    <row r="608" spans="1:25" ht="12.7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row>
    <row r="609" spans="1:25" ht="12.7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row>
    <row r="610" spans="1:25" ht="12.7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row>
    <row r="611" spans="1:25" ht="12.7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row>
    <row r="612" spans="1:25" ht="12.7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row>
    <row r="613" spans="1:25" ht="12.7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row>
    <row r="614" spans="1:25" ht="12.7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row>
    <row r="615" spans="1:25" ht="12.7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row>
    <row r="616" spans="1:25" ht="12.7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row>
    <row r="617" spans="1:25" ht="12.7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row>
    <row r="618" spans="1:25" ht="12.7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row>
    <row r="619" spans="1:25" ht="12.7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row>
    <row r="620" spans="1:25" ht="12.7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row>
    <row r="621" spans="1:25" ht="12.7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row>
    <row r="622" spans="1:25" ht="12.7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row>
    <row r="623" spans="1:25" ht="12.7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row>
    <row r="624" spans="1:25" ht="12.7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row>
    <row r="625" spans="1:25" ht="12.7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row>
    <row r="626" spans="1:25" ht="12.7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row>
    <row r="627" spans="1:25" ht="12.7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row>
    <row r="628" spans="1:25" ht="12.7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row>
    <row r="629" spans="1:25" ht="12.7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row>
    <row r="630" spans="1:25" ht="12.7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row>
    <row r="631" spans="1:25" ht="12.7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row>
    <row r="632" spans="1:25" ht="12.7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row>
    <row r="633" spans="1:25" ht="12.7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row>
    <row r="634" spans="1:25" ht="12.7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row>
    <row r="635" spans="1:25" ht="12.7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row>
    <row r="636" spans="1:25" ht="12.7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row>
    <row r="637" spans="1:25" ht="12.7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row>
    <row r="638" spans="1:25" ht="12.7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row>
    <row r="639" spans="1:25" ht="12.7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row>
    <row r="640" spans="1:25" ht="12.7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row>
    <row r="641" spans="1:25" ht="12.7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row>
    <row r="642" spans="1:25" ht="12.7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row>
    <row r="643" spans="1:25" ht="12.7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row>
    <row r="644" spans="1:25" ht="12.7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row>
    <row r="645" spans="1:25" ht="12.7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row>
    <row r="646" spans="1:25" ht="12.7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row>
    <row r="647" spans="1:25" ht="12.7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row>
    <row r="648" spans="1:25" ht="12.7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row>
    <row r="649" spans="1:25" ht="12.7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row>
    <row r="650" spans="1:25" ht="12.7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row>
    <row r="651" spans="1:25" ht="12.7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row>
    <row r="652" spans="1:25" ht="12.7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row>
    <row r="653" spans="1:25" ht="12.7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row>
    <row r="654" spans="1:25" ht="12.7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row>
    <row r="655" spans="1:25" ht="12.7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row>
    <row r="656" spans="1:25" ht="12.7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row>
    <row r="657" spans="1:25" ht="12.7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row>
    <row r="658" spans="1:25" ht="12.7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row>
    <row r="659" spans="1:25" ht="12.7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row>
    <row r="660" spans="1:25" ht="12.7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row>
    <row r="661" spans="1:25" ht="12.7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row>
    <row r="662" spans="1:25" ht="12.7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row>
    <row r="663" spans="1:25" ht="12.7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row>
    <row r="664" spans="1:25" ht="12.7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row>
    <row r="665" spans="1:25" ht="12.7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row>
    <row r="666" spans="1:25" ht="12.7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row>
    <row r="667" spans="1:25" ht="12.7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row>
    <row r="668" spans="1:25" ht="12.7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row>
    <row r="669" spans="1:25" ht="12.7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row>
    <row r="670" spans="1:25" ht="12.7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row>
    <row r="671" spans="1:25" ht="12.7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row>
    <row r="672" spans="1:25" ht="12.7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row>
    <row r="673" spans="1:25" ht="12.7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row>
    <row r="674" spans="1:25" ht="12.7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row>
    <row r="675" spans="1:25" ht="12.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row>
    <row r="676" spans="1:25" ht="12.7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row>
    <row r="677" spans="1:25" ht="12.7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row>
    <row r="678" spans="1:25" ht="12.7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row>
    <row r="679" spans="1:25" ht="12.7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row>
    <row r="680" spans="1:25" ht="12.7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row>
    <row r="681" spans="1:25" ht="12.7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row>
    <row r="682" spans="1:25" ht="12.7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row>
    <row r="683" spans="1:25" ht="12.7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row>
    <row r="684" spans="1:25" ht="12.7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row>
    <row r="685" spans="1:25" ht="12.7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row>
    <row r="686" spans="1:25" ht="12.7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row>
    <row r="687" spans="1:25" ht="12.7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row>
    <row r="688" spans="1:25" ht="12.7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row>
    <row r="689" spans="1:25" ht="12.7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row>
    <row r="690" spans="1:25" ht="12.7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row>
    <row r="691" spans="1:25" ht="12.7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row>
    <row r="692" spans="1:25" ht="12.7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row>
    <row r="693" spans="1:25" ht="12.7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row>
    <row r="694" spans="1:25" ht="12.7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row>
    <row r="695" spans="1:25" ht="12.7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row>
    <row r="696" spans="1:25" ht="12.7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row>
    <row r="697" spans="1:25" ht="12.7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row>
    <row r="698" spans="1:25" ht="12.7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row>
    <row r="699" spans="1:25" ht="12.7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row>
    <row r="700" spans="1:25" ht="12.7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row>
    <row r="701" spans="1:25" ht="12.7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row>
    <row r="702" spans="1:25" ht="12.7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row>
    <row r="703" spans="1:25" ht="12.7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row>
    <row r="704" spans="1:25" ht="12.7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row>
    <row r="705" spans="1:25" ht="12.7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row>
    <row r="706" spans="1:25" ht="12.7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row>
    <row r="707" spans="1:25" ht="12.7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row>
    <row r="708" spans="1:25" ht="12.7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row>
    <row r="709" spans="1:25" ht="12.7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row>
    <row r="710" spans="1:25" ht="12.7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row>
    <row r="711" spans="1:25" ht="12.7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row>
    <row r="712" spans="1:25" ht="12.7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row>
    <row r="713" spans="1:25" ht="12.7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row>
    <row r="714" spans="1:25" ht="12.7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row>
    <row r="715" spans="1:25" ht="12.7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row>
    <row r="716" spans="1:25" ht="12.7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row>
    <row r="717" spans="1:25" ht="12.7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row>
    <row r="718" spans="1:25" ht="12.7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row>
    <row r="719" spans="1:25" ht="12.7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row>
    <row r="720" spans="1:25" ht="12.7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row>
    <row r="721" spans="1:25" ht="12.7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row>
    <row r="722" spans="1:25" ht="12.7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row>
    <row r="723" spans="1:25" ht="12.7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row>
    <row r="724" spans="1:25" ht="12.7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row>
    <row r="725" spans="1:25" ht="12.7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row>
    <row r="726" spans="1:25" ht="12.7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row>
    <row r="727" spans="1:25" ht="12.7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row>
    <row r="728" spans="1:25" ht="12.7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row>
    <row r="729" spans="1:25" ht="12.7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row>
    <row r="730" spans="1:25" ht="12.7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row>
    <row r="731" spans="1:25" ht="12.7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row>
    <row r="732" spans="1:25" ht="12.7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row>
    <row r="733" spans="1:25" ht="12.7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row>
    <row r="734" spans="1:25" ht="12.7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row>
    <row r="735" spans="1:25" ht="12.7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row>
    <row r="736" spans="1:25" ht="12.7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row>
    <row r="737" spans="1:25" ht="12.7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row>
    <row r="738" spans="1:25" ht="12.7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row>
    <row r="739" spans="1:25" ht="12.7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row>
    <row r="740" spans="1:25" ht="12.7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row>
    <row r="741" spans="1:25" ht="12.7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row>
    <row r="742" spans="1:25" ht="12.7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row>
    <row r="743" spans="1:25" ht="12.7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row>
    <row r="744" spans="1:25" ht="12.7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row>
    <row r="745" spans="1:25" ht="12.7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row>
    <row r="746" spans="1:25" ht="12.7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row>
    <row r="747" spans="1:25" ht="12.7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row>
    <row r="748" spans="1:25" ht="12.7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row>
    <row r="749" spans="1:25" ht="12.7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row>
    <row r="750" spans="1:25" ht="12.7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row>
    <row r="751" spans="1:25" ht="12.7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row>
    <row r="752" spans="1:25" ht="12.7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row>
    <row r="753" spans="1:25" ht="12.7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row>
    <row r="754" spans="1:25" ht="12.7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row>
    <row r="755" spans="1:25" ht="12.7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row>
    <row r="756" spans="1:25" ht="12.7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row>
    <row r="757" spans="1:25" ht="12.7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row>
    <row r="758" spans="1:25" ht="12.7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row>
    <row r="759" spans="1:25" ht="12.7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row>
    <row r="760" spans="1:25" ht="12.7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row>
    <row r="761" spans="1:25" ht="12.7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row>
    <row r="762" spans="1:25" ht="12.7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row>
    <row r="763" spans="1:25" ht="12.7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row>
    <row r="764" spans="1:25" ht="12.7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row>
    <row r="765" spans="1:25" ht="12.7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row>
    <row r="766" spans="1:25" ht="12.7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row>
    <row r="767" spans="1:25" ht="12.7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row>
    <row r="768" spans="1:25" ht="12.7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row>
    <row r="769" spans="1:25" ht="12.7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row>
    <row r="770" spans="1:25" ht="12.7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row>
    <row r="771" spans="1:25" ht="12.7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row>
    <row r="772" spans="1:25" ht="12.7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row>
    <row r="773" spans="1:25" ht="12.7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row>
    <row r="774" spans="1:25" ht="12.7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row>
    <row r="775" spans="1:25" ht="12.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row>
    <row r="776" spans="1:25" ht="12.7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row>
    <row r="777" spans="1:25" ht="12.7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row>
    <row r="778" spans="1:25" ht="12.7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row>
    <row r="779" spans="1:25" ht="12.7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row>
    <row r="780" spans="1:25" ht="12.7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row>
    <row r="781" spans="1:25" ht="12.7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row>
    <row r="782" spans="1:25" ht="12.7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row>
    <row r="783" spans="1:25" ht="12.7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row>
    <row r="784" spans="1:25" ht="12.7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row>
    <row r="785" spans="1:25" ht="12.7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row>
    <row r="786" spans="1:25" ht="12.7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row>
    <row r="787" spans="1:25" ht="12.7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row>
    <row r="788" spans="1:25" ht="12.7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row>
    <row r="789" spans="1:25" ht="12.7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row>
    <row r="790" spans="1:25" ht="12.7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row>
    <row r="791" spans="1:25" ht="12.7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row>
    <row r="792" spans="1:25" ht="12.7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row>
    <row r="793" spans="1:25" ht="12.7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row>
    <row r="794" spans="1:25" ht="12.7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row>
    <row r="795" spans="1:25" ht="12.7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row>
    <row r="796" spans="1:25" ht="12.7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row>
    <row r="797" spans="1:25" ht="12.7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row>
    <row r="798" spans="1:25" ht="12.7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row>
    <row r="799" spans="1:25" ht="12.7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row>
    <row r="800" spans="1:25" ht="12.7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row>
    <row r="801" spans="1:25" ht="12.7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row>
    <row r="802" spans="1:25" ht="12.7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row>
    <row r="803" spans="1:25" ht="12.7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row>
    <row r="804" spans="1:25" ht="12.7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row>
    <row r="805" spans="1:25" ht="12.7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row>
    <row r="806" spans="1:25" ht="12.7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row>
    <row r="807" spans="1:25" ht="12.7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row>
    <row r="808" spans="1:25" ht="12.7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row>
    <row r="809" spans="1:25" ht="12.7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row>
    <row r="810" spans="1:25" ht="12.7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row>
    <row r="811" spans="1:25" ht="12.7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row>
    <row r="812" spans="1:25" ht="12.7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row>
    <row r="813" spans="1:25" ht="12.7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row>
    <row r="814" spans="1:25" ht="12.7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row>
    <row r="815" spans="1:25" ht="12.7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row>
    <row r="816" spans="1:25" ht="12.7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row>
    <row r="817" spans="1:25" ht="12.7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row>
    <row r="818" spans="1:25" ht="12.7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row>
    <row r="819" spans="1:25" ht="12.7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row>
    <row r="820" spans="1:25" ht="12.7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row>
    <row r="821" spans="1:25" ht="12.7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row>
    <row r="822" spans="1:25" ht="12.7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row>
    <row r="823" spans="1:25" ht="12.7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row>
    <row r="824" spans="1:25" ht="12.7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row>
    <row r="825" spans="1:25" ht="12.7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row>
    <row r="826" spans="1:25" ht="12.7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row>
    <row r="827" spans="1:25" ht="12.7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row>
    <row r="828" spans="1:25" ht="12.7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row>
    <row r="829" spans="1:25" ht="12.7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row>
    <row r="830" spans="1:25" ht="12.7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row>
    <row r="831" spans="1:25" ht="12.7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row>
    <row r="832" spans="1:25" ht="12.7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row>
    <row r="833" spans="1:25" ht="12.7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row>
    <row r="834" spans="1:25" ht="12.7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row>
    <row r="835" spans="1:25" ht="12.7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row>
    <row r="836" spans="1:25" ht="12.7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row>
    <row r="837" spans="1:25" ht="12.7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row>
    <row r="838" spans="1:25" ht="12.7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row>
    <row r="839" spans="1:25" ht="12.7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row>
    <row r="840" spans="1:25" ht="12.7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row>
    <row r="841" spans="1:25" ht="12.7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row>
    <row r="842" spans="1:25" ht="12.7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row>
    <row r="843" spans="1:25" ht="12.7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row>
    <row r="844" spans="1:25" ht="12.7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row>
    <row r="845" spans="1:25" ht="12.7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row>
    <row r="846" spans="1:25" ht="12.7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row>
    <row r="847" spans="1:25" ht="12.7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row>
    <row r="848" spans="1:25" ht="12.7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row>
    <row r="849" spans="1:25" ht="12.7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row>
    <row r="850" spans="1:25" ht="12.7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row>
    <row r="851" spans="1:25" ht="12.7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row>
    <row r="852" spans="1:25" ht="12.7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row>
    <row r="853" spans="1:25" ht="12.7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row>
    <row r="854" spans="1:25" ht="12.7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row>
    <row r="855" spans="1:25" ht="12.7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row>
    <row r="856" spans="1:25" ht="12.7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row>
    <row r="857" spans="1:25" ht="12.7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row>
    <row r="858" spans="1:25" ht="12.7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row>
    <row r="859" spans="1:25" ht="12.7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row>
    <row r="860" spans="1:25" ht="12.7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row>
    <row r="861" spans="1:25" ht="12.7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row>
    <row r="862" spans="1:25" ht="12.7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row>
    <row r="863" spans="1:25" ht="12.7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row>
    <row r="864" spans="1:25" ht="12.7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row>
    <row r="865" spans="1:25" ht="12.7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row>
    <row r="866" spans="1:25" ht="12.7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row>
    <row r="867" spans="1:25" ht="12.7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row>
    <row r="868" spans="1:25" ht="12.7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row>
    <row r="869" spans="1:25" ht="12.7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row>
    <row r="870" spans="1:25" ht="12.7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row>
    <row r="871" spans="1:25" ht="12.7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row>
    <row r="872" spans="1:25" ht="12.7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row>
    <row r="873" spans="1:25" ht="12.7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row>
    <row r="874" spans="1:25" ht="12.7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row>
    <row r="875" spans="1:25" ht="12.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row>
    <row r="876" spans="1:25" ht="12.7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row>
    <row r="877" spans="1:25" ht="12.7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row>
    <row r="878" spans="1:25" ht="12.7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row>
    <row r="879" spans="1:25" ht="12.7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row>
    <row r="880" spans="1:25" ht="12.7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row>
    <row r="881" spans="1:25" ht="12.7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row>
    <row r="882" spans="1:25" ht="12.7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row>
    <row r="883" spans="1:25" ht="12.7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row>
    <row r="884" spans="1:25" ht="12.7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row>
    <row r="885" spans="1:25" ht="12.7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row>
    <row r="886" spans="1:25" ht="12.7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row>
    <row r="887" spans="1:25" ht="12.7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row>
    <row r="888" spans="1:25" ht="12.7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row>
    <row r="889" spans="1:25" ht="12.7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row>
    <row r="890" spans="1:25" ht="12.7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row>
    <row r="891" spans="1:25" ht="12.7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row>
    <row r="892" spans="1:25" ht="12.7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row>
    <row r="893" spans="1:25" ht="12.7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row>
    <row r="894" spans="1:25" ht="12.7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row>
    <row r="895" spans="1:25" ht="12.7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row>
    <row r="896" spans="1:25" ht="12.7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row>
    <row r="897" spans="1:25" ht="12.7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row>
    <row r="898" spans="1:25" ht="12.7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row>
    <row r="899" spans="1:25" ht="12.7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row>
    <row r="900" spans="1:25" ht="12.7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row>
    <row r="901" spans="1:25" ht="12.7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row>
    <row r="902" spans="1:25" ht="12.7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row>
    <row r="903" spans="1:25" ht="12.7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row>
    <row r="904" spans="1:25" ht="12.7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row>
    <row r="905" spans="1:25" ht="12.7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row>
    <row r="906" spans="1:25" ht="12.7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row>
    <row r="907" spans="1:25" ht="12.7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row>
    <row r="908" spans="1:25" ht="12.7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row>
    <row r="909" spans="1:25" ht="12.7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row>
    <row r="910" spans="1:25" ht="12.7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row>
    <row r="911" spans="1:25" ht="12.7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row>
    <row r="912" spans="1:25" ht="12.7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row>
    <row r="913" spans="1:25" ht="12.7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row>
    <row r="914" spans="1:25" ht="12.7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row>
    <row r="915" spans="1:25" ht="12.7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row>
    <row r="916" spans="1:25" ht="12.7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row>
    <row r="917" spans="1:25" ht="12.7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row>
    <row r="918" spans="1:25" ht="12.7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row>
    <row r="919" spans="1:25" ht="12.7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row>
    <row r="920" spans="1:25" ht="12.7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row>
    <row r="921" spans="1:25" ht="12.7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row>
    <row r="922" spans="1:25" ht="12.7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row>
    <row r="923" spans="1:25" ht="12.7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row>
    <row r="924" spans="1:25" ht="12.7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row>
    <row r="925" spans="1:25" ht="12.7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row>
    <row r="926" spans="1:25" ht="12.7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row>
    <row r="927" spans="1:25" ht="12.7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row>
    <row r="928" spans="1:25" ht="12.7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row>
    <row r="929" spans="1:25" ht="12.7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row>
    <row r="930" spans="1:25" ht="12.7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row>
    <row r="931" spans="1:25" ht="12.7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row>
    <row r="932" spans="1:25" ht="12.7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row>
    <row r="933" spans="1:25" ht="12.7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row>
    <row r="934" spans="1:25" ht="12.7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row>
    <row r="935" spans="1:25" ht="12.7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row>
    <row r="936" spans="1:25" ht="12.7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row>
    <row r="937" spans="1:25" ht="12.7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row>
    <row r="938" spans="1:25" ht="12.7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row>
    <row r="939" spans="1:25" ht="12.7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row>
    <row r="940" spans="1:25" ht="12.7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row>
    <row r="941" spans="1:25" ht="12.7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row>
    <row r="942" spans="1:25" ht="12.7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row>
    <row r="943" spans="1:25" ht="12.7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row>
    <row r="944" spans="1:25" ht="12.7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row>
    <row r="945" spans="1:25" ht="12.7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row>
    <row r="946" spans="1:25" ht="12.7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row>
    <row r="947" spans="1:25" ht="12.7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row>
    <row r="948" spans="1:25" ht="12.7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row>
    <row r="949" spans="1:25" ht="12.7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row>
    <row r="950" spans="1:25" ht="12.7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row>
    <row r="951" spans="1:25" ht="12.7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row>
    <row r="952" spans="1:25" ht="12.7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row>
    <row r="953" spans="1:25" ht="12.7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row>
    <row r="954" spans="1:25" ht="12.7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row>
    <row r="955" spans="1:25" ht="12.7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row>
    <row r="956" spans="1:25" ht="12.7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row>
    <row r="957" spans="1:25" ht="12.7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row>
    <row r="958" spans="1:25" ht="12.7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row>
    <row r="959" spans="1:25" ht="12.7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row>
    <row r="960" spans="1:25" ht="12.7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row>
    <row r="961" spans="1:25" ht="12.7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row>
    <row r="962" spans="1:25" ht="12.7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row>
    <row r="963" spans="1:25" ht="12.7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row>
    <row r="964" spans="1:25" ht="12.7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row>
    <row r="965" spans="1:25" ht="12.7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row>
    <row r="966" spans="1:25" ht="12.7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row>
    <row r="967" spans="1:25" ht="12.7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row>
    <row r="968" spans="1:25" ht="12.7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row>
    <row r="969" spans="1:25" ht="12.7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row>
    <row r="970" spans="1:25" ht="12.7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row>
    <row r="971" spans="1:25" ht="12.7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row>
    <row r="972" spans="1:25" ht="12.7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row>
    <row r="973" spans="1:25" ht="12.7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row>
    <row r="974" spans="1:25" ht="12.7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row>
    <row r="975" spans="1:25" ht="12.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row>
    <row r="976" spans="1:25" ht="12.7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row>
    <row r="977" spans="1:25" ht="12.7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row>
    <row r="978" spans="1:25" ht="12.7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row>
    <row r="979" spans="1:25" ht="12.7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row>
    <row r="980" spans="1:25" ht="12.7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row>
    <row r="981" spans="1:25" ht="12.7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row>
    <row r="982" spans="1:25" ht="12.7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row>
    <row r="983" spans="1:25" ht="12.7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row>
    <row r="984" spans="1:25" ht="12.7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row>
    <row r="985" spans="1:25" ht="12.7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row>
    <row r="986" spans="1:25" ht="12.7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row>
    <row r="987" spans="1:25" ht="12.7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row>
    <row r="988" spans="1:25" ht="12.7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row>
    <row r="989" spans="1:25" ht="12.7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row>
  </sheetData>
  <mergeCells count="46">
    <mergeCell ref="B58:B59"/>
    <mergeCell ref="B60:B62"/>
    <mergeCell ref="B63:B65"/>
    <mergeCell ref="B67:B68"/>
    <mergeCell ref="B69:B70"/>
    <mergeCell ref="A58:A59"/>
    <mergeCell ref="A60:A62"/>
    <mergeCell ref="A63:A65"/>
    <mergeCell ref="A67:A68"/>
    <mergeCell ref="A69:A70"/>
    <mergeCell ref="A44:A45"/>
    <mergeCell ref="B44:B45"/>
    <mergeCell ref="A46:A48"/>
    <mergeCell ref="B46:B48"/>
    <mergeCell ref="A56:A57"/>
    <mergeCell ref="A49:A50"/>
    <mergeCell ref="B49:B50"/>
    <mergeCell ref="A52:A53"/>
    <mergeCell ref="B52:B53"/>
    <mergeCell ref="A54:A55"/>
    <mergeCell ref="B54:B55"/>
    <mergeCell ref="B56:B57"/>
    <mergeCell ref="A32:A33"/>
    <mergeCell ref="B32:B33"/>
    <mergeCell ref="B36:B37"/>
    <mergeCell ref="A36:A37"/>
    <mergeCell ref="A42:A43"/>
    <mergeCell ref="B42:B43"/>
    <mergeCell ref="A21:A23"/>
    <mergeCell ref="B21:B23"/>
    <mergeCell ref="A24:A29"/>
    <mergeCell ref="B24:B29"/>
    <mergeCell ref="A30:A31"/>
    <mergeCell ref="B30:B31"/>
    <mergeCell ref="B14:B15"/>
    <mergeCell ref="A14:A15"/>
    <mergeCell ref="A16:A18"/>
    <mergeCell ref="B16:B18"/>
    <mergeCell ref="A19:A20"/>
    <mergeCell ref="B19:B20"/>
    <mergeCell ref="A2:A4"/>
    <mergeCell ref="B2:B3"/>
    <mergeCell ref="A5:A9"/>
    <mergeCell ref="B5:B9"/>
    <mergeCell ref="A10:A12"/>
    <mergeCell ref="B10:B11"/>
  </mergeCells>
  <phoneticPr fontId="13" type="noConversion"/>
  <hyperlinks>
    <hyperlink ref="E2" r:id="rId1" display="mailto:iverson1008@tcpc.tatung.com.tw"/>
    <hyperlink ref="E3" r:id="rId2" display="mailto:chlai@tcpc.tatung.com.tw"/>
    <hyperlink ref="C4" r:id="rId3" display="http://tcpcscm1.tatung.com.tw/ProductionControlWeb/CI/CI_CHT_OrderQuery.jsp"/>
    <hyperlink ref="E5" r:id="rId4" display="mailto:win19820604@ejoy.net.tw"/>
    <hyperlink ref="E6" r:id="rId5" display="mailto:0316@ejoy.net.tw"/>
    <hyperlink ref="E7" r:id="rId6" display="mailto:sume-wu@ejoy.net.tw"/>
    <hyperlink ref="E8" r:id="rId7" display="mailto:eve@ejoy.net.tw"/>
    <hyperlink ref="E10" r:id="rId8" display="mailto:elfin@creata.com.tw"/>
    <hyperlink ref="C12" r:id="rId9" display="https://apc01.safelinks.protection.outlook.com/?url=http%3A%2F%2F60.250.76.156%2FSmart-Query%2Fmainframes.aspx&amp;data=04%7C01%7Ctom_0316%40cht.com.tw%7C45ab76322b4f476c9cb608d9d65fe755%7C54eb9440cf0345fe835e61bd4ce515c8%7C0%7C0%7C637776529709118953%7CUnknown%7CTWFpbGZsb3d8eyJWIjoiMC4wLjAwMDAiLCJQIjoiV2luMzIiLCJBTiI6Ik1haWwiLCJXVCI6Mn0%3D%7C3000&amp;sdata=7Gvu8pk%2FKuDTKBLRQt6jVt7MFC7cLMnVG%2Fw%2FVBifisI%3D&amp;reserved=0"/>
    <hyperlink ref="E14" r:id="rId10" display="mailto:jeneifer@synnex.com.tw"/>
    <hyperlink ref="E15" r:id="rId11" display="mailto:anniezhan@synnex.com.tw"/>
    <hyperlink ref="E16" r:id="rId12" display="mailto:louis@wonder.tw"/>
    <hyperlink ref="E17" r:id="rId13" display="mailto:kelly@wonder.tw"/>
    <hyperlink ref="E20" r:id="rId14" display="mailto:Nick.cheng@weblink.com.tw"/>
    <hyperlink ref="E24" r:id="rId15" display="mailto:cht.sunfar@mail.sunfar.com.tw"/>
    <hyperlink ref="E25" r:id="rId16" display="mailto:cht.sunfar@mail.sunfar.com.tw"/>
    <hyperlink ref="E26" r:id="rId17" display="mailto:cht.sunfar@mail.sunfar.com.tw"/>
    <hyperlink ref="E27" r:id="rId18" display="mailto:cht.sunfar@mail.sunfar.com.tw"/>
    <hyperlink ref="E28" r:id="rId19" display="mailto:09038@mail.sunfar.com.tw"/>
    <hyperlink ref="E34" r:id="rId20" display="mailto:sarahlai@hostan.com.tw"/>
    <hyperlink ref="E35" r:id="rId21" display="mailto:tonlinserver@gmail.com"/>
    <hyperlink ref="E36" r:id="rId22" display="mailto:Annie.Wang@taidoc.com.tw"/>
    <hyperlink ref="E37" r:id="rId23" display="mailto:jacky@taidoc.com.tw"/>
    <hyperlink ref="E39" r:id="rId24" display="mailto:Yuki@thebest.com.tw"/>
    <hyperlink ref="E40" r:id="rId25" display="mailto:sb7398@sanyo.com.tw"/>
    <hyperlink ref="E44" r:id="rId26" display="mailto:bass01@b-a-s-s.com.tw"/>
    <hyperlink ref="E45" r:id="rId27" display="mailto:jia@b-a-s-s.com.tw"/>
    <hyperlink ref="E46" r:id="rId28" display="mailto:Hi-netplace@xander.com.tw"/>
    <hyperlink ref="E49" r:id="rId29" display="mailto:philo1699@gmail.com"/>
    <hyperlink ref="E50" r:id="rId30" display="mailto:momoarlink@gmail.com"/>
    <hyperlink ref="E56" r:id="rId31" display="mailto:sales@dpsmart.com.tw"/>
    <hyperlink ref="E57" r:id="rId32" display="mailto:alex.chan@dpsmart.com.tw"/>
    <hyperlink ref="E59" r:id="rId33" display="mailto:maggie1225@htt.com.tw"/>
    <hyperlink ref="E60" r:id="rId34" display="mailto:htt.service@msa.hinet.net"/>
    <hyperlink ref="E61" r:id="rId35" display="mailto:Beata_Lee@mail.nexgen.com.tw"/>
    <hyperlink ref="E63" r:id="rId36" display="mailto:eric_yu@mail.nexgen.com.tw"/>
    <hyperlink ref="E64" r:id="rId37" display="mailto:jill_yang@mail.nexgen.com.tw"/>
    <hyperlink ref="E66" r:id="rId38" display="mailto:eric_yu@mail.nexgen.com.tw"/>
    <hyperlink ref="E76" r:id="rId39" display="mailto:william@quasi.com.tw"/>
    <hyperlink ref="E84" r:id="rId40" display="mailto:rebecca@ia3c.com.tw"/>
    <hyperlink ref="E86" r:id="rId41" display="mailto:dino@ia3c.com.tw"/>
  </hyperlinks>
  <pageMargins left="0.7" right="0.7" top="0.75" bottom="0.75" header="0.3" footer="0.3"/>
  <pageSetup paperSize="9" orientation="portrait"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家電一覽表</vt:lpstr>
      <vt:lpstr>廠商聯絡清單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024778</dc:creator>
  <cp:lastModifiedBy>Windows 使用者</cp:lastModifiedBy>
  <dcterms:created xsi:type="dcterms:W3CDTF">2025-02-19T05:41:27Z</dcterms:created>
  <dcterms:modified xsi:type="dcterms:W3CDTF">2025-02-19T05:41:27Z</dcterms:modified>
</cp:coreProperties>
</file>